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470" yWindow="315" windowWidth="10860" windowHeight="10830" tabRatio="874"/>
  </bookViews>
  <sheets>
    <sheet name="Inputs &gt;" sheetId="15" r:id="rId1"/>
    <sheet name="General inputs" sheetId="6" r:id="rId2"/>
    <sheet name="Inputs - ODI 1" sheetId="1" r:id="rId3"/>
    <sheet name="Inputs - ODI 2" sheetId="11" r:id="rId4"/>
    <sheet name="Calcs &gt;" sheetId="10" r:id="rId5"/>
    <sheet name="Calcs - ODI 1" sheetId="5" r:id="rId6"/>
    <sheet name="Calcs - ODI 2" sheetId="12" r:id="rId7"/>
    <sheet name="Aggregation &gt;" sheetId="13" r:id="rId8"/>
    <sheet name="In period ODIs" sheetId="16" r:id="rId9"/>
    <sheet name="End of period ODIs" sheetId="9" r:id="rId10"/>
    <sheet name="Output &gt;" sheetId="17" r:id="rId11"/>
    <sheet name="ODI adjustments" sheetId="18" r:id="rId12"/>
    <sheet name="Other &gt;" sheetId="14" r:id="rId13"/>
    <sheet name="Lists" sheetId="3" r:id="rId14"/>
    <sheet name="RPI" sheetId="19" r:id="rId15"/>
    <sheet name="Agg caps &amp; collars" sheetId="20" r:id="rId16"/>
  </sheets>
  <definedNames>
    <definedName name="Aggregate.Flag">'General inputs'!$G$24</definedName>
    <definedName name="Aggregate.Limit">'General inputs'!$G$23</definedName>
    <definedName name="Aggregate.Limit.Override">'General inputs'!$G$22</definedName>
    <definedName name="AMP.Years">Lists!$I$3:$U$3</definedName>
    <definedName name="AMP6.NonDel.Flag.1">'Inputs - ODI 1'!$G$114</definedName>
    <definedName name="AMP6.NonDel.Flag.2">'Inputs - ODI 2'!$G$114</definedName>
    <definedName name="Applied.Adjustment">Lists!$E$11:$E$12</definedName>
    <definedName name="Average.RCV">'General inputs'!$L$14:$U$14</definedName>
    <definedName name="Bespoke.Fail.1">'Inputs - ODI 1'!$L$151:$U$151</definedName>
    <definedName name="Bespoke.Fail.2">'Inputs - ODI 2'!$L$152:$U$152</definedName>
    <definedName name="Bespoke.Flag.1">'Inputs - ODI 1'!$G$145</definedName>
    <definedName name="Bespoke.Flag.2">'Inputs - ODI 2'!$G$146</definedName>
    <definedName name="Bespoke.Pass.1">'Inputs - ODI 1'!$L$152:$U$152</definedName>
    <definedName name="Bespoke.Pass.2">'Inputs - ODI 2'!$L$153:$U$153</definedName>
    <definedName name="Bespoke.Performance.1">'Inputs - ODI 1'!$L$148:$U$148</definedName>
    <definedName name="Bespoke.Performance.2">'Inputs - ODI 2'!$L$149:$U$149</definedName>
    <definedName name="Calendar.Years">Lists!$I$5:$U$5</definedName>
    <definedName name="Capped.Penalty.Inperiod">'In period ODIs'!$G$33</definedName>
    <definedName name="Capped.Reward.Inperiod">'In period ODIs'!$G$32</definedName>
    <definedName name="Company.Type">'General inputs'!$H$10</definedName>
    <definedName name="Company.Type.List">Lists!$E$36:$E$37</definedName>
    <definedName name="Crystallisation.1">'Inputs - ODI 1'!$H$13</definedName>
    <definedName name="Crystallisation.2">'Inputs - ODI 2'!$H$13</definedName>
    <definedName name="Crystallisation.List">Lists!$E$32:$E$33</definedName>
    <definedName name="Delay.Flag.1">'Inputs - ODI 1'!$G$120</definedName>
    <definedName name="Delay.Flag.2">'Inputs - ODI 2'!$G$120</definedName>
    <definedName name="Delay.Penalty.1">'Inputs - ODI 1'!$G$121</definedName>
    <definedName name="Delay.Penalty.2">'Inputs - ODI 2'!$G$121</definedName>
    <definedName name="DelayNonDel.Flag.1">'Inputs - ODI 1'!$G$127</definedName>
    <definedName name="DelayNonDel.Flag.2">'Inputs - ODI 2'!$G$127</definedName>
    <definedName name="Delivery.Flag.1">'Inputs - ODI 1'!$G$103</definedName>
    <definedName name="Delivery.Flag.2">'Inputs - ODI 2'!$G$103</definedName>
    <definedName name="Delivery.Performance.1">'Inputs - ODI 1'!$L$113:$U$113</definedName>
    <definedName name="Delivery.Performance.2">'Inputs - ODI 2'!$L$113:$U$113</definedName>
    <definedName name="DeliveryCap.1">'Inputs - ODI 1'!$L$109:$U$109</definedName>
    <definedName name="DeliveryCap.2">'Inputs - ODI 2'!$L$109:$U$109</definedName>
    <definedName name="DeliveryCap.Flag.1">'Inputs - ODI 1'!$W$109</definedName>
    <definedName name="DeliveryCap.Flag.2">'Inputs - ODI 2'!$W$109</definedName>
    <definedName name="DeliveryCollar.1">'Inputs - ODI 1'!$L$110:$U$110</definedName>
    <definedName name="DeliveryCollar.2">'Inputs - ODI 2'!$L$110:$U$110</definedName>
    <definedName name="DeliveryCollar.Flag.1">'Inputs - ODI 1'!$W$110</definedName>
    <definedName name="DeliveryCollar.Flag.2">'Inputs - ODI 2'!$W$110</definedName>
    <definedName name="DeliveryDefined.Flag.1">'Inputs - ODI 1'!$W$106</definedName>
    <definedName name="DeliveryDefined.Flag.2">'Inputs - ODI 2'!$W$106</definedName>
    <definedName name="DeliveryPC.1">'Inputs - ODI 1'!$L$106:$U$106</definedName>
    <definedName name="DeliveryPC.2">'Inputs - ODI 2'!$L$106:$U$106</definedName>
    <definedName name="DeliveryYear.List">Lists!$E$24:$E$29</definedName>
    <definedName name="EarlyDel.Flag.1">'Inputs - ODI 1'!$G$133</definedName>
    <definedName name="EarlyDel.Flag.2">'Inputs - ODI 2'!$G$133</definedName>
    <definedName name="EarlyDel.Reward.1">'Inputs - ODI 1'!$G$134</definedName>
    <definedName name="EarlyDel.Reward.2">'Inputs - ODI 2'!$G$134</definedName>
    <definedName name="EarlyOnTimeDel.Flag.1">'Inputs - ODI 1'!$G$140</definedName>
    <definedName name="EarlyOnTimeDel.Flag.2">'Inputs - ODI 2'!$G$140</definedName>
    <definedName name="Incentive.Type.1">'Inputs - ODI 1'!$H$11</definedName>
    <definedName name="Incentive.Type.2">'Inputs - ODI 2'!$H$11</definedName>
    <definedName name="Indexation.Average">RPI!$I$49:$U$49</definedName>
    <definedName name="Indexation.Average.Override">RPI!$I$48:$U$48</definedName>
    <definedName name="Indexation.Check">RPI!$I$26:$U$26</definedName>
    <definedName name="Indexation.November">RPI!$I$45:$U$45</definedName>
    <definedName name="Indexation.November.Override">RPI!$I$44:$U$44</definedName>
    <definedName name="Inflation.Yearly.Average">RPI!$I$51:$U$51</definedName>
    <definedName name="Net.Adj.Inperiod">'In period ODIs'!$L$53:$U$53</definedName>
    <definedName name="Net.Debt">'General inputs'!$L$15:$U$15</definedName>
    <definedName name="Net.Reward.BespokePC.1">'Calcs - ODI 1'!$L$86:$U$86</definedName>
    <definedName name="Net.Reward.BespokePC.2">'Calcs - ODI 2'!$L$86:$U$86</definedName>
    <definedName name="Net.Reward.DelPC.1">'Calcs - ODI 1'!$L$70:$U$70</definedName>
    <definedName name="Net.Reward.DelPC.2">'Calcs - ODI 2'!$L$70:$U$70</definedName>
    <definedName name="Net.Reward.NumPC.1">'Calcs - ODI 1'!$L$33:$U$33</definedName>
    <definedName name="Net.Reward.NumPC.2">'Calcs - ODI 2'!$L$33:$U$33</definedName>
    <definedName name="NetPenalty.Applied.1">'Inputs - ODI 1'!$H$16</definedName>
    <definedName name="NetPenalty.Applied.2">'Inputs - ODI 2'!$H$16</definedName>
    <definedName name="NetReward.Applied.1">'Inputs - ODI 1'!$H$15</definedName>
    <definedName name="NetReward.Applied.2">'Inputs - ODI 2'!$H$15</definedName>
    <definedName name="NonDel.Flag.1">'Inputs - ODI 1'!$G$123</definedName>
    <definedName name="NonDel.Flag.2">'Inputs - ODI 2'!$G$123</definedName>
    <definedName name="NonDel.Penalty.1">'Inputs - ODI 1'!$G$124</definedName>
    <definedName name="NonDel.Penalty.2">'Inputs - ODI 2'!$G$124</definedName>
    <definedName name="Numeric.Flag.1">'Inputs - ODI 1'!$G$24</definedName>
    <definedName name="Numeric.Flag.2">'Inputs - ODI 2'!$G$24</definedName>
    <definedName name="ODI.AggCap.Flag.1">'Inputs - ODI 1'!$G$18</definedName>
    <definedName name="ODI.AggCap.Flag.2">'Inputs - ODI 2'!$G$18</definedName>
    <definedName name="ODI.Type.List">Lists!$E$15:$E$17</definedName>
    <definedName name="OnTimeDel.Flag.1">'Inputs - ODI 1'!$G$136</definedName>
    <definedName name="OnTimeDel.Flag.2">'Inputs - ODI 2'!$G$136</definedName>
    <definedName name="OnTimeDel.Reward.1">'Inputs - ODI 1'!$G$137</definedName>
    <definedName name="OnTimeDel.Reward.2">'Inputs - ODI 2'!$G$137</definedName>
    <definedName name="PC.1">'Inputs - ODI 1'!$L$27:$U$27</definedName>
    <definedName name="PC.2">'Inputs - ODI 2'!$L$27:$U$27</definedName>
    <definedName name="Penalty.Collar.1">'Inputs - ODI 1'!$L$44:$U$44</definedName>
    <definedName name="Penalty.Collar.2">'Inputs - ODI 2'!$L$44:$U$44</definedName>
    <definedName name="Penalty.Deadband.1">'Inputs - ODI 1'!$L$45:$U$45</definedName>
    <definedName name="Penalty.Deadband.2">'Inputs - ODI 2'!$L$45:$U$45</definedName>
    <definedName name="Penalty.Limits.Flag.1">'Inputs - ODI 1'!$G$53</definedName>
    <definedName name="Penalty.Limits.Flag.2">'Inputs - ODI 2'!$G$53</definedName>
    <definedName name="Penalty1.Lower.1">'Inputs - ODI 1'!$L$54:$U$54</definedName>
    <definedName name="Penalty1.Lower.2">'Inputs - ODI 2'!$L$54:$U$54</definedName>
    <definedName name="Penalty1.Rate.1">'Inputs - ODI 1'!$L$51:$U$51</definedName>
    <definedName name="Penalty1.Rate.2">'Inputs - ODI 2'!$L$51:$U$51</definedName>
    <definedName name="Penalty1.Upper.1">'Inputs - ODI 1'!$L$55:$U$55</definedName>
    <definedName name="Penalty1.Upper.2">'Inputs - ODI 2'!$L$55:$U$55</definedName>
    <definedName name="Penalty1.Year.Flag.1">'Inputs - ODI 1'!$L$50:$U$50</definedName>
    <definedName name="Penalty1.Year.Flag.2">'Inputs - ODI 2'!$L$50:$P$50</definedName>
    <definedName name="Penalty1.Year.Flag2">'Inputs - ODI 2'!$L$50:$U$50</definedName>
    <definedName name="Penalty2.Lower.1">'Inputs - ODI 1'!$L$66:$U$66</definedName>
    <definedName name="Penalty2.Lower.2">'Inputs - ODI 2'!$L$66:$U$66</definedName>
    <definedName name="Penalty2.Rate.1">'Inputs - ODI 1'!$L$63:$U$63</definedName>
    <definedName name="Penalty2.Rate.2">'Inputs - ODI 2'!$L$63:$U$63</definedName>
    <definedName name="Penalty2.Upper.1">'Inputs - ODI 1'!$L$67:$U$67</definedName>
    <definedName name="Penalty2.Upper.2">'Inputs - ODI 2'!$L$67:$U$67</definedName>
    <definedName name="Penalty2.Year.Flag.1">'Inputs - ODI 1'!$L$62:$P$62</definedName>
    <definedName name="Penalty2.Year.Flag.2">'Inputs - ODI 2'!$L$62:$P$62</definedName>
    <definedName name="Penalty2.Year.Flag1">'Inputs - ODI 1'!$L$62:$U$62</definedName>
    <definedName name="Penalty2.Year.Flag2">'Inputs - ODI 2'!$L$62:$U$62</definedName>
    <definedName name="Performance.1">'Inputs - ODI 1'!$L$33:$U$33</definedName>
    <definedName name="Performance.2">'Inputs - ODI 2'!$L$33:$U$33</definedName>
    <definedName name="Performance.List">Lists!$E$20:$E$21</definedName>
    <definedName name="_xlnm.Print_Area" localSheetId="14">RPI!$A$1:$V$51</definedName>
    <definedName name="Regulated.Equity">'General inputs'!$L$18:$U$18</definedName>
    <definedName name="Reward.Cap.1">'Inputs - ODI 1'!$L$75:$U$75</definedName>
    <definedName name="Reward.Cap.2">'Inputs - ODI 2'!$L$75:$U$75</definedName>
    <definedName name="Reward.Deadband.1">'Inputs - ODI 1'!$L$74:$U$74</definedName>
    <definedName name="Reward.Deadband.2">'Inputs - ODI 2'!$L$74:$U$74</definedName>
    <definedName name="Reward.Limits.Flag.1">'Inputs - ODI 1'!$G$83</definedName>
    <definedName name="Reward.Limits.Flag.2">'Inputs - ODI 2'!$G$83</definedName>
    <definedName name="Reward.Orientation.1">'Inputs - ODI 1'!$G$39</definedName>
    <definedName name="Reward.Orientation.2">'Inputs - ODI 2'!$G$39</definedName>
    <definedName name="Reward.RCV.Out">'End of period ODIs'!$G$89</definedName>
    <definedName name="Reward.Rev.Out">'End of period ODIs'!$G$87</definedName>
    <definedName name="Reward1.Lower.1">'Inputs - ODI 1'!$L$84:$U$84</definedName>
    <definedName name="Reward1.Lower.2">'Inputs - ODI 2'!$L$84:$U$84</definedName>
    <definedName name="Reward1.Rate.1">'Inputs - ODI 1'!$L$81:$U$81</definedName>
    <definedName name="Reward1.Rate.2">'Inputs - ODI 2'!$L$81:$U$81</definedName>
    <definedName name="Reward1.Upper.1">'Inputs - ODI 1'!$L$85:$U$85</definedName>
    <definedName name="Reward1.Upper.2">'Inputs - ODI 2'!$L$85:$U$85</definedName>
    <definedName name="Reward1.Year.Flag.1">'Inputs - ODI 1'!$L$80:$U$80</definedName>
    <definedName name="Reward1.Year.Flag.2">'Inputs - ODI 2'!$L$80:$U$80</definedName>
    <definedName name="Reward2.Lower.1">'Inputs - ODI 1'!$L$96:$U$96</definedName>
    <definedName name="Reward2.Lower.2">'Inputs - ODI 2'!$L$96:$U$96</definedName>
    <definedName name="Reward2.Rate.1">'Inputs - ODI 1'!$L$93:$U$93</definedName>
    <definedName name="Reward2.Rate.2">'Inputs - ODI 2'!$L$93:$U$93</definedName>
    <definedName name="Reward2.Upper.1">'Inputs - ODI 1'!$L$97:$U$97</definedName>
    <definedName name="Reward2.Upper.2">'Inputs - ODI 2'!$L$97:$U$97</definedName>
    <definedName name="Reward2.Year.Flag.1">'Inputs - ODI 1'!$L$92:$U$92</definedName>
    <definedName name="Reward2.Year.Flag.2">'Inputs - ODI 2'!$L$92:$U$92</definedName>
    <definedName name="Rounding.Num.1">'Inputs - ODI 1'!$G$31</definedName>
    <definedName name="Rounding.Num.2">'Inputs - ODI 2'!$G$31</definedName>
    <definedName name="Uncapped.Penalty.Inperiod">'In period ODIs'!$G$48</definedName>
    <definedName name="Uncapped.Reward.Inperiod">'In period ODIs'!$G$47</definedName>
  </definedNames>
  <calcPr calcId="145621"/>
</workbook>
</file>

<file path=xl/calcChain.xml><?xml version="1.0" encoding="utf-8"?>
<calcChain xmlns="http://schemas.openxmlformats.org/spreadsheetml/2006/main">
  <c r="G23" i="6" l="1"/>
  <c r="V74" i="1" l="1"/>
  <c r="H11" i="11" l="1"/>
  <c r="I11" i="11"/>
  <c r="H13" i="11"/>
  <c r="I13" i="11"/>
  <c r="H15" i="11"/>
  <c r="I15" i="11"/>
  <c r="H16" i="11"/>
  <c r="I16" i="11"/>
  <c r="H18" i="11"/>
  <c r="G24" i="11"/>
  <c r="H24" i="11"/>
  <c r="H31" i="11"/>
  <c r="L33" i="11"/>
  <c r="M33" i="11"/>
  <c r="N33" i="11"/>
  <c r="O33" i="11"/>
  <c r="P33" i="11"/>
  <c r="H39" i="11"/>
  <c r="L47" i="11"/>
  <c r="M47" i="11"/>
  <c r="N47" i="11"/>
  <c r="O47" i="11"/>
  <c r="P47" i="11"/>
  <c r="H53" i="11"/>
  <c r="L57" i="11"/>
  <c r="M57" i="11"/>
  <c r="N57" i="11"/>
  <c r="O57" i="11"/>
  <c r="P57" i="11"/>
  <c r="G65" i="11"/>
  <c r="L69" i="11"/>
  <c r="M69" i="11"/>
  <c r="N69" i="11"/>
  <c r="O69" i="11"/>
  <c r="P69" i="11"/>
  <c r="L77" i="11"/>
  <c r="M77" i="11"/>
  <c r="N77" i="11"/>
  <c r="O77" i="11"/>
  <c r="P77" i="11"/>
  <c r="H83" i="11"/>
  <c r="L87" i="11"/>
  <c r="M87" i="11"/>
  <c r="N87" i="11"/>
  <c r="O87" i="11"/>
  <c r="P87" i="11"/>
  <c r="G95" i="11"/>
  <c r="L99" i="11"/>
  <c r="M99" i="11"/>
  <c r="N99" i="11"/>
  <c r="O99" i="11"/>
  <c r="P99" i="11"/>
  <c r="V33" i="12" l="1"/>
  <c r="V70" i="12"/>
  <c r="V86" i="12"/>
  <c r="V86" i="5"/>
  <c r="V70" i="5"/>
  <c r="V33" i="5"/>
  <c r="M17" i="6" l="1"/>
  <c r="N17" i="6"/>
  <c r="O17" i="6"/>
  <c r="P17" i="6"/>
  <c r="L17" i="6"/>
  <c r="I40" i="19" l="1"/>
  <c r="J40" i="19" s="1"/>
  <c r="K40" i="19" s="1"/>
  <c r="L40" i="19" s="1"/>
  <c r="M40" i="19" s="1"/>
  <c r="N40" i="19" s="1"/>
  <c r="O40" i="19" s="1"/>
  <c r="P40" i="19" s="1"/>
  <c r="Q40" i="19" s="1"/>
  <c r="R40" i="19" s="1"/>
  <c r="S40" i="19" s="1"/>
  <c r="T40" i="19" s="1"/>
  <c r="U40" i="19" s="1"/>
  <c r="I39" i="19"/>
  <c r="J39" i="19" s="1"/>
  <c r="K39" i="19" s="1"/>
  <c r="L39" i="19" s="1"/>
  <c r="M39" i="19" s="1"/>
  <c r="N39" i="19" s="1"/>
  <c r="O39" i="19" s="1"/>
  <c r="P39" i="19" s="1"/>
  <c r="Q39" i="19" s="1"/>
  <c r="R39" i="19" s="1"/>
  <c r="S39" i="19" s="1"/>
  <c r="T39" i="19" s="1"/>
  <c r="U39" i="19" s="1"/>
  <c r="I38" i="19"/>
  <c r="J38" i="19" s="1"/>
  <c r="K38" i="19" s="1"/>
  <c r="L38" i="19" s="1"/>
  <c r="M38" i="19" s="1"/>
  <c r="N38" i="19" s="1"/>
  <c r="O38" i="19" s="1"/>
  <c r="P38" i="19" s="1"/>
  <c r="Q38" i="19" s="1"/>
  <c r="R38" i="19" s="1"/>
  <c r="S38" i="19" s="1"/>
  <c r="T38" i="19" s="1"/>
  <c r="U38" i="19" s="1"/>
  <c r="I37" i="19"/>
  <c r="J37" i="19" s="1"/>
  <c r="K37" i="19" s="1"/>
  <c r="L37" i="19" s="1"/>
  <c r="M37" i="19" s="1"/>
  <c r="N37" i="19" s="1"/>
  <c r="O37" i="19" s="1"/>
  <c r="P37" i="19" s="1"/>
  <c r="Q37" i="19" s="1"/>
  <c r="R37" i="19" s="1"/>
  <c r="S37" i="19" s="1"/>
  <c r="T37" i="19" s="1"/>
  <c r="U37" i="19" s="1"/>
  <c r="I36" i="19"/>
  <c r="J36" i="19" s="1"/>
  <c r="K36" i="19" s="1"/>
  <c r="L36" i="19" s="1"/>
  <c r="M36" i="19" s="1"/>
  <c r="N36" i="19" s="1"/>
  <c r="O36" i="19" s="1"/>
  <c r="P36" i="19" s="1"/>
  <c r="Q36" i="19" s="1"/>
  <c r="R36" i="19" s="1"/>
  <c r="S36" i="19" s="1"/>
  <c r="T36" i="19" s="1"/>
  <c r="U36" i="19" s="1"/>
  <c r="H36" i="19"/>
  <c r="I35" i="19"/>
  <c r="J35" i="19" s="1"/>
  <c r="K35" i="19" s="1"/>
  <c r="L35" i="19" s="1"/>
  <c r="M35" i="19" s="1"/>
  <c r="N35" i="19" s="1"/>
  <c r="O35" i="19" s="1"/>
  <c r="P35" i="19" s="1"/>
  <c r="Q35" i="19" s="1"/>
  <c r="R35" i="19" s="1"/>
  <c r="S35" i="19" s="1"/>
  <c r="T35" i="19" s="1"/>
  <c r="U35" i="19" s="1"/>
  <c r="J34" i="19"/>
  <c r="K34" i="19" s="1"/>
  <c r="L34" i="19" s="1"/>
  <c r="M34" i="19" s="1"/>
  <c r="N34" i="19" s="1"/>
  <c r="O34" i="19" s="1"/>
  <c r="P34" i="19" s="1"/>
  <c r="Q34" i="19" s="1"/>
  <c r="R34" i="19" s="1"/>
  <c r="S34" i="19" s="1"/>
  <c r="T34" i="19" s="1"/>
  <c r="U34" i="19" s="1"/>
  <c r="I34" i="19"/>
  <c r="I33" i="19"/>
  <c r="J33" i="19" s="1"/>
  <c r="K33" i="19" s="1"/>
  <c r="L33" i="19" s="1"/>
  <c r="M33" i="19" s="1"/>
  <c r="N33" i="19" s="1"/>
  <c r="O33" i="19" s="1"/>
  <c r="P33" i="19" s="1"/>
  <c r="Q33" i="19" s="1"/>
  <c r="R33" i="19" s="1"/>
  <c r="S33" i="19" s="1"/>
  <c r="T33" i="19" s="1"/>
  <c r="U33" i="19" s="1"/>
  <c r="I32" i="19"/>
  <c r="J32" i="19" s="1"/>
  <c r="K32" i="19" s="1"/>
  <c r="L32" i="19" s="1"/>
  <c r="M32" i="19" s="1"/>
  <c r="N32" i="19" s="1"/>
  <c r="O32" i="19" s="1"/>
  <c r="P32" i="19" s="1"/>
  <c r="Q32" i="19" s="1"/>
  <c r="R32" i="19" s="1"/>
  <c r="S32" i="19" s="1"/>
  <c r="T32" i="19" s="1"/>
  <c r="U32" i="19" s="1"/>
  <c r="I31" i="19"/>
  <c r="J31" i="19" s="1"/>
  <c r="K31" i="19" s="1"/>
  <c r="L31" i="19" s="1"/>
  <c r="M31" i="19" s="1"/>
  <c r="N31" i="19" s="1"/>
  <c r="O31" i="19" s="1"/>
  <c r="P31" i="19" s="1"/>
  <c r="Q31" i="19" s="1"/>
  <c r="R31" i="19" s="1"/>
  <c r="S31" i="19" s="1"/>
  <c r="T31" i="19" s="1"/>
  <c r="U31" i="19" s="1"/>
  <c r="I30" i="19"/>
  <c r="J30" i="19" s="1"/>
  <c r="J29" i="19"/>
  <c r="K29" i="19" s="1"/>
  <c r="I29" i="19"/>
  <c r="U5" i="19"/>
  <c r="T5" i="19"/>
  <c r="S5" i="19"/>
  <c r="R5" i="19"/>
  <c r="Q5" i="19"/>
  <c r="P5" i="19"/>
  <c r="O5" i="19"/>
  <c r="N5" i="19"/>
  <c r="M5" i="19"/>
  <c r="L5" i="19"/>
  <c r="K5" i="19"/>
  <c r="J5" i="19"/>
  <c r="I5" i="19"/>
  <c r="U3" i="19"/>
  <c r="T3" i="19"/>
  <c r="S3" i="19"/>
  <c r="R3" i="19"/>
  <c r="Q3" i="19"/>
  <c r="P3" i="19"/>
  <c r="O3" i="19"/>
  <c r="N3" i="19"/>
  <c r="M3" i="19"/>
  <c r="L3" i="19"/>
  <c r="K3" i="19"/>
  <c r="J3" i="19"/>
  <c r="I3" i="19"/>
  <c r="I41" i="19" l="1"/>
  <c r="M45" i="19"/>
  <c r="U45" i="19"/>
  <c r="N45" i="19"/>
  <c r="I45" i="19"/>
  <c r="P45" i="19"/>
  <c r="O45" i="19"/>
  <c r="L45" i="19"/>
  <c r="Q45" i="19"/>
  <c r="R45" i="19"/>
  <c r="J45" i="19"/>
  <c r="K45" i="19"/>
  <c r="S45" i="19"/>
  <c r="T45" i="19"/>
  <c r="I49" i="19"/>
  <c r="J41" i="19"/>
  <c r="J49" i="19" s="1"/>
  <c r="K30" i="19"/>
  <c r="L30" i="19" s="1"/>
  <c r="M30" i="19" s="1"/>
  <c r="N30" i="19" s="1"/>
  <c r="O30" i="19" s="1"/>
  <c r="P30" i="19" s="1"/>
  <c r="Q30" i="19" s="1"/>
  <c r="R30" i="19" s="1"/>
  <c r="S30" i="19" s="1"/>
  <c r="T30" i="19" s="1"/>
  <c r="U30" i="19" s="1"/>
  <c r="L29" i="19"/>
  <c r="K41" i="19" l="1"/>
  <c r="K49" i="19" s="1"/>
  <c r="K51" i="19" s="1"/>
  <c r="J51" i="19"/>
  <c r="L41" i="19"/>
  <c r="L49" i="19" s="1"/>
  <c r="L51" i="19" s="1"/>
  <c r="M29" i="19"/>
  <c r="L18" i="6" l="1"/>
  <c r="M41" i="19"/>
  <c r="M49" i="19" s="1"/>
  <c r="N29" i="19"/>
  <c r="M18" i="6" l="1"/>
  <c r="M51" i="19"/>
  <c r="N41" i="19"/>
  <c r="N49" i="19" s="1"/>
  <c r="O29" i="19"/>
  <c r="N18" i="6" l="1"/>
  <c r="N51" i="19"/>
  <c r="O41" i="19"/>
  <c r="O49" i="19" s="1"/>
  <c r="P29" i="19"/>
  <c r="O18" i="6" l="1"/>
  <c r="O51" i="19"/>
  <c r="P41" i="19"/>
  <c r="P49" i="19" s="1"/>
  <c r="Q29" i="19"/>
  <c r="P18" i="6" l="1"/>
  <c r="P51" i="19"/>
  <c r="Q41" i="19"/>
  <c r="Q49" i="19" s="1"/>
  <c r="R29" i="19"/>
  <c r="Q51" i="19" l="1"/>
  <c r="S29" i="19"/>
  <c r="R41" i="19"/>
  <c r="R49" i="19" s="1"/>
  <c r="R51" i="19" l="1"/>
  <c r="S41" i="19"/>
  <c r="S49" i="19" s="1"/>
  <c r="T29" i="19"/>
  <c r="S51" i="19" l="1"/>
  <c r="T41" i="19"/>
  <c r="T49" i="19" s="1"/>
  <c r="U29" i="19"/>
  <c r="U41" i="19" s="1"/>
  <c r="U49" i="19" s="1"/>
  <c r="U51" i="19" l="1"/>
  <c r="T51" i="19"/>
  <c r="L57" i="1"/>
  <c r="M57" i="1"/>
  <c r="N57" i="1"/>
  <c r="O57" i="1"/>
  <c r="P113" i="11" l="1"/>
  <c r="O113" i="11"/>
  <c r="N113" i="11"/>
  <c r="M113" i="11"/>
  <c r="L113" i="11"/>
  <c r="P110" i="11"/>
  <c r="O110" i="11"/>
  <c r="N110" i="11"/>
  <c r="M110" i="11"/>
  <c r="L110" i="11"/>
  <c r="P109" i="11"/>
  <c r="O109" i="11"/>
  <c r="N109" i="11"/>
  <c r="M109" i="11"/>
  <c r="L109" i="11"/>
  <c r="P113" i="1"/>
  <c r="O113" i="1"/>
  <c r="N113" i="1"/>
  <c r="M113" i="1"/>
  <c r="L113" i="1"/>
  <c r="P110" i="1"/>
  <c r="O110" i="1"/>
  <c r="N110" i="1"/>
  <c r="M110" i="1"/>
  <c r="L110" i="1"/>
  <c r="P109" i="1"/>
  <c r="O109" i="1"/>
  <c r="N109" i="1"/>
  <c r="M109" i="1"/>
  <c r="L109" i="1"/>
  <c r="P106" i="11"/>
  <c r="O106" i="11"/>
  <c r="N106" i="11"/>
  <c r="M106" i="11"/>
  <c r="L106" i="11"/>
  <c r="M106" i="1"/>
  <c r="N106" i="1"/>
  <c r="O106" i="1"/>
  <c r="P106" i="1"/>
  <c r="L106" i="1"/>
  <c r="M82" i="12"/>
  <c r="N82" i="12"/>
  <c r="O82" i="12"/>
  <c r="P82" i="12"/>
  <c r="L82" i="12"/>
  <c r="M82" i="5"/>
  <c r="N82" i="5"/>
  <c r="O82" i="5"/>
  <c r="P82" i="5"/>
  <c r="L82" i="5"/>
  <c r="M77" i="12"/>
  <c r="N77" i="12"/>
  <c r="O77" i="12"/>
  <c r="P77" i="12"/>
  <c r="L77" i="12"/>
  <c r="M77" i="5"/>
  <c r="N77" i="5"/>
  <c r="O77" i="5"/>
  <c r="P77" i="5"/>
  <c r="L77" i="5"/>
  <c r="M77" i="1" l="1"/>
  <c r="N77" i="1"/>
  <c r="O77" i="1"/>
  <c r="P77" i="1"/>
  <c r="L77" i="1"/>
  <c r="M47" i="1"/>
  <c r="N47" i="1"/>
  <c r="O47" i="1"/>
  <c r="P47" i="1"/>
  <c r="L47" i="1"/>
  <c r="M87" i="1" l="1"/>
  <c r="N87" i="1"/>
  <c r="O87" i="1"/>
  <c r="P87" i="1"/>
  <c r="M99" i="1"/>
  <c r="N99" i="1"/>
  <c r="O99" i="1"/>
  <c r="P99" i="1"/>
  <c r="L99" i="1"/>
  <c r="L87" i="1"/>
  <c r="M69" i="1"/>
  <c r="N69" i="1"/>
  <c r="O69" i="1"/>
  <c r="P69" i="1"/>
  <c r="L69" i="1"/>
  <c r="P57" i="1"/>
  <c r="G20" i="16" l="1"/>
  <c r="G19" i="16"/>
  <c r="G18" i="9"/>
  <c r="G17" i="9"/>
  <c r="H39" i="1"/>
  <c r="H18" i="1"/>
  <c r="G30" i="5"/>
  <c r="G26" i="5"/>
  <c r="G21" i="5"/>
  <c r="G17" i="5"/>
  <c r="G13" i="5"/>
  <c r="G95" i="1"/>
  <c r="G65" i="1"/>
  <c r="P33" i="1"/>
  <c r="O33" i="1"/>
  <c r="N33" i="1"/>
  <c r="M33" i="1"/>
  <c r="L33" i="1"/>
  <c r="G140" i="1"/>
  <c r="G127" i="1"/>
  <c r="U5" i="18" l="1"/>
  <c r="T5" i="18"/>
  <c r="S5" i="18"/>
  <c r="R5" i="18"/>
  <c r="Q5" i="18"/>
  <c r="P5" i="18"/>
  <c r="O5" i="18"/>
  <c r="N5" i="18"/>
  <c r="M5" i="18"/>
  <c r="L5" i="18"/>
  <c r="K5" i="18"/>
  <c r="J5" i="18"/>
  <c r="I5" i="18"/>
  <c r="U3" i="18"/>
  <c r="T3" i="18"/>
  <c r="S3" i="18"/>
  <c r="R3" i="18"/>
  <c r="Q3" i="18"/>
  <c r="P3" i="18"/>
  <c r="O3" i="18"/>
  <c r="N3" i="18"/>
  <c r="M3" i="18"/>
  <c r="L3" i="18"/>
  <c r="K3" i="18"/>
  <c r="J3" i="18"/>
  <c r="I3" i="18"/>
  <c r="G30" i="12"/>
  <c r="G26" i="12"/>
  <c r="G21" i="12"/>
  <c r="G17" i="12"/>
  <c r="V50" i="1"/>
  <c r="V80" i="11"/>
  <c r="V80" i="1"/>
  <c r="H83" i="1"/>
  <c r="H53" i="1"/>
  <c r="G13" i="12" l="1"/>
  <c r="V75" i="11"/>
  <c r="V74" i="11"/>
  <c r="V45" i="11"/>
  <c r="V44" i="11"/>
  <c r="V75" i="1"/>
  <c r="V45" i="1"/>
  <c r="V44" i="1"/>
  <c r="V33" i="11" l="1"/>
  <c r="H31" i="1"/>
  <c r="U5" i="16" l="1"/>
  <c r="T5" i="16"/>
  <c r="S5" i="16"/>
  <c r="R5" i="16"/>
  <c r="Q5" i="16"/>
  <c r="P5" i="16"/>
  <c r="O5" i="16"/>
  <c r="N5" i="16"/>
  <c r="M5" i="16"/>
  <c r="L5" i="16"/>
  <c r="K5" i="16"/>
  <c r="J5" i="16"/>
  <c r="I5" i="16"/>
  <c r="U3" i="16"/>
  <c r="T3" i="16"/>
  <c r="S3" i="16"/>
  <c r="R3" i="16"/>
  <c r="Q3" i="16"/>
  <c r="P3" i="16"/>
  <c r="O3" i="16"/>
  <c r="N3" i="16"/>
  <c r="M3" i="16"/>
  <c r="L3" i="16"/>
  <c r="K3" i="16"/>
  <c r="J3" i="16"/>
  <c r="I3" i="16"/>
  <c r="H10" i="6"/>
  <c r="G24" i="6" s="1"/>
  <c r="G140" i="11" l="1"/>
  <c r="G127" i="11"/>
  <c r="U5" i="12"/>
  <c r="T5" i="12"/>
  <c r="S5" i="12"/>
  <c r="R5" i="12"/>
  <c r="Q5" i="12"/>
  <c r="P5" i="12"/>
  <c r="O5" i="12"/>
  <c r="N5" i="12"/>
  <c r="M5" i="12"/>
  <c r="L5" i="12"/>
  <c r="K5" i="12"/>
  <c r="J5" i="12"/>
  <c r="I5" i="12"/>
  <c r="U3" i="12"/>
  <c r="T3" i="12"/>
  <c r="S3" i="12"/>
  <c r="R3" i="12"/>
  <c r="Q3" i="12"/>
  <c r="P3" i="12"/>
  <c r="O3" i="12"/>
  <c r="N3" i="12"/>
  <c r="M3" i="12"/>
  <c r="L3" i="12"/>
  <c r="K3" i="12"/>
  <c r="J3" i="12"/>
  <c r="I3" i="12"/>
  <c r="V153" i="11"/>
  <c r="V152" i="11"/>
  <c r="V149" i="11"/>
  <c r="H146" i="11"/>
  <c r="G146" i="11"/>
  <c r="G74" i="12" s="1"/>
  <c r="H140" i="11"/>
  <c r="H137" i="11"/>
  <c r="H136" i="11"/>
  <c r="H134" i="11"/>
  <c r="H133" i="11"/>
  <c r="H127" i="11"/>
  <c r="H124" i="11"/>
  <c r="H123" i="11"/>
  <c r="H121" i="11"/>
  <c r="H120" i="11"/>
  <c r="H114" i="11"/>
  <c r="V113" i="11"/>
  <c r="X110" i="11"/>
  <c r="V110" i="11"/>
  <c r="X109" i="11"/>
  <c r="V109" i="11"/>
  <c r="X106" i="11"/>
  <c r="V106" i="11"/>
  <c r="H103" i="11"/>
  <c r="G103" i="11"/>
  <c r="G37" i="12" s="1"/>
  <c r="V97" i="11"/>
  <c r="V96" i="11"/>
  <c r="V93" i="11"/>
  <c r="V92" i="11"/>
  <c r="V85" i="11"/>
  <c r="V84" i="11"/>
  <c r="V81" i="11"/>
  <c r="V67" i="11"/>
  <c r="V66" i="11"/>
  <c r="V63" i="11"/>
  <c r="V62" i="11"/>
  <c r="V55" i="11"/>
  <c r="V54" i="11"/>
  <c r="V51" i="11"/>
  <c r="V50" i="11"/>
  <c r="V27" i="11"/>
  <c r="G10" i="12"/>
  <c r="U5" i="11"/>
  <c r="T5" i="11"/>
  <c r="S5" i="11"/>
  <c r="R5" i="11"/>
  <c r="Q5" i="11"/>
  <c r="P5" i="11"/>
  <c r="O5" i="11"/>
  <c r="N5" i="11"/>
  <c r="M5" i="11"/>
  <c r="L5" i="11"/>
  <c r="K5" i="11"/>
  <c r="J5" i="11"/>
  <c r="I5" i="11"/>
  <c r="U3" i="11"/>
  <c r="T3" i="11"/>
  <c r="S3" i="11"/>
  <c r="R3" i="11"/>
  <c r="Q3" i="11"/>
  <c r="P3" i="11"/>
  <c r="O3" i="11"/>
  <c r="N3" i="11"/>
  <c r="M3" i="11"/>
  <c r="L3" i="11"/>
  <c r="K3" i="11"/>
  <c r="J3" i="11"/>
  <c r="I3" i="11"/>
  <c r="I13" i="1"/>
  <c r="H13" i="1"/>
  <c r="X106" i="1"/>
  <c r="V92" i="1"/>
  <c r="H145" i="1"/>
  <c r="H140" i="1"/>
  <c r="H137" i="1"/>
  <c r="H136" i="1"/>
  <c r="H134" i="1"/>
  <c r="H133" i="1"/>
  <c r="H127" i="1"/>
  <c r="H124" i="1"/>
  <c r="H123" i="1"/>
  <c r="H121" i="1"/>
  <c r="H120" i="1"/>
  <c r="H114" i="1"/>
  <c r="H103" i="1"/>
  <c r="H24" i="1"/>
  <c r="X110" i="1"/>
  <c r="X109" i="1"/>
  <c r="V110" i="1"/>
  <c r="V109" i="1"/>
  <c r="I16" i="1"/>
  <c r="I15" i="1"/>
  <c r="I11" i="1"/>
  <c r="U5" i="9"/>
  <c r="T5" i="9"/>
  <c r="S5" i="9"/>
  <c r="R5" i="9"/>
  <c r="Q5" i="9"/>
  <c r="P5" i="9"/>
  <c r="O5" i="9"/>
  <c r="N5" i="9"/>
  <c r="M5" i="9"/>
  <c r="L5" i="9"/>
  <c r="K5" i="9"/>
  <c r="J5" i="9"/>
  <c r="I5" i="9"/>
  <c r="U3" i="9"/>
  <c r="T3" i="9"/>
  <c r="S3" i="9"/>
  <c r="R3" i="9"/>
  <c r="Q3" i="9"/>
  <c r="P3" i="9"/>
  <c r="O3" i="9"/>
  <c r="N3" i="9"/>
  <c r="M3" i="9"/>
  <c r="L3" i="9"/>
  <c r="K3" i="9"/>
  <c r="J3" i="9"/>
  <c r="I3" i="9"/>
  <c r="H11" i="1"/>
  <c r="V152" i="1"/>
  <c r="V151" i="1"/>
  <c r="V148" i="1"/>
  <c r="V106" i="1"/>
  <c r="V113" i="1"/>
  <c r="M27" i="12" l="1"/>
  <c r="N27" i="12"/>
  <c r="N22" i="12"/>
  <c r="M31" i="12"/>
  <c r="P22" i="12"/>
  <c r="N31" i="12"/>
  <c r="O31" i="12"/>
  <c r="N18" i="12"/>
  <c r="O22" i="12"/>
  <c r="P27" i="12"/>
  <c r="O27" i="12"/>
  <c r="P31" i="12"/>
  <c r="O18" i="12"/>
  <c r="P18" i="12"/>
  <c r="M22" i="12"/>
  <c r="M18" i="12"/>
  <c r="L31" i="12"/>
  <c r="L22" i="12"/>
  <c r="L18" i="12"/>
  <c r="L27" i="12"/>
  <c r="N84" i="12"/>
  <c r="M79" i="12"/>
  <c r="N79" i="12"/>
  <c r="P79" i="12"/>
  <c r="O79" i="12"/>
  <c r="P84" i="12"/>
  <c r="L84" i="12"/>
  <c r="L79" i="12"/>
  <c r="M84" i="12"/>
  <c r="O84" i="12"/>
  <c r="W109" i="1"/>
  <c r="W110" i="1"/>
  <c r="G114" i="1"/>
  <c r="W106" i="1"/>
  <c r="G12" i="16"/>
  <c r="G14" i="9"/>
  <c r="G15" i="9"/>
  <c r="G13" i="16"/>
  <c r="W106" i="11"/>
  <c r="W110" i="11"/>
  <c r="G114" i="11"/>
  <c r="G64" i="12" s="1"/>
  <c r="W109" i="11"/>
  <c r="V67" i="1"/>
  <c r="V66" i="1"/>
  <c r="L86" i="12" l="1"/>
  <c r="M33" i="12"/>
  <c r="N86" i="12"/>
  <c r="L33" i="12"/>
  <c r="P86" i="12"/>
  <c r="O86" i="12"/>
  <c r="M86" i="12"/>
  <c r="O33" i="12"/>
  <c r="N33" i="12"/>
  <c r="P33" i="12"/>
  <c r="M65" i="12"/>
  <c r="M66" i="12" s="1"/>
  <c r="G64" i="5"/>
  <c r="P65" i="5" s="1"/>
  <c r="O60" i="5"/>
  <c r="L60" i="5"/>
  <c r="P60" i="5"/>
  <c r="N60" i="5"/>
  <c r="M60" i="5"/>
  <c r="M57" i="5"/>
  <c r="M58" i="5" s="1"/>
  <c r="M40" i="5"/>
  <c r="O57" i="5"/>
  <c r="O58" i="5" s="1"/>
  <c r="L40" i="5"/>
  <c r="N57" i="5"/>
  <c r="N58" i="5" s="1"/>
  <c r="P40" i="5"/>
  <c r="N40" i="5"/>
  <c r="P57" i="5"/>
  <c r="P58" i="5" s="1"/>
  <c r="G50" i="5"/>
  <c r="L57" i="5"/>
  <c r="L58" i="5" s="1"/>
  <c r="O40" i="5"/>
  <c r="G45" i="5"/>
  <c r="G46" i="5" s="1"/>
  <c r="O65" i="12"/>
  <c r="O66" i="12" s="1"/>
  <c r="P65" i="12"/>
  <c r="P66" i="12" s="1"/>
  <c r="O57" i="12"/>
  <c r="O58" i="12" s="1"/>
  <c r="P40" i="12"/>
  <c r="N60" i="12"/>
  <c r="N57" i="12"/>
  <c r="N58" i="12" s="1"/>
  <c r="P60" i="12"/>
  <c r="G45" i="12"/>
  <c r="G46" i="12" s="1"/>
  <c r="N65" i="12"/>
  <c r="N66" i="12" s="1"/>
  <c r="M40" i="12"/>
  <c r="M57" i="12"/>
  <c r="M58" i="12" s="1"/>
  <c r="O40" i="12"/>
  <c r="N40" i="12"/>
  <c r="L57" i="12"/>
  <c r="L58" i="12" s="1"/>
  <c r="L65" i="12"/>
  <c r="L66" i="12" s="1"/>
  <c r="L40" i="12"/>
  <c r="G50" i="12"/>
  <c r="M51" i="12" s="1"/>
  <c r="M52" i="12" s="1"/>
  <c r="P57" i="12"/>
  <c r="P58" i="12" s="1"/>
  <c r="O60" i="12"/>
  <c r="M60" i="12"/>
  <c r="L60" i="12"/>
  <c r="M62" i="12" l="1"/>
  <c r="M68" i="12" s="1"/>
  <c r="O65" i="5"/>
  <c r="P62" i="12"/>
  <c r="P68" i="12" s="1"/>
  <c r="N62" i="12"/>
  <c r="N68" i="12" s="1"/>
  <c r="O62" i="12"/>
  <c r="O68" i="12" s="1"/>
  <c r="L62" i="12"/>
  <c r="L68" i="12" s="1"/>
  <c r="L65" i="5"/>
  <c r="M65" i="5"/>
  <c r="N65" i="5"/>
  <c r="L51" i="5"/>
  <c r="N51" i="5"/>
  <c r="O51" i="5"/>
  <c r="M51" i="5"/>
  <c r="P51" i="5"/>
  <c r="L51" i="12"/>
  <c r="L52" i="12" s="1"/>
  <c r="N51" i="12"/>
  <c r="N52" i="12" s="1"/>
  <c r="O51" i="12"/>
  <c r="O52" i="12" s="1"/>
  <c r="P51" i="12"/>
  <c r="P52" i="12" s="1"/>
  <c r="V55" i="1" l="1"/>
  <c r="V54" i="1"/>
  <c r="V97" i="1"/>
  <c r="V96" i="1"/>
  <c r="V93" i="1"/>
  <c r="V85" i="1"/>
  <c r="V84" i="1"/>
  <c r="V81" i="1"/>
  <c r="V63" i="1"/>
  <c r="V62" i="1"/>
  <c r="V51" i="1"/>
  <c r="G145" i="1"/>
  <c r="G74" i="5" s="1"/>
  <c r="O79" i="5" l="1"/>
  <c r="L84" i="5"/>
  <c r="P79" i="5"/>
  <c r="M84" i="5"/>
  <c r="L79" i="5"/>
  <c r="N79" i="5"/>
  <c r="M79" i="5"/>
  <c r="P84" i="5"/>
  <c r="O84" i="5"/>
  <c r="N84" i="5"/>
  <c r="G103" i="1"/>
  <c r="G37" i="5" s="1"/>
  <c r="G24" i="1"/>
  <c r="G10" i="5" s="1"/>
  <c r="L18" i="5" s="1"/>
  <c r="P62" i="5" l="1"/>
  <c r="M62" i="5"/>
  <c r="L62" i="5"/>
  <c r="O62" i="5"/>
  <c r="N62" i="5"/>
  <c r="M31" i="5"/>
  <c r="P31" i="5"/>
  <c r="P18" i="5"/>
  <c r="M22" i="5"/>
  <c r="M27" i="5"/>
  <c r="O31" i="5"/>
  <c r="N27" i="5"/>
  <c r="L31" i="5"/>
  <c r="N18" i="5"/>
  <c r="M18" i="5"/>
  <c r="L22" i="5"/>
  <c r="L27" i="5"/>
  <c r="P27" i="5"/>
  <c r="N31" i="5"/>
  <c r="O18" i="5"/>
  <c r="O22" i="5"/>
  <c r="N22" i="5"/>
  <c r="O27" i="5"/>
  <c r="P22" i="5"/>
  <c r="P66" i="5"/>
  <c r="O66" i="5"/>
  <c r="M52" i="5"/>
  <c r="N52" i="5"/>
  <c r="L66" i="5"/>
  <c r="P52" i="5"/>
  <c r="L52" i="5"/>
  <c r="N66" i="5"/>
  <c r="M66" i="5"/>
  <c r="M68" i="5" s="1"/>
  <c r="O52" i="5"/>
  <c r="M86" i="5"/>
  <c r="P86" i="5"/>
  <c r="N86" i="5"/>
  <c r="L86" i="5"/>
  <c r="O86" i="5"/>
  <c r="U5" i="6"/>
  <c r="T5" i="6"/>
  <c r="S5" i="6"/>
  <c r="R5" i="6"/>
  <c r="Q5" i="6"/>
  <c r="P5" i="6"/>
  <c r="O5" i="6"/>
  <c r="N5" i="6"/>
  <c r="M5" i="6"/>
  <c r="L5" i="6"/>
  <c r="K5" i="6"/>
  <c r="J5" i="6"/>
  <c r="I5" i="6"/>
  <c r="U3" i="6"/>
  <c r="T3" i="6"/>
  <c r="S3" i="6"/>
  <c r="R3" i="6"/>
  <c r="Q3" i="6"/>
  <c r="P3" i="6"/>
  <c r="O3" i="6"/>
  <c r="N3" i="6"/>
  <c r="M3" i="6"/>
  <c r="L3" i="6"/>
  <c r="K3" i="6"/>
  <c r="J3" i="6"/>
  <c r="I3" i="6"/>
  <c r="L68" i="5" l="1"/>
  <c r="N68" i="5"/>
  <c r="P68" i="5"/>
  <c r="O68" i="5"/>
  <c r="M33" i="5"/>
  <c r="P33" i="5"/>
  <c r="O33" i="5"/>
  <c r="L33" i="5"/>
  <c r="L16" i="16" s="1"/>
  <c r="N33" i="5"/>
  <c r="U5" i="5"/>
  <c r="T5" i="5"/>
  <c r="S5" i="5"/>
  <c r="R5" i="5"/>
  <c r="Q5" i="5"/>
  <c r="P5" i="5"/>
  <c r="O5" i="5"/>
  <c r="N5" i="5"/>
  <c r="M5" i="5"/>
  <c r="L5" i="5"/>
  <c r="K5" i="5"/>
  <c r="J5" i="5"/>
  <c r="I5" i="5"/>
  <c r="U3" i="5"/>
  <c r="T3" i="5"/>
  <c r="S3" i="5"/>
  <c r="R3" i="5"/>
  <c r="Q3" i="5"/>
  <c r="P3" i="5"/>
  <c r="O3" i="5"/>
  <c r="N3" i="5"/>
  <c r="M3" i="5"/>
  <c r="L3" i="5"/>
  <c r="K3" i="5"/>
  <c r="J3" i="5"/>
  <c r="I3" i="5"/>
  <c r="V27" i="1" l="1"/>
  <c r="V33" i="1"/>
  <c r="H16" i="1" l="1"/>
  <c r="H15" i="1"/>
  <c r="U5" i="1" l="1"/>
  <c r="T5" i="1"/>
  <c r="S5" i="1"/>
  <c r="R5" i="1"/>
  <c r="Q5" i="1"/>
  <c r="P5" i="1"/>
  <c r="O5" i="1"/>
  <c r="N5" i="1"/>
  <c r="M5" i="1"/>
  <c r="L5" i="1"/>
  <c r="J5" i="1"/>
  <c r="I5" i="1"/>
  <c r="K5" i="1"/>
  <c r="U3" i="1"/>
  <c r="T3" i="1"/>
  <c r="S3" i="1"/>
  <c r="R3" i="1"/>
  <c r="Q3" i="1"/>
  <c r="P3" i="1"/>
  <c r="O3" i="1"/>
  <c r="N3" i="1"/>
  <c r="M3" i="1"/>
  <c r="L3" i="1"/>
  <c r="K3" i="1"/>
  <c r="J3" i="1"/>
  <c r="I3" i="1"/>
  <c r="G40" i="12" l="1"/>
  <c r="P54" i="12" l="1"/>
  <c r="P48" i="12"/>
  <c r="N48" i="12"/>
  <c r="O54" i="12"/>
  <c r="O48" i="12"/>
  <c r="M54" i="12"/>
  <c r="L54" i="12"/>
  <c r="M48" i="12"/>
  <c r="L48" i="12"/>
  <c r="N54" i="12"/>
  <c r="G42" i="12"/>
  <c r="G43" i="12" s="1"/>
  <c r="G57" i="12"/>
  <c r="G57" i="5"/>
  <c r="G40" i="5"/>
  <c r="P48" i="5" l="1"/>
  <c r="M48" i="5"/>
  <c r="L48" i="5"/>
  <c r="N48" i="5"/>
  <c r="O48" i="5"/>
  <c r="G42" i="5"/>
  <c r="G43" i="5" s="1"/>
  <c r="P54" i="5" s="1"/>
  <c r="N70" i="12"/>
  <c r="O70" i="12"/>
  <c r="L70" i="12"/>
  <c r="M70" i="12"/>
  <c r="P70" i="12"/>
  <c r="O54" i="5" l="1"/>
  <c r="O70" i="5" s="1"/>
  <c r="N54" i="5"/>
  <c r="N70" i="5" s="1"/>
  <c r="N16" i="16" s="1"/>
  <c r="M54" i="5"/>
  <c r="M70" i="5" s="1"/>
  <c r="L54" i="5"/>
  <c r="L70" i="5" s="1"/>
  <c r="M12" i="9"/>
  <c r="M17" i="16"/>
  <c r="L12" i="9"/>
  <c r="L17" i="16"/>
  <c r="O12" i="9"/>
  <c r="O17" i="16"/>
  <c r="P12" i="9"/>
  <c r="P17" i="16"/>
  <c r="N12" i="9"/>
  <c r="N17" i="16"/>
  <c r="P70" i="5"/>
  <c r="G12" i="9" l="1"/>
  <c r="N11" i="9"/>
  <c r="L11" i="9"/>
  <c r="L43" i="16"/>
  <c r="O11" i="9"/>
  <c r="O16" i="16"/>
  <c r="P11" i="9"/>
  <c r="P16" i="16"/>
  <c r="M16" i="16"/>
  <c r="M11" i="9"/>
  <c r="N43" i="16"/>
  <c r="N24" i="16"/>
  <c r="P25" i="16"/>
  <c r="P44" i="16"/>
  <c r="L25" i="16"/>
  <c r="L44" i="16"/>
  <c r="N44" i="16"/>
  <c r="N25" i="16"/>
  <c r="O44" i="16"/>
  <c r="O25" i="16"/>
  <c r="M44" i="16"/>
  <c r="M25" i="16"/>
  <c r="N39" i="16" l="1"/>
  <c r="G11" i="9"/>
  <c r="G37" i="9" s="1"/>
  <c r="G56" i="9" s="1"/>
  <c r="G25" i="16"/>
  <c r="M24" i="16"/>
  <c r="M39" i="16" s="1"/>
  <c r="M43" i="16"/>
  <c r="M47" i="16" s="1"/>
  <c r="L24" i="16"/>
  <c r="L39" i="16" s="1"/>
  <c r="L48" i="16"/>
  <c r="O43" i="16"/>
  <c r="O48" i="16" s="1"/>
  <c r="O24" i="16"/>
  <c r="O39" i="16" s="1"/>
  <c r="P24" i="16"/>
  <c r="P43" i="16"/>
  <c r="P47" i="16" s="1"/>
  <c r="G24" i="9"/>
  <c r="G38" i="9"/>
  <c r="N47" i="16"/>
  <c r="N48" i="16"/>
  <c r="N53" i="16" l="1"/>
  <c r="G24" i="16"/>
  <c r="G83" i="9"/>
  <c r="G61" i="9"/>
  <c r="G79" i="9"/>
  <c r="G57" i="9"/>
  <c r="G82" i="9"/>
  <c r="G60" i="9"/>
  <c r="L47" i="16"/>
  <c r="L53" i="16" s="1"/>
  <c r="G23" i="9"/>
  <c r="O47" i="16"/>
  <c r="O53" i="16" s="1"/>
  <c r="P48" i="16"/>
  <c r="M48" i="16"/>
  <c r="M53" i="16" s="1"/>
  <c r="G78" i="9"/>
  <c r="G27" i="9" l="1"/>
  <c r="G68" i="9"/>
  <c r="G28" i="16"/>
  <c r="G29" i="16"/>
  <c r="G47" i="16"/>
  <c r="G28" i="9"/>
  <c r="G48" i="16"/>
  <c r="G47" i="9"/>
  <c r="G51" i="9" l="1"/>
  <c r="G72" i="9" l="1"/>
  <c r="L11" i="18" l="1"/>
  <c r="M11" i="18" l="1"/>
  <c r="G69" i="9" l="1"/>
  <c r="G46" i="9"/>
  <c r="N11" i="18"/>
  <c r="O11" i="18"/>
  <c r="G73" i="9" l="1"/>
  <c r="G89" i="9" s="1"/>
  <c r="P19" i="18" s="1"/>
  <c r="G50" i="9"/>
  <c r="G87" i="9" s="1"/>
  <c r="P16" i="18" l="1"/>
  <c r="P37" i="16"/>
  <c r="G32" i="16"/>
  <c r="G31" i="9" s="1"/>
  <c r="G33" i="16"/>
  <c r="G32" i="9" s="1"/>
  <c r="P36" i="16"/>
  <c r="P39" i="16" l="1"/>
  <c r="P53" i="16" s="1"/>
  <c r="P11" i="18" s="1"/>
  <c r="G39" i="16" l="1"/>
</calcChain>
</file>

<file path=xl/sharedStrings.xml><?xml version="1.0" encoding="utf-8"?>
<sst xmlns="http://schemas.openxmlformats.org/spreadsheetml/2006/main" count="950" uniqueCount="334">
  <si>
    <t>ODI name</t>
  </si>
  <si>
    <t>Incentive type</t>
  </si>
  <si>
    <t>2014-15</t>
  </si>
  <si>
    <t>2015-16</t>
  </si>
  <si>
    <t>2016-17</t>
  </si>
  <si>
    <t>2017-18</t>
  </si>
  <si>
    <t>2018-19</t>
  </si>
  <si>
    <t>2019-20</t>
  </si>
  <si>
    <t>Penalty</t>
  </si>
  <si>
    <t>Total penalty</t>
  </si>
  <si>
    <t>Total reward</t>
  </si>
  <si>
    <t>Incentive unit</t>
  </si>
  <si>
    <t>2020-21</t>
  </si>
  <si>
    <t>2021-22</t>
  </si>
  <si>
    <t>2022-23</t>
  </si>
  <si>
    <t>2023-24</t>
  </si>
  <si>
    <t>2024-25</t>
  </si>
  <si>
    <t>Year</t>
  </si>
  <si>
    <t>Year number</t>
  </si>
  <si>
    <t>Text</t>
  </si>
  <si>
    <t>£m 3dp</t>
  </si>
  <si>
    <t>Boolean</t>
  </si>
  <si>
    <t>How is a net reward applied?</t>
  </si>
  <si>
    <t>How is a net penalty applied?</t>
  </si>
  <si>
    <t>RCV</t>
  </si>
  <si>
    <t>Applied.Adjustment</t>
  </si>
  <si>
    <t>Performance</t>
  </si>
  <si>
    <t>2012-13</t>
  </si>
  <si>
    <t>2013-14</t>
  </si>
  <si>
    <t>Performance commitment ('PC')</t>
  </si>
  <si>
    <t>£m/defined unit 3dp</t>
  </si>
  <si>
    <t>Lists</t>
  </si>
  <si>
    <t>AMP.Years</t>
  </si>
  <si>
    <t>Calendar.Years</t>
  </si>
  <si>
    <t>Calendar year</t>
  </si>
  <si>
    <t>End</t>
  </si>
  <si>
    <t>Net Reward / (Penalty)</t>
  </si>
  <si>
    <t>Units</t>
  </si>
  <si>
    <t>Penalties</t>
  </si>
  <si>
    <t>Penalty 1 - incentive rate</t>
  </si>
  <si>
    <t>Penalty 2 - incentive rate</t>
  </si>
  <si>
    <t>Delivery</t>
  </si>
  <si>
    <t>Delivery PC</t>
  </si>
  <si>
    <t>Penalty for non-delivery</t>
  </si>
  <si>
    <t>£m</t>
  </si>
  <si>
    <t>£m/annum 3dp</t>
  </si>
  <si>
    <t>12/13 price base</t>
  </si>
  <si>
    <t>1 ODI details</t>
  </si>
  <si>
    <t>2.1 Numeric PCs</t>
  </si>
  <si>
    <t>2 Performance</t>
  </si>
  <si>
    <t>Actual performance</t>
  </si>
  <si>
    <t>Rewards</t>
  </si>
  <si>
    <t>Numeric</t>
  </si>
  <si>
    <t>ODI.Type.List</t>
  </si>
  <si>
    <t>2.2 Delivery PCs</t>
  </si>
  <si>
    <t>2.1.1 Penalties - numeric PCs</t>
  </si>
  <si>
    <t>2.1.2 Rewards - numeric PCs</t>
  </si>
  <si>
    <t>Delivery cap and collar</t>
  </si>
  <si>
    <t>2.2.2 Penalties - delivery PCs</t>
  </si>
  <si>
    <t>2.2.3 Rewards - delivery PCs</t>
  </si>
  <si>
    <t>Penalties associated with delivery&gt;&gt;</t>
  </si>
  <si>
    <t>Rewards associated with delivery&gt;&gt;</t>
  </si>
  <si>
    <t>1 Numeric PCs - Rewards and Penalties</t>
  </si>
  <si>
    <t>2 Delivery PCs - Rewards and Penalties</t>
  </si>
  <si>
    <t>Penalty 1</t>
  </si>
  <si>
    <t>Penalty 2</t>
  </si>
  <si>
    <t>Revenue</t>
  </si>
  <si>
    <t>Bespoke</t>
  </si>
  <si>
    <t>2.3 Bespoke PCs</t>
  </si>
  <si>
    <t>Pass</t>
  </si>
  <si>
    <t>Fail</t>
  </si>
  <si>
    <t>Performance.List</t>
  </si>
  <si>
    <t>Actual performance (pass / fail)</t>
  </si>
  <si>
    <t>Associated penalty for a 'fail'</t>
  </si>
  <si>
    <t>Associated reward for a 'pass'</t>
  </si>
  <si>
    <t>Rewards / Penalty</t>
  </si>
  <si>
    <t>Pass / fail</t>
  </si>
  <si>
    <t>This section is used to capture the performance of ODIs that do not fall into the categories provided above</t>
  </si>
  <si>
    <t>Penalty 1 - applies in specified year</t>
  </si>
  <si>
    <t>Penalty 1 - lower limit performance level</t>
  </si>
  <si>
    <t>Penalty 1 - upper limit performance level</t>
  </si>
  <si>
    <t>Penalty 2 - applies in specified year</t>
  </si>
  <si>
    <t>Penalty 2 - lower limit performance level</t>
  </si>
  <si>
    <t>Penalty 2 - upper limit performance level</t>
  </si>
  <si>
    <t>Reward 1</t>
  </si>
  <si>
    <t>Reward 1 - applies in specified year</t>
  </si>
  <si>
    <t>Reward 1 - incentive rate</t>
  </si>
  <si>
    <t>Reward 1 - lower limit performance level</t>
  </si>
  <si>
    <t>Reward 1 - upper limit performance level</t>
  </si>
  <si>
    <t>Reward 2</t>
  </si>
  <si>
    <t>Reward 2 - applies in specified year</t>
  </si>
  <si>
    <t>Reward 2 - incentive rate</t>
  </si>
  <si>
    <t>Reward 2 - lower limit performance level</t>
  </si>
  <si>
    <t>Reward 2 - upper limit performance level</t>
  </si>
  <si>
    <t>Total Reward</t>
  </si>
  <si>
    <t>Performance relative to PC level (orientation)</t>
  </si>
  <si>
    <t>Have there been delayed years?</t>
  </si>
  <si>
    <t>Penalty for delays</t>
  </si>
  <si>
    <t>Has there been non-delivery?</t>
  </si>
  <si>
    <t>Delivery in specified year</t>
  </si>
  <si>
    <t>Delivery occurred in specified year</t>
  </si>
  <si>
    <t>Non-delivery in AMP6</t>
  </si>
  <si>
    <t>Penalty if delayed delivery occurs</t>
  </si>
  <si>
    <t>Penalty if non-delivery in AMP6 occurs</t>
  </si>
  <si>
    <t>Penalty applied for each delayed year</t>
  </si>
  <si>
    <t>Penalty applied once for non-delivery in AMP6</t>
  </si>
  <si>
    <t>Reward if early delivery occurs</t>
  </si>
  <si>
    <t>Reward applied for each early-delivery year</t>
  </si>
  <si>
    <t>If the penalty for non-delivery is applied, the penalties for delays are not applied?</t>
  </si>
  <si>
    <t>Reward if overall delivery in AMP6 occurs</t>
  </si>
  <si>
    <t>Reward applied for overall delivery in AMP6</t>
  </si>
  <si>
    <t>If early delivery rewards are applied, the reward for overall delivery is not applied?</t>
  </si>
  <si>
    <t>Does a reward apply for overall delivery?</t>
  </si>
  <si>
    <t>Reward for overall delivery</t>
  </si>
  <si>
    <t>Has early delivery been achieved?</t>
  </si>
  <si>
    <t>Has there been a late delivery?</t>
  </si>
  <si>
    <t>Does a penalty apply for delayed delivery?</t>
  </si>
  <si>
    <t>Does a penalty apply for non-delivery?</t>
  </si>
  <si>
    <t>Delivery PC selected</t>
  </si>
  <si>
    <t>Total Penalty</t>
  </si>
  <si>
    <t>Number of years of early delivery</t>
  </si>
  <si>
    <t>Reward for early delivery - applied in year of delivery</t>
  </si>
  <si>
    <t>3 Bespoke PCs - Rewards and Penalties</t>
  </si>
  <si>
    <t>Bespoke PCs selected</t>
  </si>
  <si>
    <t>Years where PC was passed</t>
  </si>
  <si>
    <t>Years where PC failed</t>
  </si>
  <si>
    <t>Yrs</t>
  </si>
  <si>
    <t>Number of years between delivery cap and delivery PC</t>
  </si>
  <si>
    <t>Reward for early delivery (uncapped)</t>
  </si>
  <si>
    <t>Reward cap for early delivery</t>
  </si>
  <si>
    <t>Penalty collar for delayed delivery applies</t>
  </si>
  <si>
    <t>Delivery cap - for early delivery</t>
  </si>
  <si>
    <t>Delivery collar - for delayed delivery</t>
  </si>
  <si>
    <t>DeliveryYear.List</t>
  </si>
  <si>
    <t>Undelivered</t>
  </si>
  <si>
    <t>When is the reward/penalty crystallised?</t>
  </si>
  <si>
    <t>Crystallisation.List</t>
  </si>
  <si>
    <t>General inputs</t>
  </si>
  <si>
    <t>Percentage of Regulatory equity for aggregate cap/collar</t>
  </si>
  <si>
    <t>Aggregate cap/collar</t>
  </si>
  <si>
    <t>Aggregate.Limit</t>
  </si>
  <si>
    <t>Company.Type</t>
  </si>
  <si>
    <t>Enhanced</t>
  </si>
  <si>
    <t>Non-enhanced</t>
  </si>
  <si>
    <t>1 Company inputs</t>
  </si>
  <si>
    <t>2 Aggregate cap and collar inputs</t>
  </si>
  <si>
    <t>Company type</t>
  </si>
  <si>
    <t>Calcs - ODI 1</t>
  </si>
  <si>
    <t>Calcs - ODI 2</t>
  </si>
  <si>
    <t>Inputs - ODI 2</t>
  </si>
  <si>
    <t>Inputs - ODI 1</t>
  </si>
  <si>
    <t>Net Reward / (Penalty) per ODI</t>
  </si>
  <si>
    <t>Aggregation of net rewards</t>
  </si>
  <si>
    <t>Aggregation of net penalties</t>
  </si>
  <si>
    <t>Apply aggregate cap / collar</t>
  </si>
  <si>
    <t>Aggregation of net rewards with cap applied</t>
  </si>
  <si>
    <t>Aggregation of net penalties with cap applied</t>
  </si>
  <si>
    <t>Net Reward / (Penalty) - ODI 1</t>
  </si>
  <si>
    <t>Net Reward / (Penalty) - ODI 2</t>
  </si>
  <si>
    <t>Aggregation (uncapped)</t>
  </si>
  <si>
    <t>Rewards allocated to revenue (with aggregate cap)</t>
  </si>
  <si>
    <t>Rewards allocated to RCV (with aggregate cap)</t>
  </si>
  <si>
    <t>Penalties allocated to revenue (with aggregate cap)</t>
  </si>
  <si>
    <t>Penalties allocated to RCV (with aggregate cap)</t>
  </si>
  <si>
    <t>1 Aggregation of rewards / penalties</t>
  </si>
  <si>
    <t>2 Rewards / Penalties applied to Revenue</t>
  </si>
  <si>
    <t>3 Rewards / Penalties applied to RCV</t>
  </si>
  <si>
    <t>Does aggregate cap/collar apply?</t>
  </si>
  <si>
    <t>Aggregate.Flag</t>
  </si>
  <si>
    <t>%2 dp</t>
  </si>
  <si>
    <t>Net Reward / (Penalty) applied to revenue</t>
  </si>
  <si>
    <t>Net Reward / (Penalty) applied to RCV</t>
  </si>
  <si>
    <t>ODI rewards / penalties crystallised during AMP6 - ODI 1</t>
  </si>
  <si>
    <t>ODI rewards / penalties crystallised during AMP6 - ODI 2</t>
  </si>
  <si>
    <t>Net Reward / (Penalty) for out of period ODIs</t>
  </si>
  <si>
    <t>Aggregation of ODI rewards and penalties - in-period</t>
  </si>
  <si>
    <t>Net Reward / (Penalty) for in-period ODIs</t>
  </si>
  <si>
    <t>All in-period ODIs crystallise rewards/penalties in revenue only</t>
  </si>
  <si>
    <t>1 Aggregation of rewards / penalties - revenue</t>
  </si>
  <si>
    <t>4 Total Rewards / Penalties for out of period ODIs</t>
  </si>
  <si>
    <t>Actual performance - rounded</t>
  </si>
  <si>
    <t>Round actual performance to number of decimal places</t>
  </si>
  <si>
    <t>Penalty - collar</t>
  </si>
  <si>
    <t>Penalty - deadband</t>
  </si>
  <si>
    <t>Reward - deadband</t>
  </si>
  <si>
    <t>Reward - cap</t>
  </si>
  <si>
    <t>Error check - has collar and deadband been defined correctly relative to PC?</t>
  </si>
  <si>
    <t>Error check - has cap and deadband been defined correctly relative to PC?</t>
  </si>
  <si>
    <t>Error check - are Penalty 1 limits defined correctly relative to each other?</t>
  </si>
  <si>
    <t>Error check - are Penalty 2 limits defined correctly relative to each other?</t>
  </si>
  <si>
    <t>Defining the reward and penalty limits</t>
  </si>
  <si>
    <t>Error check - are Reward 1 limits defined correctly relative to each other and the PC?</t>
  </si>
  <si>
    <t>Error check - are Reward 2 limits defined correctly relative to each other and the PC?</t>
  </si>
  <si>
    <t>Reward deadband and cap</t>
  </si>
  <si>
    <t>Year average RCV</t>
  </si>
  <si>
    <t>Regulated equity</t>
  </si>
  <si>
    <t>Average.RCV</t>
  </si>
  <si>
    <t>Regulated.Equity</t>
  </si>
  <si>
    <t>Numeric PCs selected</t>
  </si>
  <si>
    <t>Defined PC</t>
  </si>
  <si>
    <t>Apply upper and lower performance limits</t>
  </si>
  <si>
    <t>Reward</t>
  </si>
  <si>
    <t>Are upper and lower limits defined?</t>
  </si>
  <si>
    <t>Reward magnitude</t>
  </si>
  <si>
    <t>Only use Reward 2 if the upper and lower performance limits are being used</t>
  </si>
  <si>
    <t>Penalty magnitude</t>
  </si>
  <si>
    <t>2.1.2 Penalties - numeric PCs</t>
  </si>
  <si>
    <t>Only use Penalty 2 if the upper and lower performance limits are being used</t>
  </si>
  <si>
    <t>Net Reward / (penalty) applied to revenue</t>
  </si>
  <si>
    <t>Net reward / (penalty) applied to revenue</t>
  </si>
  <si>
    <t>Reward.Rev.Out</t>
  </si>
  <si>
    <t>Reward.RCV.Out</t>
  </si>
  <si>
    <t>Total ODI adjustments at AMP6 end</t>
  </si>
  <si>
    <t>Rewards allocated to revenue - ODI 1</t>
  </si>
  <si>
    <t>Rewards allocated to revenue - ODI 2</t>
  </si>
  <si>
    <t>Penalties allocated to revenue - ODI 1</t>
  </si>
  <si>
    <t>Penalties allocated to revenue - ODI 2</t>
  </si>
  <si>
    <t>Rewards allocated to RCV - ODI 1</t>
  </si>
  <si>
    <t>Rewards allocated to RCV - ODI 2</t>
  </si>
  <si>
    <t>Penalties allocated to RCV - ODI 1</t>
  </si>
  <si>
    <t>Penalties allocated to RCV - ODI 2</t>
  </si>
  <si>
    <t>Aggregation</t>
  </si>
  <si>
    <t>1.2 ODIs where the aggregate cap / collar does not apply</t>
  </si>
  <si>
    <t>1.1 ODIs where the aggregate cap / collar applies</t>
  </si>
  <si>
    <t>Capped.Reward.Inperiod</t>
  </si>
  <si>
    <t>Capped.Penalty.Inperiod</t>
  </si>
  <si>
    <t>Uncapped.Reward.Inperiod</t>
  </si>
  <si>
    <t>Uncapped.Penalty.Inperiod</t>
  </si>
  <si>
    <t>2.1 ODIs where the aggregate cap / collar applies</t>
  </si>
  <si>
    <t>Rewards allocated to revenue</t>
  </si>
  <si>
    <t>Penalties allocated to revenue</t>
  </si>
  <si>
    <t>3.1 ODIs where the aggregate cap / collar applies</t>
  </si>
  <si>
    <t>Rewards allocated to RCV</t>
  </si>
  <si>
    <t>Penalties allocated to RCV</t>
  </si>
  <si>
    <t>2.2 ODIs where the aggregate cap / collar does not apply</t>
  </si>
  <si>
    <t>3.2 ODIs where the aggregate cap / collar does not apply</t>
  </si>
  <si>
    <t>Is the ODI exempt from the aggregate cap and collar?</t>
  </si>
  <si>
    <t>ODI is exempt from aggregate cap and collar - ODI 1</t>
  </si>
  <si>
    <t>ODI is exempt from aggregate cap and collar - ODI 2</t>
  </si>
  <si>
    <t>Aggregation of ODI rewards and penalties - end of period</t>
  </si>
  <si>
    <t>In period</t>
  </si>
  <si>
    <t>End of period</t>
  </si>
  <si>
    <t>Is incentive type Bespoke?</t>
  </si>
  <si>
    <t>2 Total reward / penalty for in-period ODIs</t>
  </si>
  <si>
    <t>Net.Adj.Inperiod</t>
  </si>
  <si>
    <t>Is incentive type Numeric?</t>
  </si>
  <si>
    <t>Is incentive type Delivery?</t>
  </si>
  <si>
    <t>When performing below the PC level is underperformance&gt;&gt;</t>
  </si>
  <si>
    <t>When performing above the PC level is underperformance&gt;&gt;</t>
  </si>
  <si>
    <t>Is performing below the PC level defined as underperformance?</t>
  </si>
  <si>
    <t>Net revenue adjustments (post-tax)</t>
  </si>
  <si>
    <t>Nominal</t>
  </si>
  <si>
    <t>Net.Debt</t>
  </si>
  <si>
    <t>Retail Price Index</t>
  </si>
  <si>
    <t>2011-12</t>
  </si>
  <si>
    <t>Actual Year</t>
  </si>
  <si>
    <t/>
  </si>
  <si>
    <t>RPI</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</si>
  <si>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</si>
  <si>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</si>
  <si>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</si>
  <si>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</si>
  <si>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</si>
  <si>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</si>
  <si>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</si>
  <si>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</si>
  <si>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</si>
  <si>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</si>
  <si>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</si>
  <si>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</si>
  <si>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</si>
  <si>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</si>
  <si>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RPI: Financial year average - index</t>
  </si>
  <si>
    <t>% 4dp</t>
  </si>
  <si>
    <t>RPI: Financial year average assumed percentage increase</t>
  </si>
  <si>
    <t>Completeness check</t>
  </si>
  <si>
    <t>Indexation.Check</t>
  </si>
  <si>
    <t>Forecast RPI</t>
  </si>
  <si>
    <t>RPI: Basket year - cumulative % increase from 2012/13 basket value</t>
  </si>
  <si>
    <t>Override</t>
  </si>
  <si>
    <t>Indexation.November.Override</t>
  </si>
  <si>
    <t>Calculated (including override)</t>
  </si>
  <si>
    <t>Indexation.November</t>
  </si>
  <si>
    <t>RPI: Fin year average - inflate from year average (2012)</t>
  </si>
  <si>
    <t>Indexation.Average.Override</t>
  </si>
  <si>
    <t>Indexation.Average</t>
  </si>
  <si>
    <t>RPI: Fin year average - percentage increase</t>
  </si>
  <si>
    <t>Inflation.Yearly.Average</t>
  </si>
  <si>
    <t>Penalty collar and deadband</t>
  </si>
  <si>
    <t>Nr</t>
  </si>
  <si>
    <t>Water</t>
  </si>
  <si>
    <t>Company</t>
  </si>
  <si>
    <t>Affinity</t>
  </si>
  <si>
    <t>Anglian</t>
  </si>
  <si>
    <t>Bristol</t>
  </si>
  <si>
    <t>Dee Valley</t>
  </si>
  <si>
    <t xml:space="preserve">Dŵr Cymru </t>
  </si>
  <si>
    <t>Northumbrian</t>
  </si>
  <si>
    <t>Portsmouth</t>
  </si>
  <si>
    <t>Sembcorp Bournemouth</t>
  </si>
  <si>
    <t xml:space="preserve">Severn Trent </t>
  </si>
  <si>
    <t>South East Water</t>
  </si>
  <si>
    <t>South Staffordshire Water</t>
  </si>
  <si>
    <t>South West Water</t>
  </si>
  <si>
    <t>Sutton &amp; East Surrey Water</t>
  </si>
  <si>
    <t>Southern Water</t>
  </si>
  <si>
    <t>Thames Water – including Thames Tideway and infrastructure provider</t>
  </si>
  <si>
    <t>Thames Water – including Thames Tideway but excluding infrastructure provider</t>
  </si>
  <si>
    <t xml:space="preserve">Thames Water – excluding both Thames Tideway and infrastructure provider </t>
  </si>
  <si>
    <t>United Utilities</t>
  </si>
  <si>
    <t>Wessex Water</t>
  </si>
  <si>
    <t>Yorkshire Water</t>
  </si>
  <si>
    <t>WoCs</t>
  </si>
  <si>
    <t>Waste</t>
  </si>
  <si>
    <t>1 WaSCs</t>
  </si>
  <si>
    <t>2 WoCs</t>
  </si>
  <si>
    <t>Aggregation of rewards and penalties</t>
  </si>
  <si>
    <t>Average net debt (enter as a negative value)</t>
  </si>
  <si>
    <t>Aggregation of net penalties with collar applied</t>
  </si>
  <si>
    <t>Final year adjustment to rewards and penalties</t>
  </si>
  <si>
    <t>Adjustment asscoiated with a net reward where the cap has been applied</t>
  </si>
  <si>
    <t>Adjustment asscoiated with a net penalty where the collar has been applied</t>
  </si>
  <si>
    <t>4dp</t>
  </si>
  <si>
    <t>Ndp</t>
  </si>
  <si>
    <t>Pre Tax</t>
  </si>
  <si>
    <t>Net Reward / (Penalty) applied to RCV Pre Tax</t>
  </si>
  <si>
    <t>The aggregate cap/collar values below were calculated using the Nominal Average RCV and Average net debt taken from the published financial models. See sheet 'General Inputs' for the calculation.
The caps and collars are calculated as 
1) Average Net Debt + Average RCV (in nominal prices) = Regulated equity
2) Nominal regulated equity deflated by RPI FD Forecast RPI to 2012-13 real price base = Real regulated equity
3) Real Regulated equity * cap / collar % = Cap and collar</t>
  </si>
  <si>
    <t>Net RCV adjustments</t>
  </si>
  <si>
    <t>Net revenue adjustments</t>
  </si>
  <si>
    <t>2 End of period ODI adjustments</t>
  </si>
  <si>
    <t>1 In-period ODI adjustments</t>
  </si>
  <si>
    <t>Aggregate cap/collar pre tax</t>
  </si>
  <si>
    <t>Aggregate.Limit.Override</t>
  </si>
  <si>
    <t>Aggregate cap/collar pre tax override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</si>
</sst>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_);\(#,##0\);\-_)"/>
    <numFmt numFmtId="165" formatCode="#,##0.00_);\(#,##0.00\);\-_)"/>
    <numFmt numFmtId="166" formatCode="#,##0.000_);\(#,##0.000\);\-_)"/>
    <numFmt numFmtId="167" formatCode="0.00%_);\(0.00%\);\-\%_)"/>
    <numFmt numFmtId="168" formatCode="#,##0.0_);\(#,##0.0\);\-_)"/>
    <numFmt numFmtId="169" formatCode="#,##0.00000_);\(#,##0.00000\);\-_)"/>
    <numFmt numFmtId="170" formatCode="#,##0.000"/>
    <numFmt numFmtId="171" formatCode="#,##0.0000_);\(#,##0.0000\);\-_)"/>
  </numFmts>
  <fonts count="72">
    <font>
      <sz val="10"/>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Calibri"/>
      <family val="2"/>
      <scheme val="minor"/>
    </font>
    <font>
      <sz val="10"/>
      <color theme="0"/>
      <name val="Calibri"/>
      <family val="2"/>
      <scheme val="minor"/>
    </font>
    <font>
      <sz val="10"/>
      <color rgb="FF9C0006"/>
      <name val="Calibri"/>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Calibri"/>
      <family val="2"/>
      <scheme val="minor"/>
    </font>
    <font>
      <b/>
      <sz val="10"/>
      <color theme="0"/>
      <name val="Calibri"/>
      <family val="2"/>
      <scheme val="minor"/>
    </font>
    <font>
      <i/>
      <sz val="10"/>
      <color rgb="FF7F7F7F"/>
      <name val="Calibri"/>
      <family val="2"/>
      <scheme val="minor"/>
    </font>
    <font>
      <b/>
      <sz val="10"/>
      <color rgb="FF333333"/>
      <name val="Calibri"/>
      <family val="2"/>
      <scheme val="minor"/>
    </font>
    <font>
      <sz val="10"/>
      <color rgb="FF006100"/>
      <name val="Calibri"/>
      <family val="2"/>
      <scheme val="minor"/>
    </font>
    <font>
      <b/>
      <sz val="15"/>
      <color theme="3"/>
      <name val="Arial"/>
      <family val="2"/>
    </font>
    <font>
      <b/>
      <sz val="13"/>
      <color theme="3"/>
      <name val="Arial"/>
      <family val="2"/>
    </font>
    <font>
      <b/>
      <sz val="11"/>
      <color theme="3"/>
      <name val="Arial"/>
      <family val="2"/>
    </font>
    <font>
      <sz val="10"/>
      <name val="Calibri"/>
      <family val="2"/>
      <scheme val="minor"/>
    </font>
    <font>
      <sz val="10"/>
      <color rgb="FF3F3F76"/>
      <name val="Calibri"/>
      <family val="2"/>
      <scheme val="minor"/>
    </font>
    <font>
      <sz val="10"/>
      <color rgb="FFFA7D00"/>
      <name val="Calibri"/>
      <family val="2"/>
      <scheme val="minor"/>
    </font>
    <font>
      <sz val="10"/>
      <color rgb="FF9C6500"/>
      <name val="Calibri"/>
      <family val="2"/>
      <scheme val="minor"/>
    </font>
    <font>
      <b/>
      <sz val="10"/>
      <name val="Calibri"/>
      <family val="2"/>
      <scheme val="minor"/>
    </font>
    <font>
      <sz val="10"/>
      <color theme="1"/>
      <name val="Arial"/>
      <family val="2"/>
    </font>
    <font>
      <b/>
      <sz val="10"/>
      <color rgb="FF3F3F3F"/>
      <name val="Calibri"/>
      <family val="2"/>
      <scheme val="minor"/>
    </font>
    <font>
      <b/>
      <sz val="10"/>
      <color theme="1"/>
      <name val="Calibri"/>
      <family val="2"/>
      <scheme val="minor"/>
    </font>
    <font>
      <sz val="10"/>
      <color rgb="FFFF0000"/>
      <name val="Calibri"/>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1"/>
      <name val="Arial"/>
      <family val="2"/>
    </font>
    <font>
      <sz val="10"/>
      <color theme="6" tint="-0.249977111117893"/>
      <name val="Arial"/>
      <family val="2"/>
    </font>
    <font>
      <i/>
      <sz val="10"/>
      <color theme="0" tint="-0.499984740745262"/>
      <name val="Arial"/>
      <family val="2"/>
    </font>
    <font>
      <b/>
      <sz val="26"/>
      <color indexed="9"/>
      <name val="Arial"/>
      <family val="2"/>
    </font>
    <font>
      <sz val="11"/>
      <color theme="1"/>
      <name val="Arial"/>
      <family val="2"/>
    </font>
    <font>
      <sz val="10"/>
      <color rgb="FFFF0000"/>
      <name val="Arial"/>
      <family val="2"/>
    </font>
    <font>
      <sz val="10"/>
      <color theme="0" tint="-0.14999847407452621"/>
      <name val="Arial"/>
      <family val="2"/>
    </font>
    <font>
      <sz val="10"/>
      <color rgb="FF00B050"/>
      <name val="Arial"/>
      <family val="2"/>
    </font>
    <font>
      <sz val="10"/>
      <color rgb="FF00B050"/>
      <name val="Calibri"/>
      <family val="2"/>
      <scheme val="minor"/>
    </font>
    <font>
      <b/>
      <i/>
      <sz val="10"/>
      <name val="Arial"/>
      <family val="2"/>
    </font>
    <font>
      <i/>
      <sz val="10"/>
      <color theme="0" tint="-0.499984740745262"/>
      <name val="Calibri"/>
      <family val="2"/>
      <scheme val="minor"/>
    </font>
    <font>
      <sz val="10"/>
      <color theme="0" tint="-0.499984740745262"/>
      <name val="Arial"/>
      <family val="2"/>
    </font>
    <font>
      <b/>
      <sz val="11"/>
      <color theme="1"/>
      <name val="Arial"/>
      <family val="2"/>
    </font>
    <font>
      <sz val="10"/>
      <color indexed="9"/>
      <name val="Arial"/>
      <family val="2"/>
    </font>
    <font>
      <sz val="10"/>
      <color indexed="62"/>
      <name val="Arial"/>
      <family val="2"/>
    </font>
    <font>
      <b/>
      <i/>
      <sz val="10"/>
      <color indexed="9"/>
      <name val="Arial"/>
      <family val="2"/>
    </font>
    <font>
      <i/>
      <sz val="10"/>
      <name val="Arial"/>
      <family val="2"/>
    </font>
    <font>
      <b/>
      <sz val="20"/>
      <name val="Arial"/>
      <family val="2"/>
    </font>
    <font>
      <u/>
      <sz val="8"/>
      <color indexed="12"/>
      <name val="Arial"/>
      <family val="2"/>
    </font>
    <font>
      <sz val="18"/>
      <name val="Arial MT"/>
      <family val="2"/>
    </font>
    <font>
      <b/>
      <sz val="16"/>
      <color indexed="9"/>
      <name val="Arial"/>
      <family val="2"/>
    </font>
    <font>
      <sz val="11"/>
      <color indexed="18"/>
      <name val="Arial"/>
      <family val="2"/>
    </font>
    <font>
      <sz val="10"/>
      <color theme="6" tint="-0.249977111117893"/>
      <name val="Calibri"/>
      <family val="2"/>
      <scheme val="minor"/>
    </font>
    <font>
      <b/>
      <sz val="26"/>
      <color theme="6" tint="-0.249977111117893"/>
      <name val="Arial"/>
      <family val="2"/>
    </font>
    <font>
      <sz val="11"/>
      <color theme="6" tint="-0.249977111117893"/>
      <name val="Arial"/>
      <family val="2"/>
    </font>
    <font>
      <b/>
      <sz val="10"/>
      <color theme="6" tint="-0.249977111117893"/>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indexed="43"/>
        <bgColor indexed="64"/>
      </patternFill>
    </fill>
    <fill>
      <patternFill patternType="solid">
        <fgColor theme="3" tint="0.79998168889431442"/>
        <bgColor indexed="64"/>
      </patternFill>
    </fill>
    <fill>
      <patternFill patternType="solid">
        <fgColor rgb="FFD9D9D9"/>
        <bgColor indexed="64"/>
      </patternFill>
    </fill>
    <fill>
      <patternFill patternType="solid">
        <fgColor rgb="FFFFFF00"/>
        <bgColor indexed="64"/>
      </patternFill>
    </fill>
    <fill>
      <patternFill patternType="solid">
        <fgColor rgb="FFCCFF99"/>
        <bgColor indexed="64"/>
      </patternFill>
    </fill>
    <fill>
      <patternFill patternType="solid">
        <fgColor theme="0" tint="-0.24994659260841701"/>
        <bgColor indexed="64"/>
      </patternFill>
    </fill>
    <fill>
      <patternFill patternType="solid">
        <fgColor indexed="41"/>
        <bgColor indexed="64"/>
      </patternFill>
    </fill>
    <fill>
      <patternFill patternType="solid">
        <fgColor rgb="FF00E2FF"/>
        <bgColor indexed="64"/>
      </patternFill>
    </fill>
    <fill>
      <patternFill patternType="solid">
        <fgColor rgb="FFFFFFFE"/>
        <bgColor indexed="64"/>
      </patternFill>
    </fill>
    <fill>
      <patternFill patternType="solid">
        <fgColor indexed="18"/>
        <bgColor indexed="64"/>
      </patternFill>
    </fill>
    <fill>
      <patternFill patternType="solid">
        <fgColor theme="8"/>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s>
  <cellStyleXfs count="110">
    <xf numFmtId="0" fontId="0" fillId="0" borderId="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6" fillId="2" borderId="0" applyNumberFormat="0" applyBorder="0" applyAlignment="0" applyProtection="0"/>
    <xf numFmtId="0" fontId="7" fillId="3" borderId="0" applyNumberFormat="0" applyBorder="0" applyAlignment="0" applyProtection="0"/>
    <xf numFmtId="0" fontId="33" fillId="4" borderId="0" applyNumberFormat="0" applyBorder="0" applyAlignment="0" applyProtection="0"/>
    <xf numFmtId="0" fontId="31" fillId="5" borderId="4" applyNumberFormat="0" applyAlignment="0" applyProtection="0"/>
    <xf numFmtId="0" fontId="36" fillId="6" borderId="5" applyNumberFormat="0" applyAlignment="0" applyProtection="0"/>
    <xf numFmtId="0" fontId="22" fillId="6" borderId="4" applyNumberFormat="0" applyAlignment="0" applyProtection="0"/>
    <xf numFmtId="0" fontId="32" fillId="0" borderId="6" applyNumberFormat="0" applyFill="0" applyAlignment="0" applyProtection="0"/>
    <xf numFmtId="0" fontId="23" fillId="7" borderId="7" applyNumberFormat="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37" fillId="0" borderId="9" applyNumberFormat="0" applyFill="0" applyAlignment="0" applyProtection="0"/>
    <xf numFmtId="0" fontId="6"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6" fillId="32" borderId="0" applyNumberFormat="0" applyBorder="0" applyAlignment="0" applyProtection="0"/>
    <xf numFmtId="164" fontId="8" fillId="0" borderId="10">
      <alignment horizontal="center"/>
    </xf>
    <xf numFmtId="0" fontId="9" fillId="0" borderId="11" applyNumberFormat="0" applyAlignment="0" applyProtection="0"/>
    <xf numFmtId="0" fontId="10" fillId="0" borderId="0" applyNumberFormat="0" applyAlignment="0" applyProtection="0"/>
    <xf numFmtId="0" fontId="11" fillId="0" borderId="12" applyNumberFormat="0" applyFill="0" applyAlignment="0">
      <alignment vertical="top"/>
    </xf>
    <xf numFmtId="0" fontId="12" fillId="0" borderId="13" applyNumberFormat="0" applyFill="0" applyAlignment="0"/>
    <xf numFmtId="0" fontId="13" fillId="0" borderId="0" applyNumberFormat="0" applyFill="0" applyAlignment="0"/>
    <xf numFmtId="0" fontId="14" fillId="33" borderId="14" applyNumberFormat="0" applyFont="0" applyAlignment="0" applyProtection="0"/>
    <xf numFmtId="0" fontId="14" fillId="34" borderId="14" applyNumberFormat="0" applyFont="0" applyAlignment="0" applyProtection="0"/>
    <xf numFmtId="0" fontId="14" fillId="35" borderId="15" applyNumberFormat="0" applyFont="0" applyAlignment="0" applyProtection="0"/>
    <xf numFmtId="0" fontId="15" fillId="0" borderId="0" applyNumberFormat="0" applyFill="0" applyBorder="0" applyAlignment="0" applyProtection="0"/>
    <xf numFmtId="0" fontId="5" fillId="36" borderId="14" applyNumberFormat="0" applyFont="0" applyAlignment="0" applyProtection="0"/>
    <xf numFmtId="0" fontId="5" fillId="37" borderId="15" applyNumberFormat="0" applyFont="0" applyAlignment="0" applyProtection="0"/>
    <xf numFmtId="0" fontId="16" fillId="0" borderId="0" applyFont="0" applyFill="0" applyBorder="0" applyAlignment="0" applyProtection="0"/>
    <xf numFmtId="0" fontId="17" fillId="0" borderId="0" applyNumberFormat="0" applyFill="0" applyBorder="0" applyAlignment="0" applyProtection="0"/>
    <xf numFmtId="49" fontId="18" fillId="0" borderId="0" applyFont="0" applyFill="0" applyBorder="0" applyAlignment="0" applyProtection="0">
      <alignment horizontal="left"/>
    </xf>
    <xf numFmtId="0" fontId="14" fillId="0" borderId="0" applyAlignment="0" applyProtection="0"/>
    <xf numFmtId="0" fontId="19" fillId="0" borderId="0" applyFill="0" applyBorder="0" applyAlignment="0" applyProtection="0"/>
    <xf numFmtId="49" fontId="19" fillId="0" borderId="0" applyNumberFormat="0" applyAlignment="0" applyProtection="0">
      <alignment horizontal="left"/>
    </xf>
    <xf numFmtId="49" fontId="20" fillId="0" borderId="16" applyNumberFormat="0" applyAlignment="0" applyProtection="0">
      <alignment horizontal="left" wrapText="1"/>
    </xf>
    <xf numFmtId="49" fontId="20" fillId="0" borderId="0" applyNumberFormat="0" applyAlignment="0" applyProtection="0">
      <alignment horizontal="left" wrapText="1"/>
    </xf>
    <xf numFmtId="49" fontId="21" fillId="0" borderId="0" applyAlignment="0" applyProtection="0">
      <alignment horizontal="left"/>
    </xf>
    <xf numFmtId="0" fontId="23" fillId="38" borderId="0" applyNumberFormat="0" applyAlignment="0" applyProtection="0"/>
    <xf numFmtId="0" fontId="25" fillId="0" borderId="10" applyNumberFormat="0" applyAlignment="0" applyProtection="0"/>
    <xf numFmtId="0" fontId="30" fillId="39" borderId="0" applyNumberFormat="0" applyFont="0" applyAlignment="0" applyProtection="0"/>
    <xf numFmtId="0" fontId="34" fillId="40" borderId="0" applyNumberFormat="0" applyAlignment="0" applyProtection="0"/>
    <xf numFmtId="0" fontId="35" fillId="0" borderId="0"/>
    <xf numFmtId="0" fontId="14" fillId="0" borderId="0"/>
    <xf numFmtId="0" fontId="35" fillId="0" borderId="0"/>
    <xf numFmtId="0" fontId="35" fillId="8" borderId="8" applyNumberFormat="0" applyFont="0" applyAlignment="0" applyProtection="0"/>
    <xf numFmtId="0" fontId="16" fillId="0" borderId="0"/>
    <xf numFmtId="0" fontId="23" fillId="41" borderId="10" applyNumberFormat="0" applyAlignment="0" applyProtection="0"/>
    <xf numFmtId="0" fontId="14" fillId="42" borderId="14" applyNumberFormat="0" applyFont="0" applyAlignment="0"/>
    <xf numFmtId="0" fontId="16" fillId="0" borderId="0"/>
    <xf numFmtId="9" fontId="16" fillId="0" borderId="0" applyFont="0" applyFill="0" applyBorder="0" applyAlignment="0" applyProtection="0"/>
    <xf numFmtId="0" fontId="16" fillId="0" borderId="0"/>
    <xf numFmtId="0" fontId="16"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3" fillId="0" borderId="0"/>
    <xf numFmtId="9" fontId="50" fillId="0" borderId="0" applyFont="0" applyFill="0" applyBorder="0" applyAlignment="0" applyProtection="0"/>
    <xf numFmtId="9" fontId="50" fillId="0" borderId="0" applyFont="0" applyFill="0" applyBorder="0" applyAlignment="0" applyProtection="0"/>
    <xf numFmtId="0" fontId="16" fillId="0" borderId="0"/>
    <xf numFmtId="9" fontId="16" fillId="0" borderId="0" applyFont="0" applyFill="0" applyBorder="0" applyAlignment="0" applyProtection="0"/>
    <xf numFmtId="0" fontId="5" fillId="0" borderId="0"/>
    <xf numFmtId="0" fontId="16" fillId="0" borderId="0">
      <alignment vertical="top"/>
    </xf>
    <xf numFmtId="0" fontId="16" fillId="0" borderId="0" applyNumberFormat="0" applyFont="0" applyFill="0" applyBorder="0" applyAlignment="0" applyProtection="0"/>
    <xf numFmtId="37" fontId="43" fillId="55" borderId="24">
      <alignment horizontal="left"/>
    </xf>
    <xf numFmtId="37" fontId="40" fillId="55" borderId="25"/>
    <xf numFmtId="0" fontId="16" fillId="55" borderId="26" applyNumberFormat="0" applyBorder="0"/>
    <xf numFmtId="0" fontId="16" fillId="0" borderId="0" applyFont="0" applyFill="0" applyBorder="0" applyAlignment="0" applyProtection="0"/>
    <xf numFmtId="0" fontId="43" fillId="56" borderId="0"/>
    <xf numFmtId="0" fontId="16" fillId="52" borderId="27"/>
    <xf numFmtId="0" fontId="16" fillId="52" borderId="27"/>
    <xf numFmtId="0" fontId="43" fillId="52" borderId="0"/>
    <xf numFmtId="0" fontId="16" fillId="57" borderId="0"/>
    <xf numFmtId="0" fontId="16" fillId="57" borderId="0"/>
    <xf numFmtId="0" fontId="16" fillId="57" borderId="0"/>
    <xf numFmtId="0" fontId="63" fillId="55" borderId="28"/>
    <xf numFmtId="37" fontId="16" fillId="55" borderId="0">
      <alignment horizontal="right"/>
    </xf>
    <xf numFmtId="0" fontId="64" fillId="0" borderId="0" applyNumberFormat="0" applyFill="0" applyBorder="0" applyAlignment="0" applyProtection="0">
      <alignment vertical="top"/>
      <protection locked="0"/>
    </xf>
    <xf numFmtId="0" fontId="65" fillId="0" borderId="0"/>
    <xf numFmtId="0" fontId="50" fillId="0" borderId="0"/>
    <xf numFmtId="0" fontId="16" fillId="0" borderId="0">
      <alignment vertical="top"/>
    </xf>
    <xf numFmtId="0" fontId="16" fillId="0" borderId="0">
      <alignment vertical="top"/>
    </xf>
    <xf numFmtId="0" fontId="1" fillId="0" borderId="0"/>
    <xf numFmtId="0" fontId="16" fillId="0" borderId="0">
      <alignment vertical="top"/>
    </xf>
    <xf numFmtId="37" fontId="66" fillId="58" borderId="29"/>
    <xf numFmtId="0" fontId="67" fillId="0" borderId="30">
      <alignment horizontal="right"/>
    </xf>
  </cellStyleXfs>
  <cellXfs count="235">
    <xf numFmtId="0" fontId="0" fillId="0" borderId="0" xfId="0"/>
    <xf numFmtId="0" fontId="39" fillId="44" borderId="17" xfId="0" applyFont="1" applyFill="1" applyBorder="1" applyAlignment="1" applyProtection="1">
      <alignment horizontal="left" vertical="center"/>
    </xf>
    <xf numFmtId="0" fontId="13" fillId="0" borderId="0" xfId="45" applyFont="1"/>
    <xf numFmtId="0" fontId="35" fillId="0" borderId="0" xfId="0" applyFont="1"/>
    <xf numFmtId="1" fontId="40" fillId="0" borderId="17" xfId="0" applyNumberFormat="1" applyFont="1" applyFill="1" applyBorder="1" applyAlignment="1" applyProtection="1">
      <alignment horizontal="center"/>
    </xf>
    <xf numFmtId="1" fontId="41" fillId="43" borderId="17" xfId="0" applyNumberFormat="1" applyFont="1" applyFill="1" applyBorder="1" applyAlignment="1" applyProtection="1">
      <alignment horizontal="center"/>
    </xf>
    <xf numFmtId="0" fontId="35" fillId="33" borderId="14" xfId="46" applyNumberFormat="1" applyFont="1"/>
    <xf numFmtId="0" fontId="42" fillId="0" borderId="0" xfId="0" applyFont="1"/>
    <xf numFmtId="0" fontId="43" fillId="0" borderId="0" xfId="0" applyFont="1" applyFill="1" applyAlignment="1">
      <alignment vertical="center"/>
    </xf>
    <xf numFmtId="164" fontId="16" fillId="46" borderId="20" xfId="0" applyNumberFormat="1" applyFont="1" applyFill="1" applyBorder="1" applyAlignment="1">
      <alignment horizontal="right" vertical="center"/>
    </xf>
    <xf numFmtId="49" fontId="44" fillId="45" borderId="18" xfId="0" applyNumberFormat="1" applyFont="1" applyFill="1" applyBorder="1" applyAlignment="1">
      <alignment horizontal="right" vertical="center"/>
    </xf>
    <xf numFmtId="0" fontId="45" fillId="45" borderId="19" xfId="0" applyFont="1" applyFill="1" applyBorder="1" applyAlignment="1">
      <alignment horizontal="left" vertical="center"/>
    </xf>
    <xf numFmtId="0" fontId="44" fillId="45" borderId="19" xfId="0" applyFont="1" applyFill="1" applyBorder="1" applyAlignment="1">
      <alignment horizontal="left" vertical="center"/>
    </xf>
    <xf numFmtId="0" fontId="44" fillId="0" borderId="0" xfId="0" applyFont="1"/>
    <xf numFmtId="49" fontId="44" fillId="45" borderId="17" xfId="0" applyNumberFormat="1" applyFont="1" applyFill="1" applyBorder="1" applyAlignment="1">
      <alignment horizontal="right" vertical="center"/>
    </xf>
    <xf numFmtId="0" fontId="35" fillId="0" borderId="0" xfId="0" applyFont="1" applyBorder="1"/>
    <xf numFmtId="0" fontId="42" fillId="0" borderId="0" xfId="0" applyFont="1"/>
    <xf numFmtId="0" fontId="16" fillId="0" borderId="0" xfId="0" applyFont="1" applyFill="1" applyAlignment="1" applyProtection="1">
      <alignment horizontal="left" vertical="center" indent="1"/>
    </xf>
    <xf numFmtId="0" fontId="46" fillId="0" borderId="0" xfId="0" applyFont="1"/>
    <xf numFmtId="0" fontId="35" fillId="0" borderId="0" xfId="0" applyFont="1"/>
    <xf numFmtId="0" fontId="47" fillId="0" borderId="0" xfId="0" applyFont="1"/>
    <xf numFmtId="0" fontId="42" fillId="48" borderId="21" xfId="0" applyFont="1" applyFill="1" applyBorder="1"/>
    <xf numFmtId="0" fontId="42" fillId="48" borderId="22" xfId="0" applyFont="1" applyFill="1" applyBorder="1"/>
    <xf numFmtId="166" fontId="35" fillId="0" borderId="0" xfId="0" applyNumberFormat="1" applyFont="1"/>
    <xf numFmtId="165" fontId="35" fillId="0" borderId="0" xfId="0" applyNumberFormat="1" applyFont="1"/>
    <xf numFmtId="0" fontId="4" fillId="0" borderId="0" xfId="0" applyFont="1"/>
    <xf numFmtId="0" fontId="48" fillId="0" borderId="0" xfId="0" applyFont="1"/>
    <xf numFmtId="164" fontId="35" fillId="0" borderId="14" xfId="0" applyNumberFormat="1" applyFont="1" applyBorder="1"/>
    <xf numFmtId="0" fontId="35" fillId="0" borderId="0" xfId="0" applyFont="1" applyAlignment="1">
      <alignment horizontal="center"/>
    </xf>
    <xf numFmtId="0" fontId="42" fillId="0" borderId="0" xfId="0" applyFont="1" applyAlignment="1">
      <alignment horizontal="center"/>
    </xf>
    <xf numFmtId="0" fontId="3" fillId="0" borderId="0" xfId="0" applyFont="1"/>
    <xf numFmtId="0" fontId="49" fillId="44" borderId="19" xfId="72" applyFont="1" applyFill="1" applyBorder="1" applyAlignment="1">
      <alignment horizontal="left" vertical="center"/>
    </xf>
    <xf numFmtId="166" fontId="51" fillId="0" borderId="0" xfId="0" applyNumberFormat="1" applyFont="1"/>
    <xf numFmtId="0" fontId="42" fillId="0" borderId="0" xfId="0" applyFont="1" applyAlignment="1">
      <alignment horizontal="left" indent="1"/>
    </xf>
    <xf numFmtId="0" fontId="16" fillId="0" borderId="0" xfId="0" applyFont="1" applyFill="1" applyAlignment="1" applyProtection="1">
      <alignment horizontal="left" vertical="center" indent="2"/>
    </xf>
    <xf numFmtId="0" fontId="43" fillId="0" borderId="0" xfId="0" applyFont="1" applyFill="1" applyAlignment="1" applyProtection="1">
      <alignment horizontal="left" vertical="center" indent="2"/>
    </xf>
    <xf numFmtId="0" fontId="2" fillId="0" borderId="0" xfId="0" applyFont="1"/>
    <xf numFmtId="0" fontId="43" fillId="0" borderId="0" xfId="0" applyFont="1" applyFill="1" applyAlignment="1" applyProtection="1">
      <alignment horizontal="left" vertical="center"/>
    </xf>
    <xf numFmtId="0" fontId="35" fillId="0" borderId="0" xfId="0" applyFont="1" applyAlignment="1">
      <alignment horizontal="center"/>
    </xf>
    <xf numFmtId="0" fontId="44" fillId="45" borderId="19" xfId="0" applyFont="1" applyFill="1" applyBorder="1" applyAlignment="1">
      <alignment horizontal="center" vertical="center"/>
    </xf>
    <xf numFmtId="0" fontId="0" fillId="0" borderId="0" xfId="0" applyAlignment="1">
      <alignment horizontal="center"/>
    </xf>
    <xf numFmtId="0" fontId="35" fillId="0" borderId="14" xfId="0" applyFont="1" applyFill="1" applyBorder="1"/>
    <xf numFmtId="166" fontId="35" fillId="0" borderId="0" xfId="0" applyNumberFormat="1" applyFont="1" applyFill="1"/>
    <xf numFmtId="0" fontId="2" fillId="0" borderId="0" xfId="0" applyFont="1" applyAlignment="1">
      <alignment horizontal="center"/>
    </xf>
    <xf numFmtId="166" fontId="2" fillId="33" borderId="14" xfId="46" applyNumberFormat="1" applyFont="1"/>
    <xf numFmtId="0" fontId="37" fillId="0" borderId="0" xfId="0" applyFont="1"/>
    <xf numFmtId="0" fontId="30" fillId="0" borderId="0" xfId="0" applyFont="1"/>
    <xf numFmtId="49" fontId="44" fillId="50" borderId="17" xfId="0" applyNumberFormat="1" applyFont="1" applyFill="1" applyBorder="1" applyAlignment="1">
      <alignment horizontal="right" vertical="center"/>
    </xf>
    <xf numFmtId="0" fontId="44" fillId="50" borderId="19" xfId="0" applyFont="1" applyFill="1" applyBorder="1" applyAlignment="1">
      <alignment horizontal="center" vertical="center"/>
    </xf>
    <xf numFmtId="0" fontId="45" fillId="50" borderId="19" xfId="0" applyFont="1" applyFill="1" applyBorder="1" applyAlignment="1">
      <alignment horizontal="left" vertical="center"/>
    </xf>
    <xf numFmtId="0" fontId="44" fillId="50" borderId="19" xfId="0" applyFont="1" applyFill="1" applyBorder="1" applyAlignment="1">
      <alignment horizontal="left" vertical="center"/>
    </xf>
    <xf numFmtId="0" fontId="44" fillId="50" borderId="0" xfId="0" applyFont="1" applyFill="1"/>
    <xf numFmtId="0" fontId="44" fillId="36" borderId="19" xfId="0" applyFont="1" applyFill="1" applyBorder="1" applyAlignment="1">
      <alignment horizontal="center" vertical="center"/>
    </xf>
    <xf numFmtId="0" fontId="45" fillId="36" borderId="19" xfId="0" applyFont="1" applyFill="1" applyBorder="1" applyAlignment="1">
      <alignment horizontal="left" vertical="center"/>
    </xf>
    <xf numFmtId="0" fontId="44" fillId="36" borderId="19" xfId="0" applyFont="1" applyFill="1" applyBorder="1" applyAlignment="1">
      <alignment horizontal="left" vertical="center"/>
    </xf>
    <xf numFmtId="0" fontId="44" fillId="36" borderId="0" xfId="0" applyFont="1" applyFill="1"/>
    <xf numFmtId="0" fontId="54" fillId="0" borderId="0" xfId="0" applyFont="1"/>
    <xf numFmtId="0" fontId="53" fillId="0" borderId="0" xfId="0" applyFont="1"/>
    <xf numFmtId="0" fontId="16" fillId="0" borderId="0" xfId="0" applyFont="1"/>
    <xf numFmtId="0" fontId="16" fillId="0" borderId="0" xfId="0" applyFont="1" applyAlignment="1">
      <alignment horizontal="center"/>
    </xf>
    <xf numFmtId="166" fontId="16" fillId="47" borderId="14" xfId="46" applyNumberFormat="1" applyFont="1" applyFill="1"/>
    <xf numFmtId="0" fontId="49" fillId="0" borderId="0" xfId="72" applyFont="1" applyFill="1" applyBorder="1" applyAlignment="1">
      <alignment horizontal="left" vertical="center"/>
    </xf>
    <xf numFmtId="0" fontId="0" fillId="0" borderId="0" xfId="0" applyFill="1" applyBorder="1"/>
    <xf numFmtId="0" fontId="13" fillId="0" borderId="0" xfId="45" applyFont="1" applyFill="1" applyBorder="1"/>
    <xf numFmtId="0" fontId="16" fillId="0" borderId="0" xfId="0" applyFont="1" applyFill="1" applyAlignment="1" applyProtection="1">
      <alignment horizontal="left" vertical="center"/>
    </xf>
    <xf numFmtId="0" fontId="2" fillId="0" borderId="0" xfId="0" applyFont="1" applyAlignment="1">
      <alignment horizontal="left" indent="1"/>
    </xf>
    <xf numFmtId="0" fontId="0" fillId="0" borderId="0" xfId="0" applyAlignment="1">
      <alignment horizontal="left" indent="1"/>
    </xf>
    <xf numFmtId="0" fontId="0" fillId="33" borderId="14" xfId="46" applyFont="1"/>
    <xf numFmtId="166" fontId="0" fillId="33" borderId="14" xfId="46" applyNumberFormat="1" applyFont="1"/>
    <xf numFmtId="0" fontId="35" fillId="33" borderId="14" xfId="46" applyNumberFormat="1" applyFont="1" applyAlignment="1">
      <alignment horizontal="center"/>
    </xf>
    <xf numFmtId="0" fontId="56" fillId="0" borderId="0" xfId="0" applyFont="1"/>
    <xf numFmtId="166" fontId="16" fillId="49" borderId="14" xfId="46" applyNumberFormat="1" applyFont="1" applyFill="1"/>
    <xf numFmtId="0" fontId="45" fillId="0" borderId="0" xfId="0" applyFont="1"/>
    <xf numFmtId="0" fontId="43" fillId="0" borderId="0" xfId="0" applyFont="1" applyAlignment="1">
      <alignment horizontal="left" indent="1"/>
    </xf>
    <xf numFmtId="166" fontId="35" fillId="0" borderId="0" xfId="0" applyNumberFormat="1" applyFont="1" applyBorder="1"/>
    <xf numFmtId="0" fontId="2" fillId="33" borderId="14" xfId="46" applyNumberFormat="1" applyFont="1"/>
    <xf numFmtId="0" fontId="34" fillId="0" borderId="0" xfId="0" applyFont="1" applyAlignment="1">
      <alignment horizontal="left"/>
    </xf>
    <xf numFmtId="166" fontId="53" fillId="0" borderId="0" xfId="0" applyNumberFormat="1" applyFont="1"/>
    <xf numFmtId="0" fontId="42" fillId="0" borderId="0" xfId="0" applyFont="1" applyFill="1"/>
    <xf numFmtId="0" fontId="35" fillId="0" borderId="0" xfId="0" applyFont="1" applyFill="1" applyBorder="1"/>
    <xf numFmtId="0" fontId="43" fillId="0" borderId="0" xfId="0" applyFont="1" applyAlignment="1">
      <alignment horizontal="left"/>
    </xf>
    <xf numFmtId="166" fontId="2" fillId="47" borderId="14" xfId="46" applyNumberFormat="1" applyFont="1" applyFill="1"/>
    <xf numFmtId="0" fontId="35" fillId="0" borderId="0" xfId="0" applyFont="1" applyFill="1"/>
    <xf numFmtId="0" fontId="57" fillId="0" borderId="0" xfId="0" applyFont="1"/>
    <xf numFmtId="166" fontId="35" fillId="0" borderId="0" xfId="0" applyNumberFormat="1" applyFont="1" applyFill="1" applyBorder="1"/>
    <xf numFmtId="166" fontId="2" fillId="0" borderId="0" xfId="0" applyNumberFormat="1" applyFont="1" applyFill="1"/>
    <xf numFmtId="0" fontId="35" fillId="0" borderId="0" xfId="0" applyFont="1" applyAlignment="1">
      <alignment horizontal="left" indent="1"/>
    </xf>
    <xf numFmtId="166" fontId="48" fillId="0" borderId="0" xfId="0" applyNumberFormat="1" applyFont="1"/>
    <xf numFmtId="0" fontId="2" fillId="47" borderId="14" xfId="46" applyNumberFormat="1" applyFont="1" applyFill="1"/>
    <xf numFmtId="1" fontId="40" fillId="0" borderId="0" xfId="0" applyNumberFormat="1" applyFont="1" applyFill="1" applyBorder="1" applyAlignment="1" applyProtection="1">
      <alignment horizontal="center"/>
    </xf>
    <xf numFmtId="164" fontId="35" fillId="0" borderId="0" xfId="0" applyNumberFormat="1" applyFont="1" applyFill="1" applyBorder="1"/>
    <xf numFmtId="164" fontId="35" fillId="0" borderId="14" xfId="0" applyNumberFormat="1" applyFont="1" applyFill="1" applyBorder="1"/>
    <xf numFmtId="167" fontId="0" fillId="33" borderId="14" xfId="46" applyNumberFormat="1" applyFont="1"/>
    <xf numFmtId="0" fontId="16" fillId="0" borderId="0" xfId="0" applyFont="1" applyAlignment="1">
      <alignment horizontal="left" indent="1"/>
    </xf>
    <xf numFmtId="0" fontId="0" fillId="0" borderId="0" xfId="0" applyFill="1"/>
    <xf numFmtId="0" fontId="30" fillId="0" borderId="0" xfId="0" applyFont="1" applyAlignment="1">
      <alignment horizontal="center"/>
    </xf>
    <xf numFmtId="0" fontId="30" fillId="0" borderId="0" xfId="0" applyFont="1" applyFill="1" applyAlignment="1">
      <alignment horizontal="center"/>
    </xf>
    <xf numFmtId="166" fontId="35" fillId="49" borderId="14" xfId="46" applyNumberFormat="1" applyFont="1" applyFill="1"/>
    <xf numFmtId="165" fontId="0" fillId="0" borderId="0" xfId="0" applyNumberFormat="1" applyFill="1"/>
    <xf numFmtId="0" fontId="58" fillId="0" borderId="0" xfId="0" applyFont="1"/>
    <xf numFmtId="49" fontId="45" fillId="50" borderId="17" xfId="0" applyNumberFormat="1" applyFont="1" applyFill="1" applyBorder="1" applyAlignment="1">
      <alignment horizontal="left" vertical="center"/>
    </xf>
    <xf numFmtId="166" fontId="35" fillId="51" borderId="14" xfId="50" applyNumberFormat="1" applyFont="1" applyFill="1"/>
    <xf numFmtId="0" fontId="59" fillId="44" borderId="19" xfId="83" applyFont="1" applyFill="1" applyBorder="1" applyAlignment="1">
      <alignment vertical="center"/>
    </xf>
    <xf numFmtId="49" fontId="60" fillId="44" borderId="19" xfId="83" applyNumberFormat="1" applyFont="1" applyFill="1" applyBorder="1" applyAlignment="1"/>
    <xf numFmtId="0" fontId="49" fillId="44" borderId="19" xfId="83" applyFont="1" applyFill="1" applyBorder="1" applyAlignment="1">
      <alignment horizontal="left" vertical="center"/>
    </xf>
    <xf numFmtId="0" fontId="59" fillId="44" borderId="19" xfId="83" applyFont="1" applyFill="1" applyBorder="1" applyAlignment="1">
      <alignment horizontal="right" vertical="center"/>
    </xf>
    <xf numFmtId="0" fontId="59" fillId="44" borderId="0" xfId="83" applyFont="1" applyFill="1" applyBorder="1" applyAlignment="1">
      <alignment horizontal="right" vertical="center"/>
    </xf>
    <xf numFmtId="0" fontId="19" fillId="44" borderId="0" xfId="83" applyNumberFormat="1" applyFont="1" applyFill="1" applyBorder="1" applyAlignment="1">
      <alignment vertical="center"/>
    </xf>
    <xf numFmtId="1" fontId="61" fillId="44" borderId="19" xfId="83" applyNumberFormat="1" applyFont="1" applyFill="1" applyBorder="1" applyAlignment="1">
      <alignment horizontal="left" vertical="center"/>
    </xf>
    <xf numFmtId="0" fontId="16" fillId="0" borderId="0" xfId="83" applyNumberFormat="1" applyFont="1" applyFill="1" applyBorder="1" applyAlignment="1">
      <alignment vertical="center" shrinkToFit="1"/>
    </xf>
    <xf numFmtId="0" fontId="16" fillId="0" borderId="0" xfId="83" applyNumberFormat="1" applyFont="1" applyFill="1" applyBorder="1" applyAlignment="1">
      <alignment horizontal="center" vertical="center" shrinkToFit="1"/>
    </xf>
    <xf numFmtId="0" fontId="16" fillId="0" borderId="0" xfId="83" applyNumberFormat="1" applyFont="1" applyFill="1" applyBorder="1" applyAlignment="1">
      <alignment vertical="center"/>
    </xf>
    <xf numFmtId="0" fontId="16" fillId="0" borderId="0" xfId="83" applyFont="1" applyFill="1" applyBorder="1" applyAlignment="1" applyProtection="1">
      <alignment vertical="center"/>
    </xf>
    <xf numFmtId="0" fontId="16" fillId="0" borderId="0" xfId="83" applyFont="1" applyFill="1" applyAlignment="1" applyProtection="1">
      <alignment vertical="center"/>
    </xf>
    <xf numFmtId="0" fontId="16" fillId="0" borderId="0" xfId="83" applyFont="1" applyFill="1" applyBorder="1" applyAlignment="1" applyProtection="1">
      <alignment horizontal="left" vertical="center"/>
    </xf>
    <xf numFmtId="0" fontId="16" fillId="0" borderId="0" xfId="83" applyFont="1" applyFill="1" applyBorder="1" applyAlignment="1">
      <alignment horizontal="left" vertical="center"/>
    </xf>
    <xf numFmtId="0" fontId="16" fillId="0" borderId="0" xfId="83" applyFont="1" applyFill="1" applyBorder="1" applyAlignment="1">
      <alignment horizontal="left" vertical="center" shrinkToFit="1"/>
    </xf>
    <xf numFmtId="0" fontId="16" fillId="0" borderId="0" xfId="83" applyFont="1" applyFill="1" applyBorder="1" applyAlignment="1">
      <alignment horizontal="right" vertical="center"/>
    </xf>
    <xf numFmtId="0" fontId="16" fillId="0" borderId="0" xfId="83" applyFont="1" applyFill="1"/>
    <xf numFmtId="0" fontId="16" fillId="0" borderId="0" xfId="83" applyFont="1" applyFill="1" applyBorder="1"/>
    <xf numFmtId="0" fontId="16" fillId="0" borderId="0" xfId="83" applyFont="1"/>
    <xf numFmtId="1" fontId="16" fillId="0" borderId="0" xfId="84" applyNumberFormat="1" applyFont="1" applyFill="1" applyBorder="1" applyAlignment="1" applyProtection="1">
      <alignment vertical="center"/>
    </xf>
    <xf numFmtId="1" fontId="16" fillId="0" borderId="0" xfId="84" applyNumberFormat="1" applyFont="1" applyFill="1" applyAlignment="1" applyProtection="1">
      <alignment vertical="center"/>
    </xf>
    <xf numFmtId="1" fontId="16" fillId="0" borderId="0" xfId="84" applyNumberFormat="1" applyFont="1" applyFill="1" applyBorder="1" applyAlignment="1" applyProtection="1">
      <alignment horizontal="left" vertical="center"/>
    </xf>
    <xf numFmtId="1" fontId="45" fillId="0" borderId="0" xfId="83" applyNumberFormat="1" applyFont="1" applyFill="1" applyBorder="1" applyAlignment="1" applyProtection="1">
      <alignment horizontal="left" vertical="center"/>
    </xf>
    <xf numFmtId="1" fontId="40" fillId="0" borderId="19" xfId="85" applyNumberFormat="1" applyFont="1" applyFill="1" applyBorder="1" applyAlignment="1" applyProtection="1">
      <alignment horizontal="center"/>
    </xf>
    <xf numFmtId="1" fontId="41" fillId="43" borderId="19" xfId="85" applyNumberFormat="1" applyFont="1" applyFill="1" applyBorder="1" applyAlignment="1" applyProtection="1">
      <alignment horizontal="center"/>
    </xf>
    <xf numFmtId="1" fontId="62" fillId="0" borderId="0" xfId="83" applyNumberFormat="1" applyFont="1" applyFill="1" applyBorder="1" applyAlignment="1" applyProtection="1">
      <alignment horizontal="left" vertical="center"/>
      <protection hidden="1"/>
    </xf>
    <xf numFmtId="1" fontId="43" fillId="0" borderId="0" xfId="83" applyNumberFormat="1" applyFont="1" applyFill="1" applyBorder="1" applyAlignment="1" applyProtection="1">
      <alignment horizontal="right" vertical="center"/>
      <protection hidden="1"/>
    </xf>
    <xf numFmtId="0" fontId="43" fillId="0" borderId="0" xfId="83" applyFont="1" applyFill="1" applyAlignment="1">
      <alignment horizontal="left" vertical="center"/>
    </xf>
    <xf numFmtId="0" fontId="2" fillId="0" borderId="0" xfId="85" applyFont="1"/>
    <xf numFmtId="1" fontId="62" fillId="0" borderId="0" xfId="83" applyNumberFormat="1" applyFont="1" applyFill="1" applyBorder="1" applyAlignment="1" applyProtection="1">
      <alignment horizontal="right" vertical="center"/>
      <protection hidden="1"/>
    </xf>
    <xf numFmtId="1" fontId="16" fillId="0" borderId="0" xfId="83" applyNumberFormat="1" applyFont="1" applyFill="1" applyBorder="1" applyAlignment="1" applyProtection="1">
      <alignment horizontal="right" vertical="center"/>
      <protection hidden="1"/>
    </xf>
    <xf numFmtId="0" fontId="42" fillId="0" borderId="0" xfId="85" applyFont="1" applyAlignment="1">
      <alignment horizontal="center"/>
    </xf>
    <xf numFmtId="1" fontId="62" fillId="0" borderId="0" xfId="84" applyNumberFormat="1" applyFont="1" applyFill="1" applyBorder="1" applyAlignment="1" applyProtection="1">
      <alignment vertical="center"/>
    </xf>
    <xf numFmtId="164" fontId="16" fillId="46" borderId="20" xfId="85" applyNumberFormat="1" applyFont="1" applyFill="1" applyBorder="1" applyAlignment="1">
      <alignment horizontal="right" vertical="center"/>
    </xf>
    <xf numFmtId="0" fontId="62" fillId="0" borderId="0" xfId="83" applyFont="1" applyFill="1" applyBorder="1" applyAlignment="1" applyProtection="1">
      <alignment vertical="center"/>
    </xf>
    <xf numFmtId="0" fontId="43" fillId="0" borderId="0" xfId="83" applyFont="1" applyFill="1" applyBorder="1" applyAlignment="1" applyProtection="1">
      <alignment horizontal="left" vertical="center"/>
    </xf>
    <xf numFmtId="0" fontId="16" fillId="0" borderId="0" xfId="83" applyFont="1" applyFill="1" applyAlignment="1" applyProtection="1">
      <alignment horizontal="right" vertical="center"/>
    </xf>
    <xf numFmtId="49" fontId="44" fillId="45" borderId="18" xfId="85" applyNumberFormat="1" applyFont="1" applyFill="1" applyBorder="1" applyAlignment="1">
      <alignment horizontal="right" vertical="center"/>
    </xf>
    <xf numFmtId="49" fontId="44" fillId="45" borderId="19" xfId="85" applyNumberFormat="1" applyFont="1" applyFill="1" applyBorder="1" applyAlignment="1">
      <alignment horizontal="right" vertical="center"/>
    </xf>
    <xf numFmtId="0" fontId="44" fillId="45" borderId="19" xfId="85" applyFont="1" applyFill="1" applyBorder="1" applyAlignment="1">
      <alignment horizontal="left" vertical="center"/>
    </xf>
    <xf numFmtId="0" fontId="45" fillId="45" borderId="19" xfId="85" applyFont="1" applyFill="1" applyBorder="1" applyAlignment="1">
      <alignment horizontal="left" vertical="center"/>
    </xf>
    <xf numFmtId="164" fontId="16" fillId="46" borderId="20" xfId="83" applyNumberFormat="1" applyFont="1" applyFill="1" applyBorder="1" applyAlignment="1">
      <alignment horizontal="right" vertical="center"/>
    </xf>
    <xf numFmtId="0" fontId="16" fillId="0" borderId="0" xfId="83" applyFont="1" applyFill="1" applyAlignment="1">
      <alignment horizontal="left" vertical="center" indent="1"/>
    </xf>
    <xf numFmtId="168" fontId="16" fillId="47" borderId="20" xfId="83" applyNumberFormat="1" applyFont="1" applyFill="1" applyBorder="1" applyAlignment="1" applyProtection="1">
      <alignment horizontal="right" vertical="center"/>
    </xf>
    <xf numFmtId="0" fontId="16" fillId="0" borderId="0" xfId="83" applyFont="1" applyFill="1" applyAlignment="1">
      <alignment shrinkToFit="1"/>
    </xf>
    <xf numFmtId="168" fontId="16" fillId="0" borderId="23" xfId="83" applyNumberFormat="1" applyFont="1" applyFill="1" applyBorder="1" applyAlignment="1" applyProtection="1">
      <alignment horizontal="right" vertical="center"/>
    </xf>
    <xf numFmtId="10" fontId="16" fillId="0" borderId="0" xfId="84" applyNumberFormat="1" applyFont="1" applyFill="1" applyAlignment="1" applyProtection="1">
      <alignment vertical="center"/>
    </xf>
    <xf numFmtId="10" fontId="16" fillId="0" borderId="0" xfId="84" applyNumberFormat="1" applyFont="1" applyFill="1" applyBorder="1" applyAlignment="1" applyProtection="1">
      <alignment horizontal="left" vertical="center"/>
    </xf>
    <xf numFmtId="10" fontId="16" fillId="0" borderId="0" xfId="84" applyNumberFormat="1" applyFont="1" applyFill="1" applyBorder="1" applyAlignment="1" applyProtection="1">
      <alignment vertical="center"/>
    </xf>
    <xf numFmtId="167" fontId="16" fillId="47" borderId="20" xfId="84" applyNumberFormat="1" applyFont="1" applyFill="1" applyBorder="1" applyProtection="1"/>
    <xf numFmtId="10" fontId="62" fillId="0" borderId="0" xfId="84" applyNumberFormat="1" applyFont="1" applyFill="1" applyBorder="1" applyAlignment="1" applyProtection="1">
      <alignment vertical="center"/>
    </xf>
    <xf numFmtId="167" fontId="16" fillId="0" borderId="0" xfId="84" applyNumberFormat="1" applyFont="1" applyFill="1" applyBorder="1" applyProtection="1"/>
    <xf numFmtId="167" fontId="16" fillId="0" borderId="0" xfId="84" applyNumberFormat="1" applyFont="1" applyFill="1" applyBorder="1" applyAlignment="1" applyProtection="1">
      <alignment horizontal="center"/>
    </xf>
    <xf numFmtId="168" fontId="16" fillId="0" borderId="0" xfId="83" applyNumberFormat="1" applyFont="1" applyAlignment="1">
      <alignment horizontal="right"/>
    </xf>
    <xf numFmtId="0" fontId="62" fillId="0" borderId="0" xfId="83" applyFont="1"/>
    <xf numFmtId="168" fontId="16" fillId="0" borderId="23" xfId="83" applyNumberFormat="1" applyFont="1" applyFill="1" applyBorder="1" applyAlignment="1">
      <alignment horizontal="right" vertical="center"/>
    </xf>
    <xf numFmtId="0" fontId="43" fillId="0" borderId="0" xfId="85" applyFont="1" applyFill="1" applyBorder="1" applyAlignment="1" applyProtection="1">
      <alignment vertical="center"/>
    </xf>
    <xf numFmtId="0" fontId="16" fillId="0" borderId="0" xfId="85" applyFont="1" applyFill="1" applyBorder="1" applyAlignment="1" applyProtection="1">
      <alignment horizontal="left" vertical="center" indent="1"/>
    </xf>
    <xf numFmtId="167" fontId="16" fillId="47" borderId="20" xfId="83" applyNumberFormat="1" applyFont="1" applyFill="1" applyBorder="1" applyAlignment="1" applyProtection="1">
      <alignment horizontal="right" vertical="center"/>
      <protection locked="0"/>
    </xf>
    <xf numFmtId="167" fontId="16" fillId="0" borderId="0" xfId="83" applyNumberFormat="1" applyFont="1" applyFill="1" applyBorder="1" applyAlignment="1" applyProtection="1">
      <alignment horizontal="left" vertical="center"/>
    </xf>
    <xf numFmtId="0" fontId="16" fillId="0" borderId="0" xfId="83" applyFont="1" applyFill="1" applyBorder="1" applyAlignment="1" applyProtection="1">
      <alignment horizontal="left" vertical="center" indent="1"/>
    </xf>
    <xf numFmtId="167" fontId="16" fillId="0" borderId="0" xfId="83" applyNumberFormat="1" applyFont="1" applyFill="1" applyBorder="1" applyAlignment="1" applyProtection="1">
      <alignment horizontal="right" vertical="center"/>
    </xf>
    <xf numFmtId="1" fontId="43" fillId="0" borderId="0" xfId="84" applyNumberFormat="1" applyFont="1" applyFill="1" applyAlignment="1" applyProtection="1">
      <alignment vertical="center"/>
    </xf>
    <xf numFmtId="10" fontId="16" fillId="0" borderId="0" xfId="83" applyNumberFormat="1" applyFont="1" applyFill="1" applyAlignment="1">
      <alignment shrinkToFit="1"/>
    </xf>
    <xf numFmtId="10" fontId="16" fillId="0" borderId="0" xfId="83" applyNumberFormat="1" applyFont="1" applyFill="1" applyAlignment="1">
      <alignment horizontal="left" vertical="center"/>
    </xf>
    <xf numFmtId="1" fontId="16" fillId="0" borderId="0" xfId="73" applyNumberFormat="1" applyFont="1" applyFill="1" applyAlignment="1" applyProtection="1">
      <alignment horizontal="left" vertical="center" indent="1"/>
    </xf>
    <xf numFmtId="0" fontId="43" fillId="54" borderId="22" xfId="83" applyFont="1" applyFill="1" applyBorder="1"/>
    <xf numFmtId="0" fontId="16" fillId="54" borderId="22" xfId="83" applyFont="1" applyFill="1" applyBorder="1"/>
    <xf numFmtId="0" fontId="16" fillId="54" borderId="22" xfId="83" applyFont="1" applyFill="1" applyBorder="1" applyAlignment="1"/>
    <xf numFmtId="0" fontId="62" fillId="54" borderId="22" xfId="83" applyFont="1" applyFill="1" applyBorder="1"/>
    <xf numFmtId="0" fontId="0" fillId="0" borderId="0" xfId="0" applyFont="1"/>
    <xf numFmtId="166" fontId="44" fillId="45" borderId="19" xfId="0" applyNumberFormat="1" applyFont="1" applyFill="1" applyBorder="1" applyAlignment="1">
      <alignment horizontal="left" vertical="center"/>
    </xf>
    <xf numFmtId="166" fontId="0" fillId="0" borderId="0" xfId="0" applyNumberFormat="1"/>
    <xf numFmtId="0" fontId="0" fillId="33" borderId="14" xfId="46" applyFont="1" applyAlignment="1">
      <alignment horizontal="center"/>
    </xf>
    <xf numFmtId="0" fontId="68" fillId="0" borderId="0" xfId="0" applyFont="1"/>
    <xf numFmtId="0" fontId="49" fillId="44" borderId="19" xfId="72" applyFont="1" applyFill="1" applyBorder="1" applyAlignment="1">
      <alignment horizontal="center" vertical="center"/>
    </xf>
    <xf numFmtId="0" fontId="35" fillId="33" borderId="14" xfId="46" applyFont="1" applyAlignment="1">
      <alignment horizontal="center"/>
    </xf>
    <xf numFmtId="166" fontId="0" fillId="33" borderId="14" xfId="46" applyNumberFormat="1" applyFont="1" applyAlignment="1">
      <alignment horizontal="center"/>
    </xf>
    <xf numFmtId="165" fontId="35" fillId="49" borderId="14" xfId="46" applyNumberFormat="1" applyFont="1" applyFill="1" applyAlignment="1">
      <alignment horizontal="center"/>
    </xf>
    <xf numFmtId="0" fontId="35" fillId="0" borderId="14" xfId="0" applyFont="1" applyFill="1" applyBorder="1" applyAlignment="1">
      <alignment horizontal="center"/>
    </xf>
    <xf numFmtId="0" fontId="47" fillId="0" borderId="0" xfId="0" applyFont="1" applyAlignment="1">
      <alignment horizontal="center"/>
    </xf>
    <xf numFmtId="166" fontId="35" fillId="33" borderId="14" xfId="46" applyNumberFormat="1" applyFont="1" applyAlignment="1">
      <alignment horizontal="center"/>
    </xf>
    <xf numFmtId="0" fontId="55" fillId="0" borderId="0" xfId="0" applyFont="1" applyAlignment="1">
      <alignment horizontal="center"/>
    </xf>
    <xf numFmtId="165" fontId="35" fillId="47" borderId="14" xfId="46" applyNumberFormat="1" applyFont="1" applyFill="1" applyAlignment="1">
      <alignment horizontal="center"/>
    </xf>
    <xf numFmtId="166" fontId="35" fillId="47" borderId="14" xfId="46" applyNumberFormat="1" applyFont="1" applyFill="1" applyAlignment="1">
      <alignment horizontal="center"/>
    </xf>
    <xf numFmtId="0" fontId="42" fillId="48" borderId="22" xfId="0" applyFont="1" applyFill="1" applyBorder="1" applyAlignment="1">
      <alignment horizontal="center"/>
    </xf>
    <xf numFmtId="0" fontId="2" fillId="33" borderId="14" xfId="46" applyFont="1" applyAlignment="1">
      <alignment horizontal="center"/>
    </xf>
    <xf numFmtId="166" fontId="35" fillId="49" borderId="14" xfId="46" applyNumberFormat="1" applyFont="1" applyFill="1" applyAlignment="1">
      <alignment horizontal="center"/>
    </xf>
    <xf numFmtId="0" fontId="69" fillId="44" borderId="19" xfId="72" applyFont="1" applyFill="1" applyBorder="1" applyAlignment="1">
      <alignment horizontal="left" vertical="center"/>
    </xf>
    <xf numFmtId="0" fontId="70" fillId="45" borderId="19" xfId="0" applyFont="1" applyFill="1" applyBorder="1" applyAlignment="1">
      <alignment horizontal="left" vertical="center"/>
    </xf>
    <xf numFmtId="0" fontId="70" fillId="50" borderId="19" xfId="0" applyFont="1" applyFill="1" applyBorder="1" applyAlignment="1">
      <alignment horizontal="left" vertical="center"/>
    </xf>
    <xf numFmtId="0" fontId="70" fillId="36" borderId="19" xfId="0" applyFont="1" applyFill="1" applyBorder="1" applyAlignment="1">
      <alignment horizontal="left" vertical="center"/>
    </xf>
    <xf numFmtId="0" fontId="68" fillId="0" borderId="0" xfId="0" applyFont="1" applyAlignment="1">
      <alignment horizontal="left" indent="1"/>
    </xf>
    <xf numFmtId="0" fontId="71" fillId="48" borderId="22" xfId="0" applyFont="1" applyFill="1" applyBorder="1"/>
    <xf numFmtId="49" fontId="70" fillId="50" borderId="17" xfId="0" applyNumberFormat="1" applyFont="1" applyFill="1" applyBorder="1" applyAlignment="1">
      <alignment horizontal="right" vertical="center"/>
    </xf>
    <xf numFmtId="43" fontId="35" fillId="0" borderId="0" xfId="0" applyNumberFormat="1" applyFont="1"/>
    <xf numFmtId="166" fontId="2" fillId="0" borderId="0" xfId="0" applyNumberFormat="1" applyFont="1"/>
    <xf numFmtId="0" fontId="69" fillId="44" borderId="19" xfId="72" applyFont="1" applyFill="1" applyBorder="1" applyAlignment="1">
      <alignment horizontal="center" vertical="center"/>
    </xf>
    <xf numFmtId="0" fontId="37" fillId="0" borderId="0" xfId="0" applyFont="1" applyAlignment="1">
      <alignment horizontal="center"/>
    </xf>
    <xf numFmtId="0" fontId="0" fillId="48" borderId="22" xfId="0" applyFill="1" applyBorder="1"/>
    <xf numFmtId="0" fontId="37" fillId="48" borderId="21" xfId="0" applyFont="1" applyFill="1" applyBorder="1"/>
    <xf numFmtId="166" fontId="0" fillId="0" borderId="0" xfId="0" applyNumberFormat="1" applyFill="1"/>
    <xf numFmtId="166" fontId="0" fillId="33" borderId="14" xfId="46" applyNumberFormat="1" applyFont="1" applyAlignment="1">
      <alignment wrapText="1"/>
    </xf>
    <xf numFmtId="169" fontId="35" fillId="0" borderId="0" xfId="0" applyNumberFormat="1" applyFont="1"/>
    <xf numFmtId="0" fontId="47" fillId="0" borderId="0" xfId="0" applyFont="1" applyBorder="1"/>
    <xf numFmtId="170" fontId="35" fillId="0" borderId="0" xfId="0" applyNumberFormat="1" applyFont="1"/>
    <xf numFmtId="0" fontId="13" fillId="0" borderId="0" xfId="45" applyFont="1" applyAlignment="1">
      <alignment horizontal="center"/>
    </xf>
    <xf numFmtId="164" fontId="16" fillId="46" borderId="20" xfId="0" applyNumberFormat="1" applyFont="1" applyFill="1" applyBorder="1" applyAlignment="1">
      <alignment horizontal="center" vertical="center"/>
    </xf>
    <xf numFmtId="49" fontId="44" fillId="45" borderId="18" xfId="0" applyNumberFormat="1" applyFont="1" applyFill="1" applyBorder="1" applyAlignment="1">
      <alignment horizontal="center" vertical="center"/>
    </xf>
    <xf numFmtId="49" fontId="44" fillId="45" borderId="17" xfId="0" applyNumberFormat="1" applyFont="1" applyFill="1" applyBorder="1" applyAlignment="1">
      <alignment horizontal="center" vertical="center"/>
    </xf>
    <xf numFmtId="49" fontId="44" fillId="50" borderId="18" xfId="0" applyNumberFormat="1" applyFont="1" applyFill="1" applyBorder="1" applyAlignment="1">
      <alignment horizontal="center" vertical="center"/>
    </xf>
    <xf numFmtId="49" fontId="44" fillId="50" borderId="17" xfId="0" applyNumberFormat="1" applyFont="1" applyFill="1" applyBorder="1" applyAlignment="1">
      <alignment horizontal="center" vertical="center"/>
    </xf>
    <xf numFmtId="0" fontId="52" fillId="0" borderId="0" xfId="0" applyFont="1" applyAlignment="1">
      <alignment horizontal="center"/>
    </xf>
    <xf numFmtId="49" fontId="44" fillId="36" borderId="18" xfId="0" applyNumberFormat="1" applyFont="1" applyFill="1" applyBorder="1" applyAlignment="1">
      <alignment horizontal="center" vertical="center"/>
    </xf>
    <xf numFmtId="49" fontId="44" fillId="36" borderId="17" xfId="0" applyNumberFormat="1" applyFont="1" applyFill="1" applyBorder="1" applyAlignment="1">
      <alignment horizontal="center" vertical="center"/>
    </xf>
    <xf numFmtId="0" fontId="42" fillId="48" borderId="21" xfId="0" applyFont="1" applyFill="1" applyBorder="1" applyAlignment="1">
      <alignment horizontal="center"/>
    </xf>
    <xf numFmtId="171" fontId="35" fillId="47" borderId="14" xfId="46" applyNumberFormat="1" applyFont="1" applyFill="1"/>
    <xf numFmtId="171" fontId="0" fillId="0" borderId="0" xfId="0" applyNumberFormat="1" applyFill="1"/>
    <xf numFmtId="171" fontId="0" fillId="0" borderId="0" xfId="0" applyNumberFormat="1"/>
    <xf numFmtId="0" fontId="54" fillId="0" borderId="0" xfId="0" applyFont="1" applyAlignment="1">
      <alignment vertical="top" wrapText="1"/>
    </xf>
    <xf numFmtId="165" fontId="16" fillId="53" borderId="20" xfId="83" applyNumberFormat="1" applyFont="1" applyFill="1" applyBorder="1" applyAlignment="1">
      <alignment horizontal="right"/>
    </xf>
    <xf numFmtId="166" fontId="16" fillId="0" borderId="23" xfId="83" applyNumberFormat="1" applyFont="1" applyFill="1" applyBorder="1" applyAlignment="1">
      <alignment horizontal="right" vertical="center"/>
    </xf>
    <xf numFmtId="0" fontId="35" fillId="0" borderId="0" xfId="0" applyFont="1" applyFill="1" applyAlignment="1">
      <alignment horizontal="center"/>
    </xf>
    <xf numFmtId="0" fontId="2" fillId="0" borderId="0" xfId="0" applyFont="1" applyFill="1" applyAlignment="1">
      <alignment horizontal="center"/>
    </xf>
    <xf numFmtId="0" fontId="52" fillId="0" borderId="0" xfId="0" applyFont="1" applyFill="1" applyAlignment="1">
      <alignment horizontal="center"/>
    </xf>
    <xf numFmtId="0" fontId="0" fillId="0" borderId="0" xfId="0" applyFill="1" applyAlignment="1">
      <alignment horizontal="center"/>
    </xf>
    <xf numFmtId="0" fontId="16" fillId="0" borderId="0" xfId="0" applyFont="1" applyFill="1" applyAlignment="1">
      <alignment horizontal="center"/>
    </xf>
    <xf numFmtId="0" fontId="16" fillId="0" borderId="0" xfId="0" applyFont="1" applyFill="1" applyAlignment="1">
      <alignment horizontal="left" indent="1"/>
    </xf>
    <xf numFmtId="0" fontId="47" fillId="0" borderId="0" xfId="0" applyFont="1" applyFill="1"/>
    <xf numFmtId="0" fontId="48" fillId="0" borderId="0" xfId="0" applyFont="1" applyFill="1"/>
    <xf numFmtId="49" fontId="44" fillId="59" borderId="18" xfId="0" applyNumberFormat="1" applyFont="1" applyFill="1" applyBorder="1" applyAlignment="1">
      <alignment horizontal="right" vertical="center"/>
    </xf>
    <xf numFmtId="49" fontId="44" fillId="59" borderId="17" xfId="0" applyNumberFormat="1" applyFont="1" applyFill="1" applyBorder="1" applyAlignment="1">
      <alignment horizontal="right" vertical="center"/>
    </xf>
    <xf numFmtId="0" fontId="44" fillId="59" borderId="19" xfId="0" applyFont="1" applyFill="1" applyBorder="1" applyAlignment="1">
      <alignment horizontal="left" vertical="center"/>
    </xf>
  </cellXfs>
  <cellStyles count="110">
    <cellStyle name="%" xfId="74"/>
    <cellStyle name="]_x000d__x000a_Zoomed=1_x000d__x000a_Row=0_x000d__x000a_Column=0_x000d__x000a_Height=0_x000d__x000a_Width=0_x000d__x000a_FontName=FoxFont_x000d__x000a_FontStyle=0_x000d__x000a_FontSize=9_x000d__x000a_PrtFontName=FoxPrin" xfId="86"/>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Att1" xfId="87"/>
    <cellStyle name="Bad" xfId="6" builtinId="27" customBuiltin="1"/>
    <cellStyle name="BM CheckSum" xfId="4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88"/>
    <cellStyle name="boldbluetxt_green" xfId="89"/>
    <cellStyle name="box" xfId="90"/>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heck Cell" xfId="12" builtinId="23" customBuiltin="1"/>
    <cellStyle name="Comma 2" xfId="75"/>
    <cellStyle name="Comma 3" xfId="76"/>
    <cellStyle name="Comma 3 2" xfId="91"/>
    <cellStyle name="Comma 5" xfId="77"/>
    <cellStyle name="Error" xfId="61"/>
    <cellStyle name="Explanatory Text" xfId="14" builtinId="53" customBuiltin="1"/>
    <cellStyle name="False" xfId="62"/>
    <cellStyle name="Fountain Col Header" xfId="92"/>
    <cellStyle name="Fountain Input" xfId="93"/>
    <cellStyle name="Fountain Input 2" xfId="94"/>
    <cellStyle name="Fountain Table Header" xfId="95"/>
    <cellStyle name="Fountain Text" xfId="96"/>
    <cellStyle name="Fountain Text 2" xfId="97"/>
    <cellStyle name="Fountain Text 4" xfId="98"/>
    <cellStyle name="Good" xfId="5" builtinId="26" customBuiltin="1"/>
    <cellStyle name="Header" xfId="99"/>
    <cellStyle name="Header3rdlevel" xfId="100"/>
    <cellStyle name="Heading 1" xfId="1" builtinId="16" customBuiltin="1"/>
    <cellStyle name="Heading 2" xfId="2" builtinId="17" customBuiltin="1"/>
    <cellStyle name="Heading 3" xfId="3" builtinId="18" customBuiltin="1"/>
    <cellStyle name="Heading 4" xfId="4" builtinId="19" customBuiltin="1"/>
    <cellStyle name="Hyperlink 2" xfId="101"/>
    <cellStyle name="In Development" xfId="63"/>
    <cellStyle name="Input" xfId="8" builtinId="20" customBuiltin="1"/>
    <cellStyle name="Linked Cell" xfId="11" builtinId="24" customBuiltin="1"/>
    <cellStyle name="Neutral" xfId="7" builtinId="28" customBuiltin="1"/>
    <cellStyle name="NJS" xfId="102"/>
    <cellStyle name="No Error" xfId="64"/>
    <cellStyle name="Normal" xfId="0" builtinId="0" customBuiltin="1"/>
    <cellStyle name="Normal 2" xfId="65"/>
    <cellStyle name="Normal 2 2" xfId="66"/>
    <cellStyle name="Normal 2 3" xfId="103"/>
    <cellStyle name="Normal 3" xfId="67"/>
    <cellStyle name="Normal 3 2" xfId="104"/>
    <cellStyle name="Normal 4" xfId="72"/>
    <cellStyle name="Normal 4 2" xfId="78"/>
    <cellStyle name="Normal 4 2 2" xfId="83"/>
    <cellStyle name="Normal 5" xfId="79"/>
    <cellStyle name="Normal 5 2" xfId="105"/>
    <cellStyle name="Normal 6" xfId="80"/>
    <cellStyle name="Normal 7" xfId="106"/>
    <cellStyle name="Normal 8" xfId="107"/>
    <cellStyle name="Normal 9" xfId="85"/>
    <cellStyle name="Note 2" xfId="68"/>
    <cellStyle name="Output" xfId="9" builtinId="21" customBuiltin="1"/>
    <cellStyle name="Percent 2" xfId="73"/>
    <cellStyle name="Percent 2 2" xfId="84"/>
    <cellStyle name="Percent 3" xfId="81"/>
    <cellStyle name="Percent 4 2" xfId="82"/>
    <cellStyle name="Style 1" xfId="69"/>
    <cellStyle name="Total" xfId="15" builtinId="25" customBuiltin="1"/>
    <cellStyle name="True" xfId="70"/>
    <cellStyle name="Unique Formula" xfId="71"/>
    <cellStyle name="Warning Text" xfId="13" builtinId="11" customBuiltin="1"/>
    <cellStyle name="white_text_on_blue" xfId="108"/>
    <cellStyle name="year_formats_pink" xfId="109"/>
  </cellStyles>
  <dxfs count="91">
    <dxf>
      <font>
        <b val="0"/>
        <i val="0"/>
        <strike val="0"/>
        <color rgb="FFFFC000"/>
      </font>
      <fill>
        <patternFill>
          <bgColor rgb="FFFFC000"/>
        </patternFill>
      </fill>
    </dxf>
    <dxf>
      <font>
        <b val="0"/>
        <i val="0"/>
        <strike val="0"/>
        <color rgb="FF92D050"/>
      </font>
      <fill>
        <patternFill>
          <bgColor rgb="FF92D05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i val="0"/>
        <color rgb="FFFF0000"/>
      </font>
      <fill>
        <patternFill>
          <bgColor rgb="FFFF0000"/>
        </patternFill>
      </fill>
    </dxf>
    <dxf>
      <font>
        <b/>
        <i val="0"/>
        <color rgb="FF92D050"/>
      </font>
      <fill>
        <patternFill>
          <bgColor rgb="FF92D050"/>
        </patternFill>
      </fill>
    </dxf>
    <dxf>
      <font>
        <b/>
        <i val="0"/>
        <color rgb="FFFF0000"/>
      </font>
      <fill>
        <patternFill>
          <bgColor rgb="FFFF0000"/>
        </patternFill>
      </fill>
    </dxf>
    <dxf>
      <font>
        <b/>
        <i val="0"/>
        <color rgb="FF92D050"/>
      </font>
      <fill>
        <patternFill>
          <bgColor rgb="FF92D050"/>
        </patternFill>
      </fill>
    </dxf>
    <dxf>
      <font>
        <color theme="0"/>
      </font>
      <fill>
        <patternFill>
          <bgColor rgb="FF0070C0"/>
        </patternFill>
      </fill>
    </dxf>
    <dxf>
      <font>
        <color theme="0"/>
      </font>
      <fill>
        <patternFill>
          <bgColor rgb="FF0070C0"/>
        </patternFill>
      </fill>
    </dxf>
    <dxf>
      <font>
        <b/>
        <i val="0"/>
        <color rgb="FFFF0000"/>
      </font>
      <fill>
        <patternFill>
          <bgColor rgb="FFFF0000"/>
        </patternFill>
      </fill>
    </dxf>
    <dxf>
      <font>
        <b/>
        <i val="0"/>
        <color rgb="FF92D050"/>
      </font>
      <fill>
        <patternFill>
          <bgColor rgb="FF92D050"/>
        </patternFill>
      </fill>
    </dxf>
    <dxf>
      <font>
        <b/>
        <i val="0"/>
        <color rgb="FFFF0000"/>
      </font>
      <fill>
        <patternFill>
          <bgColor rgb="FFFF0000"/>
        </patternFill>
      </fill>
    </dxf>
    <dxf>
      <font>
        <b/>
        <i val="0"/>
        <color rgb="FF92D050"/>
      </font>
      <fill>
        <patternFill>
          <bgColor rgb="FF92D050"/>
        </patternFill>
      </fill>
    </dxf>
    <dxf>
      <font>
        <b/>
        <i val="0"/>
        <color rgb="FFFF0000"/>
      </font>
      <fill>
        <patternFill>
          <bgColor rgb="FFFF0000"/>
        </patternFill>
      </fill>
    </dxf>
    <dxf>
      <font>
        <b/>
        <i val="0"/>
        <color rgb="FF92D050"/>
      </font>
      <fill>
        <patternFill>
          <bgColor rgb="FF92D050"/>
        </patternFill>
      </fill>
    </dxf>
    <dxf>
      <font>
        <b/>
        <i val="0"/>
        <color rgb="FFFF0000"/>
      </font>
      <fill>
        <patternFill>
          <bgColor rgb="FFFF0000"/>
        </patternFill>
      </fill>
    </dxf>
    <dxf>
      <font>
        <b/>
        <i val="0"/>
        <color rgb="FF92D050"/>
      </font>
      <fill>
        <patternFill>
          <bgColor rgb="FF92D05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i val="0"/>
        <color rgb="FFFF0000"/>
      </font>
      <fill>
        <patternFill>
          <bgColor rgb="FFFF0000"/>
        </patternFill>
      </fill>
    </dxf>
    <dxf>
      <font>
        <b/>
        <i val="0"/>
        <color rgb="FF92D050"/>
      </font>
      <fill>
        <patternFill>
          <bgColor rgb="FF92D050"/>
        </patternFill>
      </fill>
    </dxf>
    <dxf>
      <font>
        <b/>
        <i val="0"/>
        <color rgb="FFFF0000"/>
      </font>
      <fill>
        <patternFill>
          <bgColor rgb="FFFF0000"/>
        </patternFill>
      </fill>
    </dxf>
    <dxf>
      <font>
        <b/>
        <i val="0"/>
        <color rgb="FF92D050"/>
      </font>
      <fill>
        <patternFill>
          <bgColor rgb="FF92D05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i val="0"/>
        <color rgb="FFFF0000"/>
      </font>
      <fill>
        <patternFill>
          <bgColor rgb="FFFF0000"/>
        </patternFill>
      </fill>
    </dxf>
    <dxf>
      <font>
        <b/>
        <i val="0"/>
        <color rgb="FF92D050"/>
      </font>
      <fill>
        <patternFill>
          <bgColor rgb="FF92D050"/>
        </patternFill>
      </fill>
    </dxf>
    <dxf>
      <font>
        <color theme="0"/>
      </font>
      <fill>
        <patternFill>
          <bgColor rgb="FF0070C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sheetPr>
  <dimension ref="A1:X15"/>
  <sheetViews>
    <sheetView showGridLines="0" showRowColHeaders="0" tabSelected="1" zoomScale="80" zoomScaleNormal="80" workbookViewId="0"/>
  </sheetViews>
  <sheetFormatPr defaultColWidth="0" defaultRowHeight="12.75" customHeight="1" zeroHeight="1"/>
  <cols>
    <col min="1" max="2" width="8" style="62" customWidth="1"/>
    <col min="3" max="3" width="8" style="62"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61"/>
    </row>
    <row r="2" spans="1:24" ht="15">
      <c r="A2" s="63"/>
      <c r="B2" s="63"/>
      <c r="C2" s="63"/>
      <c r="D2" s="2"/>
      <c r="E2" s="2"/>
      <c r="F2" s="19"/>
      <c r="G2" s="19"/>
      <c r="H2" s="2"/>
      <c r="I2" s="2"/>
      <c r="J2" s="2"/>
      <c r="K2" s="2"/>
      <c r="L2" s="2"/>
      <c r="M2" s="2"/>
      <c r="N2" s="2"/>
      <c r="O2" s="19"/>
      <c r="P2" s="19"/>
      <c r="Q2" s="2"/>
      <c r="R2" s="2"/>
      <c r="S2" s="2"/>
      <c r="T2" s="2"/>
      <c r="U2" s="2"/>
      <c r="V2" s="2"/>
      <c r="W2" s="2"/>
      <c r="X2" s="2"/>
    </row>
    <row r="3" spans="1:24" ht="15" hidden="1">
      <c r="A3" s="63"/>
      <c r="B3" s="63"/>
      <c r="C3" s="63"/>
      <c r="D3" s="2"/>
      <c r="E3" s="2"/>
      <c r="F3" s="19"/>
      <c r="G3" s="19"/>
      <c r="H3" s="2"/>
      <c r="I3" s="2"/>
      <c r="J3" s="2"/>
      <c r="K3" s="2"/>
      <c r="L3" s="2"/>
      <c r="M3" s="2"/>
      <c r="N3" s="2"/>
      <c r="O3" s="19"/>
      <c r="P3" s="19"/>
      <c r="Q3" s="2"/>
      <c r="R3" s="2"/>
      <c r="S3" s="2"/>
      <c r="T3" s="2"/>
      <c r="U3" s="2"/>
      <c r="V3" s="2"/>
      <c r="W3" s="2"/>
      <c r="X3" s="2"/>
    </row>
    <row r="4" spans="1:24" ht="15" hidden="1">
      <c r="A4" s="63"/>
      <c r="B4" s="63"/>
      <c r="C4" s="63"/>
      <c r="D4" s="2"/>
      <c r="E4" s="2"/>
      <c r="F4" s="19"/>
      <c r="G4" s="19"/>
      <c r="H4" s="2"/>
      <c r="I4" s="2"/>
      <c r="J4" s="2"/>
      <c r="K4" s="2"/>
      <c r="L4" s="2"/>
      <c r="M4" s="2"/>
      <c r="N4" s="2"/>
      <c r="O4" s="19"/>
      <c r="P4" s="19"/>
      <c r="Q4" s="2"/>
      <c r="R4" s="2"/>
      <c r="S4" s="2"/>
      <c r="T4" s="2"/>
      <c r="U4" s="2"/>
      <c r="V4" s="2"/>
      <c r="W4" s="2"/>
      <c r="X4" s="2"/>
    </row>
    <row r="5" spans="1:24" ht="15" hidden="1">
      <c r="A5" s="63"/>
      <c r="B5" s="63"/>
      <c r="C5" s="63"/>
      <c r="D5" s="2"/>
      <c r="E5" s="2"/>
      <c r="F5" s="19"/>
      <c r="G5" s="19"/>
      <c r="H5" s="2"/>
      <c r="I5" s="2"/>
      <c r="J5" s="2"/>
      <c r="K5" s="2"/>
      <c r="L5" s="2"/>
      <c r="M5" s="2"/>
      <c r="N5" s="2"/>
      <c r="O5" s="19"/>
      <c r="P5" s="19"/>
      <c r="Q5" s="2"/>
      <c r="R5" s="2"/>
      <c r="S5" s="2"/>
      <c r="T5" s="2"/>
      <c r="U5" s="2"/>
      <c r="V5" s="2"/>
      <c r="W5" s="2"/>
      <c r="X5" s="2"/>
    </row>
    <row r="6" spans="1:24" ht="15" hidden="1">
      <c r="A6" s="63"/>
      <c r="B6" s="63"/>
      <c r="C6" s="63"/>
      <c r="D6" s="2"/>
      <c r="E6" s="2"/>
      <c r="F6" s="19"/>
      <c r="G6" s="19"/>
      <c r="H6" s="2"/>
      <c r="I6" s="2"/>
      <c r="J6" s="2"/>
      <c r="K6" s="2"/>
      <c r="L6" s="2"/>
      <c r="M6" s="2"/>
      <c r="N6" s="2"/>
      <c r="O6" s="19"/>
      <c r="P6" s="19"/>
      <c r="Q6" s="2"/>
      <c r="R6" s="2"/>
      <c r="S6" s="2"/>
      <c r="T6" s="2"/>
      <c r="U6" s="2"/>
      <c r="V6" s="2"/>
      <c r="W6" s="2"/>
      <c r="X6" s="2"/>
    </row>
    <row r="7" spans="1:24" ht="15" hidden="1">
      <c r="A7" s="63"/>
      <c r="B7" s="63"/>
      <c r="C7" s="63"/>
      <c r="D7" s="2"/>
      <c r="E7" s="2"/>
      <c r="F7" s="19"/>
      <c r="G7" s="19"/>
      <c r="H7" s="2"/>
      <c r="I7" s="2"/>
      <c r="J7" s="2"/>
      <c r="K7" s="2"/>
      <c r="L7" s="2"/>
      <c r="M7" s="2"/>
      <c r="N7" s="2"/>
      <c r="O7" s="19"/>
      <c r="P7" s="19"/>
      <c r="Q7" s="2"/>
      <c r="R7" s="2"/>
      <c r="S7" s="2"/>
      <c r="T7" s="2"/>
      <c r="U7" s="2"/>
      <c r="V7" s="2"/>
      <c r="W7" s="2"/>
      <c r="X7" s="2"/>
    </row>
    <row r="8" spans="1:24" ht="15" hidden="1">
      <c r="A8" s="63"/>
      <c r="B8" s="63"/>
      <c r="C8" s="63"/>
      <c r="D8" s="2"/>
      <c r="E8" s="2"/>
      <c r="F8" s="19"/>
      <c r="G8" s="19"/>
      <c r="H8" s="2"/>
      <c r="I8" s="2"/>
      <c r="J8" s="2"/>
      <c r="K8" s="2"/>
      <c r="L8" s="2"/>
      <c r="M8" s="2"/>
      <c r="N8" s="2"/>
      <c r="O8" s="19"/>
      <c r="P8" s="19"/>
      <c r="Q8" s="2"/>
      <c r="R8" s="2"/>
      <c r="S8" s="2"/>
      <c r="T8" s="2"/>
      <c r="U8" s="2"/>
      <c r="V8" s="2"/>
      <c r="W8" s="2"/>
      <c r="X8" s="2"/>
    </row>
    <row r="9" spans="1:24" ht="15" hidden="1">
      <c r="A9" s="63"/>
      <c r="B9" s="63"/>
      <c r="C9" s="63"/>
      <c r="D9" s="2"/>
      <c r="E9" s="2"/>
      <c r="F9" s="19"/>
      <c r="G9" s="19"/>
      <c r="H9" s="2"/>
      <c r="I9" s="2"/>
      <c r="J9" s="2"/>
      <c r="K9" s="2"/>
      <c r="L9" s="2"/>
      <c r="M9" s="2"/>
      <c r="N9" s="2"/>
      <c r="O9" s="19"/>
      <c r="P9" s="19"/>
      <c r="Q9" s="2"/>
      <c r="R9" s="2"/>
      <c r="S9" s="2"/>
      <c r="T9" s="2"/>
      <c r="U9" s="2"/>
      <c r="V9" s="2"/>
      <c r="W9" s="2"/>
      <c r="X9" s="2"/>
    </row>
    <row r="10" spans="1:24" ht="15" hidden="1">
      <c r="A10" s="63"/>
      <c r="B10" s="63"/>
      <c r="C10" s="63"/>
      <c r="D10" s="2"/>
      <c r="E10" s="2"/>
      <c r="F10" s="19"/>
      <c r="G10" s="19"/>
      <c r="H10" s="2"/>
      <c r="I10" s="2"/>
      <c r="J10" s="2"/>
      <c r="K10" s="2"/>
      <c r="L10" s="2"/>
      <c r="M10" s="2"/>
      <c r="N10" s="2"/>
      <c r="O10" s="19"/>
      <c r="P10" s="19"/>
      <c r="Q10" s="2"/>
      <c r="R10" s="2"/>
      <c r="S10" s="2"/>
      <c r="T10" s="2"/>
      <c r="U10" s="2"/>
      <c r="V10" s="2"/>
      <c r="W10" s="2"/>
      <c r="X10" s="2"/>
    </row>
    <row r="11" spans="1:24" ht="15" hidden="1">
      <c r="A11" s="63"/>
      <c r="B11" s="63"/>
      <c r="C11" s="63"/>
      <c r="D11" s="2"/>
      <c r="E11" s="2"/>
      <c r="F11" s="19"/>
      <c r="G11" s="19"/>
      <c r="H11" s="2"/>
      <c r="I11" s="2"/>
      <c r="J11" s="2"/>
      <c r="K11" s="2"/>
      <c r="L11" s="2"/>
      <c r="M11" s="2"/>
      <c r="N11" s="2"/>
      <c r="O11" s="19"/>
      <c r="P11" s="19"/>
      <c r="Q11" s="2"/>
      <c r="R11" s="2"/>
      <c r="S11" s="2"/>
      <c r="T11" s="2"/>
      <c r="U11" s="2"/>
      <c r="V11" s="2"/>
      <c r="W11" s="2"/>
      <c r="X11" s="2"/>
    </row>
    <row r="12" spans="1:24" ht="15" hidden="1">
      <c r="A12" s="63"/>
      <c r="B12" s="63"/>
      <c r="C12" s="63"/>
      <c r="D12" s="2"/>
      <c r="E12" s="2"/>
      <c r="F12" s="19"/>
      <c r="G12" s="19"/>
      <c r="H12" s="2"/>
      <c r="I12" s="2"/>
      <c r="J12" s="2"/>
      <c r="K12" s="2"/>
      <c r="L12" s="2"/>
      <c r="M12" s="2"/>
      <c r="N12" s="2"/>
      <c r="O12" s="19"/>
      <c r="P12" s="19"/>
      <c r="Q12" s="2"/>
      <c r="R12" s="2"/>
      <c r="S12" s="2"/>
      <c r="T12" s="2"/>
      <c r="U12" s="2"/>
      <c r="V12" s="2"/>
      <c r="W12" s="2"/>
      <c r="X12" s="2"/>
    </row>
    <row r="13" spans="1:24" ht="15" hidden="1">
      <c r="A13" s="63"/>
      <c r="B13" s="63"/>
      <c r="C13" s="63"/>
      <c r="D13" s="2"/>
      <c r="E13" s="2"/>
      <c r="F13" s="19"/>
      <c r="G13" s="19"/>
      <c r="H13" s="2"/>
      <c r="I13" s="2"/>
      <c r="J13" s="2"/>
      <c r="K13" s="2"/>
      <c r="L13" s="2"/>
      <c r="M13" s="2"/>
      <c r="N13" s="2"/>
      <c r="O13" s="19"/>
      <c r="P13" s="19"/>
      <c r="Q13" s="2"/>
      <c r="R13" s="2"/>
      <c r="S13" s="2"/>
      <c r="T13" s="2"/>
      <c r="U13" s="2"/>
      <c r="V13" s="2"/>
      <c r="W13" s="2"/>
      <c r="X13" s="2"/>
    </row>
    <row r="14" spans="1:24" ht="15" hidden="1">
      <c r="A14" s="63"/>
      <c r="B14" s="63"/>
      <c r="C14" s="63"/>
      <c r="D14" s="2"/>
      <c r="E14" s="2"/>
      <c r="F14" s="19"/>
      <c r="G14" s="19"/>
      <c r="H14" s="2"/>
      <c r="I14" s="2"/>
      <c r="J14" s="2"/>
      <c r="K14" s="2"/>
      <c r="L14" s="2"/>
      <c r="M14" s="2"/>
      <c r="N14" s="2"/>
      <c r="O14" s="19"/>
      <c r="P14" s="19"/>
      <c r="Q14" s="2"/>
      <c r="R14" s="2"/>
      <c r="S14" s="2"/>
      <c r="T14" s="2"/>
      <c r="U14" s="2"/>
      <c r="V14" s="2"/>
      <c r="W14" s="2"/>
      <c r="X14" s="2"/>
    </row>
    <row r="15" spans="1:24" ht="15" hidden="1">
      <c r="A15" s="63"/>
      <c r="B15" s="63"/>
      <c r="C15" s="63"/>
      <c r="D15" s="2"/>
      <c r="E15" s="2"/>
      <c r="F15" s="19"/>
      <c r="G15" s="19"/>
      <c r="H15" s="2"/>
      <c r="I15" s="2"/>
      <c r="J15" s="2"/>
      <c r="K15" s="2"/>
      <c r="L15" s="2"/>
      <c r="M15" s="2"/>
      <c r="N15" s="2"/>
      <c r="O15" s="19"/>
      <c r="P15" s="19"/>
      <c r="Q15" s="2"/>
      <c r="R15" s="2"/>
      <c r="S15" s="2"/>
      <c r="T15" s="2"/>
      <c r="U15" s="2"/>
      <c r="V15" s="2"/>
      <c r="W15" s="2"/>
      <c r="X15" s="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C104"/>
  <sheetViews>
    <sheetView showGridLines="0" zoomScale="80" zoomScaleNormal="80" workbookViewId="0">
      <pane xSplit="8" ySplit="7" topLeftCell="I8" activePane="bottomRight" state="frozen"/>
      <selection pane="topRight" activeCell="I1" sqref="I1"/>
      <selection pane="bottomLeft" activeCell="A8" sqref="A8"/>
      <selection pane="bottomRight" activeCell="I8" sqref="I8"/>
    </sheetView>
  </sheetViews>
  <sheetFormatPr defaultColWidth="0" defaultRowHeight="12.75" zeroHeight="1"/>
  <cols>
    <col min="1" max="3" width="2.7109375" customWidth="1"/>
    <col min="4" max="4" width="9.140625" customWidth="1"/>
    <col min="5" max="5" width="47" customWidth="1"/>
    <col min="6" max="6" width="15.42578125" style="176" bestFit="1" customWidth="1"/>
    <col min="7" max="7" width="9.5703125" customWidth="1"/>
    <col min="8" max="8" width="2.7109375" customWidth="1"/>
    <col min="9" max="21" width="10.5703125" customWidth="1"/>
    <col min="22" max="22" width="9.140625" customWidth="1"/>
    <col min="23" max="29" width="0" hidden="1" customWidth="1"/>
    <col min="30" max="16384" width="9.140625" hidden="1"/>
  </cols>
  <sheetData>
    <row r="1" spans="1:22" s="2" customFormat="1" ht="33.75">
      <c r="A1" s="31"/>
      <c r="B1" s="31"/>
      <c r="C1" s="31"/>
      <c r="D1" s="31" t="s">
        <v>239</v>
      </c>
      <c r="E1" s="31"/>
      <c r="F1" s="190"/>
      <c r="G1" s="31"/>
      <c r="H1" s="31"/>
      <c r="I1" s="31"/>
      <c r="J1" s="31"/>
      <c r="K1" s="31"/>
      <c r="L1" s="31"/>
      <c r="M1" s="31"/>
      <c r="N1" s="31"/>
      <c r="O1" s="31"/>
      <c r="P1" s="31"/>
      <c r="Q1" s="31"/>
      <c r="R1" s="31"/>
      <c r="S1" s="31"/>
      <c r="T1" s="31"/>
      <c r="U1" s="31"/>
      <c r="V1" s="31"/>
    </row>
    <row r="2" spans="1:22" s="2" customFormat="1" ht="15">
      <c r="F2" s="20"/>
      <c r="G2" s="19"/>
      <c r="O2" s="19"/>
      <c r="P2" s="19"/>
    </row>
    <row r="3" spans="1:22" s="19" customFormat="1">
      <c r="E3" s="19" t="s">
        <v>17</v>
      </c>
      <c r="F3" s="20"/>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26"/>
    </row>
    <row r="4" spans="1:22" s="19" customFormat="1">
      <c r="F4" s="20"/>
      <c r="V4" s="26"/>
    </row>
    <row r="5" spans="1:22" s="19" customFormat="1">
      <c r="E5" s="30" t="s">
        <v>34</v>
      </c>
      <c r="F5" s="20"/>
      <c r="I5" s="29">
        <f t="shared" ref="I5:U5" si="1">Calendar.Years</f>
        <v>2012</v>
      </c>
      <c r="J5" s="29">
        <f t="shared" si="1"/>
        <v>2013</v>
      </c>
      <c r="K5" s="29">
        <f t="shared" si="1"/>
        <v>2014</v>
      </c>
      <c r="L5" s="29">
        <f t="shared" si="1"/>
        <v>2015</v>
      </c>
      <c r="M5" s="29">
        <f t="shared" si="1"/>
        <v>2016</v>
      </c>
      <c r="N5" s="29">
        <f t="shared" si="1"/>
        <v>2017</v>
      </c>
      <c r="O5" s="29">
        <f t="shared" si="1"/>
        <v>2018</v>
      </c>
      <c r="P5" s="29">
        <f t="shared" si="1"/>
        <v>2019</v>
      </c>
      <c r="Q5" s="29">
        <f t="shared" si="1"/>
        <v>2020</v>
      </c>
      <c r="R5" s="29">
        <f t="shared" si="1"/>
        <v>2021</v>
      </c>
      <c r="S5" s="29">
        <f t="shared" si="1"/>
        <v>2022</v>
      </c>
      <c r="T5" s="29">
        <f t="shared" si="1"/>
        <v>2023</v>
      </c>
      <c r="U5" s="29">
        <f t="shared" si="1"/>
        <v>2024</v>
      </c>
      <c r="V5" s="26"/>
    </row>
    <row r="6" spans="1:22" s="19" customFormat="1">
      <c r="E6" s="19" t="s">
        <v>18</v>
      </c>
      <c r="F6" s="20"/>
      <c r="K6" s="8"/>
      <c r="L6" s="9">
        <v>1</v>
      </c>
      <c r="M6" s="9">
        <v>2</v>
      </c>
      <c r="N6" s="9">
        <v>3</v>
      </c>
      <c r="O6" s="9">
        <v>4</v>
      </c>
      <c r="P6" s="9">
        <v>5</v>
      </c>
      <c r="Q6" s="9">
        <v>6</v>
      </c>
      <c r="R6" s="9">
        <v>7</v>
      </c>
      <c r="S6" s="9">
        <v>8</v>
      </c>
      <c r="T6" s="9">
        <v>9</v>
      </c>
      <c r="U6" s="9">
        <v>10</v>
      </c>
    </row>
    <row r="7" spans="1:22"/>
    <row r="8" spans="1:22" s="13" customFormat="1" ht="15">
      <c r="A8" s="10"/>
      <c r="B8" s="14"/>
      <c r="C8" s="14"/>
      <c r="D8" s="12"/>
      <c r="E8" s="11" t="s">
        <v>164</v>
      </c>
      <c r="F8" s="191"/>
      <c r="G8" s="12"/>
      <c r="H8" s="12"/>
      <c r="I8" s="12"/>
      <c r="J8" s="12"/>
      <c r="K8" s="12"/>
      <c r="L8" s="12"/>
      <c r="M8" s="12"/>
      <c r="N8" s="12"/>
      <c r="O8" s="12"/>
      <c r="P8" s="12"/>
      <c r="Q8" s="12"/>
      <c r="R8" s="12"/>
      <c r="S8" s="12"/>
      <c r="T8" s="12"/>
      <c r="U8" s="12"/>
      <c r="V8" s="12"/>
    </row>
    <row r="9" spans="1:22" s="19" customFormat="1">
      <c r="D9" s="38"/>
      <c r="F9" s="20"/>
    </row>
    <row r="10" spans="1:22" s="19" customFormat="1">
      <c r="D10" s="38"/>
      <c r="E10" s="16" t="s">
        <v>151</v>
      </c>
      <c r="F10" s="20"/>
    </row>
    <row r="11" spans="1:22" s="19" customFormat="1">
      <c r="D11" s="59" t="s">
        <v>20</v>
      </c>
      <c r="E11" s="93" t="s">
        <v>157</v>
      </c>
      <c r="F11" s="20" t="s">
        <v>46</v>
      </c>
      <c r="G11" s="42">
        <f>SUM(L11:P11)</f>
        <v>0</v>
      </c>
      <c r="L11" s="42">
        <f>IF(Incentive.Type.1=0,0,CHOOSE(Incentive.Type.1,Net.Reward.NumPC.1,Net.Reward.DelPC.1,Net.Reward.BespokePC.1))</f>
        <v>0</v>
      </c>
      <c r="M11" s="42">
        <f>IF(Incentive.Type.1=0,0,CHOOSE(Incentive.Type.1,Net.Reward.NumPC.1,Net.Reward.DelPC.1,Net.Reward.BespokePC.1))</f>
        <v>0</v>
      </c>
      <c r="N11" s="42">
        <f>IF(Incentive.Type.1=0,0,CHOOSE(Incentive.Type.1,Net.Reward.NumPC.1,Net.Reward.DelPC.1,Net.Reward.BespokePC.1))</f>
        <v>0</v>
      </c>
      <c r="O11" s="42">
        <f>IF(Incentive.Type.1=0,0,CHOOSE(Incentive.Type.1,Net.Reward.NumPC.1,Net.Reward.DelPC.1,Net.Reward.BespokePC.1))</f>
        <v>0</v>
      </c>
      <c r="P11" s="42">
        <f>IF(Incentive.Type.1=0,0,CHOOSE(Incentive.Type.1,Net.Reward.NumPC.1,Net.Reward.DelPC.1,Net.Reward.BespokePC.1))</f>
        <v>0</v>
      </c>
    </row>
    <row r="12" spans="1:22" s="19" customFormat="1">
      <c r="D12" s="59" t="s">
        <v>20</v>
      </c>
      <c r="E12" s="93" t="s">
        <v>158</v>
      </c>
      <c r="F12" s="20" t="s">
        <v>46</v>
      </c>
      <c r="G12" s="23">
        <f>SUM(L12:P12)</f>
        <v>0</v>
      </c>
      <c r="L12" s="42">
        <f>IF(Incentive.Type.2=0,0,CHOOSE(Incentive.Type.2,Net.Reward.NumPC.2,Net.Reward.DelPC.2,Net.Reward.BespokePC.2))</f>
        <v>0</v>
      </c>
      <c r="M12" s="42">
        <f>IF(Incentive.Type.2=0,0,CHOOSE(Incentive.Type.2,Net.Reward.NumPC.2,Net.Reward.DelPC.2,Net.Reward.BespokePC.2))</f>
        <v>0</v>
      </c>
      <c r="N12" s="42">
        <f>IF(Incentive.Type.2=0,0,CHOOSE(Incentive.Type.2,Net.Reward.NumPC.2,Net.Reward.DelPC.2,Net.Reward.BespokePC.2))</f>
        <v>0</v>
      </c>
      <c r="O12" s="42">
        <f>IF(Incentive.Type.2=0,0,CHOOSE(Incentive.Type.2,Net.Reward.NumPC.2,Net.Reward.DelPC.2,Net.Reward.BespokePC.2))</f>
        <v>0</v>
      </c>
      <c r="P12" s="42">
        <f>IF(Incentive.Type.2=0,0,CHOOSE(Incentive.Type.2,Net.Reward.NumPC.2,Net.Reward.DelPC.2,Net.Reward.BespokePC.2))</f>
        <v>0</v>
      </c>
    </row>
    <row r="13" spans="1:22" s="19" customFormat="1">
      <c r="D13" s="38"/>
      <c r="E13" s="36"/>
      <c r="F13" s="20"/>
      <c r="J13" s="207"/>
    </row>
    <row r="14" spans="1:22" s="19" customFormat="1">
      <c r="B14" s="9">
        <v>1</v>
      </c>
      <c r="D14" s="43" t="s">
        <v>21</v>
      </c>
      <c r="E14" s="36" t="s">
        <v>172</v>
      </c>
      <c r="F14" s="20"/>
      <c r="G14" s="41" t="b">
        <f>$B$14=Crystallisation.1</f>
        <v>0</v>
      </c>
    </row>
    <row r="15" spans="1:22" s="19" customFormat="1">
      <c r="D15" s="43" t="s">
        <v>21</v>
      </c>
      <c r="E15" s="36" t="s">
        <v>173</v>
      </c>
      <c r="F15" s="20"/>
      <c r="G15" s="41" t="b">
        <f>$B$14=Crystallisation.2</f>
        <v>0</v>
      </c>
      <c r="J15" s="207"/>
    </row>
    <row r="16" spans="1:22" s="19" customFormat="1">
      <c r="D16" s="38"/>
      <c r="F16" s="20"/>
    </row>
    <row r="17" spans="4:7" s="19" customFormat="1">
      <c r="D17" s="43" t="s">
        <v>21</v>
      </c>
      <c r="E17" s="36" t="s">
        <v>237</v>
      </c>
      <c r="F17" s="20"/>
      <c r="G17" s="41" t="b">
        <f>IF(ODI.AggCap.Flag.1&lt;&gt;"",ODI.AggCap.Flag.1,FALSE)</f>
        <v>0</v>
      </c>
    </row>
    <row r="18" spans="4:7" s="19" customFormat="1">
      <c r="D18" s="43" t="s">
        <v>21</v>
      </c>
      <c r="E18" s="36" t="s">
        <v>238</v>
      </c>
      <c r="F18" s="20"/>
      <c r="G18" s="41" t="b">
        <f>IF(ODI.AggCap.Flag.2&lt;&gt;"",ODI.AggCap.Flag.2,FALSE)</f>
        <v>0</v>
      </c>
    </row>
    <row r="19" spans="4:7" s="19" customFormat="1">
      <c r="D19" s="38"/>
      <c r="F19" s="20"/>
    </row>
    <row r="20" spans="4:7" s="47" customFormat="1" ht="15">
      <c r="E20" s="100" t="s">
        <v>223</v>
      </c>
      <c r="F20" s="196"/>
    </row>
    <row r="21" spans="4:7" s="19" customFormat="1">
      <c r="D21" s="38"/>
      <c r="F21" s="20"/>
    </row>
    <row r="22" spans="4:7" s="19" customFormat="1">
      <c r="D22" s="38"/>
      <c r="E22" s="16" t="s">
        <v>174</v>
      </c>
      <c r="F22" s="20"/>
    </row>
    <row r="23" spans="4:7" s="19" customFormat="1">
      <c r="D23" s="59" t="s">
        <v>20</v>
      </c>
      <c r="E23" s="93" t="s">
        <v>157</v>
      </c>
      <c r="F23" s="20" t="s">
        <v>46</v>
      </c>
      <c r="G23" s="42">
        <f>G11*NOT(G14)*NOT(G17)</f>
        <v>0</v>
      </c>
    </row>
    <row r="24" spans="4:7" s="19" customFormat="1">
      <c r="D24" s="59" t="s">
        <v>20</v>
      </c>
      <c r="E24" s="93" t="s">
        <v>158</v>
      </c>
      <c r="F24" s="20" t="s">
        <v>46</v>
      </c>
      <c r="G24" s="42">
        <f>G12*NOT(G15)*NOT(G18)</f>
        <v>0</v>
      </c>
    </row>
    <row r="25" spans="4:7" s="19" customFormat="1">
      <c r="D25" s="59"/>
      <c r="E25" s="93"/>
      <c r="F25" s="20"/>
      <c r="G25" s="23"/>
    </row>
    <row r="26" spans="4:7" s="19" customFormat="1">
      <c r="D26" s="38"/>
      <c r="E26" s="16" t="s">
        <v>159</v>
      </c>
      <c r="F26" s="20"/>
    </row>
    <row r="27" spans="4:7" s="19" customFormat="1">
      <c r="D27" s="59" t="s">
        <v>20</v>
      </c>
      <c r="E27" s="93" t="s">
        <v>152</v>
      </c>
      <c r="F27" s="20" t="s">
        <v>46</v>
      </c>
      <c r="G27" s="42">
        <f>SUMIF($G$23:$G$24,"&gt;0")</f>
        <v>0</v>
      </c>
    </row>
    <row r="28" spans="4:7" s="19" customFormat="1">
      <c r="D28" s="59" t="s">
        <v>20</v>
      </c>
      <c r="E28" s="93" t="s">
        <v>153</v>
      </c>
      <c r="F28" s="20" t="s">
        <v>46</v>
      </c>
      <c r="G28" s="42">
        <f>SUMIF($G$23:$G$24,"&lt;0")</f>
        <v>0</v>
      </c>
    </row>
    <row r="29" spans="4:7" s="19" customFormat="1">
      <c r="D29" s="38"/>
      <c r="F29" s="20"/>
    </row>
    <row r="30" spans="4:7" s="19" customFormat="1">
      <c r="D30" s="38"/>
      <c r="E30" s="16" t="s">
        <v>154</v>
      </c>
      <c r="F30" s="20"/>
    </row>
    <row r="31" spans="4:7" s="19" customFormat="1">
      <c r="D31" s="59" t="s">
        <v>20</v>
      </c>
      <c r="E31" s="93" t="s">
        <v>155</v>
      </c>
      <c r="F31" s="20" t="s">
        <v>46</v>
      </c>
      <c r="G31" s="42">
        <f>IF(OR(NOT(Aggregate.Flag),Capped.Reward.Inperiod+G27&lt;Aggregate.Limit),G27,Aggregate.Limit-Capped.Reward.Inperiod)</f>
        <v>0</v>
      </c>
    </row>
    <row r="32" spans="4:7" s="19" customFormat="1">
      <c r="D32" s="59" t="s">
        <v>20</v>
      </c>
      <c r="E32" s="93" t="s">
        <v>156</v>
      </c>
      <c r="F32" s="20" t="s">
        <v>46</v>
      </c>
      <c r="G32" s="42">
        <f>IF(OR(NOT(Aggregate.Flag),Capped.Penalty.Inperiod+G28&gt;0-Aggregate.Limit),G28,0-Aggregate.Limit-Capped.Penalty.Inperiod)</f>
        <v>0</v>
      </c>
    </row>
    <row r="33" spans="1:22" s="19" customFormat="1">
      <c r="F33" s="20"/>
      <c r="G33" s="23"/>
    </row>
    <row r="34" spans="1:22" s="47" customFormat="1" ht="15">
      <c r="E34" s="100" t="s">
        <v>222</v>
      </c>
      <c r="F34" s="196"/>
    </row>
    <row r="35" spans="1:22" s="19" customFormat="1">
      <c r="F35" s="20"/>
      <c r="G35" s="23"/>
    </row>
    <row r="36" spans="1:22" s="19" customFormat="1">
      <c r="D36" s="38"/>
      <c r="E36" s="16" t="s">
        <v>174</v>
      </c>
      <c r="F36" s="20"/>
      <c r="G36" s="23"/>
    </row>
    <row r="37" spans="1:22" s="19" customFormat="1">
      <c r="D37" s="59" t="s">
        <v>20</v>
      </c>
      <c r="E37" s="93" t="s">
        <v>157</v>
      </c>
      <c r="F37" s="20" t="s">
        <v>46</v>
      </c>
      <c r="G37" s="42">
        <f>G11*NOT(G14)*G17</f>
        <v>0</v>
      </c>
    </row>
    <row r="38" spans="1:22" s="19" customFormat="1">
      <c r="D38" s="59" t="s">
        <v>20</v>
      </c>
      <c r="E38" s="93" t="s">
        <v>158</v>
      </c>
      <c r="F38" s="20" t="s">
        <v>46</v>
      </c>
      <c r="G38" s="23">
        <f>G12*NOT(G15)*G18</f>
        <v>0</v>
      </c>
    </row>
    <row r="39" spans="1:22" s="19" customFormat="1">
      <c r="D39" s="59"/>
      <c r="E39" s="93"/>
      <c r="F39" s="20"/>
      <c r="G39" s="23"/>
    </row>
    <row r="40" spans="1:22" s="19" customFormat="1">
      <c r="F40" s="20"/>
      <c r="G40" s="23"/>
    </row>
    <row r="41" spans="1:22" s="13" customFormat="1" ht="15">
      <c r="A41" s="10"/>
      <c r="B41" s="14"/>
      <c r="C41" s="14"/>
      <c r="D41" s="12"/>
      <c r="E41" s="11" t="s">
        <v>165</v>
      </c>
      <c r="F41" s="191"/>
      <c r="G41" s="12"/>
      <c r="H41" s="12"/>
      <c r="I41" s="12"/>
      <c r="J41" s="12"/>
      <c r="K41" s="12"/>
      <c r="L41" s="12"/>
      <c r="M41" s="12"/>
      <c r="N41" s="12"/>
      <c r="O41" s="12"/>
      <c r="P41" s="12"/>
      <c r="Q41" s="12"/>
      <c r="R41" s="12"/>
      <c r="S41" s="12"/>
      <c r="T41" s="12"/>
      <c r="U41" s="12"/>
      <c r="V41" s="12"/>
    </row>
    <row r="42" spans="1:22" s="19" customFormat="1">
      <c r="D42" s="38"/>
      <c r="F42" s="20"/>
    </row>
    <row r="43" spans="1:22" s="47" customFormat="1" ht="15">
      <c r="E43" s="100" t="s">
        <v>228</v>
      </c>
      <c r="F43" s="196"/>
    </row>
    <row r="44" spans="1:22" s="19" customFormat="1">
      <c r="D44" s="38"/>
      <c r="F44" s="20"/>
    </row>
    <row r="45" spans="1:22" s="19" customFormat="1">
      <c r="B45" s="9">
        <v>1</v>
      </c>
      <c r="D45" s="38"/>
      <c r="E45" s="16" t="s">
        <v>160</v>
      </c>
      <c r="F45" s="20"/>
    </row>
    <row r="46" spans="1:22">
      <c r="A46" s="19"/>
      <c r="B46" s="19"/>
      <c r="C46" s="19"/>
      <c r="D46" s="59" t="s">
        <v>20</v>
      </c>
      <c r="E46" s="65" t="s">
        <v>213</v>
      </c>
      <c r="F46" s="20" t="s">
        <v>46</v>
      </c>
      <c r="G46" s="42">
        <f>IF(AND(G23&gt;0,G27&lt;&gt;0,$B$45=NetReward.Applied.1),(G23/G27)*G31,0)</f>
        <v>0</v>
      </c>
      <c r="H46" s="19"/>
      <c r="I46" s="19"/>
      <c r="J46" s="19"/>
      <c r="K46" s="19"/>
      <c r="L46" s="19"/>
      <c r="M46" s="19"/>
      <c r="N46" s="19"/>
      <c r="O46" s="19"/>
      <c r="P46" s="19"/>
      <c r="Q46" s="19"/>
      <c r="R46" s="19"/>
      <c r="S46" s="19"/>
      <c r="T46" s="19"/>
      <c r="U46" s="19"/>
      <c r="V46" s="19"/>
    </row>
    <row r="47" spans="1:22">
      <c r="A47" s="19"/>
      <c r="B47" s="19"/>
      <c r="C47" s="19"/>
      <c r="D47" s="59" t="s">
        <v>20</v>
      </c>
      <c r="E47" s="65" t="s">
        <v>214</v>
      </c>
      <c r="F47" s="20" t="s">
        <v>46</v>
      </c>
      <c r="G47" s="23">
        <f>IF(AND(G24&gt;0,G27&lt;&gt;0,$B$45=NetReward.Applied.2),(G24/G27)*G31,0)</f>
        <v>0</v>
      </c>
      <c r="H47" s="19"/>
      <c r="I47" s="19"/>
      <c r="J47" s="19"/>
      <c r="K47" s="19"/>
      <c r="L47" s="19"/>
      <c r="M47" s="19"/>
      <c r="N47" s="19"/>
      <c r="O47" s="19"/>
      <c r="P47" s="19"/>
      <c r="Q47" s="19"/>
      <c r="R47" s="19"/>
      <c r="S47" s="19"/>
      <c r="T47" s="19"/>
      <c r="U47" s="19"/>
      <c r="V47" s="19"/>
    </row>
    <row r="48" spans="1:22"/>
    <row r="49" spans="1:22">
      <c r="A49" s="19"/>
      <c r="B49" s="9">
        <v>1</v>
      </c>
      <c r="C49" s="19"/>
      <c r="D49" s="38"/>
      <c r="E49" s="16" t="s">
        <v>162</v>
      </c>
      <c r="F49" s="20"/>
      <c r="G49" s="19"/>
      <c r="H49" s="19"/>
      <c r="I49" s="19"/>
      <c r="J49" s="19"/>
      <c r="K49" s="19"/>
      <c r="L49" s="19"/>
      <c r="M49" s="19"/>
      <c r="N49" s="19"/>
      <c r="O49" s="19"/>
      <c r="P49" s="19"/>
      <c r="Q49" s="19"/>
      <c r="R49" s="19"/>
      <c r="S49" s="19"/>
      <c r="T49" s="19"/>
      <c r="U49" s="19"/>
      <c r="V49" s="19"/>
    </row>
    <row r="50" spans="1:22">
      <c r="A50" s="19"/>
      <c r="B50" s="19"/>
      <c r="C50" s="19"/>
      <c r="D50" s="59" t="s">
        <v>20</v>
      </c>
      <c r="E50" s="65" t="s">
        <v>215</v>
      </c>
      <c r="F50" s="20" t="s">
        <v>46</v>
      </c>
      <c r="G50" s="23">
        <f>IF(AND(G23&lt;0,G28&lt;&gt;0,$B$49=NetPenalty.Applied.1),(G23/G28)*G32,0)</f>
        <v>0</v>
      </c>
      <c r="H50" s="19"/>
      <c r="I50" s="19"/>
      <c r="J50" s="19"/>
      <c r="K50" s="19"/>
      <c r="L50" s="19"/>
      <c r="M50" s="19"/>
      <c r="N50" s="19"/>
      <c r="O50" s="19"/>
      <c r="P50" s="19"/>
      <c r="Q50" s="19"/>
      <c r="R50" s="19"/>
      <c r="S50" s="19"/>
      <c r="T50" s="19"/>
      <c r="U50" s="19"/>
      <c r="V50" s="19"/>
    </row>
    <row r="51" spans="1:22" s="19" customFormat="1">
      <c r="D51" s="59" t="s">
        <v>20</v>
      </c>
      <c r="E51" s="65" t="s">
        <v>216</v>
      </c>
      <c r="F51" s="20" t="s">
        <v>46</v>
      </c>
      <c r="G51" s="23">
        <f>IF(AND(G24&lt;0,G28&lt;&gt;0,$B$49=NetPenalty.Applied.2),(G24/G28)*G32,0)</f>
        <v>0</v>
      </c>
    </row>
    <row r="52" spans="1:22" s="19" customFormat="1">
      <c r="D52" s="59"/>
      <c r="E52" s="65"/>
      <c r="F52" s="20"/>
      <c r="G52" s="23"/>
    </row>
    <row r="53" spans="1:22" s="47" customFormat="1" ht="15">
      <c r="E53" s="100" t="s">
        <v>234</v>
      </c>
      <c r="F53" s="196"/>
    </row>
    <row r="54" spans="1:22" s="19" customFormat="1">
      <c r="D54" s="59"/>
      <c r="E54" s="65"/>
      <c r="F54" s="20"/>
      <c r="G54" s="23"/>
    </row>
    <row r="55" spans="1:22" s="19" customFormat="1">
      <c r="B55" s="9">
        <v>1</v>
      </c>
      <c r="D55" s="38"/>
      <c r="E55" s="16" t="s">
        <v>229</v>
      </c>
      <c r="F55" s="20"/>
      <c r="G55" s="23"/>
    </row>
    <row r="56" spans="1:22" s="19" customFormat="1">
      <c r="D56" s="59" t="s">
        <v>20</v>
      </c>
      <c r="E56" s="65" t="s">
        <v>213</v>
      </c>
      <c r="F56" s="20" t="s">
        <v>46</v>
      </c>
      <c r="G56" s="42">
        <f>IF(AND(G37&gt;0,$B$55=NetReward.Applied.1),G37,0)</f>
        <v>0</v>
      </c>
    </row>
    <row r="57" spans="1:22" s="19" customFormat="1">
      <c r="D57" s="59" t="s">
        <v>20</v>
      </c>
      <c r="E57" s="65" t="s">
        <v>214</v>
      </c>
      <c r="F57" s="20" t="s">
        <v>46</v>
      </c>
      <c r="G57" s="23">
        <f>IF(AND(G38&gt;0,$B$55=NetReward.Applied.2),G38,0)</f>
        <v>0</v>
      </c>
    </row>
    <row r="58" spans="1:22" s="19" customFormat="1">
      <c r="B58"/>
      <c r="C58"/>
      <c r="D58"/>
      <c r="E58"/>
      <c r="F58" s="20"/>
      <c r="G58" s="23"/>
    </row>
    <row r="59" spans="1:22" s="19" customFormat="1">
      <c r="B59" s="9">
        <v>1</v>
      </c>
      <c r="D59" s="38"/>
      <c r="E59" s="16" t="s">
        <v>230</v>
      </c>
      <c r="F59" s="20"/>
      <c r="G59" s="23"/>
    </row>
    <row r="60" spans="1:22" s="19" customFormat="1">
      <c r="D60" s="59" t="s">
        <v>20</v>
      </c>
      <c r="E60" s="65" t="s">
        <v>215</v>
      </c>
      <c r="F60" s="20" t="s">
        <v>46</v>
      </c>
      <c r="G60" s="23">
        <f>IF(AND(G37&lt;0,$B$59=NetPenalty.Applied.1),G37,0)</f>
        <v>0</v>
      </c>
    </row>
    <row r="61" spans="1:22" s="19" customFormat="1">
      <c r="D61" s="59" t="s">
        <v>20</v>
      </c>
      <c r="E61" s="65" t="s">
        <v>216</v>
      </c>
      <c r="F61" s="20" t="s">
        <v>46</v>
      </c>
      <c r="G61" s="23">
        <f>IF(AND(G38&lt;0,$B$59=NetPenalty.Applied.2),G38,0)</f>
        <v>0</v>
      </c>
    </row>
    <row r="62" spans="1:22" s="19" customFormat="1">
      <c r="D62" s="38"/>
      <c r="F62" s="20"/>
    </row>
    <row r="63" spans="1:22" s="13" customFormat="1" ht="15">
      <c r="A63" s="10"/>
      <c r="B63" s="14"/>
      <c r="C63" s="14"/>
      <c r="D63" s="12"/>
      <c r="E63" s="11" t="s">
        <v>166</v>
      </c>
      <c r="F63" s="191"/>
      <c r="G63" s="12"/>
      <c r="H63" s="12"/>
      <c r="I63" s="12"/>
      <c r="J63" s="12"/>
      <c r="K63" s="12"/>
      <c r="L63" s="12"/>
      <c r="M63" s="12"/>
      <c r="N63" s="12"/>
      <c r="O63" s="12"/>
      <c r="P63" s="12"/>
      <c r="Q63" s="12"/>
      <c r="R63" s="12"/>
      <c r="S63" s="12"/>
      <c r="T63" s="12"/>
      <c r="U63" s="12"/>
      <c r="V63" s="12"/>
    </row>
    <row r="64" spans="1:22" s="19" customFormat="1">
      <c r="D64" s="38"/>
      <c r="F64" s="20"/>
    </row>
    <row r="65" spans="1:22" s="47" customFormat="1" ht="15">
      <c r="E65" s="100" t="s">
        <v>231</v>
      </c>
      <c r="F65" s="196"/>
    </row>
    <row r="66" spans="1:22" s="19" customFormat="1">
      <c r="D66" s="38"/>
      <c r="F66" s="20"/>
    </row>
    <row r="67" spans="1:22">
      <c r="A67" s="19"/>
      <c r="B67" s="9">
        <v>2</v>
      </c>
      <c r="C67" s="19"/>
      <c r="D67" s="38"/>
      <c r="E67" s="16" t="s">
        <v>161</v>
      </c>
      <c r="F67" s="20"/>
      <c r="G67" s="19"/>
      <c r="H67" s="19"/>
      <c r="I67" s="19"/>
      <c r="J67" s="19"/>
      <c r="K67" s="19"/>
      <c r="L67" s="19"/>
      <c r="M67" s="19"/>
      <c r="N67" s="19"/>
      <c r="O67" s="19"/>
      <c r="P67" s="19"/>
      <c r="Q67" s="19"/>
      <c r="R67" s="19"/>
      <c r="S67" s="19"/>
      <c r="T67" s="19"/>
      <c r="U67" s="19"/>
      <c r="V67" s="19"/>
    </row>
    <row r="68" spans="1:22">
      <c r="A68" s="19"/>
      <c r="B68" s="19"/>
      <c r="C68" s="19"/>
      <c r="D68" s="59" t="s">
        <v>20</v>
      </c>
      <c r="E68" s="65" t="s">
        <v>217</v>
      </c>
      <c r="F68" s="20" t="s">
        <v>46</v>
      </c>
      <c r="G68" s="42">
        <f>IF(AND(G23&gt;0,G27&lt;&gt;0,$B$67=NetReward.Applied.1),(G23/G27)*G31,0)</f>
        <v>0</v>
      </c>
      <c r="H68" s="19"/>
      <c r="I68" s="19"/>
      <c r="J68" s="19"/>
      <c r="K68" s="19"/>
      <c r="L68" s="19"/>
      <c r="M68" s="19"/>
      <c r="N68" s="19"/>
      <c r="O68" s="19"/>
      <c r="P68" s="19"/>
      <c r="Q68" s="19"/>
      <c r="R68" s="19"/>
      <c r="S68" s="19"/>
      <c r="T68" s="19"/>
      <c r="U68" s="19"/>
      <c r="V68" s="19"/>
    </row>
    <row r="69" spans="1:22">
      <c r="A69" s="19"/>
      <c r="B69" s="19"/>
      <c r="C69" s="19"/>
      <c r="D69" s="59" t="s">
        <v>20</v>
      </c>
      <c r="E69" s="65" t="s">
        <v>218</v>
      </c>
      <c r="F69" s="20" t="s">
        <v>46</v>
      </c>
      <c r="G69" s="42">
        <f>IF(AND(G24&gt;0,G27&lt;&gt;0,$B$67=NetReward.Applied.2),(G24/G27)*G31,0)</f>
        <v>0</v>
      </c>
      <c r="H69" s="19"/>
      <c r="I69" s="19"/>
      <c r="J69" s="19"/>
      <c r="K69" s="19"/>
      <c r="L69" s="19"/>
      <c r="M69" s="19"/>
      <c r="N69" s="19"/>
      <c r="O69" s="19"/>
      <c r="P69" s="19"/>
      <c r="Q69" s="19"/>
      <c r="R69" s="19"/>
      <c r="S69" s="19"/>
      <c r="T69" s="19"/>
      <c r="U69" s="19"/>
      <c r="V69" s="19"/>
    </row>
    <row r="70" spans="1:22" s="19" customFormat="1">
      <c r="D70" s="38"/>
      <c r="F70" s="20"/>
    </row>
    <row r="71" spans="1:22" s="19" customFormat="1">
      <c r="B71" s="9">
        <v>2</v>
      </c>
      <c r="D71" s="38"/>
      <c r="E71" s="16" t="s">
        <v>163</v>
      </c>
      <c r="F71" s="20"/>
    </row>
    <row r="72" spans="1:22" s="19" customFormat="1">
      <c r="D72" s="59" t="s">
        <v>20</v>
      </c>
      <c r="E72" s="65" t="s">
        <v>219</v>
      </c>
      <c r="F72" s="20" t="s">
        <v>46</v>
      </c>
      <c r="G72" s="23">
        <f>IF(AND(G23&lt;0,G28&lt;&gt;0,$B$71=NetPenalty.Applied.1),(G23/G28)*G32,0)</f>
        <v>0</v>
      </c>
    </row>
    <row r="73" spans="1:22" s="19" customFormat="1">
      <c r="D73" s="59" t="s">
        <v>20</v>
      </c>
      <c r="E73" s="65" t="s">
        <v>220</v>
      </c>
      <c r="F73" s="20" t="s">
        <v>46</v>
      </c>
      <c r="G73" s="23">
        <f>IF(AND(G24&lt;0,G28&lt;&gt;0,$B$71=NetPenalty.Applied.2),(G24/G28)*G32,0)</f>
        <v>0</v>
      </c>
    </row>
    <row r="74" spans="1:22" s="19" customFormat="1">
      <c r="D74" s="38"/>
      <c r="E74" s="65"/>
      <c r="F74" s="20"/>
      <c r="G74" s="23"/>
    </row>
    <row r="75" spans="1:22" s="47" customFormat="1" ht="15">
      <c r="E75" s="100" t="s">
        <v>235</v>
      </c>
      <c r="F75" s="196"/>
    </row>
    <row r="76" spans="1:22" s="19" customFormat="1">
      <c r="D76" s="38"/>
      <c r="E76" s="65"/>
      <c r="F76" s="20"/>
      <c r="G76" s="23"/>
    </row>
    <row r="77" spans="1:22" s="19" customFormat="1">
      <c r="B77" s="9">
        <v>2</v>
      </c>
      <c r="D77" s="38"/>
      <c r="E77" s="16" t="s">
        <v>232</v>
      </c>
      <c r="F77" s="20"/>
      <c r="G77" s="23"/>
    </row>
    <row r="78" spans="1:22" s="19" customFormat="1">
      <c r="D78" s="59" t="s">
        <v>20</v>
      </c>
      <c r="E78" s="65" t="s">
        <v>217</v>
      </c>
      <c r="F78" s="20" t="s">
        <v>46</v>
      </c>
      <c r="G78" s="23">
        <f>IF(AND(G37&gt;0,$B$77=NetReward.Applied.1),G37,0)</f>
        <v>0</v>
      </c>
    </row>
    <row r="79" spans="1:22" s="19" customFormat="1">
      <c r="D79" s="59" t="s">
        <v>20</v>
      </c>
      <c r="E79" s="65" t="s">
        <v>218</v>
      </c>
      <c r="F79" s="20" t="s">
        <v>46</v>
      </c>
      <c r="G79" s="23">
        <f>IF(AND(G38&gt;0,$B$77=NetReward.Applied.2),G38,0)</f>
        <v>0</v>
      </c>
    </row>
    <row r="80" spans="1:22" s="19" customFormat="1">
      <c r="D80" s="38"/>
      <c r="F80" s="20"/>
      <c r="G80" s="23"/>
    </row>
    <row r="81" spans="1:22" s="19" customFormat="1">
      <c r="B81" s="9">
        <v>2</v>
      </c>
      <c r="D81" s="38"/>
      <c r="E81" s="16" t="s">
        <v>233</v>
      </c>
      <c r="F81" s="20"/>
      <c r="G81" s="23"/>
    </row>
    <row r="82" spans="1:22" s="19" customFormat="1">
      <c r="D82" s="59" t="s">
        <v>20</v>
      </c>
      <c r="E82" s="65" t="s">
        <v>219</v>
      </c>
      <c r="F82" s="20" t="s">
        <v>46</v>
      </c>
      <c r="G82" s="23">
        <f>IF(AND(G37&lt;0,$B$81=NetPenalty.Applied.1),G37,0)</f>
        <v>0</v>
      </c>
    </row>
    <row r="83" spans="1:22" s="19" customFormat="1">
      <c r="D83" s="59" t="s">
        <v>20</v>
      </c>
      <c r="E83" s="65" t="s">
        <v>220</v>
      </c>
      <c r="F83" s="20" t="s">
        <v>46</v>
      </c>
      <c r="G83" s="23">
        <f>IF(AND(G38&lt;0,$B$81=NetPenalty.Applied.2),G38,0)</f>
        <v>0</v>
      </c>
    </row>
    <row r="84" spans="1:22" s="19" customFormat="1">
      <c r="D84" s="38"/>
      <c r="E84" s="65"/>
      <c r="F84" s="20"/>
      <c r="G84" s="23"/>
    </row>
    <row r="85" spans="1:22" s="13" customFormat="1" ht="15">
      <c r="A85" s="10"/>
      <c r="B85" s="14"/>
      <c r="C85" s="14"/>
      <c r="D85" s="12"/>
      <c r="E85" s="11" t="s">
        <v>179</v>
      </c>
      <c r="F85" s="191"/>
      <c r="G85" s="12"/>
      <c r="H85" s="12"/>
      <c r="I85" s="12"/>
      <c r="J85" s="12"/>
      <c r="K85" s="12"/>
      <c r="L85" s="12"/>
      <c r="M85" s="12"/>
      <c r="N85" s="12"/>
      <c r="O85" s="12"/>
      <c r="P85" s="12"/>
      <c r="Q85" s="12"/>
      <c r="R85" s="12"/>
      <c r="S85" s="12"/>
      <c r="T85" s="12"/>
      <c r="U85" s="12"/>
      <c r="V85" s="12"/>
    </row>
    <row r="86" spans="1:22" s="19" customFormat="1">
      <c r="D86" s="38"/>
      <c r="E86" s="16"/>
      <c r="F86" s="20"/>
    </row>
    <row r="87" spans="1:22" s="19" customFormat="1">
      <c r="D87" s="43" t="s">
        <v>20</v>
      </c>
      <c r="E87" s="33" t="s">
        <v>170</v>
      </c>
      <c r="F87" s="20" t="s">
        <v>46</v>
      </c>
      <c r="G87" s="42">
        <f>SUM(G46,G47,G50,G51,G56,G57,G60,G61)</f>
        <v>0</v>
      </c>
      <c r="H87" s="26" t="s">
        <v>210</v>
      </c>
    </row>
    <row r="88" spans="1:22" s="19" customFormat="1">
      <c r="D88" s="38"/>
      <c r="E88" s="65"/>
      <c r="F88" s="20"/>
    </row>
    <row r="89" spans="1:22" s="19" customFormat="1">
      <c r="D89" s="43" t="s">
        <v>20</v>
      </c>
      <c r="E89" s="33" t="s">
        <v>325</v>
      </c>
      <c r="F89" s="20" t="s">
        <v>46</v>
      </c>
      <c r="G89" s="42">
        <f>SUM(G68,G69,G72,G73,G78,G79,G82,G83)</f>
        <v>0</v>
      </c>
      <c r="H89" s="26" t="s">
        <v>211</v>
      </c>
      <c r="I89" s="42"/>
      <c r="J89" s="23"/>
    </row>
    <row r="90" spans="1:22" s="19" customFormat="1" ht="13.5" thickBot="1">
      <c r="A90" s="82"/>
      <c r="B90" s="82"/>
      <c r="C90" s="82"/>
      <c r="D90" s="224"/>
      <c r="E90" s="33"/>
      <c r="F90" s="20"/>
      <c r="G90" s="23"/>
      <c r="H90" s="26"/>
    </row>
    <row r="91" spans="1:22" ht="13.5" thickBot="1">
      <c r="A91" s="21" t="s">
        <v>35</v>
      </c>
      <c r="B91" s="22"/>
      <c r="C91" s="22"/>
      <c r="D91" s="22"/>
      <c r="E91" s="22"/>
      <c r="F91" s="195"/>
      <c r="G91" s="22"/>
      <c r="H91" s="22"/>
      <c r="I91" s="22"/>
      <c r="J91" s="22"/>
      <c r="K91" s="22"/>
      <c r="L91" s="22"/>
      <c r="M91" s="22"/>
      <c r="N91" s="22"/>
      <c r="O91" s="22"/>
      <c r="P91" s="22"/>
      <c r="Q91" s="22"/>
      <c r="R91" s="22"/>
      <c r="S91" s="22"/>
      <c r="T91" s="22"/>
      <c r="U91" s="22"/>
      <c r="V91" s="22"/>
    </row>
    <row r="92" spans="1:22"/>
    <row r="93" spans="1:22" hidden="1"/>
    <row r="94" spans="1:22" hidden="1"/>
    <row r="95" spans="1:22" hidden="1"/>
    <row r="96" spans="1:22" hidden="1"/>
    <row r="97" hidden="1"/>
    <row r="98" hidden="1"/>
    <row r="99" hidden="1"/>
    <row r="100" hidden="1"/>
    <row r="101" hidden="1"/>
    <row r="102" hidden="1"/>
    <row r="103" hidden="1"/>
    <row r="104" hidden="1"/>
  </sheetData>
  <conditionalFormatting sqref="G14:G15">
    <cfRule type="cellIs" dxfId="3" priority="2" operator="equal">
      <formula>TRUE</formula>
    </cfRule>
  </conditionalFormatting>
  <conditionalFormatting sqref="G17:G18">
    <cfRule type="cellIs" dxfId="2" priority="1" operator="equal">
      <formula>TRUE</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sheetPr>
  <dimension ref="A1:X15"/>
  <sheetViews>
    <sheetView showGridLines="0" showRowColHeaders="0" zoomScale="80" zoomScaleNormal="80" workbookViewId="0"/>
  </sheetViews>
  <sheetFormatPr defaultColWidth="0" defaultRowHeight="12.75" customHeight="1" zeroHeight="1"/>
  <cols>
    <col min="1" max="2" width="8" style="62" customWidth="1"/>
    <col min="3" max="3" width="8" style="62"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61"/>
    </row>
    <row r="2" spans="1:24" ht="15">
      <c r="A2" s="63"/>
      <c r="B2" s="63"/>
      <c r="C2" s="63"/>
      <c r="D2" s="2"/>
      <c r="E2" s="2"/>
      <c r="F2" s="19"/>
      <c r="G2" s="19"/>
      <c r="H2" s="2"/>
      <c r="I2" s="2"/>
      <c r="J2" s="2"/>
      <c r="K2" s="2"/>
      <c r="L2" s="2"/>
      <c r="M2" s="2"/>
      <c r="N2" s="2"/>
      <c r="O2" s="19"/>
      <c r="P2" s="19"/>
      <c r="Q2" s="2"/>
      <c r="R2" s="2"/>
      <c r="S2" s="2"/>
      <c r="T2" s="2"/>
      <c r="U2" s="2"/>
      <c r="V2" s="2"/>
      <c r="W2" s="2"/>
      <c r="X2" s="2"/>
    </row>
    <row r="3" spans="1:24" ht="15" hidden="1">
      <c r="A3" s="63"/>
      <c r="B3" s="63"/>
      <c r="C3" s="63"/>
      <c r="D3" s="2"/>
      <c r="E3" s="2"/>
      <c r="F3" s="19"/>
      <c r="G3" s="19"/>
      <c r="H3" s="2"/>
      <c r="I3" s="2"/>
      <c r="J3" s="2"/>
      <c r="K3" s="2"/>
      <c r="L3" s="2"/>
      <c r="M3" s="2"/>
      <c r="N3" s="2"/>
      <c r="O3" s="19"/>
      <c r="P3" s="19"/>
      <c r="Q3" s="2"/>
      <c r="R3" s="2"/>
      <c r="S3" s="2"/>
      <c r="T3" s="2"/>
      <c r="U3" s="2"/>
      <c r="V3" s="2"/>
      <c r="W3" s="2"/>
      <c r="X3" s="2"/>
    </row>
    <row r="4" spans="1:24" ht="15" hidden="1">
      <c r="A4" s="63"/>
      <c r="B4" s="63"/>
      <c r="C4" s="63"/>
      <c r="D4" s="2"/>
      <c r="E4" s="2"/>
      <c r="F4" s="19"/>
      <c r="G4" s="19"/>
      <c r="H4" s="2"/>
      <c r="I4" s="2"/>
      <c r="J4" s="2"/>
      <c r="K4" s="2"/>
      <c r="L4" s="2"/>
      <c r="M4" s="2"/>
      <c r="N4" s="2"/>
      <c r="O4" s="19"/>
      <c r="P4" s="19"/>
      <c r="Q4" s="2"/>
      <c r="R4" s="2"/>
      <c r="S4" s="2"/>
      <c r="T4" s="2"/>
      <c r="U4" s="2"/>
      <c r="V4" s="2"/>
      <c r="W4" s="2"/>
      <c r="X4" s="2"/>
    </row>
    <row r="5" spans="1:24" ht="15" hidden="1">
      <c r="A5" s="63"/>
      <c r="B5" s="63"/>
      <c r="C5" s="63"/>
      <c r="D5" s="2"/>
      <c r="E5" s="2"/>
      <c r="F5" s="19"/>
      <c r="G5" s="19"/>
      <c r="H5" s="2"/>
      <c r="I5" s="2"/>
      <c r="J5" s="2"/>
      <c r="K5" s="2"/>
      <c r="L5" s="2"/>
      <c r="M5" s="2"/>
      <c r="N5" s="2"/>
      <c r="O5" s="19"/>
      <c r="P5" s="19"/>
      <c r="Q5" s="2"/>
      <c r="R5" s="2"/>
      <c r="S5" s="2"/>
      <c r="T5" s="2"/>
      <c r="U5" s="2"/>
      <c r="V5" s="2"/>
      <c r="W5" s="2"/>
      <c r="X5" s="2"/>
    </row>
    <row r="6" spans="1:24" ht="15" hidden="1">
      <c r="A6" s="63"/>
      <c r="B6" s="63"/>
      <c r="C6" s="63"/>
      <c r="D6" s="2"/>
      <c r="E6" s="2"/>
      <c r="F6" s="19"/>
      <c r="G6" s="19"/>
      <c r="H6" s="2"/>
      <c r="I6" s="2"/>
      <c r="J6" s="2"/>
      <c r="K6" s="2"/>
      <c r="L6" s="2"/>
      <c r="M6" s="2"/>
      <c r="N6" s="2"/>
      <c r="O6" s="19"/>
      <c r="P6" s="19"/>
      <c r="Q6" s="2"/>
      <c r="R6" s="2"/>
      <c r="S6" s="2"/>
      <c r="T6" s="2"/>
      <c r="U6" s="2"/>
      <c r="V6" s="2"/>
      <c r="W6" s="2"/>
      <c r="X6" s="2"/>
    </row>
    <row r="7" spans="1:24" ht="15" hidden="1">
      <c r="A7" s="63"/>
      <c r="B7" s="63"/>
      <c r="C7" s="63"/>
      <c r="D7" s="2"/>
      <c r="E7" s="2"/>
      <c r="F7" s="19"/>
      <c r="G7" s="19"/>
      <c r="H7" s="2"/>
      <c r="I7" s="2"/>
      <c r="J7" s="2"/>
      <c r="K7" s="2"/>
      <c r="L7" s="2"/>
      <c r="M7" s="2"/>
      <c r="N7" s="2"/>
      <c r="O7" s="19"/>
      <c r="P7" s="19"/>
      <c r="Q7" s="2"/>
      <c r="R7" s="2"/>
      <c r="S7" s="2"/>
      <c r="T7" s="2"/>
      <c r="U7" s="2"/>
      <c r="V7" s="2"/>
      <c r="W7" s="2"/>
      <c r="X7" s="2"/>
    </row>
    <row r="8" spans="1:24" ht="15" hidden="1">
      <c r="A8" s="63"/>
      <c r="B8" s="63"/>
      <c r="C8" s="63"/>
      <c r="D8" s="2"/>
      <c r="E8" s="2"/>
      <c r="F8" s="19"/>
      <c r="G8" s="19"/>
      <c r="H8" s="2"/>
      <c r="I8" s="2"/>
      <c r="J8" s="2"/>
      <c r="K8" s="2"/>
      <c r="L8" s="2"/>
      <c r="M8" s="2"/>
      <c r="N8" s="2"/>
      <c r="O8" s="19"/>
      <c r="P8" s="19"/>
      <c r="Q8" s="2"/>
      <c r="R8" s="2"/>
      <c r="S8" s="2"/>
      <c r="T8" s="2"/>
      <c r="U8" s="2"/>
      <c r="V8" s="2"/>
      <c r="W8" s="2"/>
      <c r="X8" s="2"/>
    </row>
    <row r="9" spans="1:24" ht="15" hidden="1">
      <c r="A9" s="63"/>
      <c r="B9" s="63"/>
      <c r="C9" s="63"/>
      <c r="D9" s="2"/>
      <c r="E9" s="2"/>
      <c r="F9" s="19"/>
      <c r="G9" s="19"/>
      <c r="H9" s="2"/>
      <c r="I9" s="2"/>
      <c r="J9" s="2"/>
      <c r="K9" s="2"/>
      <c r="L9" s="2"/>
      <c r="M9" s="2"/>
      <c r="N9" s="2"/>
      <c r="O9" s="19"/>
      <c r="P9" s="19"/>
      <c r="Q9" s="2"/>
      <c r="R9" s="2"/>
      <c r="S9" s="2"/>
      <c r="T9" s="2"/>
      <c r="U9" s="2"/>
      <c r="V9" s="2"/>
      <c r="W9" s="2"/>
      <c r="X9" s="2"/>
    </row>
    <row r="10" spans="1:24" ht="15" hidden="1">
      <c r="A10" s="63"/>
      <c r="B10" s="63"/>
      <c r="C10" s="63"/>
      <c r="D10" s="2"/>
      <c r="E10" s="2"/>
      <c r="F10" s="19"/>
      <c r="G10" s="19"/>
      <c r="H10" s="2"/>
      <c r="I10" s="2"/>
      <c r="J10" s="2"/>
      <c r="K10" s="2"/>
      <c r="L10" s="2"/>
      <c r="M10" s="2"/>
      <c r="N10" s="2"/>
      <c r="O10" s="19"/>
      <c r="P10" s="19"/>
      <c r="Q10" s="2"/>
      <c r="R10" s="2"/>
      <c r="S10" s="2"/>
      <c r="T10" s="2"/>
      <c r="U10" s="2"/>
      <c r="V10" s="2"/>
      <c r="W10" s="2"/>
      <c r="X10" s="2"/>
    </row>
    <row r="11" spans="1:24" ht="15" hidden="1">
      <c r="A11" s="63"/>
      <c r="B11" s="63"/>
      <c r="C11" s="63"/>
      <c r="D11" s="2"/>
      <c r="E11" s="2"/>
      <c r="F11" s="19"/>
      <c r="G11" s="19"/>
      <c r="H11" s="2"/>
      <c r="I11" s="2"/>
      <c r="J11" s="2"/>
      <c r="K11" s="2"/>
      <c r="L11" s="2"/>
      <c r="M11" s="2"/>
      <c r="N11" s="2"/>
      <c r="O11" s="19"/>
      <c r="P11" s="19"/>
      <c r="Q11" s="2"/>
      <c r="R11" s="2"/>
      <c r="S11" s="2"/>
      <c r="T11" s="2"/>
      <c r="U11" s="2"/>
      <c r="V11" s="2"/>
      <c r="W11" s="2"/>
      <c r="X11" s="2"/>
    </row>
    <row r="12" spans="1:24" ht="15" hidden="1">
      <c r="A12" s="63"/>
      <c r="B12" s="63"/>
      <c r="C12" s="63"/>
      <c r="D12" s="2"/>
      <c r="E12" s="2"/>
      <c r="F12" s="19"/>
      <c r="G12" s="19"/>
      <c r="H12" s="2"/>
      <c r="I12" s="2"/>
      <c r="J12" s="2"/>
      <c r="K12" s="2"/>
      <c r="L12" s="2"/>
      <c r="M12" s="2"/>
      <c r="N12" s="2"/>
      <c r="O12" s="19"/>
      <c r="P12" s="19"/>
      <c r="Q12" s="2"/>
      <c r="R12" s="2"/>
      <c r="S12" s="2"/>
      <c r="T12" s="2"/>
      <c r="U12" s="2"/>
      <c r="V12" s="2"/>
      <c r="W12" s="2"/>
      <c r="X12" s="2"/>
    </row>
    <row r="13" spans="1:24" ht="15" hidden="1">
      <c r="A13" s="63"/>
      <c r="B13" s="63"/>
      <c r="C13" s="63"/>
      <c r="D13" s="2"/>
      <c r="E13" s="2"/>
      <c r="F13" s="19"/>
      <c r="G13" s="19"/>
      <c r="H13" s="2"/>
      <c r="I13" s="2"/>
      <c r="J13" s="2"/>
      <c r="K13" s="2"/>
      <c r="L13" s="2"/>
      <c r="M13" s="2"/>
      <c r="N13" s="2"/>
      <c r="O13" s="19"/>
      <c r="P13" s="19"/>
      <c r="Q13" s="2"/>
      <c r="R13" s="2"/>
      <c r="S13" s="2"/>
      <c r="T13" s="2"/>
      <c r="U13" s="2"/>
      <c r="V13" s="2"/>
      <c r="W13" s="2"/>
      <c r="X13" s="2"/>
    </row>
    <row r="14" spans="1:24" ht="15" hidden="1">
      <c r="A14" s="63"/>
      <c r="B14" s="63"/>
      <c r="C14" s="63"/>
      <c r="D14" s="2"/>
      <c r="E14" s="2"/>
      <c r="F14" s="19"/>
      <c r="G14" s="19"/>
      <c r="H14" s="2"/>
      <c r="I14" s="2"/>
      <c r="J14" s="2"/>
      <c r="K14" s="2"/>
      <c r="L14" s="2"/>
      <c r="M14" s="2"/>
      <c r="N14" s="2"/>
      <c r="O14" s="19"/>
      <c r="P14" s="19"/>
      <c r="Q14" s="2"/>
      <c r="R14" s="2"/>
      <c r="S14" s="2"/>
      <c r="T14" s="2"/>
      <c r="U14" s="2"/>
      <c r="V14" s="2"/>
      <c r="W14" s="2"/>
      <c r="X14" s="2"/>
    </row>
    <row r="15" spans="1:24" ht="15" hidden="1">
      <c r="A15" s="63"/>
      <c r="B15" s="63"/>
      <c r="C15" s="63"/>
      <c r="D15" s="2"/>
      <c r="E15" s="2"/>
      <c r="F15" s="19"/>
      <c r="G15" s="19"/>
      <c r="H15" s="2"/>
      <c r="I15" s="2"/>
      <c r="J15" s="2"/>
      <c r="K15" s="2"/>
      <c r="L15" s="2"/>
      <c r="M15" s="2"/>
      <c r="N15" s="2"/>
      <c r="O15" s="19"/>
      <c r="P15" s="19"/>
      <c r="Q15" s="2"/>
      <c r="R15" s="2"/>
      <c r="S15" s="2"/>
      <c r="T15" s="2"/>
      <c r="U15" s="2"/>
      <c r="V15" s="2"/>
      <c r="W15" s="2"/>
      <c r="X15"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C36"/>
  <sheetViews>
    <sheetView showGridLines="0" zoomScale="80" zoomScaleNormal="80" workbookViewId="0">
      <pane xSplit="8" ySplit="7" topLeftCell="I8" activePane="bottomRight" state="frozen"/>
      <selection pane="topRight" activeCell="I1" sqref="I1"/>
      <selection pane="bottomLeft" activeCell="A8" sqref="A8"/>
      <selection pane="bottomRight" activeCell="I8" sqref="I8"/>
    </sheetView>
  </sheetViews>
  <sheetFormatPr defaultColWidth="0" defaultRowHeight="0" customHeight="1" zeroHeight="1"/>
  <cols>
    <col min="1" max="3" width="2.7109375" customWidth="1"/>
    <col min="4" max="4" width="9.140625" customWidth="1"/>
    <col min="5" max="5" width="68.28515625" customWidth="1"/>
    <col min="6" max="6" width="17" style="176" customWidth="1"/>
    <col min="7" max="7" width="11.7109375" customWidth="1"/>
    <col min="8" max="8" width="2.7109375" customWidth="1"/>
    <col min="9" max="21" width="10.5703125" customWidth="1"/>
    <col min="22" max="22" width="9.140625" customWidth="1"/>
    <col min="23" max="29" width="0" hidden="1" customWidth="1"/>
    <col min="30" max="16384" width="9.140625" hidden="1"/>
  </cols>
  <sheetData>
    <row r="1" spans="1:22" s="2" customFormat="1" ht="33.75">
      <c r="A1" s="31"/>
      <c r="B1" s="31"/>
      <c r="C1" s="31"/>
      <c r="D1" s="31" t="s">
        <v>212</v>
      </c>
      <c r="E1" s="31"/>
      <c r="F1" s="190"/>
      <c r="G1" s="31"/>
      <c r="H1" s="31"/>
      <c r="I1" s="31"/>
      <c r="J1" s="31"/>
      <c r="K1" s="31"/>
      <c r="L1" s="31"/>
      <c r="M1" s="31"/>
      <c r="N1" s="31"/>
      <c r="O1" s="31"/>
      <c r="P1" s="31"/>
      <c r="Q1" s="31"/>
      <c r="R1" s="31"/>
      <c r="S1" s="31"/>
      <c r="T1" s="31"/>
      <c r="U1" s="31"/>
      <c r="V1" s="31"/>
    </row>
    <row r="2" spans="1:22" s="2" customFormat="1" ht="15">
      <c r="F2" s="20"/>
      <c r="G2" s="19"/>
      <c r="O2" s="19"/>
      <c r="P2" s="19"/>
    </row>
    <row r="3" spans="1:22" s="19" customFormat="1" ht="12.75">
      <c r="E3" s="19" t="s">
        <v>17</v>
      </c>
      <c r="F3" s="20"/>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26"/>
    </row>
    <row r="4" spans="1:22" s="19" customFormat="1" ht="12.75">
      <c r="F4" s="20"/>
      <c r="V4" s="26"/>
    </row>
    <row r="5" spans="1:22" s="19" customFormat="1" ht="12.75">
      <c r="E5" s="30" t="s">
        <v>34</v>
      </c>
      <c r="F5" s="20"/>
      <c r="I5" s="29">
        <f t="shared" ref="I5:U5" si="1">Calendar.Years</f>
        <v>2012</v>
      </c>
      <c r="J5" s="29">
        <f t="shared" si="1"/>
        <v>2013</v>
      </c>
      <c r="K5" s="29">
        <f t="shared" si="1"/>
        <v>2014</v>
      </c>
      <c r="L5" s="29">
        <f t="shared" si="1"/>
        <v>2015</v>
      </c>
      <c r="M5" s="29">
        <f t="shared" si="1"/>
        <v>2016</v>
      </c>
      <c r="N5" s="29">
        <f t="shared" si="1"/>
        <v>2017</v>
      </c>
      <c r="O5" s="29">
        <f t="shared" si="1"/>
        <v>2018</v>
      </c>
      <c r="P5" s="29">
        <f t="shared" si="1"/>
        <v>2019</v>
      </c>
      <c r="Q5" s="29">
        <f t="shared" si="1"/>
        <v>2020</v>
      </c>
      <c r="R5" s="29">
        <f t="shared" si="1"/>
        <v>2021</v>
      </c>
      <c r="S5" s="29">
        <f t="shared" si="1"/>
        <v>2022</v>
      </c>
      <c r="T5" s="29">
        <f t="shared" si="1"/>
        <v>2023</v>
      </c>
      <c r="U5" s="29">
        <f t="shared" si="1"/>
        <v>2024</v>
      </c>
      <c r="V5" s="26"/>
    </row>
    <row r="6" spans="1:22" s="19" customFormat="1" ht="12.75">
      <c r="E6" s="19" t="s">
        <v>18</v>
      </c>
      <c r="F6" s="20"/>
      <c r="K6" s="8"/>
      <c r="L6" s="9">
        <v>1</v>
      </c>
      <c r="M6" s="9">
        <v>2</v>
      </c>
      <c r="N6" s="9">
        <v>3</v>
      </c>
      <c r="O6" s="9">
        <v>4</v>
      </c>
      <c r="P6" s="9">
        <v>5</v>
      </c>
      <c r="Q6" s="9">
        <v>6</v>
      </c>
      <c r="R6" s="9">
        <v>7</v>
      </c>
      <c r="S6" s="9">
        <v>8</v>
      </c>
      <c r="T6" s="9">
        <v>9</v>
      </c>
      <c r="U6" s="9">
        <v>10</v>
      </c>
    </row>
    <row r="7" spans="1:22" ht="12.75" customHeight="1"/>
    <row r="8" spans="1:22" s="13" customFormat="1" ht="15">
      <c r="A8" s="232"/>
      <c r="B8" s="233"/>
      <c r="C8" s="233"/>
      <c r="D8" s="234"/>
      <c r="E8" s="11" t="s">
        <v>330</v>
      </c>
      <c r="F8" s="191"/>
      <c r="G8" s="12"/>
      <c r="H8" s="12"/>
      <c r="I8" s="12"/>
      <c r="J8" s="12"/>
      <c r="K8" s="12"/>
      <c r="L8" s="12"/>
      <c r="M8" s="12"/>
      <c r="N8" s="12"/>
      <c r="O8" s="12"/>
      <c r="P8" s="12"/>
      <c r="Q8" s="12"/>
      <c r="R8" s="12"/>
      <c r="S8" s="12"/>
      <c r="T8" s="12"/>
      <c r="U8" s="12"/>
      <c r="V8" s="12"/>
    </row>
    <row r="9" spans="1:22" ht="12.75" customHeight="1"/>
    <row r="10" spans="1:22" s="19" customFormat="1" ht="12.75">
      <c r="A10" s="82"/>
      <c r="B10" s="82"/>
      <c r="C10" s="82"/>
      <c r="D10" s="38"/>
      <c r="E10" s="16" t="s">
        <v>328</v>
      </c>
      <c r="F10" s="20"/>
    </row>
    <row r="11" spans="1:22" s="19" customFormat="1" ht="12.75">
      <c r="D11" s="59" t="s">
        <v>20</v>
      </c>
      <c r="E11" s="93" t="s">
        <v>209</v>
      </c>
      <c r="F11" s="20" t="s">
        <v>46</v>
      </c>
      <c r="L11" s="42">
        <f>Net.Adj.Inperiod</f>
        <v>0</v>
      </c>
      <c r="M11" s="42">
        <f>Net.Adj.Inperiod</f>
        <v>0</v>
      </c>
      <c r="N11" s="42">
        <f>Net.Adj.Inperiod</f>
        <v>0</v>
      </c>
      <c r="O11" s="42">
        <f>Net.Adj.Inperiod</f>
        <v>0</v>
      </c>
      <c r="P11" s="42">
        <f>Net.Adj.Inperiod</f>
        <v>0</v>
      </c>
    </row>
    <row r="12" spans="1:22" s="19" customFormat="1" ht="12.75">
      <c r="D12" s="38"/>
      <c r="E12" s="16"/>
      <c r="F12" s="20"/>
    </row>
    <row r="13" spans="1:22" s="13" customFormat="1" ht="15">
      <c r="A13" s="10"/>
      <c r="B13" s="14"/>
      <c r="C13" s="14"/>
      <c r="D13" s="12"/>
      <c r="E13" s="11" t="s">
        <v>329</v>
      </c>
      <c r="F13" s="191"/>
      <c r="G13" s="12"/>
      <c r="H13" s="12"/>
      <c r="I13" s="12"/>
      <c r="J13" s="12"/>
      <c r="K13" s="12"/>
      <c r="L13" s="12"/>
      <c r="M13" s="12"/>
      <c r="N13" s="12"/>
      <c r="O13" s="12"/>
      <c r="P13" s="12"/>
      <c r="Q13" s="12"/>
      <c r="R13" s="12"/>
      <c r="S13" s="12"/>
      <c r="T13" s="12"/>
      <c r="U13" s="12"/>
      <c r="V13" s="12"/>
    </row>
    <row r="14" spans="1:22" ht="12.75" customHeight="1"/>
    <row r="15" spans="1:22" ht="12.75">
      <c r="E15" s="16" t="s">
        <v>328</v>
      </c>
    </row>
    <row r="16" spans="1:22" ht="12.75">
      <c r="D16" s="59" t="s">
        <v>20</v>
      </c>
      <c r="E16" s="65" t="s">
        <v>208</v>
      </c>
      <c r="F16" s="20" t="s">
        <v>46</v>
      </c>
      <c r="P16" s="42">
        <f>Reward.Rev.Out</f>
        <v>0</v>
      </c>
    </row>
    <row r="17" spans="1:22" ht="12.75">
      <c r="D17" s="59"/>
      <c r="E17" s="33"/>
    </row>
    <row r="18" spans="1:22" ht="12.75">
      <c r="A18" s="94"/>
      <c r="B18" s="94"/>
      <c r="C18" s="94"/>
      <c r="E18" s="16" t="s">
        <v>327</v>
      </c>
    </row>
    <row r="19" spans="1:22" ht="12.75">
      <c r="A19" s="94"/>
      <c r="B19" s="94"/>
      <c r="C19" s="94"/>
      <c r="D19" s="59" t="s">
        <v>20</v>
      </c>
      <c r="E19" s="65" t="s">
        <v>171</v>
      </c>
      <c r="F19" s="20" t="s">
        <v>46</v>
      </c>
      <c r="P19" s="42">
        <f>Reward.RCV.Out</f>
        <v>0</v>
      </c>
    </row>
    <row r="20" spans="1:22" ht="12.75" customHeight="1" thickBot="1"/>
    <row r="21" spans="1:22" ht="13.5" thickBot="1">
      <c r="A21" s="21" t="s">
        <v>35</v>
      </c>
      <c r="B21" s="22"/>
      <c r="C21" s="22"/>
      <c r="D21" s="22"/>
      <c r="E21" s="22"/>
      <c r="F21" s="195"/>
      <c r="G21" s="22"/>
      <c r="H21" s="22"/>
      <c r="I21" s="22"/>
      <c r="J21" s="22"/>
      <c r="K21" s="22"/>
      <c r="L21" s="22"/>
      <c r="M21" s="22"/>
      <c r="N21" s="22"/>
      <c r="O21" s="22"/>
      <c r="P21" s="22"/>
      <c r="Q21" s="22"/>
      <c r="R21" s="22"/>
      <c r="S21" s="22"/>
      <c r="T21" s="22"/>
      <c r="U21" s="22"/>
      <c r="V21" s="22"/>
    </row>
    <row r="22" spans="1:22" ht="12.75" customHeight="1"/>
    <row r="23" spans="1:22" ht="12.75" hidden="1" customHeight="1"/>
    <row r="24" spans="1:22" ht="12.75" hidden="1" customHeight="1"/>
    <row r="25" spans="1:22" ht="12.75" hidden="1" customHeight="1"/>
    <row r="26" spans="1:22" ht="12.75" hidden="1" customHeight="1"/>
    <row r="27" spans="1:22" ht="12.75" hidden="1" customHeight="1"/>
    <row r="28" spans="1:22" ht="12.75" hidden="1" customHeight="1"/>
    <row r="29" spans="1:22" ht="12.75" hidden="1" customHeight="1"/>
    <row r="30" spans="1:22" ht="12.75" hidden="1" customHeight="1"/>
    <row r="31" spans="1:22" ht="12.75" hidden="1" customHeight="1"/>
    <row r="32" spans="1:22" ht="12.75" hidden="1" customHeight="1"/>
    <row r="33" ht="12.75" hidden="1" customHeight="1"/>
    <row r="34" ht="12.75" hidden="1" customHeight="1"/>
    <row r="35" ht="12.75" hidden="1" customHeight="1"/>
    <row r="36" ht="12.75" hidden="1" customHeight="1"/>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sheetPr>
  <dimension ref="A1:X15"/>
  <sheetViews>
    <sheetView showGridLines="0" showRowColHeaders="0" zoomScale="80" zoomScaleNormal="80" workbookViewId="0"/>
  </sheetViews>
  <sheetFormatPr defaultColWidth="0" defaultRowHeight="12.75" customHeight="1" zeroHeight="1"/>
  <cols>
    <col min="1" max="2" width="8" style="62" customWidth="1"/>
    <col min="3" max="3" width="8" style="62"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61"/>
    </row>
    <row r="2" spans="1:24" ht="15">
      <c r="A2" s="63"/>
      <c r="B2" s="63"/>
      <c r="C2" s="63"/>
      <c r="D2" s="2"/>
      <c r="E2" s="2"/>
      <c r="F2" s="19"/>
      <c r="G2" s="19"/>
      <c r="H2" s="2"/>
      <c r="I2" s="2"/>
      <c r="J2" s="2"/>
      <c r="K2" s="2"/>
      <c r="L2" s="2"/>
      <c r="M2" s="2"/>
      <c r="N2" s="2"/>
      <c r="O2" s="19"/>
      <c r="P2" s="19"/>
      <c r="Q2" s="2"/>
      <c r="R2" s="2"/>
      <c r="S2" s="2"/>
      <c r="T2" s="2"/>
      <c r="U2" s="2"/>
      <c r="V2" s="2"/>
      <c r="W2" s="2"/>
      <c r="X2" s="2"/>
    </row>
    <row r="3" spans="1:24" ht="15" hidden="1">
      <c r="A3" s="63"/>
      <c r="B3" s="63"/>
      <c r="C3" s="63"/>
      <c r="D3" s="2"/>
      <c r="E3" s="2"/>
      <c r="F3" s="19"/>
      <c r="G3" s="19"/>
      <c r="H3" s="2"/>
      <c r="I3" s="2"/>
      <c r="J3" s="2"/>
      <c r="K3" s="2"/>
      <c r="L3" s="2"/>
      <c r="M3" s="2"/>
      <c r="N3" s="2"/>
      <c r="O3" s="19"/>
      <c r="P3" s="19"/>
      <c r="Q3" s="2"/>
      <c r="R3" s="2"/>
      <c r="S3" s="2"/>
      <c r="T3" s="2"/>
      <c r="U3" s="2"/>
      <c r="V3" s="2"/>
      <c r="W3" s="2"/>
      <c r="X3" s="2"/>
    </row>
    <row r="4" spans="1:24" ht="15" hidden="1">
      <c r="A4" s="63"/>
      <c r="B4" s="63"/>
      <c r="C4" s="63"/>
      <c r="D4" s="2"/>
      <c r="E4" s="2"/>
      <c r="F4" s="19"/>
      <c r="G4" s="19"/>
      <c r="H4" s="2"/>
      <c r="I4" s="2"/>
      <c r="J4" s="2"/>
      <c r="K4" s="2"/>
      <c r="L4" s="2"/>
      <c r="M4" s="2"/>
      <c r="N4" s="2"/>
      <c r="O4" s="19"/>
      <c r="P4" s="19"/>
      <c r="Q4" s="2"/>
      <c r="R4" s="2"/>
      <c r="S4" s="2"/>
      <c r="T4" s="2"/>
      <c r="U4" s="2"/>
      <c r="V4" s="2"/>
      <c r="W4" s="2"/>
      <c r="X4" s="2"/>
    </row>
    <row r="5" spans="1:24" ht="15" hidden="1">
      <c r="A5" s="63"/>
      <c r="B5" s="63"/>
      <c r="C5" s="63"/>
      <c r="D5" s="2"/>
      <c r="E5" s="2"/>
      <c r="F5" s="19"/>
      <c r="G5" s="19"/>
      <c r="H5" s="2"/>
      <c r="I5" s="2"/>
      <c r="J5" s="2"/>
      <c r="K5" s="2"/>
      <c r="L5" s="2"/>
      <c r="M5" s="2"/>
      <c r="N5" s="2"/>
      <c r="O5" s="19"/>
      <c r="P5" s="19"/>
      <c r="Q5" s="2"/>
      <c r="R5" s="2"/>
      <c r="S5" s="2"/>
      <c r="T5" s="2"/>
      <c r="U5" s="2"/>
      <c r="V5" s="2"/>
      <c r="W5" s="2"/>
      <c r="X5" s="2"/>
    </row>
    <row r="6" spans="1:24" ht="15" hidden="1">
      <c r="A6" s="63"/>
      <c r="B6" s="63"/>
      <c r="C6" s="63"/>
      <c r="D6" s="2"/>
      <c r="E6" s="2"/>
      <c r="F6" s="19"/>
      <c r="G6" s="19"/>
      <c r="H6" s="2"/>
      <c r="I6" s="2"/>
      <c r="J6" s="2"/>
      <c r="K6" s="2"/>
      <c r="L6" s="2"/>
      <c r="M6" s="2"/>
      <c r="N6" s="2"/>
      <c r="O6" s="19"/>
      <c r="P6" s="19"/>
      <c r="Q6" s="2"/>
      <c r="R6" s="2"/>
      <c r="S6" s="2"/>
      <c r="T6" s="2"/>
      <c r="U6" s="2"/>
      <c r="V6" s="2"/>
      <c r="W6" s="2"/>
      <c r="X6" s="2"/>
    </row>
    <row r="7" spans="1:24" ht="15" hidden="1">
      <c r="A7" s="63"/>
      <c r="B7" s="63"/>
      <c r="C7" s="63"/>
      <c r="D7" s="2"/>
      <c r="E7" s="2"/>
      <c r="F7" s="19"/>
      <c r="G7" s="19"/>
      <c r="H7" s="2"/>
      <c r="I7" s="2"/>
      <c r="J7" s="2"/>
      <c r="K7" s="2"/>
      <c r="L7" s="2"/>
      <c r="M7" s="2"/>
      <c r="N7" s="2"/>
      <c r="O7" s="19"/>
      <c r="P7" s="19"/>
      <c r="Q7" s="2"/>
      <c r="R7" s="2"/>
      <c r="S7" s="2"/>
      <c r="T7" s="2"/>
      <c r="U7" s="2"/>
      <c r="V7" s="2"/>
      <c r="W7" s="2"/>
      <c r="X7" s="2"/>
    </row>
    <row r="8" spans="1:24" ht="15" hidden="1">
      <c r="A8" s="63"/>
      <c r="B8" s="63"/>
      <c r="C8" s="63"/>
      <c r="D8" s="2"/>
      <c r="E8" s="2"/>
      <c r="F8" s="19"/>
      <c r="G8" s="19"/>
      <c r="H8" s="2"/>
      <c r="I8" s="2"/>
      <c r="J8" s="2"/>
      <c r="K8" s="2"/>
      <c r="L8" s="2"/>
      <c r="M8" s="2"/>
      <c r="N8" s="2"/>
      <c r="O8" s="19"/>
      <c r="P8" s="19"/>
      <c r="Q8" s="2"/>
      <c r="R8" s="2"/>
      <c r="S8" s="2"/>
      <c r="T8" s="2"/>
      <c r="U8" s="2"/>
      <c r="V8" s="2"/>
      <c r="W8" s="2"/>
      <c r="X8" s="2"/>
    </row>
    <row r="9" spans="1:24" ht="15" hidden="1">
      <c r="A9" s="63"/>
      <c r="B9" s="63"/>
      <c r="C9" s="63"/>
      <c r="D9" s="2"/>
      <c r="E9" s="2"/>
      <c r="F9" s="19"/>
      <c r="G9" s="19"/>
      <c r="H9" s="2"/>
      <c r="I9" s="2"/>
      <c r="J9" s="2"/>
      <c r="K9" s="2"/>
      <c r="L9" s="2"/>
      <c r="M9" s="2"/>
      <c r="N9" s="2"/>
      <c r="O9" s="19"/>
      <c r="P9" s="19"/>
      <c r="Q9" s="2"/>
      <c r="R9" s="2"/>
      <c r="S9" s="2"/>
      <c r="T9" s="2"/>
      <c r="U9" s="2"/>
      <c r="V9" s="2"/>
      <c r="W9" s="2"/>
      <c r="X9" s="2"/>
    </row>
    <row r="10" spans="1:24" ht="15" hidden="1">
      <c r="A10" s="63"/>
      <c r="B10" s="63"/>
      <c r="C10" s="63"/>
      <c r="D10" s="2"/>
      <c r="E10" s="2"/>
      <c r="F10" s="19"/>
      <c r="G10" s="19"/>
      <c r="H10" s="2"/>
      <c r="I10" s="2"/>
      <c r="J10" s="2"/>
      <c r="K10" s="2"/>
      <c r="L10" s="2"/>
      <c r="M10" s="2"/>
      <c r="N10" s="2"/>
      <c r="O10" s="19"/>
      <c r="P10" s="19"/>
      <c r="Q10" s="2"/>
      <c r="R10" s="2"/>
      <c r="S10" s="2"/>
      <c r="T10" s="2"/>
      <c r="U10" s="2"/>
      <c r="V10" s="2"/>
      <c r="W10" s="2"/>
      <c r="X10" s="2"/>
    </row>
    <row r="11" spans="1:24" ht="15" hidden="1">
      <c r="A11" s="63"/>
      <c r="B11" s="63"/>
      <c r="C11" s="63"/>
      <c r="D11" s="2"/>
      <c r="E11" s="2"/>
      <c r="F11" s="19"/>
      <c r="G11" s="19"/>
      <c r="H11" s="2"/>
      <c r="I11" s="2"/>
      <c r="J11" s="2"/>
      <c r="K11" s="2"/>
      <c r="L11" s="2"/>
      <c r="M11" s="2"/>
      <c r="N11" s="2"/>
      <c r="O11" s="19"/>
      <c r="P11" s="19"/>
      <c r="Q11" s="2"/>
      <c r="R11" s="2"/>
      <c r="S11" s="2"/>
      <c r="T11" s="2"/>
      <c r="U11" s="2"/>
      <c r="V11" s="2"/>
      <c r="W11" s="2"/>
      <c r="X11" s="2"/>
    </row>
    <row r="12" spans="1:24" ht="15" hidden="1">
      <c r="A12" s="63"/>
      <c r="B12" s="63"/>
      <c r="C12" s="63"/>
      <c r="D12" s="2"/>
      <c r="E12" s="2"/>
      <c r="F12" s="19"/>
      <c r="G12" s="19"/>
      <c r="H12" s="2"/>
      <c r="I12" s="2"/>
      <c r="J12" s="2"/>
      <c r="K12" s="2"/>
      <c r="L12" s="2"/>
      <c r="M12" s="2"/>
      <c r="N12" s="2"/>
      <c r="O12" s="19"/>
      <c r="P12" s="19"/>
      <c r="Q12" s="2"/>
      <c r="R12" s="2"/>
      <c r="S12" s="2"/>
      <c r="T12" s="2"/>
      <c r="U12" s="2"/>
      <c r="V12" s="2"/>
      <c r="W12" s="2"/>
      <c r="X12" s="2"/>
    </row>
    <row r="13" spans="1:24" ht="15" hidden="1">
      <c r="A13" s="63"/>
      <c r="B13" s="63"/>
      <c r="C13" s="63"/>
      <c r="D13" s="2"/>
      <c r="E13" s="2"/>
      <c r="F13" s="19"/>
      <c r="G13" s="19"/>
      <c r="H13" s="2"/>
      <c r="I13" s="2"/>
      <c r="J13" s="2"/>
      <c r="K13" s="2"/>
      <c r="L13" s="2"/>
      <c r="M13" s="2"/>
      <c r="N13" s="2"/>
      <c r="O13" s="19"/>
      <c r="P13" s="19"/>
      <c r="Q13" s="2"/>
      <c r="R13" s="2"/>
      <c r="S13" s="2"/>
      <c r="T13" s="2"/>
      <c r="U13" s="2"/>
      <c r="V13" s="2"/>
      <c r="W13" s="2"/>
      <c r="X13" s="2"/>
    </row>
    <row r="14" spans="1:24" ht="15" hidden="1">
      <c r="A14" s="63"/>
      <c r="B14" s="63"/>
      <c r="C14" s="63"/>
      <c r="D14" s="2"/>
      <c r="E14" s="2"/>
      <c r="F14" s="19"/>
      <c r="G14" s="19"/>
      <c r="H14" s="2"/>
      <c r="I14" s="2"/>
      <c r="J14" s="2"/>
      <c r="K14" s="2"/>
      <c r="L14" s="2"/>
      <c r="M14" s="2"/>
      <c r="N14" s="2"/>
      <c r="O14" s="19"/>
      <c r="P14" s="19"/>
      <c r="Q14" s="2"/>
      <c r="R14" s="2"/>
      <c r="S14" s="2"/>
      <c r="T14" s="2"/>
      <c r="U14" s="2"/>
      <c r="V14" s="2"/>
      <c r="W14" s="2"/>
      <c r="X14" s="2"/>
    </row>
    <row r="15" spans="1:24" ht="15" hidden="1">
      <c r="A15" s="63"/>
      <c r="B15" s="63"/>
      <c r="C15" s="63"/>
      <c r="D15" s="2"/>
      <c r="E15" s="2"/>
      <c r="F15" s="19"/>
      <c r="G15" s="19"/>
      <c r="H15" s="2"/>
      <c r="I15" s="2"/>
      <c r="J15" s="2"/>
      <c r="K15" s="2"/>
      <c r="L15" s="2"/>
      <c r="M15" s="2"/>
      <c r="N15" s="2"/>
      <c r="O15" s="19"/>
      <c r="P15" s="19"/>
      <c r="Q15" s="2"/>
      <c r="R15" s="2"/>
      <c r="S15" s="2"/>
      <c r="T15" s="2"/>
      <c r="U15" s="2"/>
      <c r="V15" s="2"/>
      <c r="W15" s="2"/>
      <c r="X15"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55"/>
  <sheetViews>
    <sheetView showGridLines="0" zoomScale="80" zoomScaleNormal="80" workbookViewId="0">
      <pane xSplit="8" ySplit="7" topLeftCell="I8" activePane="bottomRight" state="frozen"/>
      <selection pane="topRight" activeCell="I1" sqref="I1"/>
      <selection pane="bottomLeft" activeCell="A8" sqref="A8"/>
      <selection pane="bottomRight" activeCell="I8" sqref="I8"/>
    </sheetView>
  </sheetViews>
  <sheetFormatPr defaultColWidth="0" defaultRowHeight="12.75" zeroHeight="1"/>
  <cols>
    <col min="1" max="3" width="2.7109375" style="3" customWidth="1"/>
    <col min="4" max="4" width="9.7109375" style="3" customWidth="1"/>
    <col min="5" max="5" width="24.5703125" style="3" customWidth="1"/>
    <col min="6" max="8" width="2.7109375" style="3" customWidth="1"/>
    <col min="9" max="21" width="9.7109375" style="3" customWidth="1"/>
    <col min="22" max="22" width="15.85546875" style="3" bestFit="1" customWidth="1"/>
    <col min="23" max="16384" width="0" style="3" hidden="1"/>
  </cols>
  <sheetData>
    <row r="1" spans="1:16384" ht="33.75">
      <c r="A1" s="1"/>
      <c r="B1" s="1"/>
      <c r="C1" s="1"/>
      <c r="D1" s="31" t="s">
        <v>31</v>
      </c>
      <c r="E1" s="3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pans="1:16384" ht="15">
      <c r="A2" s="2"/>
      <c r="B2" s="2"/>
      <c r="C2" s="2"/>
      <c r="D2" s="2"/>
      <c r="E2" s="2"/>
      <c r="H2" s="2"/>
      <c r="I2" s="2"/>
      <c r="J2" s="2"/>
      <c r="K2" s="2"/>
      <c r="L2" s="2"/>
      <c r="O2" s="2"/>
      <c r="P2" s="2"/>
      <c r="Q2" s="2"/>
      <c r="R2" s="2"/>
      <c r="S2" s="2"/>
      <c r="T2" s="2"/>
      <c r="U2" s="2"/>
    </row>
    <row r="3" spans="1:16384">
      <c r="E3" s="3" t="s">
        <v>17</v>
      </c>
      <c r="I3" s="4" t="s">
        <v>27</v>
      </c>
      <c r="J3" s="4" t="s">
        <v>28</v>
      </c>
      <c r="K3" s="4" t="s">
        <v>2</v>
      </c>
      <c r="L3" s="5" t="s">
        <v>3</v>
      </c>
      <c r="M3" s="5" t="s">
        <v>4</v>
      </c>
      <c r="N3" s="5" t="s">
        <v>5</v>
      </c>
      <c r="O3" s="5" t="s">
        <v>6</v>
      </c>
      <c r="P3" s="5" t="s">
        <v>7</v>
      </c>
      <c r="Q3" s="4" t="s">
        <v>12</v>
      </c>
      <c r="R3" s="4" t="s">
        <v>13</v>
      </c>
      <c r="S3" s="4" t="s">
        <v>14</v>
      </c>
      <c r="T3" s="4" t="s">
        <v>15</v>
      </c>
      <c r="U3" s="4" t="s">
        <v>16</v>
      </c>
      <c r="V3" s="26" t="s">
        <v>32</v>
      </c>
    </row>
    <row r="4" spans="1:16384">
      <c r="I4" s="19"/>
      <c r="J4" s="19"/>
      <c r="K4" s="19"/>
      <c r="V4" s="26"/>
    </row>
    <row r="5" spans="1:16384">
      <c r="E5" s="25" t="s">
        <v>34</v>
      </c>
      <c r="I5" s="28">
        <v>2012</v>
      </c>
      <c r="J5" s="28">
        <v>2013</v>
      </c>
      <c r="K5" s="28">
        <v>2014</v>
      </c>
      <c r="L5" s="28">
        <v>2015</v>
      </c>
      <c r="M5" s="28">
        <v>2016</v>
      </c>
      <c r="N5" s="28">
        <v>2017</v>
      </c>
      <c r="O5" s="28">
        <v>2018</v>
      </c>
      <c r="P5" s="28">
        <v>2019</v>
      </c>
      <c r="Q5" s="28">
        <v>2020</v>
      </c>
      <c r="R5" s="28">
        <v>2021</v>
      </c>
      <c r="S5" s="28">
        <v>2022</v>
      </c>
      <c r="T5" s="28">
        <v>2023</v>
      </c>
      <c r="U5" s="28">
        <v>2024</v>
      </c>
      <c r="V5" s="26" t="s">
        <v>33</v>
      </c>
    </row>
    <row r="6" spans="1:16384">
      <c r="E6" s="3" t="s">
        <v>18</v>
      </c>
      <c r="K6" s="8"/>
      <c r="L6" s="9">
        <v>1</v>
      </c>
      <c r="M6" s="9">
        <v>2</v>
      </c>
      <c r="N6" s="9">
        <v>3</v>
      </c>
      <c r="O6" s="9">
        <v>4</v>
      </c>
      <c r="P6" s="9">
        <v>5</v>
      </c>
      <c r="Q6" s="9">
        <v>6</v>
      </c>
      <c r="R6" s="9">
        <v>7</v>
      </c>
      <c r="S6" s="9">
        <v>8</v>
      </c>
      <c r="T6" s="9">
        <v>9</v>
      </c>
      <c r="U6" s="9">
        <v>10</v>
      </c>
    </row>
    <row r="7" spans="1:16384"/>
    <row r="8" spans="1:16384" s="19" customFormat="1"/>
    <row r="9" spans="1:16384" s="13" customFormat="1" ht="15">
      <c r="A9" s="10"/>
      <c r="B9" s="14"/>
      <c r="C9" s="14"/>
      <c r="D9" s="12"/>
      <c r="E9" s="11" t="s">
        <v>31</v>
      </c>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c r="XEY9" s="12"/>
      <c r="XEZ9" s="12"/>
      <c r="XFA9" s="12"/>
      <c r="XFB9" s="12"/>
      <c r="XFC9" s="12"/>
      <c r="XFD9" s="12"/>
    </row>
    <row r="10" spans="1:16384"/>
    <row r="11" spans="1:16384">
      <c r="E11" s="75" t="s">
        <v>66</v>
      </c>
    </row>
    <row r="12" spans="1:16384">
      <c r="E12" s="6" t="s">
        <v>24</v>
      </c>
    </row>
    <row r="13" spans="1:16384">
      <c r="E13" s="18" t="s">
        <v>25</v>
      </c>
    </row>
    <row r="14" spans="1:16384" s="19" customFormat="1">
      <c r="E14" s="18"/>
    </row>
    <row r="15" spans="1:16384" s="19" customFormat="1">
      <c r="E15" s="44" t="s">
        <v>52</v>
      </c>
    </row>
    <row r="16" spans="1:16384" s="19" customFormat="1">
      <c r="E16" s="44" t="s">
        <v>41</v>
      </c>
    </row>
    <row r="17" spans="5:13" s="19" customFormat="1">
      <c r="E17" s="44" t="s">
        <v>67</v>
      </c>
    </row>
    <row r="18" spans="5:13" s="19" customFormat="1">
      <c r="E18" s="18" t="s">
        <v>53</v>
      </c>
    </row>
    <row r="19" spans="5:13" s="19" customFormat="1"/>
    <row r="20" spans="5:13" s="19" customFormat="1">
      <c r="E20" s="81" t="s">
        <v>69</v>
      </c>
    </row>
    <row r="21" spans="5:13" s="19" customFormat="1">
      <c r="E21" s="81" t="s">
        <v>70</v>
      </c>
    </row>
    <row r="22" spans="5:13" s="19" customFormat="1">
      <c r="E22" s="18" t="s">
        <v>71</v>
      </c>
    </row>
    <row r="23" spans="5:13" s="19" customFormat="1">
      <c r="E23" s="18"/>
    </row>
    <row r="24" spans="5:13" s="19" customFormat="1">
      <c r="E24" s="88" t="s">
        <v>3</v>
      </c>
    </row>
    <row r="25" spans="5:13" s="19" customFormat="1">
      <c r="E25" s="88" t="s">
        <v>4</v>
      </c>
    </row>
    <row r="26" spans="5:13" s="19" customFormat="1">
      <c r="E26" s="88" t="s">
        <v>5</v>
      </c>
    </row>
    <row r="27" spans="5:13" s="19" customFormat="1">
      <c r="E27" s="88" t="s">
        <v>6</v>
      </c>
    </row>
    <row r="28" spans="5:13" s="19" customFormat="1">
      <c r="E28" s="88" t="s">
        <v>7</v>
      </c>
    </row>
    <row r="29" spans="5:13" s="19" customFormat="1">
      <c r="E29" s="88" t="s">
        <v>134</v>
      </c>
      <c r="M29" s="197"/>
    </row>
    <row r="30" spans="5:13" s="19" customFormat="1">
      <c r="E30" s="18" t="s">
        <v>133</v>
      </c>
    </row>
    <row r="31" spans="5:13" s="19" customFormat="1">
      <c r="E31" s="18"/>
    </row>
    <row r="32" spans="5:13" s="19" customFormat="1">
      <c r="E32" s="81" t="s">
        <v>240</v>
      </c>
    </row>
    <row r="33" spans="1:22" s="19" customFormat="1">
      <c r="E33" s="81" t="s">
        <v>241</v>
      </c>
    </row>
    <row r="34" spans="1:22" s="19" customFormat="1">
      <c r="E34" s="18" t="s">
        <v>136</v>
      </c>
    </row>
    <row r="35" spans="1:22" s="19" customFormat="1">
      <c r="E35" s="18"/>
    </row>
    <row r="36" spans="1:22" s="19" customFormat="1">
      <c r="E36" s="81" t="s">
        <v>142</v>
      </c>
    </row>
    <row r="37" spans="1:22" s="19" customFormat="1">
      <c r="E37" s="81" t="s">
        <v>143</v>
      </c>
    </row>
    <row r="38" spans="1:22" s="19" customFormat="1">
      <c r="E38" s="18" t="s">
        <v>141</v>
      </c>
    </row>
    <row r="39" spans="1:22" s="19" customFormat="1">
      <c r="E39" s="18"/>
    </row>
    <row r="40" spans="1:22" s="19" customFormat="1" ht="13.5" thickBot="1"/>
    <row r="41" spans="1:22" ht="13.5" thickBot="1">
      <c r="A41" s="21" t="s">
        <v>35</v>
      </c>
      <c r="B41" s="22"/>
      <c r="C41" s="22"/>
      <c r="D41" s="22"/>
      <c r="E41" s="22"/>
      <c r="F41" s="22"/>
      <c r="G41" s="22"/>
      <c r="H41" s="22"/>
      <c r="I41" s="22"/>
      <c r="J41" s="22"/>
      <c r="K41" s="22"/>
      <c r="L41" s="22"/>
      <c r="M41" s="22"/>
      <c r="N41" s="22"/>
      <c r="O41" s="22"/>
      <c r="P41" s="22"/>
      <c r="Q41" s="22"/>
      <c r="R41" s="22"/>
      <c r="S41" s="22"/>
      <c r="T41" s="22"/>
      <c r="U41" s="22"/>
      <c r="V41" s="22"/>
    </row>
    <row r="42" spans="1:22"/>
    <row r="43" spans="1:22" hidden="1"/>
    <row r="44" spans="1:22" hidden="1"/>
    <row r="45" spans="1:22" hidden="1"/>
    <row r="46" spans="1:22" hidden="1"/>
    <row r="47" spans="1:22" hidden="1"/>
    <row r="48" spans="1:22" hidden="1"/>
    <row r="49" hidden="1"/>
    <row r="50" hidden="1"/>
    <row r="51" hidden="1"/>
    <row r="52" hidden="1"/>
    <row r="53" hidden="1"/>
    <row r="54" hidden="1"/>
    <row r="55" hidden="1"/>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59"/>
  <sheetViews>
    <sheetView showGridLines="0" zoomScale="80" zoomScaleNormal="80" workbookViewId="0">
      <pane xSplit="5" ySplit="5" topLeftCell="F6" activePane="bottomRight" state="frozen"/>
      <selection activeCell="M121" sqref="M121"/>
      <selection pane="topRight" activeCell="M121" sqref="M121"/>
      <selection pane="bottomLeft" activeCell="M121" sqref="M121"/>
      <selection pane="bottomRight" activeCell="F6" sqref="F6"/>
    </sheetView>
  </sheetViews>
  <sheetFormatPr defaultColWidth="0" defaultRowHeight="0" customHeight="1" zeroHeight="1"/>
  <cols>
    <col min="1" max="3" width="4.7109375" style="120" customWidth="1"/>
    <col min="4" max="4" width="11.7109375" style="120" customWidth="1"/>
    <col min="5" max="5" width="53.140625" style="120" customWidth="1"/>
    <col min="6" max="7" width="2.7109375" style="120" customWidth="1"/>
    <col min="8" max="21" width="11" style="120" customWidth="1"/>
    <col min="22" max="22" width="22.28515625" style="156" bestFit="1" customWidth="1"/>
    <col min="23" max="26" width="8.85546875" style="120" hidden="1" customWidth="1"/>
    <col min="27" max="259" width="0" style="120" hidden="1" customWidth="1"/>
    <col min="260" max="16384" width="0" style="120" hidden="1"/>
  </cols>
  <sheetData>
    <row r="1" spans="1:24" s="111" customFormat="1" ht="33.75">
      <c r="A1" s="102"/>
      <c r="B1" s="102"/>
      <c r="C1" s="103"/>
      <c r="D1" s="104" t="s">
        <v>253</v>
      </c>
      <c r="E1" s="104"/>
      <c r="F1" s="104"/>
      <c r="G1" s="104"/>
      <c r="H1" s="104"/>
      <c r="I1" s="105"/>
      <c r="J1" s="105"/>
      <c r="K1" s="106"/>
      <c r="L1" s="106"/>
      <c r="M1" s="105"/>
      <c r="N1" s="105"/>
      <c r="O1" s="105"/>
      <c r="P1" s="105"/>
      <c r="Q1" s="105"/>
      <c r="R1" s="105"/>
      <c r="S1" s="105"/>
      <c r="T1" s="105"/>
      <c r="U1" s="107"/>
      <c r="V1" s="108"/>
      <c r="W1" s="109"/>
      <c r="X1" s="110"/>
    </row>
    <row r="2" spans="1:24" s="111" customFormat="1" ht="12.75">
      <c r="A2" s="112"/>
      <c r="B2" s="113"/>
      <c r="C2" s="114"/>
      <c r="D2" s="113"/>
      <c r="E2" s="115"/>
      <c r="F2" s="115"/>
      <c r="G2" s="115"/>
      <c r="H2" s="116"/>
      <c r="I2" s="117"/>
      <c r="J2" s="117"/>
      <c r="K2" s="117"/>
      <c r="L2" s="117"/>
      <c r="M2" s="117"/>
      <c r="S2" s="118"/>
      <c r="T2" s="118"/>
      <c r="U2" s="119"/>
      <c r="V2" s="120"/>
      <c r="W2" s="109"/>
      <c r="X2" s="110"/>
    </row>
    <row r="3" spans="1:24" s="128" customFormat="1" ht="15">
      <c r="A3" s="121"/>
      <c r="B3" s="122"/>
      <c r="C3" s="123"/>
      <c r="D3" s="122"/>
      <c r="E3" s="124" t="s">
        <v>17</v>
      </c>
      <c r="F3" s="124"/>
      <c r="G3" s="124"/>
      <c r="H3" s="125" t="s">
        <v>254</v>
      </c>
      <c r="I3" s="125" t="str">
        <f t="shared" ref="I3:U3" si="0">AMP.Years</f>
        <v>2012-13</v>
      </c>
      <c r="J3" s="125" t="str">
        <f t="shared" si="0"/>
        <v>2013-14</v>
      </c>
      <c r="K3" s="125" t="str">
        <f t="shared" si="0"/>
        <v>2014-15</v>
      </c>
      <c r="L3" s="126" t="str">
        <f t="shared" si="0"/>
        <v>2015-16</v>
      </c>
      <c r="M3" s="126" t="str">
        <f t="shared" si="0"/>
        <v>2016-17</v>
      </c>
      <c r="N3" s="126" t="str">
        <f t="shared" si="0"/>
        <v>2017-18</v>
      </c>
      <c r="O3" s="126" t="str">
        <f t="shared" si="0"/>
        <v>2018-19</v>
      </c>
      <c r="P3" s="126" t="str">
        <f t="shared" si="0"/>
        <v>2019-20</v>
      </c>
      <c r="Q3" s="125" t="str">
        <f t="shared" si="0"/>
        <v>2020-21</v>
      </c>
      <c r="R3" s="125" t="str">
        <f t="shared" si="0"/>
        <v>2021-22</v>
      </c>
      <c r="S3" s="125" t="str">
        <f t="shared" si="0"/>
        <v>2022-23</v>
      </c>
      <c r="T3" s="125" t="str">
        <f t="shared" si="0"/>
        <v>2023-24</v>
      </c>
      <c r="U3" s="125" t="str">
        <f t="shared" si="0"/>
        <v>2024-25</v>
      </c>
      <c r="V3" s="127"/>
    </row>
    <row r="4" spans="1:24" s="132" customFormat="1" ht="18" customHeight="1">
      <c r="A4" s="112"/>
      <c r="B4" s="113"/>
      <c r="C4" s="114"/>
      <c r="D4" s="113"/>
      <c r="E4" s="129"/>
      <c r="F4" s="129"/>
      <c r="G4" s="129"/>
      <c r="H4" s="130"/>
      <c r="I4" s="130"/>
      <c r="J4" s="130"/>
      <c r="K4" s="130"/>
      <c r="L4" s="130"/>
      <c r="M4" s="130"/>
      <c r="N4" s="130"/>
      <c r="O4" s="130"/>
      <c r="P4" s="130"/>
      <c r="Q4" s="130"/>
      <c r="R4" s="130"/>
      <c r="S4" s="130"/>
      <c r="T4" s="130"/>
      <c r="U4" s="130"/>
      <c r="V4" s="131"/>
    </row>
    <row r="5" spans="1:24" s="121" customFormat="1" ht="12.75">
      <c r="B5" s="122"/>
      <c r="C5" s="123"/>
      <c r="D5" s="122"/>
      <c r="E5" s="122" t="s">
        <v>255</v>
      </c>
      <c r="F5" s="122"/>
      <c r="G5" s="122"/>
      <c r="H5" s="133">
        <v>2011</v>
      </c>
      <c r="I5" s="133">
        <f t="shared" ref="I5:U5" si="1">Calendar.Years</f>
        <v>2012</v>
      </c>
      <c r="J5" s="133">
        <f t="shared" si="1"/>
        <v>2013</v>
      </c>
      <c r="K5" s="133">
        <f t="shared" si="1"/>
        <v>2014</v>
      </c>
      <c r="L5" s="133">
        <f t="shared" si="1"/>
        <v>2015</v>
      </c>
      <c r="M5" s="133">
        <f t="shared" si="1"/>
        <v>2016</v>
      </c>
      <c r="N5" s="133">
        <f t="shared" si="1"/>
        <v>2017</v>
      </c>
      <c r="O5" s="133">
        <f t="shared" si="1"/>
        <v>2018</v>
      </c>
      <c r="P5" s="133">
        <f t="shared" si="1"/>
        <v>2019</v>
      </c>
      <c r="Q5" s="133">
        <f t="shared" si="1"/>
        <v>2020</v>
      </c>
      <c r="R5" s="133">
        <f t="shared" si="1"/>
        <v>2021</v>
      </c>
      <c r="S5" s="133">
        <f t="shared" si="1"/>
        <v>2022</v>
      </c>
      <c r="T5" s="133">
        <f t="shared" si="1"/>
        <v>2023</v>
      </c>
      <c r="U5" s="133">
        <f t="shared" si="1"/>
        <v>2024</v>
      </c>
      <c r="V5" s="134"/>
    </row>
    <row r="6" spans="1:24" s="112" customFormat="1" ht="12.75">
      <c r="B6" s="113"/>
      <c r="C6" s="114"/>
      <c r="D6" s="113"/>
      <c r="E6" s="130" t="s">
        <v>18</v>
      </c>
      <c r="F6" s="113"/>
      <c r="G6" s="113"/>
      <c r="H6" s="135">
        <v>-3</v>
      </c>
      <c r="I6" s="135">
        <v>-2</v>
      </c>
      <c r="J6" s="135">
        <v>-1</v>
      </c>
      <c r="K6" s="135">
        <v>0</v>
      </c>
      <c r="L6" s="135">
        <v>1</v>
      </c>
      <c r="M6" s="135">
        <v>2</v>
      </c>
      <c r="N6" s="135">
        <v>3</v>
      </c>
      <c r="O6" s="135">
        <v>4</v>
      </c>
      <c r="P6" s="135">
        <v>5</v>
      </c>
      <c r="Q6" s="135">
        <v>6</v>
      </c>
      <c r="R6" s="135">
        <v>7</v>
      </c>
      <c r="S6" s="135">
        <v>8</v>
      </c>
      <c r="T6" s="135">
        <v>9</v>
      </c>
      <c r="U6" s="135">
        <v>10</v>
      </c>
      <c r="V6" s="136"/>
    </row>
    <row r="7" spans="1:24" s="112" customFormat="1" ht="12.75" customHeight="1">
      <c r="B7" s="113"/>
      <c r="C7" s="114"/>
      <c r="D7" s="113"/>
      <c r="F7" s="137"/>
      <c r="G7" s="137"/>
      <c r="I7" s="138" t="s">
        <v>256</v>
      </c>
      <c r="J7" s="138" t="s">
        <v>256</v>
      </c>
      <c r="K7" s="138" t="s">
        <v>256</v>
      </c>
      <c r="L7" s="138" t="s">
        <v>256</v>
      </c>
      <c r="M7" s="138" t="s">
        <v>256</v>
      </c>
      <c r="N7" s="138" t="s">
        <v>256</v>
      </c>
      <c r="O7" s="138" t="s">
        <v>256</v>
      </c>
      <c r="P7" s="138" t="s">
        <v>256</v>
      </c>
      <c r="Q7" s="138" t="s">
        <v>256</v>
      </c>
      <c r="R7" s="138" t="s">
        <v>256</v>
      </c>
      <c r="S7" s="138" t="s">
        <v>256</v>
      </c>
      <c r="T7" s="138" t="s">
        <v>256</v>
      </c>
      <c r="U7" s="138" t="s">
        <v>256</v>
      </c>
      <c r="V7" s="136"/>
    </row>
    <row r="8" spans="1:24" s="112" customFormat="1" ht="12.75" customHeight="1">
      <c r="A8" s="139"/>
      <c r="B8" s="140"/>
      <c r="C8" s="140"/>
      <c r="D8" s="141"/>
      <c r="E8" s="142" t="s">
        <v>257</v>
      </c>
      <c r="F8" s="141"/>
      <c r="G8" s="141"/>
      <c r="H8" s="141"/>
      <c r="I8" s="141"/>
      <c r="J8" s="141"/>
      <c r="K8" s="141"/>
      <c r="L8" s="141"/>
      <c r="M8" s="141"/>
      <c r="N8" s="141"/>
      <c r="O8" s="141"/>
      <c r="P8" s="141"/>
      <c r="Q8" s="141"/>
      <c r="R8" s="141"/>
      <c r="S8" s="141"/>
      <c r="T8" s="141"/>
      <c r="U8" s="141"/>
      <c r="V8" s="141"/>
    </row>
    <row r="9" spans="1:24" s="112" customFormat="1" ht="12.75" customHeight="1">
      <c r="B9" s="113"/>
      <c r="C9" s="114"/>
      <c r="D9" s="113"/>
      <c r="E9" s="137"/>
      <c r="F9" s="137"/>
      <c r="G9" s="137"/>
      <c r="I9" s="138"/>
      <c r="J9" s="138"/>
      <c r="K9" s="138"/>
      <c r="L9" s="138"/>
      <c r="M9" s="138"/>
      <c r="N9" s="138"/>
      <c r="O9" s="138"/>
      <c r="P9" s="138"/>
      <c r="Q9" s="138"/>
      <c r="R9" s="138"/>
      <c r="S9" s="138"/>
      <c r="T9" s="138"/>
      <c r="U9" s="138"/>
      <c r="V9" s="136"/>
    </row>
    <row r="10" spans="1:24" s="112" customFormat="1" ht="12.75" customHeight="1">
      <c r="B10" s="113"/>
      <c r="C10" s="114"/>
      <c r="D10" s="113"/>
      <c r="E10" s="137" t="s">
        <v>258</v>
      </c>
      <c r="F10" s="137"/>
      <c r="G10" s="137"/>
      <c r="I10" s="138"/>
      <c r="J10" s="138"/>
      <c r="K10" s="138"/>
      <c r="L10" s="138"/>
      <c r="M10" s="138"/>
      <c r="N10" s="138"/>
      <c r="O10" s="138"/>
      <c r="P10" s="138"/>
      <c r="Q10" s="138"/>
      <c r="R10" s="138"/>
      <c r="S10" s="138"/>
      <c r="T10" s="138"/>
      <c r="U10" s="138"/>
      <c r="V10" s="136"/>
    </row>
    <row r="11" spans="1:24" s="112" customFormat="1" ht="12.75">
      <c r="B11" s="143">
        <v>1</v>
      </c>
      <c r="C11" s="114"/>
      <c r="D11" s="113" t="s">
        <v>259</v>
      </c>
      <c r="E11" s="144" t="s">
        <v>260</v>
      </c>
      <c r="F11" s="144"/>
      <c r="G11" s="144"/>
      <c r="I11" s="145"/>
      <c r="J11" s="145"/>
      <c r="K11" s="145"/>
      <c r="L11" s="145"/>
      <c r="M11" s="145"/>
      <c r="N11" s="145"/>
      <c r="O11" s="145"/>
      <c r="P11" s="145"/>
      <c r="Q11" s="145"/>
      <c r="R11" s="145"/>
      <c r="S11" s="145"/>
      <c r="T11" s="145"/>
      <c r="U11" s="145"/>
      <c r="V11" s="136"/>
    </row>
    <row r="12" spans="1:24" s="112" customFormat="1" ht="12.75">
      <c r="B12" s="143">
        <v>2</v>
      </c>
      <c r="C12" s="114"/>
      <c r="D12" s="113" t="s">
        <v>259</v>
      </c>
      <c r="E12" s="144" t="s">
        <v>261</v>
      </c>
      <c r="F12" s="144"/>
      <c r="G12" s="144"/>
      <c r="I12" s="145"/>
      <c r="J12" s="145"/>
      <c r="K12" s="145"/>
      <c r="L12" s="145"/>
      <c r="M12" s="145"/>
      <c r="N12" s="145"/>
      <c r="O12" s="145"/>
      <c r="P12" s="145"/>
      <c r="Q12" s="145"/>
      <c r="R12" s="145"/>
      <c r="S12" s="145"/>
      <c r="T12" s="145"/>
      <c r="U12" s="145"/>
      <c r="V12" s="136"/>
    </row>
    <row r="13" spans="1:24" s="112" customFormat="1" ht="12.75">
      <c r="B13" s="143">
        <v>3</v>
      </c>
      <c r="C13" s="114"/>
      <c r="D13" s="113" t="s">
        <v>259</v>
      </c>
      <c r="E13" s="144" t="s">
        <v>262</v>
      </c>
      <c r="F13" s="144"/>
      <c r="G13" s="144"/>
      <c r="I13" s="145"/>
      <c r="J13" s="145"/>
      <c r="K13" s="145"/>
      <c r="L13" s="145"/>
      <c r="M13" s="145"/>
      <c r="N13" s="145"/>
      <c r="O13" s="145"/>
      <c r="P13" s="145"/>
      <c r="Q13" s="145"/>
      <c r="R13" s="145"/>
      <c r="S13" s="145"/>
      <c r="T13" s="145"/>
      <c r="U13" s="145"/>
      <c r="V13" s="136"/>
    </row>
    <row r="14" spans="1:24" s="112" customFormat="1" ht="12.75">
      <c r="B14" s="143">
        <v>4</v>
      </c>
      <c r="C14" s="114"/>
      <c r="D14" s="113" t="s">
        <v>259</v>
      </c>
      <c r="E14" s="144" t="s">
        <v>263</v>
      </c>
      <c r="F14" s="144"/>
      <c r="G14" s="144"/>
      <c r="I14" s="145"/>
      <c r="J14" s="145"/>
      <c r="K14" s="145"/>
      <c r="L14" s="145"/>
      <c r="M14" s="145"/>
      <c r="N14" s="145"/>
      <c r="O14" s="145"/>
      <c r="P14" s="145"/>
      <c r="Q14" s="145"/>
      <c r="R14" s="145"/>
      <c r="S14" s="145"/>
      <c r="T14" s="145"/>
      <c r="U14" s="145"/>
      <c r="V14" s="136"/>
    </row>
    <row r="15" spans="1:24" s="112" customFormat="1" ht="12.75">
      <c r="B15" s="143">
        <v>5</v>
      </c>
      <c r="C15" s="114"/>
      <c r="D15" s="113" t="s">
        <v>259</v>
      </c>
      <c r="E15" s="144" t="s">
        <v>264</v>
      </c>
      <c r="F15" s="144"/>
      <c r="G15" s="144"/>
      <c r="I15" s="145"/>
      <c r="J15" s="145"/>
      <c r="K15" s="145"/>
      <c r="L15" s="145"/>
      <c r="M15" s="145"/>
      <c r="N15" s="145"/>
      <c r="O15" s="145"/>
      <c r="P15" s="145"/>
      <c r="Q15" s="145"/>
      <c r="R15" s="145"/>
      <c r="S15" s="145"/>
      <c r="T15" s="145"/>
      <c r="U15" s="145"/>
      <c r="V15" s="136"/>
    </row>
    <row r="16" spans="1:24" s="112" customFormat="1" ht="12.75">
      <c r="B16" s="143">
        <v>6</v>
      </c>
      <c r="C16" s="114"/>
      <c r="D16" s="113" t="s">
        <v>259</v>
      </c>
      <c r="E16" s="144" t="s">
        <v>265</v>
      </c>
      <c r="F16" s="144"/>
      <c r="G16" s="144"/>
      <c r="I16" s="145"/>
      <c r="J16" s="145"/>
      <c r="K16" s="145"/>
      <c r="L16" s="145"/>
      <c r="M16" s="145"/>
      <c r="N16" s="145"/>
      <c r="O16" s="145"/>
      <c r="P16" s="145"/>
      <c r="Q16" s="145"/>
      <c r="R16" s="145"/>
      <c r="S16" s="145"/>
      <c r="T16" s="145"/>
      <c r="U16" s="145"/>
      <c r="V16" s="136"/>
    </row>
    <row r="17" spans="2:22" s="112" customFormat="1" ht="12.75">
      <c r="B17" s="143">
        <v>7</v>
      </c>
      <c r="C17" s="114"/>
      <c r="D17" s="113" t="s">
        <v>259</v>
      </c>
      <c r="E17" s="144" t="s">
        <v>266</v>
      </c>
      <c r="F17" s="144"/>
      <c r="G17" s="144"/>
      <c r="I17" s="145"/>
      <c r="J17" s="145"/>
      <c r="K17" s="145"/>
      <c r="L17" s="145"/>
      <c r="M17" s="145"/>
      <c r="N17" s="145"/>
      <c r="O17" s="145"/>
      <c r="P17" s="145"/>
      <c r="Q17" s="145"/>
      <c r="R17" s="145"/>
      <c r="S17" s="145"/>
      <c r="T17" s="145"/>
      <c r="U17" s="145"/>
      <c r="V17" s="136"/>
    </row>
    <row r="18" spans="2:22" s="112" customFormat="1" ht="12.75">
      <c r="B18" s="143">
        <v>8</v>
      </c>
      <c r="C18" s="114"/>
      <c r="D18" s="113" t="s">
        <v>259</v>
      </c>
      <c r="E18" s="144" t="s">
        <v>267</v>
      </c>
      <c r="F18" s="144"/>
      <c r="G18" s="144"/>
      <c r="H18" s="145"/>
      <c r="I18" s="145"/>
      <c r="J18" s="145"/>
      <c r="K18" s="145"/>
      <c r="L18" s="145"/>
      <c r="M18" s="145"/>
      <c r="N18" s="145"/>
      <c r="O18" s="145"/>
      <c r="P18" s="145"/>
      <c r="Q18" s="145"/>
      <c r="R18" s="145"/>
      <c r="S18" s="145"/>
      <c r="T18" s="145"/>
      <c r="U18" s="145"/>
      <c r="V18" s="136"/>
    </row>
    <row r="19" spans="2:22" s="112" customFormat="1" ht="12.75">
      <c r="B19" s="143">
        <v>9</v>
      </c>
      <c r="C19" s="114"/>
      <c r="D19" s="113" t="s">
        <v>259</v>
      </c>
      <c r="E19" s="144" t="s">
        <v>268</v>
      </c>
      <c r="F19" s="144"/>
      <c r="G19" s="144"/>
      <c r="I19" s="145"/>
      <c r="J19" s="145"/>
      <c r="K19" s="145"/>
      <c r="L19" s="145"/>
      <c r="M19" s="145"/>
      <c r="N19" s="145"/>
      <c r="O19" s="145"/>
      <c r="P19" s="145"/>
      <c r="Q19" s="145"/>
      <c r="R19" s="145"/>
      <c r="S19" s="145"/>
      <c r="T19" s="145"/>
      <c r="U19" s="145"/>
      <c r="V19" s="136"/>
    </row>
    <row r="20" spans="2:22" s="112" customFormat="1" ht="12.75">
      <c r="B20" s="143">
        <v>10</v>
      </c>
      <c r="C20" s="114"/>
      <c r="D20" s="113" t="s">
        <v>259</v>
      </c>
      <c r="E20" s="144" t="s">
        <v>269</v>
      </c>
      <c r="F20" s="144"/>
      <c r="G20" s="144"/>
      <c r="I20" s="145"/>
      <c r="J20" s="145"/>
      <c r="K20" s="145"/>
      <c r="L20" s="145"/>
      <c r="M20" s="145"/>
      <c r="N20" s="145"/>
      <c r="O20" s="145"/>
      <c r="P20" s="145"/>
      <c r="Q20" s="145"/>
      <c r="R20" s="145"/>
      <c r="S20" s="145"/>
      <c r="T20" s="145"/>
      <c r="U20" s="145"/>
      <c r="V20" s="136"/>
    </row>
    <row r="21" spans="2:22" s="112" customFormat="1" ht="12.75">
      <c r="B21" s="143">
        <v>11</v>
      </c>
      <c r="C21" s="114"/>
      <c r="D21" s="113" t="s">
        <v>259</v>
      </c>
      <c r="E21" s="144" t="s">
        <v>270</v>
      </c>
      <c r="F21" s="144"/>
      <c r="G21" s="144"/>
      <c r="I21" s="145"/>
      <c r="J21" s="145"/>
      <c r="K21" s="145"/>
      <c r="L21" s="145"/>
      <c r="M21" s="145"/>
      <c r="N21" s="145"/>
      <c r="O21" s="145"/>
      <c r="P21" s="145"/>
      <c r="Q21" s="145"/>
      <c r="R21" s="145"/>
      <c r="S21" s="145"/>
      <c r="T21" s="145"/>
      <c r="U21" s="145"/>
      <c r="V21" s="136"/>
    </row>
    <row r="22" spans="2:22" s="112" customFormat="1" ht="12.75">
      <c r="B22" s="143">
        <v>12</v>
      </c>
      <c r="C22" s="114"/>
      <c r="D22" s="113" t="s">
        <v>259</v>
      </c>
      <c r="E22" s="144" t="s">
        <v>271</v>
      </c>
      <c r="F22" s="144"/>
      <c r="G22" s="144"/>
      <c r="I22" s="145"/>
      <c r="J22" s="145"/>
      <c r="K22" s="145"/>
      <c r="L22" s="145"/>
      <c r="M22" s="145"/>
      <c r="N22" s="145"/>
      <c r="O22" s="145"/>
      <c r="P22" s="145"/>
      <c r="Q22" s="145"/>
      <c r="R22" s="145"/>
      <c r="S22" s="145"/>
      <c r="T22" s="145"/>
      <c r="U22" s="145"/>
      <c r="V22" s="136"/>
    </row>
    <row r="23" spans="2:22" s="112" customFormat="1" ht="12.75">
      <c r="B23" s="115"/>
      <c r="C23" s="115"/>
      <c r="D23" s="146"/>
      <c r="E23" s="144" t="s">
        <v>272</v>
      </c>
      <c r="F23" s="144"/>
      <c r="G23" s="144"/>
      <c r="I23" s="147"/>
      <c r="J23" s="147"/>
      <c r="K23" s="147"/>
      <c r="L23" s="147"/>
      <c r="M23" s="147"/>
      <c r="N23" s="147"/>
      <c r="O23" s="147"/>
      <c r="P23" s="147"/>
      <c r="Q23" s="147"/>
      <c r="R23" s="147"/>
      <c r="S23" s="147"/>
      <c r="T23" s="147"/>
      <c r="U23" s="147"/>
      <c r="V23" s="136"/>
    </row>
    <row r="24" spans="2:22" s="150" customFormat="1" ht="12.75">
      <c r="B24" s="148"/>
      <c r="C24" s="149"/>
      <c r="D24" s="148" t="s">
        <v>273</v>
      </c>
      <c r="E24" s="148" t="s">
        <v>274</v>
      </c>
      <c r="F24" s="148"/>
      <c r="G24" s="148"/>
      <c r="I24" s="151"/>
      <c r="J24" s="151"/>
      <c r="K24" s="151"/>
      <c r="L24" s="151"/>
      <c r="M24" s="151"/>
      <c r="N24" s="151"/>
      <c r="O24" s="151"/>
      <c r="P24" s="151"/>
      <c r="Q24" s="151"/>
      <c r="R24" s="151"/>
      <c r="S24" s="151"/>
      <c r="T24" s="151"/>
      <c r="U24" s="151"/>
      <c r="V24" s="152"/>
    </row>
    <row r="25" spans="2:22" s="150" customFormat="1" ht="12.75">
      <c r="B25" s="148"/>
      <c r="C25" s="149"/>
      <c r="D25" s="148"/>
      <c r="E25" s="148"/>
      <c r="F25" s="148"/>
      <c r="G25" s="148"/>
      <c r="I25" s="153"/>
      <c r="J25" s="153"/>
      <c r="K25" s="153"/>
      <c r="L25" s="153"/>
      <c r="M25" s="153"/>
      <c r="N25" s="153"/>
      <c r="O25" s="153"/>
      <c r="P25" s="153"/>
      <c r="Q25" s="153"/>
      <c r="R25" s="153"/>
      <c r="S25" s="153"/>
      <c r="T25" s="153"/>
      <c r="U25" s="153"/>
      <c r="V25" s="152"/>
    </row>
    <row r="26" spans="2:22" s="150" customFormat="1" ht="12.75">
      <c r="B26" s="148"/>
      <c r="C26" s="149" t="s">
        <v>275</v>
      </c>
      <c r="D26" s="148"/>
      <c r="E26" s="148"/>
      <c r="F26" s="148"/>
      <c r="G26" s="148"/>
      <c r="I26" s="154">
        <v>0</v>
      </c>
      <c r="J26" s="154">
        <v>0</v>
      </c>
      <c r="K26" s="154">
        <v>0</v>
      </c>
      <c r="L26" s="154">
        <v>0</v>
      </c>
      <c r="M26" s="154">
        <v>0</v>
      </c>
      <c r="N26" s="154">
        <v>0</v>
      </c>
      <c r="O26" s="154">
        <v>0</v>
      </c>
      <c r="P26" s="154">
        <v>0</v>
      </c>
      <c r="Q26" s="154">
        <v>0</v>
      </c>
      <c r="R26" s="154">
        <v>0</v>
      </c>
      <c r="S26" s="154">
        <v>0</v>
      </c>
      <c r="T26" s="154">
        <v>0</v>
      </c>
      <c r="U26" s="154">
        <v>0</v>
      </c>
      <c r="V26" s="152" t="s">
        <v>276</v>
      </c>
    </row>
    <row r="27" spans="2:22" s="112" customFormat="1" ht="12.75" customHeight="1">
      <c r="B27" s="113"/>
      <c r="C27" s="114"/>
      <c r="D27" s="113"/>
      <c r="E27" s="113"/>
      <c r="F27" s="113"/>
      <c r="G27" s="113"/>
      <c r="I27" s="138" t="s">
        <v>256</v>
      </c>
      <c r="J27" s="138" t="s">
        <v>256</v>
      </c>
      <c r="K27" s="138" t="s">
        <v>256</v>
      </c>
      <c r="L27" s="138" t="s">
        <v>256</v>
      </c>
      <c r="M27" s="138" t="s">
        <v>256</v>
      </c>
      <c r="N27" s="138" t="s">
        <v>256</v>
      </c>
      <c r="O27" s="138" t="s">
        <v>256</v>
      </c>
      <c r="P27" s="138" t="s">
        <v>256</v>
      </c>
      <c r="Q27" s="138" t="s">
        <v>256</v>
      </c>
      <c r="R27" s="138" t="s">
        <v>256</v>
      </c>
      <c r="S27" s="138" t="s">
        <v>256</v>
      </c>
      <c r="T27" s="138" t="s">
        <v>256</v>
      </c>
      <c r="U27" s="138" t="s">
        <v>256</v>
      </c>
      <c r="V27" s="136"/>
    </row>
    <row r="28" spans="2:22" s="112" customFormat="1" ht="12.75" customHeight="1">
      <c r="B28" s="113"/>
      <c r="D28" s="113"/>
      <c r="E28" s="137" t="s">
        <v>277</v>
      </c>
      <c r="F28" s="137"/>
      <c r="G28" s="137"/>
      <c r="I28" s="138"/>
      <c r="J28" s="138"/>
      <c r="K28" s="138"/>
      <c r="L28" s="138"/>
      <c r="M28" s="138"/>
      <c r="N28" s="138"/>
      <c r="O28" s="138"/>
      <c r="P28" s="138"/>
      <c r="Q28" s="138"/>
      <c r="R28" s="138"/>
      <c r="S28" s="138"/>
      <c r="T28" s="138"/>
      <c r="U28" s="138"/>
      <c r="V28" s="136"/>
    </row>
    <row r="29" spans="2:22" ht="12.75" customHeight="1">
      <c r="B29" s="143">
        <v>1</v>
      </c>
      <c r="C29" s="115"/>
      <c r="D29" s="146" t="s">
        <v>259</v>
      </c>
      <c r="E29" s="144" t="s">
        <v>260</v>
      </c>
      <c r="F29" s="144"/>
      <c r="G29" s="144"/>
      <c r="H29" s="143">
        <v>0</v>
      </c>
      <c r="I29" s="155">
        <f>IF(I11&lt;&gt;0,I11,H29*SUM(1,I$24))</f>
        <v>0</v>
      </c>
      <c r="J29" s="155">
        <f t="shared" ref="J29:U29" si="2">IF(J11&lt;&gt;0,J11,I29*SUM(1,J$24))</f>
        <v>0</v>
      </c>
      <c r="K29" s="155">
        <f t="shared" si="2"/>
        <v>0</v>
      </c>
      <c r="L29" s="155">
        <f t="shared" si="2"/>
        <v>0</v>
      </c>
      <c r="M29" s="155">
        <f t="shared" si="2"/>
        <v>0</v>
      </c>
      <c r="N29" s="155">
        <f t="shared" si="2"/>
        <v>0</v>
      </c>
      <c r="O29" s="155">
        <f t="shared" si="2"/>
        <v>0</v>
      </c>
      <c r="P29" s="155">
        <f t="shared" si="2"/>
        <v>0</v>
      </c>
      <c r="Q29" s="155">
        <f t="shared" si="2"/>
        <v>0</v>
      </c>
      <c r="R29" s="155">
        <f t="shared" si="2"/>
        <v>0</v>
      </c>
      <c r="S29" s="155">
        <f t="shared" si="2"/>
        <v>0</v>
      </c>
      <c r="T29" s="155">
        <f t="shared" si="2"/>
        <v>0</v>
      </c>
      <c r="U29" s="155">
        <f t="shared" si="2"/>
        <v>0</v>
      </c>
    </row>
    <row r="30" spans="2:22" ht="12.75" customHeight="1">
      <c r="B30" s="143">
        <v>2</v>
      </c>
      <c r="C30" s="115"/>
      <c r="D30" s="146" t="s">
        <v>259</v>
      </c>
      <c r="E30" s="144" t="s">
        <v>261</v>
      </c>
      <c r="F30" s="144"/>
      <c r="G30" s="144"/>
      <c r="H30" s="143">
        <v>0</v>
      </c>
      <c r="I30" s="155">
        <f t="shared" ref="I30:U40" si="3">IF(I12&lt;&gt;0,I12,H30*SUM(1,I$24))</f>
        <v>0</v>
      </c>
      <c r="J30" s="155">
        <f t="shared" si="3"/>
        <v>0</v>
      </c>
      <c r="K30" s="155">
        <f t="shared" si="3"/>
        <v>0</v>
      </c>
      <c r="L30" s="155">
        <f t="shared" si="3"/>
        <v>0</v>
      </c>
      <c r="M30" s="155">
        <f t="shared" si="3"/>
        <v>0</v>
      </c>
      <c r="N30" s="155">
        <f t="shared" si="3"/>
        <v>0</v>
      </c>
      <c r="O30" s="155">
        <f t="shared" si="3"/>
        <v>0</v>
      </c>
      <c r="P30" s="155">
        <f t="shared" si="3"/>
        <v>0</v>
      </c>
      <c r="Q30" s="155">
        <f t="shared" si="3"/>
        <v>0</v>
      </c>
      <c r="R30" s="155">
        <f t="shared" si="3"/>
        <v>0</v>
      </c>
      <c r="S30" s="155">
        <f t="shared" si="3"/>
        <v>0</v>
      </c>
      <c r="T30" s="155">
        <f t="shared" si="3"/>
        <v>0</v>
      </c>
      <c r="U30" s="155">
        <f t="shared" si="3"/>
        <v>0</v>
      </c>
    </row>
    <row r="31" spans="2:22" ht="12.75" customHeight="1">
      <c r="B31" s="143">
        <v>3</v>
      </c>
      <c r="C31" s="115"/>
      <c r="D31" s="146" t="s">
        <v>259</v>
      </c>
      <c r="E31" s="144" t="s">
        <v>262</v>
      </c>
      <c r="F31" s="144"/>
      <c r="G31" s="144"/>
      <c r="H31" s="143">
        <v>0</v>
      </c>
      <c r="I31" s="155">
        <f t="shared" si="3"/>
        <v>0</v>
      </c>
      <c r="J31" s="155">
        <f t="shared" si="3"/>
        <v>0</v>
      </c>
      <c r="K31" s="155">
        <f t="shared" si="3"/>
        <v>0</v>
      </c>
      <c r="L31" s="155">
        <f t="shared" si="3"/>
        <v>0</v>
      </c>
      <c r="M31" s="155">
        <f t="shared" si="3"/>
        <v>0</v>
      </c>
      <c r="N31" s="155">
        <f t="shared" si="3"/>
        <v>0</v>
      </c>
      <c r="O31" s="155">
        <f t="shared" si="3"/>
        <v>0</v>
      </c>
      <c r="P31" s="155">
        <f t="shared" si="3"/>
        <v>0</v>
      </c>
      <c r="Q31" s="155">
        <f t="shared" si="3"/>
        <v>0</v>
      </c>
      <c r="R31" s="155">
        <f t="shared" si="3"/>
        <v>0</v>
      </c>
      <c r="S31" s="155">
        <f t="shared" si="3"/>
        <v>0</v>
      </c>
      <c r="T31" s="155">
        <f t="shared" si="3"/>
        <v>0</v>
      </c>
      <c r="U31" s="155">
        <f t="shared" si="3"/>
        <v>0</v>
      </c>
    </row>
    <row r="32" spans="2:22" ht="12.75" customHeight="1">
      <c r="B32" s="143">
        <v>4</v>
      </c>
      <c r="C32" s="115"/>
      <c r="D32" s="146" t="s">
        <v>259</v>
      </c>
      <c r="E32" s="144" t="s">
        <v>263</v>
      </c>
      <c r="F32" s="144"/>
      <c r="G32" s="144"/>
      <c r="H32" s="143">
        <v>0</v>
      </c>
      <c r="I32" s="155">
        <f t="shared" si="3"/>
        <v>0</v>
      </c>
      <c r="J32" s="155">
        <f t="shared" si="3"/>
        <v>0</v>
      </c>
      <c r="K32" s="155">
        <f t="shared" si="3"/>
        <v>0</v>
      </c>
      <c r="L32" s="155">
        <f t="shared" si="3"/>
        <v>0</v>
      </c>
      <c r="M32" s="155">
        <f t="shared" si="3"/>
        <v>0</v>
      </c>
      <c r="N32" s="155">
        <f t="shared" si="3"/>
        <v>0</v>
      </c>
      <c r="O32" s="155">
        <f t="shared" si="3"/>
        <v>0</v>
      </c>
      <c r="P32" s="155">
        <f t="shared" si="3"/>
        <v>0</v>
      </c>
      <c r="Q32" s="155">
        <f t="shared" si="3"/>
        <v>0</v>
      </c>
      <c r="R32" s="155">
        <f t="shared" si="3"/>
        <v>0</v>
      </c>
      <c r="S32" s="155">
        <f t="shared" si="3"/>
        <v>0</v>
      </c>
      <c r="T32" s="155">
        <f t="shared" si="3"/>
        <v>0</v>
      </c>
      <c r="U32" s="155">
        <f t="shared" si="3"/>
        <v>0</v>
      </c>
    </row>
    <row r="33" spans="2:22" ht="12.75" customHeight="1">
      <c r="B33" s="143">
        <v>5</v>
      </c>
      <c r="C33" s="115"/>
      <c r="D33" s="146" t="s">
        <v>259</v>
      </c>
      <c r="E33" s="144" t="s">
        <v>264</v>
      </c>
      <c r="F33" s="144"/>
      <c r="G33" s="144"/>
      <c r="H33" s="143">
        <v>0</v>
      </c>
      <c r="I33" s="155">
        <f t="shared" si="3"/>
        <v>0</v>
      </c>
      <c r="J33" s="155">
        <f t="shared" si="3"/>
        <v>0</v>
      </c>
      <c r="K33" s="155">
        <f t="shared" si="3"/>
        <v>0</v>
      </c>
      <c r="L33" s="155">
        <f t="shared" si="3"/>
        <v>0</v>
      </c>
      <c r="M33" s="155">
        <f t="shared" si="3"/>
        <v>0</v>
      </c>
      <c r="N33" s="155">
        <f t="shared" si="3"/>
        <v>0</v>
      </c>
      <c r="O33" s="155">
        <f t="shared" si="3"/>
        <v>0</v>
      </c>
      <c r="P33" s="155">
        <f t="shared" si="3"/>
        <v>0</v>
      </c>
      <c r="Q33" s="155">
        <f t="shared" si="3"/>
        <v>0</v>
      </c>
      <c r="R33" s="155">
        <f t="shared" si="3"/>
        <v>0</v>
      </c>
      <c r="S33" s="155">
        <f t="shared" si="3"/>
        <v>0</v>
      </c>
      <c r="T33" s="155">
        <f t="shared" si="3"/>
        <v>0</v>
      </c>
      <c r="U33" s="155">
        <f t="shared" si="3"/>
        <v>0</v>
      </c>
    </row>
    <row r="34" spans="2:22" ht="12.75" customHeight="1">
      <c r="B34" s="143">
        <v>6</v>
      </c>
      <c r="C34" s="115"/>
      <c r="D34" s="146" t="s">
        <v>259</v>
      </c>
      <c r="E34" s="144" t="s">
        <v>265</v>
      </c>
      <c r="F34" s="144"/>
      <c r="G34" s="144"/>
      <c r="H34" s="143">
        <v>0</v>
      </c>
      <c r="I34" s="155">
        <f t="shared" si="3"/>
        <v>0</v>
      </c>
      <c r="J34" s="155">
        <f t="shared" si="3"/>
        <v>0</v>
      </c>
      <c r="K34" s="155">
        <f t="shared" si="3"/>
        <v>0</v>
      </c>
      <c r="L34" s="155">
        <f t="shared" si="3"/>
        <v>0</v>
      </c>
      <c r="M34" s="155">
        <f t="shared" si="3"/>
        <v>0</v>
      </c>
      <c r="N34" s="155">
        <f t="shared" si="3"/>
        <v>0</v>
      </c>
      <c r="O34" s="155">
        <f t="shared" si="3"/>
        <v>0</v>
      </c>
      <c r="P34" s="155">
        <f t="shared" si="3"/>
        <v>0</v>
      </c>
      <c r="Q34" s="155">
        <f t="shared" si="3"/>
        <v>0</v>
      </c>
      <c r="R34" s="155">
        <f t="shared" si="3"/>
        <v>0</v>
      </c>
      <c r="S34" s="155">
        <f t="shared" si="3"/>
        <v>0</v>
      </c>
      <c r="T34" s="155">
        <f t="shared" si="3"/>
        <v>0</v>
      </c>
      <c r="U34" s="155">
        <f t="shared" si="3"/>
        <v>0</v>
      </c>
    </row>
    <row r="35" spans="2:22" ht="12.75" customHeight="1">
      <c r="B35" s="143">
        <v>7</v>
      </c>
      <c r="C35" s="115"/>
      <c r="D35" s="146" t="s">
        <v>259</v>
      </c>
      <c r="E35" s="144" t="s">
        <v>266</v>
      </c>
      <c r="F35" s="144"/>
      <c r="G35" s="144"/>
      <c r="H35" s="143">
        <v>0</v>
      </c>
      <c r="I35" s="155">
        <f t="shared" si="3"/>
        <v>0</v>
      </c>
      <c r="J35" s="155">
        <f t="shared" si="3"/>
        <v>0</v>
      </c>
      <c r="K35" s="155">
        <f t="shared" si="3"/>
        <v>0</v>
      </c>
      <c r="L35" s="155">
        <f t="shared" si="3"/>
        <v>0</v>
      </c>
      <c r="M35" s="155">
        <f t="shared" si="3"/>
        <v>0</v>
      </c>
      <c r="N35" s="155">
        <f t="shared" si="3"/>
        <v>0</v>
      </c>
      <c r="O35" s="155">
        <f t="shared" si="3"/>
        <v>0</v>
      </c>
      <c r="P35" s="155">
        <f t="shared" si="3"/>
        <v>0</v>
      </c>
      <c r="Q35" s="155">
        <f t="shared" si="3"/>
        <v>0</v>
      </c>
      <c r="R35" s="155">
        <f t="shared" si="3"/>
        <v>0</v>
      </c>
      <c r="S35" s="155">
        <f t="shared" si="3"/>
        <v>0</v>
      </c>
      <c r="T35" s="155">
        <f t="shared" si="3"/>
        <v>0</v>
      </c>
      <c r="U35" s="155">
        <f t="shared" si="3"/>
        <v>0</v>
      </c>
    </row>
    <row r="36" spans="2:22" ht="12.75" customHeight="1">
      <c r="B36" s="143">
        <v>8</v>
      </c>
      <c r="C36" s="115"/>
      <c r="D36" s="146" t="s">
        <v>259</v>
      </c>
      <c r="E36" s="144" t="s">
        <v>267</v>
      </c>
      <c r="F36" s="144"/>
      <c r="G36" s="144"/>
      <c r="H36" s="222">
        <f>H18</f>
        <v>0</v>
      </c>
      <c r="I36" s="155">
        <f t="shared" si="3"/>
        <v>0</v>
      </c>
      <c r="J36" s="155">
        <f t="shared" si="3"/>
        <v>0</v>
      </c>
      <c r="K36" s="155">
        <f t="shared" si="3"/>
        <v>0</v>
      </c>
      <c r="L36" s="155">
        <f t="shared" si="3"/>
        <v>0</v>
      </c>
      <c r="M36" s="155">
        <f t="shared" si="3"/>
        <v>0</v>
      </c>
      <c r="N36" s="155">
        <f t="shared" si="3"/>
        <v>0</v>
      </c>
      <c r="O36" s="155">
        <f t="shared" si="3"/>
        <v>0</v>
      </c>
      <c r="P36" s="155">
        <f t="shared" si="3"/>
        <v>0</v>
      </c>
      <c r="Q36" s="155">
        <f t="shared" si="3"/>
        <v>0</v>
      </c>
      <c r="R36" s="155">
        <f t="shared" si="3"/>
        <v>0</v>
      </c>
      <c r="S36" s="155">
        <f t="shared" si="3"/>
        <v>0</v>
      </c>
      <c r="T36" s="155">
        <f t="shared" si="3"/>
        <v>0</v>
      </c>
      <c r="U36" s="155">
        <f t="shared" si="3"/>
        <v>0</v>
      </c>
    </row>
    <row r="37" spans="2:22" ht="12.75" customHeight="1">
      <c r="B37" s="143">
        <v>9</v>
      </c>
      <c r="C37" s="115"/>
      <c r="D37" s="146" t="s">
        <v>259</v>
      </c>
      <c r="E37" s="144" t="s">
        <v>268</v>
      </c>
      <c r="F37" s="144"/>
      <c r="G37" s="144"/>
      <c r="H37" s="143">
        <v>0</v>
      </c>
      <c r="I37" s="155">
        <f t="shared" si="3"/>
        <v>0</v>
      </c>
      <c r="J37" s="155">
        <f t="shared" si="3"/>
        <v>0</v>
      </c>
      <c r="K37" s="155">
        <f t="shared" si="3"/>
        <v>0</v>
      </c>
      <c r="L37" s="155">
        <f t="shared" si="3"/>
        <v>0</v>
      </c>
      <c r="M37" s="155">
        <f t="shared" si="3"/>
        <v>0</v>
      </c>
      <c r="N37" s="155">
        <f t="shared" si="3"/>
        <v>0</v>
      </c>
      <c r="O37" s="155">
        <f t="shared" si="3"/>
        <v>0</v>
      </c>
      <c r="P37" s="155">
        <f t="shared" si="3"/>
        <v>0</v>
      </c>
      <c r="Q37" s="155">
        <f t="shared" si="3"/>
        <v>0</v>
      </c>
      <c r="R37" s="155">
        <f t="shared" si="3"/>
        <v>0</v>
      </c>
      <c r="S37" s="155">
        <f t="shared" si="3"/>
        <v>0</v>
      </c>
      <c r="T37" s="155">
        <f t="shared" si="3"/>
        <v>0</v>
      </c>
      <c r="U37" s="155">
        <f t="shared" si="3"/>
        <v>0</v>
      </c>
    </row>
    <row r="38" spans="2:22" ht="12.75" customHeight="1">
      <c r="B38" s="143">
        <v>10</v>
      </c>
      <c r="C38" s="115"/>
      <c r="D38" s="146" t="s">
        <v>259</v>
      </c>
      <c r="E38" s="144" t="s">
        <v>269</v>
      </c>
      <c r="F38" s="144"/>
      <c r="G38" s="144"/>
      <c r="H38" s="143">
        <v>0</v>
      </c>
      <c r="I38" s="155">
        <f t="shared" si="3"/>
        <v>0</v>
      </c>
      <c r="J38" s="155">
        <f t="shared" si="3"/>
        <v>0</v>
      </c>
      <c r="K38" s="155">
        <f t="shared" si="3"/>
        <v>0</v>
      </c>
      <c r="L38" s="155">
        <f t="shared" si="3"/>
        <v>0</v>
      </c>
      <c r="M38" s="155">
        <f t="shared" si="3"/>
        <v>0</v>
      </c>
      <c r="N38" s="155">
        <f t="shared" si="3"/>
        <v>0</v>
      </c>
      <c r="O38" s="155">
        <f t="shared" si="3"/>
        <v>0</v>
      </c>
      <c r="P38" s="155">
        <f t="shared" si="3"/>
        <v>0</v>
      </c>
      <c r="Q38" s="155">
        <f t="shared" si="3"/>
        <v>0</v>
      </c>
      <c r="R38" s="155">
        <f t="shared" si="3"/>
        <v>0</v>
      </c>
      <c r="S38" s="155">
        <f t="shared" si="3"/>
        <v>0</v>
      </c>
      <c r="T38" s="155">
        <f t="shared" si="3"/>
        <v>0</v>
      </c>
      <c r="U38" s="155">
        <f t="shared" si="3"/>
        <v>0</v>
      </c>
    </row>
    <row r="39" spans="2:22" ht="12.75" customHeight="1">
      <c r="B39" s="143">
        <v>11</v>
      </c>
      <c r="C39" s="115"/>
      <c r="D39" s="146" t="s">
        <v>259</v>
      </c>
      <c r="E39" s="144" t="s">
        <v>270</v>
      </c>
      <c r="F39" s="144"/>
      <c r="G39" s="144"/>
      <c r="H39" s="143">
        <v>0</v>
      </c>
      <c r="I39" s="155">
        <f t="shared" si="3"/>
        <v>0</v>
      </c>
      <c r="J39" s="155">
        <f t="shared" si="3"/>
        <v>0</v>
      </c>
      <c r="K39" s="155">
        <f t="shared" si="3"/>
        <v>0</v>
      </c>
      <c r="L39" s="155">
        <f t="shared" si="3"/>
        <v>0</v>
      </c>
      <c r="M39" s="155">
        <f t="shared" si="3"/>
        <v>0</v>
      </c>
      <c r="N39" s="155">
        <f t="shared" si="3"/>
        <v>0</v>
      </c>
      <c r="O39" s="155">
        <f t="shared" si="3"/>
        <v>0</v>
      </c>
      <c r="P39" s="155">
        <f t="shared" si="3"/>
        <v>0</v>
      </c>
      <c r="Q39" s="155">
        <f t="shared" si="3"/>
        <v>0</v>
      </c>
      <c r="R39" s="155">
        <f t="shared" si="3"/>
        <v>0</v>
      </c>
      <c r="S39" s="155">
        <f t="shared" si="3"/>
        <v>0</v>
      </c>
      <c r="T39" s="155">
        <f t="shared" si="3"/>
        <v>0</v>
      </c>
      <c r="U39" s="155">
        <f t="shared" si="3"/>
        <v>0</v>
      </c>
    </row>
    <row r="40" spans="2:22" ht="12.75" customHeight="1">
      <c r="B40" s="143">
        <v>12</v>
      </c>
      <c r="C40" s="115"/>
      <c r="D40" s="146" t="s">
        <v>259</v>
      </c>
      <c r="E40" s="144" t="s">
        <v>271</v>
      </c>
      <c r="F40" s="144"/>
      <c r="G40" s="144"/>
      <c r="H40" s="143">
        <v>0</v>
      </c>
      <c r="I40" s="155">
        <f t="shared" si="3"/>
        <v>0</v>
      </c>
      <c r="J40" s="155">
        <f t="shared" si="3"/>
        <v>0</v>
      </c>
      <c r="K40" s="155">
        <f t="shared" si="3"/>
        <v>0</v>
      </c>
      <c r="L40" s="155">
        <f t="shared" si="3"/>
        <v>0</v>
      </c>
      <c r="M40" s="155">
        <f t="shared" si="3"/>
        <v>0</v>
      </c>
      <c r="N40" s="155">
        <f t="shared" si="3"/>
        <v>0</v>
      </c>
      <c r="O40" s="155">
        <f t="shared" si="3"/>
        <v>0</v>
      </c>
      <c r="P40" s="155">
        <f t="shared" si="3"/>
        <v>0</v>
      </c>
      <c r="Q40" s="155">
        <f t="shared" si="3"/>
        <v>0</v>
      </c>
      <c r="R40" s="155">
        <f t="shared" si="3"/>
        <v>0</v>
      </c>
      <c r="S40" s="155">
        <f t="shared" si="3"/>
        <v>0</v>
      </c>
      <c r="T40" s="155">
        <f t="shared" si="3"/>
        <v>0</v>
      </c>
      <c r="U40" s="155">
        <f t="shared" si="3"/>
        <v>0</v>
      </c>
    </row>
    <row r="41" spans="2:22" ht="12.75" customHeight="1">
      <c r="B41" s="115"/>
      <c r="C41" s="115"/>
      <c r="D41" s="146" t="s">
        <v>259</v>
      </c>
      <c r="E41" s="144" t="s">
        <v>272</v>
      </c>
      <c r="F41" s="144"/>
      <c r="G41" s="144"/>
      <c r="I41" s="223">
        <f>IF(SUM(I29:I40)=0,0,AVERAGE(I29:I40))</f>
        <v>0</v>
      </c>
      <c r="J41" s="157">
        <f t="shared" ref="J41:U41" si="4">IF(SUM(J29:J40)=0,0,AVERAGE(J29:J40))</f>
        <v>0</v>
      </c>
      <c r="K41" s="157">
        <f t="shared" si="4"/>
        <v>0</v>
      </c>
      <c r="L41" s="223">
        <f t="shared" si="4"/>
        <v>0</v>
      </c>
      <c r="M41" s="157">
        <f t="shared" si="4"/>
        <v>0</v>
      </c>
      <c r="N41" s="157">
        <f t="shared" si="4"/>
        <v>0</v>
      </c>
      <c r="O41" s="157">
        <f t="shared" si="4"/>
        <v>0</v>
      </c>
      <c r="P41" s="157">
        <f t="shared" si="4"/>
        <v>0</v>
      </c>
      <c r="Q41" s="157">
        <f t="shared" si="4"/>
        <v>0</v>
      </c>
      <c r="R41" s="157">
        <f t="shared" si="4"/>
        <v>0</v>
      </c>
      <c r="S41" s="157">
        <f t="shared" si="4"/>
        <v>0</v>
      </c>
      <c r="T41" s="157">
        <f t="shared" si="4"/>
        <v>0</v>
      </c>
      <c r="U41" s="157">
        <f t="shared" si="4"/>
        <v>0</v>
      </c>
    </row>
    <row r="42" spans="2:22" s="112" customFormat="1" ht="12.75" customHeight="1">
      <c r="B42" s="113"/>
      <c r="V42" s="136"/>
    </row>
    <row r="43" spans="2:22" s="112" customFormat="1" ht="12.75" customHeight="1">
      <c r="B43" s="113"/>
      <c r="E43" s="158" t="s">
        <v>278</v>
      </c>
      <c r="F43" s="158"/>
      <c r="G43" s="158"/>
      <c r="V43" s="136"/>
    </row>
    <row r="44" spans="2:22" s="112" customFormat="1" ht="12.75" customHeight="1">
      <c r="B44" s="113"/>
      <c r="E44" s="159" t="s">
        <v>279</v>
      </c>
      <c r="F44" s="159"/>
      <c r="G44" s="159"/>
      <c r="I44" s="160">
        <v>1</v>
      </c>
      <c r="J44" s="160">
        <v>1.0297693920335429</v>
      </c>
      <c r="K44" s="160">
        <v>1.0570230607966458</v>
      </c>
      <c r="L44" s="160">
        <v>1.0882407999304404</v>
      </c>
      <c r="M44" s="160">
        <v>1.1187115423284928</v>
      </c>
      <c r="N44" s="160">
        <v>1.1567477347676616</v>
      </c>
      <c r="O44" s="160">
        <v>1.1972339054845298</v>
      </c>
      <c r="P44" s="160">
        <v>1.2367426243655191</v>
      </c>
      <c r="Q44" s="160">
        <v>1.27508164572085</v>
      </c>
      <c r="R44" s="160">
        <v>1.3146091767381964</v>
      </c>
      <c r="S44" s="160">
        <v>1.3553620612170802</v>
      </c>
      <c r="T44" s="160">
        <v>1.3553620612170802</v>
      </c>
      <c r="U44" s="160">
        <v>1.3553620612170802</v>
      </c>
      <c r="V44" s="136" t="s">
        <v>280</v>
      </c>
    </row>
    <row r="45" spans="2:22" s="112" customFormat="1" ht="12.75" customHeight="1">
      <c r="B45" s="113"/>
      <c r="C45" s="161"/>
      <c r="D45" s="148" t="s">
        <v>273</v>
      </c>
      <c r="E45" s="162" t="s">
        <v>281</v>
      </c>
      <c r="F45" s="162"/>
      <c r="G45" s="162"/>
      <c r="I45" s="163">
        <f t="shared" ref="I45:U45" si="5">IF(Indexation.November.Override&lt;&gt;"",Indexation.November.Override,IF($H$36=0,0,H36/$H$36))</f>
        <v>1</v>
      </c>
      <c r="J45" s="163">
        <f t="shared" si="5"/>
        <v>1.0297693920335429</v>
      </c>
      <c r="K45" s="163">
        <f t="shared" si="5"/>
        <v>1.0570230607966458</v>
      </c>
      <c r="L45" s="163">
        <f t="shared" si="5"/>
        <v>1.0882407999304404</v>
      </c>
      <c r="M45" s="163">
        <f t="shared" si="5"/>
        <v>1.1187115423284928</v>
      </c>
      <c r="N45" s="163">
        <f t="shared" si="5"/>
        <v>1.1567477347676616</v>
      </c>
      <c r="O45" s="163">
        <f t="shared" si="5"/>
        <v>1.1972339054845298</v>
      </c>
      <c r="P45" s="163">
        <f t="shared" si="5"/>
        <v>1.2367426243655191</v>
      </c>
      <c r="Q45" s="163">
        <f t="shared" si="5"/>
        <v>1.27508164572085</v>
      </c>
      <c r="R45" s="163">
        <f t="shared" si="5"/>
        <v>1.3146091767381964</v>
      </c>
      <c r="S45" s="163">
        <f t="shared" si="5"/>
        <v>1.3553620612170802</v>
      </c>
      <c r="T45" s="163">
        <f t="shared" si="5"/>
        <v>1.3553620612170802</v>
      </c>
      <c r="U45" s="163">
        <f t="shared" si="5"/>
        <v>1.3553620612170802</v>
      </c>
      <c r="V45" s="136" t="s">
        <v>282</v>
      </c>
    </row>
    <row r="46" spans="2:22" s="112" customFormat="1" ht="12.75" customHeight="1">
      <c r="B46" s="113"/>
    </row>
    <row r="47" spans="2:22" s="112" customFormat="1" ht="12.75" customHeight="1">
      <c r="B47" s="113"/>
      <c r="E47" s="164" t="s">
        <v>283</v>
      </c>
      <c r="F47" s="164"/>
      <c r="G47" s="164"/>
    </row>
    <row r="48" spans="2:22" s="112" customFormat="1" ht="12.75" customHeight="1">
      <c r="B48" s="113"/>
      <c r="E48" s="159" t="s">
        <v>279</v>
      </c>
      <c r="F48" s="159"/>
      <c r="G48" s="159"/>
      <c r="I48" s="160">
        <v>1</v>
      </c>
      <c r="J48" s="160">
        <v>1.0288477912877627</v>
      </c>
      <c r="K48" s="160">
        <v>1.0566266816525323</v>
      </c>
      <c r="L48" s="160">
        <v>1.0862122287388032</v>
      </c>
      <c r="M48" s="160">
        <v>1.1231434445159225</v>
      </c>
      <c r="N48" s="160">
        <v>1.16245346507398</v>
      </c>
      <c r="O48" s="160">
        <v>1.2008144294214209</v>
      </c>
      <c r="P48" s="160">
        <v>1.2380396767334847</v>
      </c>
      <c r="Q48" s="160">
        <v>1.2764189067122229</v>
      </c>
      <c r="R48" s="160">
        <v>1.3159878928203015</v>
      </c>
      <c r="S48" s="160">
        <v>1.3159878928203015</v>
      </c>
      <c r="T48" s="160">
        <v>1.3159878928203015</v>
      </c>
      <c r="U48" s="160">
        <v>1.3159878928203015</v>
      </c>
      <c r="V48" s="136" t="s">
        <v>284</v>
      </c>
    </row>
    <row r="49" spans="1:22" s="112" customFormat="1" ht="12.75" customHeight="1">
      <c r="B49" s="113"/>
      <c r="C49" s="161"/>
      <c r="D49" s="148" t="s">
        <v>273</v>
      </c>
      <c r="E49" s="162" t="s">
        <v>281</v>
      </c>
      <c r="F49" s="162"/>
      <c r="G49" s="162"/>
      <c r="I49" s="163">
        <f t="shared" ref="I49:U49" si="6">IF(Indexation.Average.Override&lt;&gt;"",Indexation.Average.Override,IF($I41=0,0,I41/$I41))</f>
        <v>1</v>
      </c>
      <c r="J49" s="163">
        <f t="shared" si="6"/>
        <v>1.0288477912877627</v>
      </c>
      <c r="K49" s="163">
        <f t="shared" si="6"/>
        <v>1.0566266816525323</v>
      </c>
      <c r="L49" s="163">
        <f t="shared" si="6"/>
        <v>1.0862122287388032</v>
      </c>
      <c r="M49" s="163">
        <f t="shared" si="6"/>
        <v>1.1231434445159225</v>
      </c>
      <c r="N49" s="163">
        <f t="shared" si="6"/>
        <v>1.16245346507398</v>
      </c>
      <c r="O49" s="163">
        <f t="shared" si="6"/>
        <v>1.2008144294214209</v>
      </c>
      <c r="P49" s="163">
        <f t="shared" si="6"/>
        <v>1.2380396767334847</v>
      </c>
      <c r="Q49" s="163">
        <f t="shared" si="6"/>
        <v>1.2764189067122229</v>
      </c>
      <c r="R49" s="163">
        <f t="shared" si="6"/>
        <v>1.3159878928203015</v>
      </c>
      <c r="S49" s="163">
        <f t="shared" si="6"/>
        <v>1.3159878928203015</v>
      </c>
      <c r="T49" s="163">
        <f t="shared" si="6"/>
        <v>1.3159878928203015</v>
      </c>
      <c r="U49" s="163">
        <f t="shared" si="6"/>
        <v>1.3159878928203015</v>
      </c>
      <c r="V49" s="136" t="s">
        <v>285</v>
      </c>
    </row>
    <row r="50" spans="1:22" s="112" customFormat="1" ht="12.75" customHeight="1">
      <c r="B50" s="113"/>
      <c r="C50" s="161"/>
      <c r="D50" s="148"/>
      <c r="E50" s="162"/>
      <c r="F50" s="162"/>
      <c r="G50" s="162"/>
      <c r="I50" s="163"/>
      <c r="J50" s="163"/>
      <c r="K50" s="163"/>
      <c r="L50" s="163"/>
      <c r="M50" s="163"/>
      <c r="N50" s="163"/>
      <c r="O50" s="163"/>
      <c r="P50" s="163"/>
      <c r="Q50" s="163"/>
      <c r="R50" s="163"/>
      <c r="S50" s="163"/>
      <c r="T50" s="163"/>
      <c r="U50" s="163"/>
      <c r="V50" s="136"/>
    </row>
    <row r="51" spans="1:22" s="112" customFormat="1" ht="12.75" customHeight="1">
      <c r="B51" s="113"/>
      <c r="C51" s="165"/>
      <c r="D51" s="148" t="s">
        <v>273</v>
      </c>
      <c r="E51" s="166" t="s">
        <v>286</v>
      </c>
      <c r="F51" s="166"/>
      <c r="G51" s="166"/>
      <c r="I51" s="163"/>
      <c r="J51" s="163">
        <f>IF(I49=0,0,(J49/I49)-1)</f>
        <v>2.8847791287762714E-2</v>
      </c>
      <c r="K51" s="163">
        <f t="shared" ref="K51:U51" si="7">IF(J49=0,0,(K49/J49)-1)</f>
        <v>2.6999999999999913E-2</v>
      </c>
      <c r="L51" s="163">
        <f t="shared" si="7"/>
        <v>2.8000000000000025E-2</v>
      </c>
      <c r="M51" s="163">
        <f t="shared" si="7"/>
        <v>3.400000000000003E-2</v>
      </c>
      <c r="N51" s="163">
        <f t="shared" si="7"/>
        <v>3.5000000000000142E-2</v>
      </c>
      <c r="O51" s="163">
        <f t="shared" si="7"/>
        <v>3.2999999999999696E-2</v>
      </c>
      <c r="P51" s="163">
        <f t="shared" si="7"/>
        <v>3.0999999999999694E-2</v>
      </c>
      <c r="Q51" s="163">
        <f t="shared" si="7"/>
        <v>3.1000000000000139E-2</v>
      </c>
      <c r="R51" s="163">
        <f t="shared" si="7"/>
        <v>3.0999999999999694E-2</v>
      </c>
      <c r="S51" s="163">
        <f t="shared" si="7"/>
        <v>0</v>
      </c>
      <c r="T51" s="163">
        <f t="shared" si="7"/>
        <v>0</v>
      </c>
      <c r="U51" s="163">
        <f t="shared" si="7"/>
        <v>0</v>
      </c>
      <c r="V51" s="136" t="s">
        <v>287</v>
      </c>
    </row>
    <row r="52" spans="1:22" ht="12.75" customHeight="1">
      <c r="E52" s="167"/>
      <c r="F52" s="112"/>
      <c r="G52" s="112"/>
      <c r="H52" s="112"/>
      <c r="I52" s="112"/>
      <c r="J52" s="112"/>
      <c r="K52" s="112"/>
      <c r="L52" s="112"/>
      <c r="M52" s="112"/>
      <c r="N52" s="112"/>
      <c r="O52" s="112"/>
      <c r="P52" s="112"/>
      <c r="Q52" s="112"/>
      <c r="R52" s="112"/>
      <c r="S52" s="112"/>
      <c r="T52" s="112"/>
      <c r="U52" s="112"/>
      <c r="V52" s="112"/>
    </row>
    <row r="53" spans="1:22" ht="12.75" customHeight="1" thickBot="1"/>
    <row r="54" spans="1:22" ht="12.75" customHeight="1" thickBot="1">
      <c r="A54" s="168" t="s">
        <v>35</v>
      </c>
      <c r="B54" s="169"/>
      <c r="C54" s="169"/>
      <c r="D54" s="169"/>
      <c r="E54" s="170"/>
      <c r="F54" s="170"/>
      <c r="G54" s="170"/>
      <c r="H54" s="169"/>
      <c r="I54" s="169"/>
      <c r="J54" s="169"/>
      <c r="K54" s="169"/>
      <c r="L54" s="169"/>
      <c r="M54" s="169"/>
      <c r="N54" s="169"/>
      <c r="O54" s="169"/>
      <c r="P54" s="169"/>
      <c r="Q54" s="169"/>
      <c r="R54" s="169"/>
      <c r="S54" s="169"/>
      <c r="T54" s="169"/>
      <c r="U54" s="169"/>
      <c r="V54" s="171"/>
    </row>
    <row r="55" spans="1:22" ht="12.75" customHeight="1"/>
    <row r="56" spans="1:22" ht="12.75" hidden="1" customHeight="1"/>
    <row r="57" spans="1:22" ht="12.75" hidden="1" customHeight="1"/>
    <row r="58" spans="1:22" ht="12.75" hidden="1" customHeight="1"/>
    <row r="59" spans="1:22" ht="12.75" hidden="1" customHeight="1"/>
  </sheetData>
  <dataConsolidate/>
  <conditionalFormatting sqref="I26:U26">
    <cfRule type="cellIs" dxfId="1" priority="1" stopIfTrue="1" operator="equal">
      <formula>0</formula>
    </cfRule>
    <cfRule type="cellIs" dxfId="0" priority="2" stopIfTrue="1" operator="notEqual">
      <formula>0</formula>
    </cfRule>
  </conditionalFormatting>
  <pageMargins left="0.74803149606299213" right="0.74803149606299213" top="0.98425196850393704" bottom="0.98425196850393704" header="0.51181102362204722" footer="0.51181102362204722"/>
  <pageSetup paperSize="8" scale="73" fitToHeight="0" orientation="landscape" r:id="rId1"/>
  <headerFooter alignWithMargins="0">
    <oddHeader>&amp;L&amp;F&amp;C&amp;A&amp;R&amp;D &amp;T</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63"/>
  <sheetViews>
    <sheetView showGridLines="0" zoomScale="80" zoomScaleNormal="80" workbookViewId="0"/>
  </sheetViews>
  <sheetFormatPr defaultColWidth="0" defaultRowHeight="12.75" zeroHeight="1"/>
  <cols>
    <col min="1" max="3" width="2.85546875" customWidth="1"/>
    <col min="4" max="4" width="9.140625" customWidth="1"/>
    <col min="5" max="5" width="71.42578125" customWidth="1"/>
    <col min="6" max="7" width="8.85546875" style="40" customWidth="1"/>
    <col min="8" max="8" width="2.7109375" customWidth="1"/>
    <col min="9" max="16384" width="9.140625" hidden="1"/>
  </cols>
  <sheetData>
    <row r="1" spans="1:21" ht="33.75">
      <c r="A1" s="31"/>
      <c r="B1" s="31"/>
      <c r="C1" s="31"/>
      <c r="D1" s="31" t="s">
        <v>139</v>
      </c>
      <c r="E1" s="31"/>
      <c r="F1" s="199"/>
      <c r="G1" s="177"/>
      <c r="H1" s="31"/>
      <c r="I1" s="31"/>
      <c r="J1" s="31"/>
      <c r="K1" s="31"/>
      <c r="L1" s="31"/>
      <c r="M1" s="31"/>
      <c r="N1" s="31"/>
      <c r="O1" s="31"/>
      <c r="P1" s="31"/>
      <c r="Q1" s="31"/>
      <c r="R1" s="31"/>
    </row>
    <row r="2" spans="1:21"/>
    <row r="3" spans="1:21" ht="134.25" customHeight="1">
      <c r="E3" s="221" t="s">
        <v>326</v>
      </c>
    </row>
    <row r="4" spans="1:21"/>
    <row r="5" spans="1:21" s="13" customFormat="1" ht="15">
      <c r="A5" s="10"/>
      <c r="B5" s="14"/>
      <c r="C5" s="14"/>
      <c r="D5" s="12"/>
      <c r="E5" s="11" t="s">
        <v>314</v>
      </c>
      <c r="F5" s="11" t="s">
        <v>324</v>
      </c>
      <c r="G5" s="12"/>
      <c r="H5" s="12"/>
      <c r="I5" s="12"/>
      <c r="J5" s="12"/>
      <c r="K5" s="12"/>
      <c r="L5" s="12"/>
      <c r="M5" s="12"/>
      <c r="N5" s="12"/>
      <c r="O5" s="12"/>
      <c r="P5" s="12"/>
      <c r="Q5" s="12"/>
      <c r="R5" s="12"/>
      <c r="S5" s="12"/>
      <c r="T5" s="12"/>
      <c r="U5" s="12"/>
    </row>
    <row r="6" spans="1:21"/>
    <row r="7" spans="1:21" ht="38.25" customHeight="1">
      <c r="E7" s="45" t="s">
        <v>291</v>
      </c>
      <c r="F7" s="200" t="s">
        <v>290</v>
      </c>
      <c r="G7" s="200" t="s">
        <v>313</v>
      </c>
    </row>
    <row r="8" spans="1:21">
      <c r="D8" t="s">
        <v>20</v>
      </c>
      <c r="E8" t="s">
        <v>293</v>
      </c>
      <c r="F8" s="204">
        <v>99.008636663664205</v>
      </c>
      <c r="G8" s="68">
        <v>158.87415980817801</v>
      </c>
    </row>
    <row r="9" spans="1:21">
      <c r="D9" t="s">
        <v>20</v>
      </c>
      <c r="E9" t="s">
        <v>296</v>
      </c>
      <c r="F9" s="68">
        <v>64.159721745289204</v>
      </c>
      <c r="G9" s="68">
        <v>124.366589451303</v>
      </c>
    </row>
    <row r="10" spans="1:21">
      <c r="D10" t="s">
        <v>20</v>
      </c>
      <c r="E10" t="s">
        <v>297</v>
      </c>
      <c r="F10" s="68">
        <v>82.460295674659704</v>
      </c>
      <c r="G10" s="68">
        <v>69.392004909842399</v>
      </c>
    </row>
    <row r="11" spans="1:21">
      <c r="D11" t="s">
        <v>20</v>
      </c>
      <c r="E11" t="s">
        <v>300</v>
      </c>
      <c r="F11" s="68">
        <v>134.910288333648</v>
      </c>
      <c r="G11" s="68">
        <v>153.388339392208</v>
      </c>
    </row>
    <row r="12" spans="1:21">
      <c r="D12" t="s">
        <v>20</v>
      </c>
      <c r="E12" t="s">
        <v>303</v>
      </c>
      <c r="F12" s="68">
        <v>49.433377515110699</v>
      </c>
      <c r="G12" s="68">
        <v>62.854525474882003</v>
      </c>
    </row>
    <row r="13" spans="1:21">
      <c r="D13" t="s">
        <v>20</v>
      </c>
      <c r="E13" t="s">
        <v>305</v>
      </c>
      <c r="F13" s="68">
        <v>33.695185045097702</v>
      </c>
      <c r="G13" s="68">
        <v>143.35441318624299</v>
      </c>
    </row>
    <row r="14" spans="1:21">
      <c r="D14" t="s">
        <v>20</v>
      </c>
      <c r="E14" t="s">
        <v>306</v>
      </c>
      <c r="F14" s="68">
        <v>201.011862647257</v>
      </c>
      <c r="G14" s="68">
        <v>247.37301748266501</v>
      </c>
    </row>
    <row r="15" spans="1:21">
      <c r="D15" t="s">
        <v>20</v>
      </c>
      <c r="E15" t="s">
        <v>307</v>
      </c>
      <c r="F15" s="68">
        <v>200.19977957789499</v>
      </c>
      <c r="G15" s="68">
        <v>247.58847612285999</v>
      </c>
    </row>
    <row r="16" spans="1:21">
      <c r="D16" t="s">
        <v>20</v>
      </c>
      <c r="E16" t="s">
        <v>308</v>
      </c>
      <c r="F16" s="68">
        <v>199.62945139294399</v>
      </c>
      <c r="G16" s="68">
        <v>216.04773955571699</v>
      </c>
    </row>
    <row r="17" spans="1:21">
      <c r="D17" t="s">
        <v>20</v>
      </c>
      <c r="E17" t="s">
        <v>309</v>
      </c>
      <c r="F17" s="68">
        <v>156.40204546061199</v>
      </c>
      <c r="G17" s="68">
        <v>243.01672836806301</v>
      </c>
    </row>
    <row r="18" spans="1:21">
      <c r="D18" t="s">
        <v>20</v>
      </c>
      <c r="E18" t="s">
        <v>310</v>
      </c>
      <c r="F18" s="68">
        <v>38.199591114675698</v>
      </c>
      <c r="G18" s="68">
        <v>72.3595913347785</v>
      </c>
    </row>
    <row r="19" spans="1:21">
      <c r="D19" t="s">
        <v>20</v>
      </c>
      <c r="E19" t="s">
        <v>311</v>
      </c>
      <c r="F19" s="68">
        <v>102.36103566567</v>
      </c>
      <c r="G19" s="68">
        <v>130.03249331305099</v>
      </c>
    </row>
    <row r="20" spans="1:21"/>
    <row r="21" spans="1:21" s="13" customFormat="1" ht="15">
      <c r="A21" s="10"/>
      <c r="B21" s="14"/>
      <c r="C21" s="14"/>
      <c r="D21" s="12"/>
      <c r="E21" s="11" t="s">
        <v>315</v>
      </c>
      <c r="F21" s="191"/>
      <c r="G21" s="12"/>
      <c r="H21" s="12"/>
      <c r="I21" s="12"/>
      <c r="J21" s="12"/>
      <c r="K21" s="12"/>
      <c r="L21" s="12"/>
      <c r="M21" s="12"/>
      <c r="N21" s="12"/>
      <c r="O21" s="12"/>
      <c r="P21" s="12"/>
      <c r="Q21" s="12"/>
      <c r="R21" s="12"/>
      <c r="S21" s="12"/>
      <c r="T21" s="12"/>
      <c r="U21" s="12"/>
    </row>
    <row r="22" spans="1:21"/>
    <row r="23" spans="1:21" ht="38.25" customHeight="1">
      <c r="E23" s="45" t="s">
        <v>312</v>
      </c>
      <c r="F23" s="200" t="s">
        <v>290</v>
      </c>
      <c r="G23" s="200"/>
    </row>
    <row r="24" spans="1:21">
      <c r="D24" t="s">
        <v>20</v>
      </c>
      <c r="E24" t="s">
        <v>292</v>
      </c>
      <c r="F24" s="68">
        <v>38.800035551023697</v>
      </c>
      <c r="G24"/>
    </row>
    <row r="25" spans="1:21">
      <c r="D25" t="s">
        <v>20</v>
      </c>
      <c r="E25" t="s">
        <v>294</v>
      </c>
      <c r="F25" s="68">
        <v>15.586409009963999</v>
      </c>
      <c r="G25"/>
    </row>
    <row r="26" spans="1:21">
      <c r="D26" t="s">
        <v>20</v>
      </c>
      <c r="E26" t="s">
        <v>295</v>
      </c>
      <c r="F26" s="68">
        <v>2.91074989088556</v>
      </c>
      <c r="G26"/>
    </row>
    <row r="27" spans="1:21">
      <c r="D27" t="s">
        <v>20</v>
      </c>
      <c r="E27" t="s">
        <v>298</v>
      </c>
      <c r="F27" s="68">
        <v>4.5301782818127698</v>
      </c>
      <c r="G27"/>
    </row>
    <row r="28" spans="1:21">
      <c r="D28" t="s">
        <v>20</v>
      </c>
      <c r="E28" t="s">
        <v>299</v>
      </c>
      <c r="F28" s="68">
        <v>5.46846808772362</v>
      </c>
      <c r="G28"/>
    </row>
    <row r="29" spans="1:21">
      <c r="D29" t="s">
        <v>20</v>
      </c>
      <c r="E29" t="s">
        <v>301</v>
      </c>
      <c r="F29" s="68">
        <v>44.481149928882402</v>
      </c>
      <c r="G29"/>
    </row>
    <row r="30" spans="1:21">
      <c r="D30" t="s">
        <v>20</v>
      </c>
      <c r="E30" t="s">
        <v>302</v>
      </c>
      <c r="F30" s="68">
        <v>11.856034197360501</v>
      </c>
      <c r="G30"/>
    </row>
    <row r="31" spans="1:21">
      <c r="D31" t="s">
        <v>20</v>
      </c>
      <c r="E31" t="s">
        <v>304</v>
      </c>
      <c r="F31" s="68">
        <v>7.6221549832070403</v>
      </c>
      <c r="G31"/>
    </row>
    <row r="32" spans="1:21" ht="13.5" thickBot="1">
      <c r="F32"/>
      <c r="G32"/>
    </row>
    <row r="33" spans="1:1" s="201" customFormat="1" ht="13.5" thickBot="1">
      <c r="A33" s="202" t="s">
        <v>35</v>
      </c>
    </row>
    <row r="34" spans="1:1"/>
    <row r="35" spans="1:1" hidden="1"/>
    <row r="36" spans="1:1" hidden="1"/>
    <row r="37" spans="1:1" hidden="1"/>
    <row r="38" spans="1:1" hidden="1"/>
    <row r="39" spans="1:1" hidden="1"/>
    <row r="40" spans="1:1" hidden="1"/>
    <row r="41" spans="1:1" hidden="1"/>
    <row r="42" spans="1:1" hidden="1"/>
    <row r="43" spans="1:1" hidden="1"/>
    <row r="44" spans="1:1" hidden="1"/>
    <row r="45" spans="1:1" hidden="1"/>
    <row r="46" spans="1:1" hidden="1"/>
    <row r="47" spans="1:1" hidden="1"/>
    <row r="48" spans="1:1" hidden="1"/>
    <row r="49" hidden="1"/>
    <row r="50" hidden="1"/>
    <row r="51" hidden="1"/>
    <row r="52" hidden="1"/>
    <row r="53" hidden="1"/>
    <row r="54" hidden="1"/>
    <row r="55" hidden="1"/>
    <row r="56" hidden="1"/>
    <row r="57" hidden="1"/>
    <row r="58" hidden="1"/>
    <row r="59" hidden="1"/>
    <row r="60" hidden="1"/>
    <row r="61" hidden="1"/>
    <row r="62" hidden="1"/>
    <row r="63" hidden="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Z82"/>
  <sheetViews>
    <sheetView showGridLines="0" zoomScale="80" zoomScaleNormal="80" workbookViewId="0">
      <pane xSplit="5" ySplit="7" topLeftCell="F8" activePane="bottomRight" state="frozen"/>
      <selection pane="topRight" activeCell="F1" sqref="F1"/>
      <selection pane="bottomLeft" activeCell="A8" sqref="A8"/>
      <selection pane="bottomRight" activeCell="F8" sqref="F8"/>
    </sheetView>
  </sheetViews>
  <sheetFormatPr defaultColWidth="0" defaultRowHeight="12.75" zeroHeight="1"/>
  <cols>
    <col min="1" max="3" width="2.85546875" customWidth="1"/>
    <col min="4" max="4" width="9.140625" customWidth="1"/>
    <col min="5" max="5" width="59.42578125" customWidth="1"/>
    <col min="6" max="6" width="15.42578125" style="176" bestFit="1" customWidth="1"/>
    <col min="7" max="7" width="15.42578125" customWidth="1"/>
    <col min="8" max="8" width="9.140625" customWidth="1"/>
    <col min="9" max="11" width="10.85546875" customWidth="1"/>
    <col min="12" max="12" width="11.5703125" bestFit="1" customWidth="1"/>
    <col min="13" max="13" width="11" bestFit="1" customWidth="1"/>
    <col min="14" max="15" width="11.5703125" bestFit="1" customWidth="1"/>
    <col min="16" max="16" width="11.140625" bestFit="1" customWidth="1"/>
    <col min="17" max="21" width="10.85546875" customWidth="1"/>
    <col min="22" max="22" width="18.42578125" bestFit="1" customWidth="1"/>
    <col min="23" max="23" width="10.85546875" customWidth="1"/>
    <col min="24" max="16384" width="9.140625" hidden="1"/>
  </cols>
  <sheetData>
    <row r="1" spans="1:26" ht="33.75">
      <c r="A1" s="31"/>
      <c r="B1" s="31"/>
      <c r="C1" s="31"/>
      <c r="D1" s="31" t="s">
        <v>137</v>
      </c>
      <c r="E1" s="31"/>
      <c r="F1" s="190"/>
      <c r="G1" s="31"/>
      <c r="H1" s="31"/>
      <c r="I1" s="31"/>
      <c r="J1" s="31"/>
      <c r="K1" s="31"/>
      <c r="L1" s="31"/>
      <c r="M1" s="31"/>
      <c r="N1" s="31"/>
      <c r="O1" s="31"/>
      <c r="P1" s="31"/>
      <c r="Q1" s="31"/>
      <c r="R1" s="31"/>
      <c r="S1" s="31"/>
      <c r="T1" s="31"/>
      <c r="U1" s="31"/>
      <c r="V1" s="31"/>
      <c r="W1" s="31"/>
    </row>
    <row r="2" spans="1:26" ht="15">
      <c r="A2" s="2"/>
      <c r="B2" s="2"/>
      <c r="C2" s="2"/>
      <c r="D2" s="2"/>
      <c r="E2" s="2"/>
      <c r="F2" s="20"/>
      <c r="G2" s="19"/>
      <c r="H2" s="2"/>
      <c r="I2" s="2"/>
      <c r="J2" s="2"/>
      <c r="K2" s="2"/>
      <c r="L2" s="2"/>
      <c r="M2" s="2"/>
      <c r="N2" s="2"/>
      <c r="O2" s="19"/>
      <c r="P2" s="19"/>
      <c r="Q2" s="2"/>
      <c r="R2" s="2"/>
      <c r="S2" s="2"/>
      <c r="T2" s="2"/>
      <c r="U2" s="2"/>
      <c r="V2" s="2"/>
      <c r="W2" s="2"/>
    </row>
    <row r="3" spans="1:26">
      <c r="A3" s="19"/>
      <c r="B3" s="19"/>
      <c r="C3" s="19"/>
      <c r="D3" s="19"/>
      <c r="E3" s="19" t="s">
        <v>17</v>
      </c>
      <c r="F3" s="20"/>
      <c r="G3" s="19"/>
      <c r="H3" s="19"/>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26"/>
      <c r="W3" s="19"/>
    </row>
    <row r="4" spans="1:26">
      <c r="A4" s="9">
        <v>1</v>
      </c>
      <c r="B4" s="19"/>
      <c r="C4" s="19"/>
      <c r="D4" s="19"/>
      <c r="E4" s="19"/>
      <c r="F4" s="20"/>
      <c r="G4" s="19"/>
      <c r="H4" s="19"/>
      <c r="I4" s="19"/>
      <c r="J4" s="19"/>
      <c r="K4" s="19"/>
      <c r="L4" s="19"/>
      <c r="M4" s="19"/>
      <c r="N4" s="19"/>
      <c r="O4" s="19"/>
      <c r="P4" s="19"/>
      <c r="Q4" s="19"/>
      <c r="R4" s="19"/>
      <c r="S4" s="19"/>
      <c r="T4" s="19"/>
      <c r="U4" s="19"/>
      <c r="V4" s="26"/>
      <c r="W4" s="19"/>
    </row>
    <row r="5" spans="1:26">
      <c r="A5" s="19"/>
      <c r="B5" s="19"/>
      <c r="C5" s="19"/>
      <c r="D5" s="19"/>
      <c r="E5" s="30" t="s">
        <v>34</v>
      </c>
      <c r="F5" s="20"/>
      <c r="G5" s="19"/>
      <c r="H5" s="19"/>
      <c r="I5" s="29">
        <f t="shared" ref="I5:U5" si="1">Calendar.Years</f>
        <v>2012</v>
      </c>
      <c r="J5" s="29">
        <f t="shared" si="1"/>
        <v>2013</v>
      </c>
      <c r="K5" s="29">
        <f t="shared" si="1"/>
        <v>2014</v>
      </c>
      <c r="L5" s="29">
        <f t="shared" si="1"/>
        <v>2015</v>
      </c>
      <c r="M5" s="29">
        <f t="shared" si="1"/>
        <v>2016</v>
      </c>
      <c r="N5" s="29">
        <f t="shared" si="1"/>
        <v>2017</v>
      </c>
      <c r="O5" s="29">
        <f t="shared" si="1"/>
        <v>2018</v>
      </c>
      <c r="P5" s="29">
        <f t="shared" si="1"/>
        <v>2019</v>
      </c>
      <c r="Q5" s="29">
        <f t="shared" si="1"/>
        <v>2020</v>
      </c>
      <c r="R5" s="29">
        <f t="shared" si="1"/>
        <v>2021</v>
      </c>
      <c r="S5" s="29">
        <f t="shared" si="1"/>
        <v>2022</v>
      </c>
      <c r="T5" s="29">
        <f t="shared" si="1"/>
        <v>2023</v>
      </c>
      <c r="U5" s="29">
        <f t="shared" si="1"/>
        <v>2024</v>
      </c>
      <c r="V5" s="26"/>
      <c r="W5" s="19"/>
    </row>
    <row r="6" spans="1:26">
      <c r="A6" s="19"/>
      <c r="B6" s="19"/>
      <c r="C6" s="19"/>
      <c r="D6" s="19"/>
      <c r="E6" s="19" t="s">
        <v>18</v>
      </c>
      <c r="F6" s="20"/>
      <c r="G6" s="19"/>
      <c r="H6" s="19"/>
      <c r="I6" s="19"/>
      <c r="J6" s="19"/>
      <c r="K6" s="8"/>
      <c r="L6" s="9">
        <v>1</v>
      </c>
      <c r="M6" s="9">
        <v>2</v>
      </c>
      <c r="N6" s="9">
        <v>3</v>
      </c>
      <c r="O6" s="9">
        <v>4</v>
      </c>
      <c r="P6" s="9">
        <v>5</v>
      </c>
      <c r="Q6" s="9">
        <v>6</v>
      </c>
      <c r="R6" s="9">
        <v>7</v>
      </c>
      <c r="S6" s="9">
        <v>8</v>
      </c>
      <c r="T6" s="9">
        <v>9</v>
      </c>
      <c r="U6" s="9">
        <v>10</v>
      </c>
      <c r="V6" s="19"/>
      <c r="W6" s="19"/>
    </row>
    <row r="7" spans="1:26"/>
    <row r="8" spans="1:26" s="13" customFormat="1" ht="15">
      <c r="A8" s="10"/>
      <c r="B8" s="14"/>
      <c r="C8" s="14"/>
      <c r="D8" s="12"/>
      <c r="E8" s="11" t="s">
        <v>144</v>
      </c>
      <c r="F8" s="191"/>
      <c r="G8" s="12"/>
      <c r="H8" s="12"/>
      <c r="I8" s="12"/>
      <c r="J8" s="12"/>
      <c r="K8" s="12"/>
      <c r="L8" s="12"/>
      <c r="M8" s="12"/>
      <c r="N8" s="12"/>
      <c r="O8" s="12"/>
      <c r="P8" s="12"/>
      <c r="Q8" s="12"/>
      <c r="R8" s="12"/>
      <c r="S8" s="12"/>
      <c r="T8" s="12"/>
      <c r="U8" s="12"/>
      <c r="V8" s="12"/>
      <c r="W8" s="12"/>
      <c r="X8" s="12"/>
      <c r="Y8" s="12"/>
      <c r="Z8" s="12"/>
    </row>
    <row r="9" spans="1:26"/>
    <row r="10" spans="1:26">
      <c r="D10" t="s">
        <v>19</v>
      </c>
      <c r="E10" t="s">
        <v>146</v>
      </c>
      <c r="G10" s="67"/>
      <c r="H10" s="91">
        <f>IF(ISNA(MATCH(G10,Company.Type.List,0)),0,MATCH(G10,Company.Type.List,0))</f>
        <v>0</v>
      </c>
      <c r="I10" s="70" t="s">
        <v>141</v>
      </c>
    </row>
    <row r="11" spans="1:26"/>
    <row r="12" spans="1:26" s="13" customFormat="1" ht="15">
      <c r="A12" s="10"/>
      <c r="B12" s="14"/>
      <c r="C12" s="14"/>
      <c r="D12" s="12"/>
      <c r="E12" s="11" t="s">
        <v>145</v>
      </c>
      <c r="F12" s="191"/>
      <c r="G12" s="12"/>
      <c r="H12" s="12"/>
      <c r="I12" s="12"/>
      <c r="J12" s="12"/>
      <c r="K12" s="12"/>
      <c r="L12" s="12"/>
      <c r="M12" s="12"/>
      <c r="N12" s="12"/>
      <c r="O12" s="12"/>
      <c r="P12" s="12"/>
      <c r="Q12" s="12"/>
      <c r="R12" s="12"/>
      <c r="S12" s="12"/>
      <c r="T12" s="12"/>
      <c r="U12" s="12"/>
      <c r="V12" s="12"/>
      <c r="W12" s="12"/>
      <c r="X12" s="12"/>
      <c r="Y12" s="12"/>
      <c r="Z12" s="12"/>
    </row>
    <row r="13" spans="1:26"/>
    <row r="14" spans="1:26">
      <c r="D14" t="s">
        <v>20</v>
      </c>
      <c r="E14" t="s">
        <v>194</v>
      </c>
      <c r="F14" s="20" t="s">
        <v>251</v>
      </c>
      <c r="L14" s="68"/>
      <c r="M14" s="68"/>
      <c r="N14" s="68"/>
      <c r="O14" s="68"/>
      <c r="P14" s="68"/>
      <c r="V14" s="70" t="s">
        <v>196</v>
      </c>
    </row>
    <row r="15" spans="1:26">
      <c r="D15" t="s">
        <v>20</v>
      </c>
      <c r="E15" t="s">
        <v>317</v>
      </c>
      <c r="F15" s="20" t="s">
        <v>251</v>
      </c>
      <c r="L15" s="68"/>
      <c r="M15" s="68"/>
      <c r="N15" s="68"/>
      <c r="O15" s="68"/>
      <c r="P15" s="68"/>
      <c r="V15" s="70" t="s">
        <v>252</v>
      </c>
    </row>
    <row r="16" spans="1:26">
      <c r="L16" s="174"/>
      <c r="M16" s="174"/>
      <c r="N16" s="174"/>
      <c r="O16" s="174"/>
      <c r="P16" s="174"/>
    </row>
    <row r="17" spans="1:26" s="36" customFormat="1">
      <c r="D17" t="s">
        <v>20</v>
      </c>
      <c r="E17" s="172" t="s">
        <v>195</v>
      </c>
      <c r="F17" s="20" t="s">
        <v>251</v>
      </c>
      <c r="L17" s="85">
        <f>Average.RCV+Net.Debt</f>
        <v>0</v>
      </c>
      <c r="M17" s="198">
        <f>Average.RCV+Net.Debt</f>
        <v>0</v>
      </c>
      <c r="N17" s="198">
        <f>Average.RCV+Net.Debt</f>
        <v>0</v>
      </c>
      <c r="O17" s="198">
        <f>Average.RCV+Net.Debt</f>
        <v>0</v>
      </c>
      <c r="P17" s="198">
        <f>Average.RCV+Net.Debt</f>
        <v>0</v>
      </c>
    </row>
    <row r="18" spans="1:26">
      <c r="D18" t="s">
        <v>20</v>
      </c>
      <c r="E18" s="45" t="s">
        <v>195</v>
      </c>
      <c r="F18" s="20" t="s">
        <v>46</v>
      </c>
      <c r="L18" s="203">
        <f>L17/Indexation.Average</f>
        <v>0</v>
      </c>
      <c r="M18" s="174">
        <f>M17/Indexation.Average</f>
        <v>0</v>
      </c>
      <c r="N18" s="174">
        <f>N17/Indexation.Average</f>
        <v>0</v>
      </c>
      <c r="O18" s="174">
        <f>O17/Indexation.Average</f>
        <v>0</v>
      </c>
      <c r="P18" s="174">
        <f>P17/Indexation.Average</f>
        <v>0</v>
      </c>
      <c r="V18" s="70" t="s">
        <v>197</v>
      </c>
    </row>
    <row r="19" spans="1:26"/>
    <row r="20" spans="1:26">
      <c r="D20" t="s">
        <v>169</v>
      </c>
      <c r="E20" s="94" t="s">
        <v>138</v>
      </c>
      <c r="G20" s="92">
        <v>0.02</v>
      </c>
    </row>
    <row r="21" spans="1:26">
      <c r="E21" s="94"/>
    </row>
    <row r="22" spans="1:26">
      <c r="D22" t="s">
        <v>20</v>
      </c>
      <c r="E22" s="94" t="s">
        <v>333</v>
      </c>
      <c r="F22" s="20" t="s">
        <v>46</v>
      </c>
      <c r="G22" s="68"/>
      <c r="H22" s="70" t="s">
        <v>332</v>
      </c>
    </row>
    <row r="23" spans="1:26">
      <c r="A23" s="94"/>
      <c r="B23" s="94"/>
      <c r="C23" s="94"/>
      <c r="D23" t="s">
        <v>20</v>
      </c>
      <c r="E23" s="94" t="s">
        <v>331</v>
      </c>
      <c r="F23" s="20" t="s">
        <v>46</v>
      </c>
      <c r="G23" s="85">
        <f>IF(Aggregate.Limit.Override&lt;&gt;"",Aggregate.Limit.Override,G20*SUM(Regulated.Equity))</f>
        <v>0</v>
      </c>
      <c r="H23" s="70" t="s">
        <v>140</v>
      </c>
    </row>
    <row r="24" spans="1:26">
      <c r="B24" s="9">
        <v>1</v>
      </c>
      <c r="D24" t="s">
        <v>21</v>
      </c>
      <c r="E24" s="94" t="s">
        <v>167</v>
      </c>
      <c r="G24" s="41" t="b">
        <f>NOT(Company.Type=B24)</f>
        <v>1</v>
      </c>
      <c r="H24" s="70" t="s">
        <v>168</v>
      </c>
    </row>
    <row r="25" spans="1:26" ht="13.5" thickBot="1"/>
    <row r="26" spans="1:26" s="19" customFormat="1" ht="13.5" thickBot="1">
      <c r="A26" s="21" t="s">
        <v>35</v>
      </c>
      <c r="B26" s="22"/>
      <c r="C26" s="22"/>
      <c r="D26" s="22"/>
      <c r="E26" s="22"/>
      <c r="F26" s="195"/>
      <c r="G26" s="22"/>
      <c r="H26" s="22"/>
      <c r="I26" s="22"/>
      <c r="J26" s="22"/>
      <c r="K26" s="22"/>
      <c r="L26" s="22"/>
      <c r="M26" s="22"/>
      <c r="N26" s="22"/>
      <c r="O26" s="22"/>
      <c r="P26" s="22"/>
      <c r="Q26" s="22"/>
      <c r="R26" s="22"/>
      <c r="S26" s="22"/>
      <c r="T26" s="22"/>
      <c r="U26" s="22"/>
      <c r="V26" s="22"/>
      <c r="W26" s="22"/>
      <c r="X26" s="22"/>
      <c r="Y26" s="22"/>
      <c r="Z26" s="22"/>
    </row>
    <row r="27" spans="1:26"/>
    <row r="28" spans="1:26" ht="12.75" hidden="1" customHeight="1"/>
    <row r="29" spans="1:26" ht="12.75" hidden="1" customHeight="1"/>
    <row r="30" spans="1:26" ht="12.75" hidden="1" customHeight="1"/>
    <row r="31" spans="1:26" ht="12.75" hidden="1" customHeight="1"/>
    <row r="32" spans="1:26"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conditionalFormatting sqref="G24">
    <cfRule type="cellIs" dxfId="90" priority="1" operator="equal">
      <formula>TRUE</formula>
    </cfRule>
  </conditionalFormatting>
  <dataValidations count="2">
    <dataValidation type="decimal" operator="greaterThanOrEqual" allowBlank="1" showInputMessage="1" showErrorMessage="1" sqref="G20">
      <formula1>0</formula1>
    </dataValidation>
    <dataValidation type="list" allowBlank="1" showInputMessage="1" showErrorMessage="1" sqref="G10">
      <formula1>Company.Type.List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Y303"/>
  <sheetViews>
    <sheetView showGridLines="0" zoomScale="80" zoomScaleNormal="80" workbookViewId="0">
      <pane xSplit="5" ySplit="7" topLeftCell="F8" activePane="bottomRight" state="frozen"/>
      <selection activeCell="A8" sqref="A8"/>
      <selection pane="topRight" activeCell="A8" sqref="A8"/>
      <selection pane="bottomLeft" activeCell="A8" sqref="A8"/>
      <selection pane="bottomRight" activeCell="F8" sqref="F8"/>
    </sheetView>
  </sheetViews>
  <sheetFormatPr defaultColWidth="0" defaultRowHeight="12.75" zeroHeight="1"/>
  <cols>
    <col min="1" max="3" width="2.7109375" style="38" customWidth="1"/>
    <col min="4" max="4" width="9.7109375" style="38" customWidth="1"/>
    <col min="5" max="5" width="70.42578125" style="3" customWidth="1"/>
    <col min="6" max="6" width="15.140625" style="20" customWidth="1"/>
    <col min="7" max="7" width="12.7109375" style="38" bestFit="1" customWidth="1"/>
    <col min="8" max="8" width="4.28515625" style="3" customWidth="1"/>
    <col min="9" max="11" width="10.140625" style="3" customWidth="1"/>
    <col min="12" max="21" width="10.5703125" style="3" customWidth="1"/>
    <col min="22" max="22" width="10.5703125" style="19" customWidth="1"/>
    <col min="23" max="23" width="7.42578125" style="3" bestFit="1" customWidth="1"/>
    <col min="24" max="24" width="23" style="3" bestFit="1" customWidth="1"/>
    <col min="25" max="25" width="11.28515625" style="19" customWidth="1"/>
    <col min="26" max="16384" width="0" style="3" hidden="1"/>
  </cols>
  <sheetData>
    <row r="1" spans="1:25" s="2" customFormat="1" ht="33.75">
      <c r="A1" s="177"/>
      <c r="B1" s="177"/>
      <c r="C1" s="177"/>
      <c r="D1" s="31" t="s">
        <v>150</v>
      </c>
      <c r="E1" s="31"/>
      <c r="F1" s="190"/>
      <c r="G1" s="177"/>
      <c r="H1" s="31"/>
      <c r="I1" s="31"/>
      <c r="J1" s="31"/>
      <c r="K1" s="31"/>
      <c r="L1" s="31"/>
      <c r="M1" s="31"/>
      <c r="N1" s="31"/>
      <c r="O1" s="31"/>
      <c r="P1" s="31"/>
      <c r="Q1" s="31"/>
      <c r="R1" s="31"/>
      <c r="S1" s="31"/>
      <c r="T1" s="31"/>
      <c r="U1" s="31"/>
      <c r="V1" s="31"/>
      <c r="W1" s="31"/>
      <c r="X1" s="31"/>
      <c r="Y1" s="31"/>
    </row>
    <row r="2" spans="1:25" s="2" customFormat="1" ht="15">
      <c r="A2" s="208"/>
      <c r="B2" s="208"/>
      <c r="C2" s="208"/>
      <c r="D2" s="208"/>
      <c r="F2" s="20"/>
      <c r="G2" s="38"/>
      <c r="O2" s="3"/>
      <c r="P2" s="3"/>
    </row>
    <row r="3" spans="1:25">
      <c r="E3" s="3" t="s">
        <v>17</v>
      </c>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89"/>
      <c r="W3" s="26"/>
    </row>
    <row r="4" spans="1:25">
      <c r="A4" s="209">
        <v>1</v>
      </c>
      <c r="W4" s="26"/>
    </row>
    <row r="5" spans="1:25">
      <c r="E5" s="30" t="s">
        <v>34</v>
      </c>
      <c r="I5" s="29">
        <f t="shared" ref="I5:U5" si="1">Calendar.Years</f>
        <v>2012</v>
      </c>
      <c r="J5" s="29">
        <f t="shared" si="1"/>
        <v>2013</v>
      </c>
      <c r="K5" s="29">
        <f t="shared" si="1"/>
        <v>2014</v>
      </c>
      <c r="L5" s="29">
        <f t="shared" si="1"/>
        <v>2015</v>
      </c>
      <c r="M5" s="29">
        <f t="shared" si="1"/>
        <v>2016</v>
      </c>
      <c r="N5" s="29">
        <f t="shared" si="1"/>
        <v>2017</v>
      </c>
      <c r="O5" s="29">
        <f t="shared" si="1"/>
        <v>2018</v>
      </c>
      <c r="P5" s="29">
        <f t="shared" si="1"/>
        <v>2019</v>
      </c>
      <c r="Q5" s="29">
        <f t="shared" si="1"/>
        <v>2020</v>
      </c>
      <c r="R5" s="29">
        <f t="shared" si="1"/>
        <v>2021</v>
      </c>
      <c r="S5" s="29">
        <f t="shared" si="1"/>
        <v>2022</v>
      </c>
      <c r="T5" s="29">
        <f t="shared" si="1"/>
        <v>2023</v>
      </c>
      <c r="U5" s="29">
        <f t="shared" si="1"/>
        <v>2024</v>
      </c>
      <c r="V5" s="29"/>
      <c r="W5" s="26"/>
    </row>
    <row r="6" spans="1:25">
      <c r="E6" s="3" t="s">
        <v>18</v>
      </c>
      <c r="K6" s="8"/>
      <c r="L6" s="9">
        <v>1</v>
      </c>
      <c r="M6" s="9">
        <v>2</v>
      </c>
      <c r="N6" s="9">
        <v>3</v>
      </c>
      <c r="O6" s="9">
        <v>4</v>
      </c>
      <c r="P6" s="9">
        <v>5</v>
      </c>
      <c r="Q6" s="9">
        <v>6</v>
      </c>
      <c r="R6" s="9">
        <v>7</v>
      </c>
      <c r="S6" s="9">
        <v>8</v>
      </c>
      <c r="T6" s="9">
        <v>9</v>
      </c>
      <c r="U6" s="9">
        <v>10</v>
      </c>
      <c r="V6" s="29"/>
      <c r="X6" s="16"/>
      <c r="Y6" s="16"/>
    </row>
    <row r="7" spans="1:25"/>
    <row r="8" spans="1:25" s="13" customFormat="1" ht="15">
      <c r="A8" s="210"/>
      <c r="B8" s="211"/>
      <c r="C8" s="211"/>
      <c r="D8" s="39"/>
      <c r="E8" s="11" t="s">
        <v>47</v>
      </c>
      <c r="F8" s="191"/>
      <c r="G8" s="39"/>
      <c r="H8" s="12"/>
      <c r="I8" s="12"/>
      <c r="J8" s="12"/>
      <c r="K8" s="12"/>
      <c r="L8" s="12"/>
      <c r="M8" s="12"/>
      <c r="N8" s="12"/>
      <c r="O8" s="12"/>
      <c r="P8" s="12"/>
      <c r="Q8" s="12"/>
      <c r="R8" s="12"/>
      <c r="S8" s="12"/>
      <c r="T8" s="12"/>
      <c r="U8" s="12"/>
      <c r="V8" s="12"/>
      <c r="W8" s="12"/>
      <c r="X8" s="12"/>
      <c r="Y8" s="12"/>
    </row>
    <row r="9" spans="1:25"/>
    <row r="10" spans="1:25">
      <c r="D10" s="38" t="s">
        <v>19</v>
      </c>
      <c r="E10" s="3" t="s">
        <v>0</v>
      </c>
      <c r="G10" s="69"/>
      <c r="H10" s="19"/>
    </row>
    <row r="11" spans="1:25">
      <c r="D11" s="38" t="s">
        <v>19</v>
      </c>
      <c r="E11" s="3" t="s">
        <v>1</v>
      </c>
      <c r="G11" s="69"/>
      <c r="H11" s="91">
        <f>IF(ISNA(MATCH(G11,ODI.Type.List,0)),0,MATCH(G11,ODI.Type.List,0))</f>
        <v>0</v>
      </c>
      <c r="I11" s="26" t="str">
        <f>"Incentive.Type."&amp;$A$4</f>
        <v>Incentive.Type.1</v>
      </c>
    </row>
    <row r="12" spans="1:25">
      <c r="I12" s="26"/>
    </row>
    <row r="13" spans="1:25" s="19" customFormat="1">
      <c r="A13" s="38"/>
      <c r="B13" s="38"/>
      <c r="C13" s="38"/>
      <c r="D13" s="43" t="s">
        <v>19</v>
      </c>
      <c r="E13" s="36" t="s">
        <v>135</v>
      </c>
      <c r="F13" s="20"/>
      <c r="G13" s="188"/>
      <c r="H13" s="27">
        <f>IF(ISNA(MATCH(G13,Crystallisation.List,0)),0,MATCH(G13,Crystallisation.List,0))</f>
        <v>0</v>
      </c>
      <c r="I13" s="26" t="str">
        <f>"Crystallisation."&amp;$A$4</f>
        <v>Crystallisation.1</v>
      </c>
    </row>
    <row r="14" spans="1:25" s="19" customFormat="1">
      <c r="A14" s="38"/>
      <c r="B14" s="38"/>
      <c r="C14" s="38"/>
      <c r="D14" s="38"/>
      <c r="F14" s="20"/>
      <c r="G14" s="38"/>
      <c r="I14" s="26"/>
    </row>
    <row r="15" spans="1:25" s="19" customFormat="1">
      <c r="A15" s="38"/>
      <c r="B15" s="38"/>
      <c r="C15" s="38"/>
      <c r="D15" s="38" t="s">
        <v>19</v>
      </c>
      <c r="E15" s="64" t="s">
        <v>22</v>
      </c>
      <c r="F15" s="20"/>
      <c r="G15" s="179"/>
      <c r="H15" s="91">
        <f>IF(ISNA(MATCH(G15,Applied.Adjustment,0)),0,MATCH(G15,Applied.Adjustment,0))</f>
        <v>0</v>
      </c>
      <c r="I15" s="26" t="str">
        <f>"NetReward.Applied."&amp;$A$4</f>
        <v>NetReward.Applied.1</v>
      </c>
      <c r="K15" s="32"/>
      <c r="X15" s="57"/>
    </row>
    <row r="16" spans="1:25" s="19" customFormat="1">
      <c r="A16" s="38"/>
      <c r="B16" s="38"/>
      <c r="C16" s="38"/>
      <c r="D16" s="38" t="s">
        <v>19</v>
      </c>
      <c r="E16" s="64" t="s">
        <v>23</v>
      </c>
      <c r="F16" s="20"/>
      <c r="G16" s="179"/>
      <c r="H16" s="27">
        <f>IF(ISNA(MATCH(G16,Applied.Adjustment,0)),0,MATCH(G16,Applied.Adjustment,0))</f>
        <v>0</v>
      </c>
      <c r="I16" s="26" t="str">
        <f>"NetPenalty.Applied."&amp;$A$4</f>
        <v>NetPenalty.Applied.1</v>
      </c>
      <c r="K16" s="32"/>
      <c r="X16" s="57"/>
    </row>
    <row r="17" spans="1:25" s="19" customFormat="1">
      <c r="A17" s="38"/>
      <c r="B17" s="38"/>
      <c r="C17" s="38"/>
      <c r="D17" s="38"/>
      <c r="F17" s="20"/>
      <c r="G17" s="38"/>
    </row>
    <row r="18" spans="1:25" s="19" customFormat="1">
      <c r="A18" s="38"/>
      <c r="B18" s="38"/>
      <c r="C18" s="38"/>
      <c r="D18" s="43" t="s">
        <v>21</v>
      </c>
      <c r="E18" s="36" t="s">
        <v>236</v>
      </c>
      <c r="F18" s="20"/>
      <c r="G18" s="180"/>
      <c r="H18" s="26" t="str">
        <f>"ODI.AggCap.Flag."&amp;$A$4</f>
        <v>ODI.AggCap.Flag.1</v>
      </c>
    </row>
    <row r="19" spans="1:25" customFormat="1">
      <c r="A19" s="40"/>
      <c r="B19" s="40"/>
      <c r="C19" s="40"/>
      <c r="D19" s="40"/>
      <c r="F19" s="176"/>
      <c r="G19" s="40"/>
    </row>
    <row r="20" spans="1:25" s="13" customFormat="1" ht="15">
      <c r="A20" s="210"/>
      <c r="B20" s="211"/>
      <c r="C20" s="211"/>
      <c r="D20" s="39"/>
      <c r="E20" s="11" t="s">
        <v>49</v>
      </c>
      <c r="F20" s="191"/>
      <c r="G20" s="39"/>
      <c r="H20" s="12"/>
      <c r="I20" s="12"/>
      <c r="J20" s="12"/>
      <c r="K20" s="12"/>
      <c r="L20" s="12"/>
      <c r="M20" s="12"/>
      <c r="N20" s="12"/>
      <c r="O20" s="12"/>
      <c r="P20" s="12"/>
      <c r="Q20" s="12"/>
      <c r="R20" s="12"/>
      <c r="S20" s="12"/>
      <c r="T20" s="12"/>
      <c r="U20" s="12"/>
      <c r="V20" s="12"/>
      <c r="W20" s="12"/>
      <c r="X20" s="12"/>
      <c r="Y20" s="12"/>
    </row>
    <row r="21" spans="1:25">
      <c r="K21" s="23"/>
      <c r="L21" s="23"/>
      <c r="M21" s="23"/>
      <c r="N21" s="23"/>
      <c r="O21" s="23"/>
      <c r="P21" s="23"/>
      <c r="Q21" s="23"/>
      <c r="R21" s="23"/>
      <c r="S21" s="23"/>
      <c r="W21" s="26"/>
    </row>
    <row r="22" spans="1:25" s="51" customFormat="1" ht="15">
      <c r="A22" s="212"/>
      <c r="B22" s="213"/>
      <c r="C22" s="213"/>
      <c r="D22" s="48"/>
      <c r="E22" s="49" t="s">
        <v>48</v>
      </c>
      <c r="F22" s="192"/>
      <c r="G22" s="48"/>
      <c r="H22" s="50"/>
      <c r="I22" s="50"/>
      <c r="J22" s="50"/>
      <c r="K22" s="50"/>
      <c r="L22" s="50"/>
      <c r="M22" s="50"/>
      <c r="N22" s="50"/>
      <c r="O22" s="50"/>
      <c r="P22" s="50"/>
      <c r="Q22" s="50"/>
      <c r="R22" s="50"/>
      <c r="S22" s="50"/>
      <c r="T22" s="50"/>
      <c r="U22" s="50"/>
      <c r="V22" s="50"/>
      <c r="W22" s="50"/>
      <c r="X22" s="50"/>
      <c r="Y22" s="50"/>
    </row>
    <row r="23" spans="1:25">
      <c r="K23" s="23"/>
      <c r="L23" s="23"/>
      <c r="M23" s="23"/>
      <c r="N23" s="23"/>
      <c r="O23" s="23"/>
      <c r="P23" s="23"/>
      <c r="Q23" s="23"/>
      <c r="R23" s="23"/>
      <c r="S23" s="23"/>
      <c r="W23" s="26"/>
    </row>
    <row r="24" spans="1:25">
      <c r="B24" s="209">
        <v>1</v>
      </c>
      <c r="E24" s="7" t="s">
        <v>198</v>
      </c>
      <c r="G24" s="181" t="b">
        <f>IF(G11=INDEX(ODI.Type.List,B24,),TRUE,FALSE)</f>
        <v>0</v>
      </c>
      <c r="H24" s="26" t="str">
        <f>"Numeric.Flag."&amp;$A$4</f>
        <v>Numeric.Flag.1</v>
      </c>
      <c r="K24" s="23"/>
      <c r="L24" s="24"/>
      <c r="M24" s="24"/>
      <c r="N24" s="24"/>
      <c r="O24" s="24"/>
      <c r="P24" s="24"/>
      <c r="Q24" s="23"/>
      <c r="R24" s="23"/>
      <c r="S24" s="23"/>
      <c r="W24" s="26"/>
      <c r="X24" s="57"/>
      <c r="Y24" s="57"/>
    </row>
    <row r="25" spans="1:25" customFormat="1">
      <c r="A25" s="40"/>
      <c r="B25" s="40"/>
      <c r="C25" s="40"/>
      <c r="D25" s="40"/>
      <c r="F25" s="176"/>
      <c r="G25" s="40"/>
    </row>
    <row r="26" spans="1:25" customFormat="1">
      <c r="A26" s="40"/>
      <c r="B26" s="40"/>
      <c r="C26" s="40"/>
      <c r="D26" s="40"/>
      <c r="E26" s="37" t="s">
        <v>29</v>
      </c>
      <c r="F26" s="176"/>
      <c r="G26" s="40"/>
    </row>
    <row r="27" spans="1:25">
      <c r="A27" s="224"/>
      <c r="B27" s="224"/>
      <c r="C27" s="224"/>
      <c r="D27" s="225" t="s">
        <v>322</v>
      </c>
      <c r="E27" s="17" t="s">
        <v>199</v>
      </c>
      <c r="F27" s="20" t="s">
        <v>46</v>
      </c>
      <c r="G27" s="182"/>
      <c r="K27" s="23"/>
      <c r="L27" s="218"/>
      <c r="M27" s="218"/>
      <c r="N27" s="218"/>
      <c r="O27" s="218"/>
      <c r="P27" s="218"/>
      <c r="S27" s="23"/>
      <c r="V27" s="26" t="str">
        <f>"PC."&amp;$A$4</f>
        <v>PC.1</v>
      </c>
      <c r="X27" s="77"/>
      <c r="Y27" s="77"/>
    </row>
    <row r="28" spans="1:25" s="19" customFormat="1">
      <c r="A28" s="224"/>
      <c r="B28" s="224"/>
      <c r="C28" s="224"/>
      <c r="D28" s="224"/>
      <c r="E28" s="17"/>
      <c r="F28" s="20"/>
      <c r="G28" s="182"/>
      <c r="K28" s="23"/>
      <c r="L28" s="205"/>
      <c r="M28" s="205"/>
      <c r="N28" s="205"/>
      <c r="O28" s="205"/>
      <c r="P28" s="205"/>
      <c r="S28" s="23"/>
      <c r="V28" s="26"/>
      <c r="X28" s="77"/>
      <c r="Y28" s="77"/>
    </row>
    <row r="29" spans="1:25">
      <c r="A29" s="224"/>
      <c r="B29" s="224"/>
      <c r="C29" s="226"/>
      <c r="D29" s="224"/>
      <c r="E29" s="7" t="s">
        <v>26</v>
      </c>
      <c r="K29" s="23"/>
      <c r="L29" s="205"/>
      <c r="M29" s="205"/>
      <c r="N29" s="205"/>
      <c r="O29" s="205"/>
      <c r="P29" s="205"/>
      <c r="R29" s="23"/>
      <c r="S29" s="23"/>
      <c r="V29" s="26"/>
    </row>
    <row r="30" spans="1:25">
      <c r="A30" s="224"/>
      <c r="B30" s="224"/>
      <c r="C30" s="224"/>
      <c r="D30" s="225" t="s">
        <v>289</v>
      </c>
      <c r="E30" s="17" t="s">
        <v>50</v>
      </c>
      <c r="F30" s="20" t="s">
        <v>46</v>
      </c>
      <c r="K30" s="23"/>
      <c r="L30" s="218"/>
      <c r="M30" s="218"/>
      <c r="N30" s="218"/>
      <c r="O30" s="218"/>
      <c r="P30" s="218"/>
      <c r="R30" s="23"/>
      <c r="S30" s="23"/>
      <c r="V30" s="3"/>
      <c r="X30" s="57"/>
      <c r="Y30" s="57"/>
    </row>
    <row r="31" spans="1:25" customFormat="1">
      <c r="A31" s="227"/>
      <c r="B31" s="227"/>
      <c r="C31" s="227"/>
      <c r="D31" s="225" t="s">
        <v>289</v>
      </c>
      <c r="E31" s="17" t="s">
        <v>181</v>
      </c>
      <c r="F31" s="176"/>
      <c r="G31" s="175"/>
      <c r="H31" s="26" t="str">
        <f>"Rounding.Num."&amp;$A$4</f>
        <v>Rounding.Num.1</v>
      </c>
      <c r="Q31" s="3"/>
    </row>
    <row r="32" spans="1:25" customFormat="1">
      <c r="A32" s="227"/>
      <c r="B32" s="227"/>
      <c r="C32" s="227"/>
      <c r="D32" s="224"/>
      <c r="F32" s="176"/>
      <c r="G32" s="40"/>
      <c r="Q32" s="3"/>
    </row>
    <row r="33" spans="1:25" customFormat="1">
      <c r="A33" s="224"/>
      <c r="B33" s="224"/>
      <c r="C33" s="224"/>
      <c r="D33" s="225" t="s">
        <v>323</v>
      </c>
      <c r="E33" s="17" t="s">
        <v>180</v>
      </c>
      <c r="F33" s="176"/>
      <c r="G33" s="40"/>
      <c r="L33" s="219">
        <f>IF(Rounding.Num.1="",L30, ROUND(L30,Rounding.Num.1))</f>
        <v>0</v>
      </c>
      <c r="M33" s="219">
        <f>IF(Rounding.Num.1="",M30, ROUND(M30,Rounding.Num.1))</f>
        <v>0</v>
      </c>
      <c r="N33" s="219">
        <f>IF(Rounding.Num.1="",N30, ROUND(N30,Rounding.Num.1))</f>
        <v>0</v>
      </c>
      <c r="O33" s="219">
        <f>IF(Rounding.Num.1="",O30, ROUND(O30,Rounding.Num.1))</f>
        <v>0</v>
      </c>
      <c r="P33" s="219">
        <f>IF(Rounding.Num.1="",P30, ROUND(P30,Rounding.Num.1))</f>
        <v>0</v>
      </c>
      <c r="Q33" s="3"/>
      <c r="V33" s="26" t="str">
        <f>"Performance."&amp;$A$4</f>
        <v>Performance.1</v>
      </c>
    </row>
    <row r="34" spans="1:25" s="19" customFormat="1">
      <c r="A34" s="224"/>
      <c r="B34" s="224"/>
      <c r="C34" s="224"/>
      <c r="D34" s="224"/>
      <c r="E34" s="17"/>
      <c r="F34" s="20"/>
      <c r="G34" s="182"/>
      <c r="K34" s="23"/>
      <c r="L34" s="23"/>
      <c r="M34" s="23"/>
      <c r="N34" s="23"/>
      <c r="O34" s="23"/>
      <c r="P34" s="23"/>
      <c r="S34" s="23"/>
      <c r="V34" s="23"/>
      <c r="W34" s="26"/>
      <c r="X34" s="77"/>
      <c r="Y34" s="77"/>
    </row>
    <row r="35" spans="1:25" customFormat="1">
      <c r="A35" s="40"/>
      <c r="B35" s="40"/>
      <c r="C35" s="40"/>
      <c r="D35" s="38"/>
      <c r="E35" s="7" t="s">
        <v>37</v>
      </c>
      <c r="F35" s="20"/>
      <c r="G35" s="40"/>
      <c r="H35" s="19"/>
      <c r="I35" s="19"/>
      <c r="J35" s="19"/>
      <c r="K35" s="23"/>
      <c r="L35" s="23"/>
      <c r="M35" s="23"/>
      <c r="N35" s="23"/>
      <c r="O35" s="23"/>
      <c r="P35" s="23"/>
      <c r="Q35" s="3"/>
      <c r="V35" s="23"/>
      <c r="X35" s="20"/>
      <c r="Y35" s="20"/>
    </row>
    <row r="36" spans="1:25" customFormat="1">
      <c r="A36" s="40"/>
      <c r="B36" s="40"/>
      <c r="C36" s="40"/>
      <c r="D36" s="38" t="s">
        <v>19</v>
      </c>
      <c r="E36" s="17" t="s">
        <v>11</v>
      </c>
      <c r="F36" s="20"/>
      <c r="G36" s="183"/>
      <c r="Q36" s="3"/>
    </row>
    <row r="37" spans="1:25" customFormat="1">
      <c r="A37" s="40"/>
      <c r="B37" s="40"/>
      <c r="C37" s="40"/>
      <c r="D37" s="40"/>
      <c r="E37" s="37"/>
      <c r="F37" s="176"/>
      <c r="G37" s="40"/>
      <c r="Q37" s="3"/>
    </row>
    <row r="38" spans="1:25" customFormat="1">
      <c r="A38" s="40"/>
      <c r="B38" s="40"/>
      <c r="C38" s="40"/>
      <c r="D38" s="40"/>
      <c r="E38" s="45" t="s">
        <v>190</v>
      </c>
      <c r="F38" s="176"/>
      <c r="G38" s="40"/>
      <c r="Q38" s="3"/>
    </row>
    <row r="39" spans="1:25" customFormat="1">
      <c r="A39" s="40"/>
      <c r="B39" s="40"/>
      <c r="C39" s="40"/>
      <c r="D39" s="59" t="s">
        <v>21</v>
      </c>
      <c r="E39" s="17" t="s">
        <v>249</v>
      </c>
      <c r="F39" s="176"/>
      <c r="G39" s="185"/>
      <c r="H39" s="26" t="str">
        <f>"Reward.Orientation."&amp;$A$4</f>
        <v>Reward.Orientation.1</v>
      </c>
      <c r="Q39" s="3"/>
    </row>
    <row r="40" spans="1:25" customFormat="1">
      <c r="A40" s="40"/>
      <c r="B40" s="40"/>
      <c r="C40" s="40"/>
      <c r="D40" s="40"/>
      <c r="E40" s="37"/>
      <c r="F40" s="176"/>
      <c r="G40" s="40"/>
      <c r="Q40" s="3"/>
    </row>
    <row r="41" spans="1:25" s="55" customFormat="1" ht="15">
      <c r="A41" s="215"/>
      <c r="B41" s="216"/>
      <c r="C41" s="216"/>
      <c r="D41" s="52"/>
      <c r="E41" s="53" t="s">
        <v>55</v>
      </c>
      <c r="F41" s="193"/>
      <c r="G41" s="52"/>
      <c r="H41" s="54"/>
      <c r="I41" s="54"/>
      <c r="J41" s="54"/>
      <c r="K41" s="54"/>
      <c r="L41" s="54"/>
      <c r="M41" s="54"/>
      <c r="N41" s="54"/>
      <c r="O41" s="54"/>
      <c r="P41" s="54"/>
      <c r="Q41" s="54"/>
      <c r="R41" s="54"/>
      <c r="S41" s="54"/>
      <c r="T41" s="54"/>
      <c r="U41" s="54"/>
      <c r="V41" s="54"/>
      <c r="W41" s="54"/>
      <c r="X41" s="54"/>
      <c r="Y41" s="54"/>
    </row>
    <row r="42" spans="1:25" customFormat="1">
      <c r="A42" s="40"/>
      <c r="B42" s="40"/>
      <c r="C42" s="40"/>
      <c r="D42" s="40"/>
      <c r="F42" s="176"/>
      <c r="G42" s="40"/>
      <c r="Q42" s="3"/>
    </row>
    <row r="43" spans="1:25" customFormat="1">
      <c r="A43" s="40"/>
      <c r="B43" s="40"/>
      <c r="C43" s="40"/>
      <c r="D43" s="40"/>
      <c r="E43" s="76" t="s">
        <v>288</v>
      </c>
      <c r="F43" s="176"/>
      <c r="G43" s="40"/>
      <c r="Q43" s="3"/>
    </row>
    <row r="44" spans="1:25" customFormat="1">
      <c r="A44" s="224"/>
      <c r="B44" s="224"/>
      <c r="C44" s="224"/>
      <c r="D44" s="225" t="s">
        <v>322</v>
      </c>
      <c r="E44" s="17" t="s">
        <v>182</v>
      </c>
      <c r="F44" s="20" t="s">
        <v>46</v>
      </c>
      <c r="G44" s="38"/>
      <c r="H44" s="19"/>
      <c r="I44" s="19"/>
      <c r="J44" s="46"/>
      <c r="K44" s="46"/>
      <c r="L44" s="218"/>
      <c r="M44" s="218"/>
      <c r="N44" s="218"/>
      <c r="O44" s="218"/>
      <c r="P44" s="218"/>
      <c r="Q44" s="3"/>
      <c r="V44" s="70" t="str">
        <f>"Penalty.Collar."&amp;$A$4</f>
        <v>Penalty.Collar.1</v>
      </c>
    </row>
    <row r="45" spans="1:25" customFormat="1">
      <c r="A45" s="224"/>
      <c r="B45" s="224"/>
      <c r="C45" s="224"/>
      <c r="D45" s="225" t="s">
        <v>322</v>
      </c>
      <c r="E45" s="17" t="s">
        <v>183</v>
      </c>
      <c r="F45" s="20" t="s">
        <v>46</v>
      </c>
      <c r="G45" s="38"/>
      <c r="H45" s="19"/>
      <c r="I45" s="19"/>
      <c r="J45" s="46"/>
      <c r="K45" s="46"/>
      <c r="L45" s="218"/>
      <c r="M45" s="218"/>
      <c r="N45" s="218"/>
      <c r="O45" s="218"/>
      <c r="P45" s="218"/>
      <c r="Q45" s="3"/>
      <c r="V45" s="70" t="str">
        <f>"Penalty.Deadband."&amp;$A$4</f>
        <v>Penalty.Deadband.1</v>
      </c>
    </row>
    <row r="46" spans="1:25" customFormat="1">
      <c r="A46" s="227"/>
      <c r="B46" s="227"/>
      <c r="C46" s="227"/>
      <c r="D46" s="227"/>
      <c r="F46" s="176"/>
      <c r="G46" s="38"/>
      <c r="H46" s="3"/>
      <c r="Q46" s="3"/>
    </row>
    <row r="47" spans="1:25" customFormat="1">
      <c r="A47" s="227"/>
      <c r="B47" s="227"/>
      <c r="C47" s="227"/>
      <c r="D47" s="227"/>
      <c r="E47" t="s">
        <v>186</v>
      </c>
      <c r="F47" s="176"/>
      <c r="G47" s="40"/>
      <c r="L47" s="96" t="b">
        <f>NOT(OR(AND(PC.1="",Penalty.Collar.1&lt;&gt;""),AND(PC.1="",Penalty.Deadband.1&lt;&gt;""),AND(Reward.Orientation.1,Penalty.Collar.1&lt;&gt;"",Penalty.Deadband.1&lt;&gt;"",Penalty.Collar.1&gt;Penalty.Deadband.1),AND(NOT(Reward.Orientation.1),Penalty.Collar.1&lt;&gt;"",Penalty.Deadband.1&lt;&gt;"",Penalty.Collar.1&lt;Penalty.Deadband.1),AND(Reward.Orientation.1, PC.1&lt;&gt;"",Penalty.Collar.1&lt;&gt;"",Penalty.Collar.1&gt;PC.1),AND(NOT(Reward.Orientation.1), PC.1&lt;&gt;"",Penalty.Collar.1&lt;&gt;"",Penalty.Collar.1&lt;PC.1),AND(Reward.Orientation.1,PC.1&lt;&gt;"",Penalty.Deadband.1&lt;&gt;"",Penalty.Deadband.1&gt;PC.1),AND(NOT(Reward.Orientation.1),PC.1&lt;&gt;"",Penalty.Deadband.1&lt;&gt;"",Penalty.Deadband.1&lt;PC.1)))</f>
        <v>1</v>
      </c>
      <c r="M47" s="96" t="b">
        <f>NOT(OR(AND(PC.1="",Penalty.Collar.1&lt;&gt;""),AND(PC.1="",Penalty.Deadband.1&lt;&gt;""),AND(Reward.Orientation.1,Penalty.Collar.1&lt;&gt;"",Penalty.Deadband.1&lt;&gt;"",Penalty.Collar.1&gt;Penalty.Deadband.1),AND(NOT(Reward.Orientation.1),Penalty.Collar.1&lt;&gt;"",Penalty.Deadband.1&lt;&gt;"",Penalty.Collar.1&lt;Penalty.Deadband.1),AND(Reward.Orientation.1, PC.1&lt;&gt;"",Penalty.Collar.1&lt;&gt;"",Penalty.Collar.1&gt;PC.1),AND(NOT(Reward.Orientation.1), PC.1&lt;&gt;"",Penalty.Collar.1&lt;&gt;"",Penalty.Collar.1&lt;PC.1),AND(Reward.Orientation.1,PC.1&lt;&gt;"",Penalty.Deadband.1&lt;&gt;"",Penalty.Deadband.1&gt;PC.1),AND(NOT(Reward.Orientation.1),PC.1&lt;&gt;"",Penalty.Deadband.1&lt;&gt;"",Penalty.Deadband.1&lt;PC.1)))</f>
        <v>1</v>
      </c>
      <c r="N47" s="96" t="b">
        <f>NOT(OR(AND(PC.1="",Penalty.Collar.1&lt;&gt;""),AND(PC.1="",Penalty.Deadband.1&lt;&gt;""),AND(Reward.Orientation.1,Penalty.Collar.1&lt;&gt;"",Penalty.Deadband.1&lt;&gt;"",Penalty.Collar.1&gt;Penalty.Deadband.1),AND(NOT(Reward.Orientation.1),Penalty.Collar.1&lt;&gt;"",Penalty.Deadband.1&lt;&gt;"",Penalty.Collar.1&lt;Penalty.Deadband.1),AND(Reward.Orientation.1, PC.1&lt;&gt;"",Penalty.Collar.1&lt;&gt;"",Penalty.Collar.1&gt;PC.1),AND(NOT(Reward.Orientation.1), PC.1&lt;&gt;"",Penalty.Collar.1&lt;&gt;"",Penalty.Collar.1&lt;PC.1),AND(Reward.Orientation.1,PC.1&lt;&gt;"",Penalty.Deadband.1&lt;&gt;"",Penalty.Deadband.1&gt;PC.1),AND(NOT(Reward.Orientation.1),PC.1&lt;&gt;"",Penalty.Deadband.1&lt;&gt;"",Penalty.Deadband.1&lt;PC.1)))</f>
        <v>1</v>
      </c>
      <c r="O47" s="96" t="b">
        <f>NOT(OR(AND(PC.1="",Penalty.Collar.1&lt;&gt;""),AND(PC.1="",Penalty.Deadband.1&lt;&gt;""),AND(Reward.Orientation.1,Penalty.Collar.1&lt;&gt;"",Penalty.Deadband.1&lt;&gt;"",Penalty.Collar.1&gt;Penalty.Deadband.1),AND(NOT(Reward.Orientation.1),Penalty.Collar.1&lt;&gt;"",Penalty.Deadband.1&lt;&gt;"",Penalty.Collar.1&lt;Penalty.Deadband.1),AND(Reward.Orientation.1, PC.1&lt;&gt;"",Penalty.Collar.1&lt;&gt;"",Penalty.Collar.1&gt;PC.1),AND(NOT(Reward.Orientation.1), PC.1&lt;&gt;"",Penalty.Collar.1&lt;&gt;"",Penalty.Collar.1&lt;PC.1),AND(Reward.Orientation.1,PC.1&lt;&gt;"",Penalty.Deadband.1&lt;&gt;"",Penalty.Deadband.1&gt;PC.1),AND(NOT(Reward.Orientation.1),PC.1&lt;&gt;"",Penalty.Deadband.1&lt;&gt;"",Penalty.Deadband.1&lt;PC.1)))</f>
        <v>1</v>
      </c>
      <c r="P47" s="96" t="b">
        <f>NOT(OR(AND(PC.1="",Penalty.Collar.1&lt;&gt;""),AND(PC.1="",Penalty.Deadband.1&lt;&gt;""),AND(Reward.Orientation.1,Penalty.Collar.1&lt;&gt;"",Penalty.Deadband.1&lt;&gt;"",Penalty.Collar.1&gt;Penalty.Deadband.1),AND(NOT(Reward.Orientation.1),Penalty.Collar.1&lt;&gt;"",Penalty.Deadband.1&lt;&gt;"",Penalty.Collar.1&lt;Penalty.Deadband.1),AND(Reward.Orientation.1, PC.1&lt;&gt;"",Penalty.Collar.1&lt;&gt;"",Penalty.Collar.1&gt;PC.1),AND(NOT(Reward.Orientation.1), PC.1&lt;&gt;"",Penalty.Collar.1&lt;&gt;"",Penalty.Collar.1&lt;PC.1),AND(Reward.Orientation.1,PC.1&lt;&gt;"",Penalty.Deadband.1&lt;&gt;"",Penalty.Deadband.1&gt;PC.1),AND(NOT(Reward.Orientation.1),PC.1&lt;&gt;"",Penalty.Deadband.1&lt;&gt;"",Penalty.Deadband.1&lt;PC.1)))</f>
        <v>1</v>
      </c>
      <c r="Q47" s="3"/>
    </row>
    <row r="48" spans="1:25" customFormat="1">
      <c r="A48" s="227"/>
      <c r="B48" s="227"/>
      <c r="C48" s="227"/>
      <c r="D48" s="227"/>
      <c r="F48" s="176"/>
      <c r="G48" s="40"/>
      <c r="Q48" s="3"/>
    </row>
    <row r="49" spans="1:25" customFormat="1">
      <c r="A49" s="227"/>
      <c r="B49" s="224"/>
      <c r="C49" s="227"/>
      <c r="D49" s="228"/>
      <c r="E49" s="76" t="s">
        <v>64</v>
      </c>
      <c r="F49" s="20"/>
      <c r="G49" s="184"/>
      <c r="H49" s="58"/>
      <c r="I49" s="46"/>
      <c r="J49" s="46"/>
      <c r="K49" s="46"/>
      <c r="L49" s="46"/>
      <c r="M49" s="46"/>
      <c r="N49" s="46"/>
      <c r="O49" s="46"/>
      <c r="P49" s="46"/>
      <c r="Q49" s="3"/>
      <c r="R49" s="46"/>
      <c r="S49" s="46"/>
      <c r="V49" s="46"/>
      <c r="X49" s="56"/>
      <c r="Y49" s="56"/>
    </row>
    <row r="50" spans="1:25" customFormat="1">
      <c r="A50" s="227"/>
      <c r="B50" s="224"/>
      <c r="C50" s="224"/>
      <c r="D50" s="228" t="s">
        <v>21</v>
      </c>
      <c r="E50" s="17" t="s">
        <v>78</v>
      </c>
      <c r="F50" s="20"/>
      <c r="G50" s="184"/>
      <c r="H50" s="58"/>
      <c r="I50" s="46"/>
      <c r="J50" s="46"/>
      <c r="K50" s="46"/>
      <c r="L50" s="60"/>
      <c r="M50" s="60"/>
      <c r="N50" s="60"/>
      <c r="O50" s="60"/>
      <c r="P50" s="60"/>
      <c r="Q50" s="3"/>
      <c r="R50" s="46"/>
      <c r="S50" s="46"/>
      <c r="V50" s="26" t="str">
        <f>"Penalty1.Year.Flag."&amp;$A$4</f>
        <v>Penalty1.Year.Flag.1</v>
      </c>
      <c r="W50" s="3"/>
      <c r="X50" s="57"/>
      <c r="Y50" s="57"/>
    </row>
    <row r="51" spans="1:25" customFormat="1">
      <c r="A51" s="227"/>
      <c r="B51" s="224"/>
      <c r="C51" s="224"/>
      <c r="D51" s="228" t="s">
        <v>30</v>
      </c>
      <c r="E51" s="17" t="s">
        <v>39</v>
      </c>
      <c r="F51" s="20" t="s">
        <v>46</v>
      </c>
      <c r="G51" s="38"/>
      <c r="H51" s="19"/>
      <c r="I51" s="19"/>
      <c r="J51" s="46"/>
      <c r="K51" s="46"/>
      <c r="L51" s="97"/>
      <c r="M51" s="97"/>
      <c r="N51" s="97"/>
      <c r="O51" s="97"/>
      <c r="P51" s="97"/>
      <c r="Q51" s="3"/>
      <c r="R51" s="3"/>
      <c r="S51" s="57"/>
      <c r="V51" s="26" t="str">
        <f>"Penalty1.Rate."&amp;$A$4</f>
        <v>Penalty1.Rate.1</v>
      </c>
      <c r="W51" s="3"/>
      <c r="X51" s="57"/>
      <c r="Y51" s="57"/>
    </row>
    <row r="52" spans="1:25" customFormat="1">
      <c r="A52" s="227"/>
      <c r="B52" s="224"/>
      <c r="C52" s="224"/>
      <c r="D52" s="228"/>
      <c r="E52" s="17"/>
      <c r="F52" s="20"/>
      <c r="G52" s="38"/>
      <c r="H52" s="19"/>
      <c r="I52" s="19"/>
      <c r="J52" s="46"/>
      <c r="K52" s="46"/>
      <c r="Q52" s="3"/>
      <c r="R52" s="19"/>
      <c r="S52" s="57"/>
      <c r="V52" s="26"/>
      <c r="W52" s="3"/>
      <c r="X52" s="57"/>
      <c r="Y52" s="57"/>
    </row>
    <row r="53" spans="1:25" customFormat="1">
      <c r="A53" s="227"/>
      <c r="B53" s="224"/>
      <c r="C53" s="224"/>
      <c r="D53" s="228"/>
      <c r="E53" s="17" t="s">
        <v>200</v>
      </c>
      <c r="F53" s="20"/>
      <c r="G53" s="180"/>
      <c r="H53" s="26" t="str">
        <f>"Penalty.Limits.Flag."&amp;'Inputs - ODI 1'!$A$4</f>
        <v>Penalty.Limits.Flag.1</v>
      </c>
      <c r="I53" s="19"/>
      <c r="J53" s="46"/>
      <c r="K53" s="46"/>
      <c r="Q53" s="3"/>
      <c r="R53" s="19"/>
      <c r="S53" s="57"/>
      <c r="V53" s="26"/>
      <c r="W53" s="19"/>
      <c r="X53" s="57"/>
      <c r="Y53" s="57"/>
    </row>
    <row r="54" spans="1:25" customFormat="1">
      <c r="A54" s="224"/>
      <c r="B54" s="224"/>
      <c r="C54" s="224"/>
      <c r="D54" s="225" t="s">
        <v>322</v>
      </c>
      <c r="E54" s="17" t="s">
        <v>79</v>
      </c>
      <c r="F54" s="20" t="s">
        <v>46</v>
      </c>
      <c r="G54" s="38"/>
      <c r="H54" s="3"/>
      <c r="I54" s="3"/>
      <c r="J54" s="46"/>
      <c r="K54" s="46"/>
      <c r="L54" s="218"/>
      <c r="M54" s="218"/>
      <c r="N54" s="218"/>
      <c r="O54" s="218"/>
      <c r="P54" s="218"/>
      <c r="Q54" s="3"/>
      <c r="R54" s="3"/>
      <c r="S54" s="57"/>
      <c r="V54" s="26" t="str">
        <f>"Penalty1.Lower."&amp;$A$4</f>
        <v>Penalty1.Lower.1</v>
      </c>
      <c r="W54" s="3"/>
      <c r="X54" s="57"/>
      <c r="Y54" s="57"/>
    </row>
    <row r="55" spans="1:25" customFormat="1">
      <c r="A55" s="224"/>
      <c r="B55" s="224"/>
      <c r="C55" s="224"/>
      <c r="D55" s="225" t="s">
        <v>322</v>
      </c>
      <c r="E55" s="17" t="s">
        <v>80</v>
      </c>
      <c r="F55" s="20" t="s">
        <v>46</v>
      </c>
      <c r="G55" s="38"/>
      <c r="H55" s="3"/>
      <c r="I55" s="3"/>
      <c r="J55" s="46"/>
      <c r="K55" s="46"/>
      <c r="L55" s="218"/>
      <c r="M55" s="218"/>
      <c r="N55" s="218"/>
      <c r="O55" s="218"/>
      <c r="P55" s="218"/>
      <c r="Q55" s="3"/>
      <c r="R55" s="3"/>
      <c r="S55" s="57"/>
      <c r="V55" s="26" t="str">
        <f>"Penalty1.Upper."&amp;$A$4</f>
        <v>Penalty1.Upper.1</v>
      </c>
      <c r="W55" s="3"/>
      <c r="X55" s="57"/>
      <c r="Y55" s="57"/>
    </row>
    <row r="56" spans="1:25" customFormat="1">
      <c r="A56" s="227"/>
      <c r="B56" s="227"/>
      <c r="C56" s="227"/>
      <c r="D56" s="227"/>
      <c r="F56" s="176"/>
      <c r="G56" s="40"/>
      <c r="L56" s="46"/>
      <c r="M56" s="46"/>
      <c r="N56" s="46"/>
      <c r="O56" s="46"/>
      <c r="P56" s="46"/>
      <c r="Q56" s="3"/>
      <c r="W56" s="19"/>
      <c r="X56" s="56"/>
      <c r="Y56" s="56"/>
    </row>
    <row r="57" spans="1:25" customFormat="1">
      <c r="A57" s="227"/>
      <c r="B57" s="227"/>
      <c r="C57" s="227"/>
      <c r="D57" s="227"/>
      <c r="E57" t="s">
        <v>188</v>
      </c>
      <c r="F57" s="176"/>
      <c r="G57" s="40"/>
      <c r="L57" s="96" t="b">
        <f>NOT(OR(AND(Reward.Orientation.1,Penalty1.Upper.1&lt;&gt;"",Penalty1.Lower.1&lt;&gt;"",Penalty1.Upper.1&lt;Penalty1.Lower.1),AND(NOT(Reward.Orientation.1),Penalty1.Upper.1&lt;&gt;"",Penalty1.Lower.1&lt;&gt;"",Penalty1.Upper.1&gt;Penalty1.Lower.1),AND(PC.1&lt;&gt;"",Reward.Orientation.1,Penalty1.Lower.1&lt;&gt;"",PC.1&lt;Penalty1.Lower.1),AND(PC.1&lt;&gt;"",NOT(Reward.Orientation.1),Penalty1.Lower.1&lt;&gt;"",PC.1&gt;Penalty1.Lower.1),AND(PC.1&lt;&gt;"",Reward.Orientation.1,Penalty1.Upper.1&lt;&gt;"",PC.1&lt;Penalty1.Upper.1), AND(PC.1&lt;&gt;"",NOT(Reward.Orientation.1),Penalty1.Upper.1&lt;&gt;"",PC.1&gt;Penalty1.Upper.1)))</f>
        <v>1</v>
      </c>
      <c r="M57" s="96" t="b">
        <f>NOT(OR(AND(Reward.Orientation.1,Penalty1.Upper.1&lt;&gt;"",Penalty1.Lower.1&lt;&gt;"",Penalty1.Upper.1&lt;Penalty1.Lower.1),AND(NOT(Reward.Orientation.1),Penalty1.Upper.1&lt;&gt;"",Penalty1.Lower.1&lt;&gt;"",Penalty1.Upper.1&gt;Penalty1.Lower.1),AND(PC.1&lt;&gt;"",Reward.Orientation.1,Penalty1.Lower.1&lt;&gt;"",PC.1&lt;Penalty1.Lower.1),AND(PC.1&lt;&gt;"",NOT(Reward.Orientation.1),Penalty1.Lower.1&lt;&gt;"",PC.1&gt;Penalty1.Lower.1),AND(PC.1&lt;&gt;"",Reward.Orientation.1,Penalty1.Upper.1&lt;&gt;"",PC.1&lt;Penalty1.Upper.1), AND(PC.1&lt;&gt;"",NOT(Reward.Orientation.1),Penalty1.Upper.1&lt;&gt;"",PC.1&gt;Penalty1.Upper.1)))</f>
        <v>1</v>
      </c>
      <c r="N57" s="96" t="b">
        <f>NOT(OR(AND(Reward.Orientation.1,Penalty1.Upper.1&lt;&gt;"",Penalty1.Lower.1&lt;&gt;"",Penalty1.Upper.1&lt;Penalty1.Lower.1),AND(NOT(Reward.Orientation.1),Penalty1.Upper.1&lt;&gt;"",Penalty1.Lower.1&lt;&gt;"",Penalty1.Upper.1&gt;Penalty1.Lower.1),AND(PC.1&lt;&gt;"",Reward.Orientation.1,Penalty1.Lower.1&lt;&gt;"",PC.1&lt;Penalty1.Lower.1),AND(PC.1&lt;&gt;"",NOT(Reward.Orientation.1),Penalty1.Lower.1&lt;&gt;"",PC.1&gt;Penalty1.Lower.1),AND(PC.1&lt;&gt;"",Reward.Orientation.1,Penalty1.Upper.1&lt;&gt;"",PC.1&lt;Penalty1.Upper.1), AND(PC.1&lt;&gt;"",NOT(Reward.Orientation.1),Penalty1.Upper.1&lt;&gt;"",PC.1&gt;Penalty1.Upper.1)))</f>
        <v>1</v>
      </c>
      <c r="O57" s="96" t="b">
        <f>NOT(OR(AND(Reward.Orientation.1,Penalty1.Upper.1&lt;&gt;"",Penalty1.Lower.1&lt;&gt;"",Penalty1.Upper.1&lt;Penalty1.Lower.1),AND(NOT(Reward.Orientation.1),Penalty1.Upper.1&lt;&gt;"",Penalty1.Lower.1&lt;&gt;"",Penalty1.Upper.1&gt;Penalty1.Lower.1),AND(PC.1&lt;&gt;"",Reward.Orientation.1,Penalty1.Lower.1&lt;&gt;"",PC.1&lt;Penalty1.Lower.1),AND(PC.1&lt;&gt;"",NOT(Reward.Orientation.1),Penalty1.Lower.1&lt;&gt;"",PC.1&gt;Penalty1.Lower.1),AND(PC.1&lt;&gt;"",Reward.Orientation.1,Penalty1.Upper.1&lt;&gt;"",PC.1&lt;Penalty1.Upper.1), AND(PC.1&lt;&gt;"",NOT(Reward.Orientation.1),Penalty1.Upper.1&lt;&gt;"",PC.1&gt;Penalty1.Upper.1)))</f>
        <v>1</v>
      </c>
      <c r="P57" s="96" t="b">
        <f>NOT(OR(AND(Reward.Orientation.1,Penalty1.Upper.1&lt;&gt;"",Penalty1.Lower.1&lt;&gt;"",Penalty1.Upper.1&lt;Penalty1.Lower.1),AND(NOT(Reward.Orientation.1),Penalty1.Upper.1&lt;&gt;"",Penalty1.Lower.1&lt;&gt;"",Penalty1.Upper.1&gt;Penalty1.Lower.1),AND(PC.1&lt;&gt;"",Reward.Orientation.1,Penalty1.Lower.1&lt;&gt;"",PC.1&lt;Penalty1.Lower.1),AND(PC.1&lt;&gt;"",NOT(Reward.Orientation.1),Penalty1.Lower.1&lt;&gt;"",PC.1&gt;Penalty1.Lower.1),AND(PC.1&lt;&gt;"",Reward.Orientation.1,Penalty1.Upper.1&lt;&gt;"",PC.1&lt;Penalty1.Upper.1), AND(PC.1&lt;&gt;"",NOT(Reward.Orientation.1),Penalty1.Upper.1&lt;&gt;"",PC.1&gt;Penalty1.Upper.1)))</f>
        <v>1</v>
      </c>
      <c r="Q57" s="3"/>
      <c r="W57" s="19"/>
      <c r="X57" s="56"/>
      <c r="Y57" s="56"/>
    </row>
    <row r="58" spans="1:25" customFormat="1">
      <c r="A58" s="227"/>
      <c r="B58" s="227"/>
      <c r="C58" s="227"/>
      <c r="D58" s="227"/>
      <c r="F58" s="176"/>
      <c r="G58" s="40"/>
      <c r="L58" s="46"/>
      <c r="M58" s="46"/>
      <c r="N58" s="46"/>
      <c r="O58" s="46"/>
      <c r="P58" s="46"/>
      <c r="Q58" s="3"/>
      <c r="W58" s="19"/>
      <c r="X58" s="56"/>
      <c r="Y58" s="56"/>
    </row>
    <row r="59" spans="1:25" customFormat="1">
      <c r="A59" s="227"/>
      <c r="B59" s="227"/>
      <c r="C59" s="227"/>
      <c r="D59" s="227"/>
      <c r="F59" s="176"/>
      <c r="G59" s="40"/>
      <c r="L59" s="46"/>
      <c r="M59" s="46"/>
      <c r="N59" s="46"/>
      <c r="O59" s="46"/>
      <c r="P59" s="46"/>
      <c r="Q59" s="3"/>
      <c r="W59" s="19"/>
      <c r="X59" s="56"/>
      <c r="Y59" s="56"/>
    </row>
    <row r="60" spans="1:25" customFormat="1">
      <c r="A60" s="227"/>
      <c r="B60" s="224"/>
      <c r="C60" s="224"/>
      <c r="D60" s="228"/>
      <c r="E60" s="76" t="s">
        <v>65</v>
      </c>
      <c r="F60" s="20"/>
      <c r="G60" s="38"/>
      <c r="H60" s="19"/>
      <c r="I60" s="19"/>
      <c r="K60" s="46"/>
      <c r="L60" s="46"/>
      <c r="M60" s="46"/>
      <c r="N60" s="46"/>
      <c r="O60" s="46"/>
      <c r="P60" s="46"/>
      <c r="Q60" s="3"/>
      <c r="R60" s="3"/>
      <c r="S60" s="57"/>
      <c r="V60" s="26"/>
      <c r="W60" s="3"/>
      <c r="X60" s="57"/>
      <c r="Y60" s="57"/>
    </row>
    <row r="61" spans="1:25" customFormat="1">
      <c r="A61" s="227"/>
      <c r="B61" s="224"/>
      <c r="C61" s="224"/>
      <c r="D61" s="228"/>
      <c r="E61" s="20" t="s">
        <v>207</v>
      </c>
      <c r="F61" s="20"/>
      <c r="G61" s="38"/>
      <c r="H61" s="19"/>
      <c r="I61" s="19"/>
      <c r="K61" s="46"/>
      <c r="L61" s="46"/>
      <c r="M61" s="46"/>
      <c r="N61" s="46"/>
      <c r="O61" s="46"/>
      <c r="P61" s="46"/>
      <c r="Q61" s="3"/>
      <c r="R61" s="19"/>
      <c r="S61" s="57"/>
      <c r="V61" s="26"/>
      <c r="W61" s="19"/>
      <c r="X61" s="57"/>
      <c r="Y61" s="57"/>
    </row>
    <row r="62" spans="1:25" customFormat="1">
      <c r="A62" s="227"/>
      <c r="B62" s="224"/>
      <c r="C62" s="224"/>
      <c r="D62" s="228" t="s">
        <v>21</v>
      </c>
      <c r="E62" s="17" t="s">
        <v>81</v>
      </c>
      <c r="F62" s="20"/>
      <c r="G62" s="38"/>
      <c r="H62" s="19"/>
      <c r="I62" s="19"/>
      <c r="K62" s="46"/>
      <c r="L62" s="71"/>
      <c r="M62" s="71"/>
      <c r="N62" s="71"/>
      <c r="O62" s="71"/>
      <c r="P62" s="71"/>
      <c r="Q62" s="3"/>
      <c r="R62" s="19"/>
      <c r="S62" s="57"/>
      <c r="V62" s="26" t="str">
        <f>"Penalty2.Year.Flag"&amp;$A$4</f>
        <v>Penalty2.Year.Flag1</v>
      </c>
      <c r="W62" s="3"/>
      <c r="X62" s="57"/>
      <c r="Y62" s="57"/>
    </row>
    <row r="63" spans="1:25" customFormat="1">
      <c r="A63" s="227"/>
      <c r="B63" s="227"/>
      <c r="C63" s="227"/>
      <c r="D63" s="228" t="s">
        <v>30</v>
      </c>
      <c r="E63" s="17" t="s">
        <v>40</v>
      </c>
      <c r="F63" s="20" t="s">
        <v>46</v>
      </c>
      <c r="G63" s="38"/>
      <c r="H63" s="3"/>
      <c r="I63" s="3"/>
      <c r="K63" s="46"/>
      <c r="L63" s="97"/>
      <c r="M63" s="97"/>
      <c r="N63" s="97"/>
      <c r="O63" s="97"/>
      <c r="P63" s="97"/>
      <c r="Q63" s="3"/>
      <c r="R63" s="46"/>
      <c r="S63" s="46"/>
      <c r="V63" s="26" t="str">
        <f>"Penalty2.Rate."&amp;$A$4</f>
        <v>Penalty2.Rate.1</v>
      </c>
      <c r="W63" s="3"/>
      <c r="X63" s="56"/>
      <c r="Y63" s="56"/>
    </row>
    <row r="64" spans="1:25" customFormat="1">
      <c r="A64" s="227"/>
      <c r="B64" s="227"/>
      <c r="C64" s="227"/>
      <c r="D64" s="227"/>
      <c r="F64" s="176"/>
      <c r="G64" s="40"/>
      <c r="Q64" s="3"/>
      <c r="W64" s="3"/>
      <c r="X64" s="56"/>
      <c r="Y64" s="56"/>
    </row>
    <row r="65" spans="1:25" customFormat="1">
      <c r="A65" s="227"/>
      <c r="B65" s="227"/>
      <c r="C65" s="227"/>
      <c r="D65" s="227"/>
      <c r="E65" s="17" t="s">
        <v>200</v>
      </c>
      <c r="F65" s="20"/>
      <c r="G65" s="181">
        <f>Penalty.Limits.Flag.1</f>
        <v>0</v>
      </c>
      <c r="H65" s="3"/>
      <c r="Q65" s="3"/>
      <c r="W65" s="19"/>
      <c r="X65" s="56"/>
      <c r="Y65" s="56"/>
    </row>
    <row r="66" spans="1:25" customFormat="1">
      <c r="A66" s="224"/>
      <c r="B66" s="224"/>
      <c r="C66" s="224"/>
      <c r="D66" s="225" t="s">
        <v>322</v>
      </c>
      <c r="E66" s="17" t="s">
        <v>82</v>
      </c>
      <c r="F66" s="20" t="s">
        <v>46</v>
      </c>
      <c r="G66" s="38"/>
      <c r="H66" s="3"/>
      <c r="I66" s="3"/>
      <c r="K66" s="46"/>
      <c r="L66" s="218"/>
      <c r="M66" s="218"/>
      <c r="N66" s="218"/>
      <c r="O66" s="218"/>
      <c r="P66" s="218"/>
      <c r="Q66" s="3"/>
      <c r="R66" s="3"/>
      <c r="S66" s="57"/>
      <c r="V66" s="26" t="str">
        <f>"Penalty2.Lower."&amp;$A$4</f>
        <v>Penalty2.Lower.1</v>
      </c>
      <c r="W66" s="3"/>
      <c r="X66" s="57"/>
      <c r="Y66" s="57"/>
    </row>
    <row r="67" spans="1:25" customFormat="1">
      <c r="A67" s="224"/>
      <c r="B67" s="224"/>
      <c r="C67" s="224"/>
      <c r="D67" s="225" t="s">
        <v>322</v>
      </c>
      <c r="E67" s="17" t="s">
        <v>83</v>
      </c>
      <c r="F67" s="20" t="s">
        <v>46</v>
      </c>
      <c r="G67" s="38"/>
      <c r="H67" s="3"/>
      <c r="I67" s="3"/>
      <c r="K67" s="46"/>
      <c r="L67" s="218"/>
      <c r="M67" s="218"/>
      <c r="N67" s="218"/>
      <c r="O67" s="218"/>
      <c r="P67" s="218"/>
      <c r="Q67" s="3"/>
      <c r="R67" s="3"/>
      <c r="S67" s="57"/>
      <c r="V67" s="26" t="str">
        <f>"Penalty2.Upper."&amp;$A$4</f>
        <v>Penalty2.Upper.1</v>
      </c>
      <c r="W67" s="3"/>
      <c r="X67" s="57"/>
      <c r="Y67" s="57"/>
    </row>
    <row r="68" spans="1:25" customFormat="1">
      <c r="A68" s="227"/>
      <c r="B68" s="227"/>
      <c r="C68" s="227"/>
      <c r="D68" s="227"/>
      <c r="F68" s="176"/>
      <c r="G68" s="40"/>
      <c r="Q68" s="3"/>
    </row>
    <row r="69" spans="1:25" customFormat="1">
      <c r="A69" s="40"/>
      <c r="B69" s="40"/>
      <c r="C69" s="40"/>
      <c r="D69" s="40"/>
      <c r="E69" t="s">
        <v>189</v>
      </c>
      <c r="F69" s="176"/>
      <c r="G69" s="40"/>
      <c r="L69" s="96" t="b">
        <f>NOT(OR(AND(Reward.Orientation.1,Penalty2.Upper.1&lt;&gt;"",Penalty2.Lower.1&lt;&gt;"",Penalty2.Upper.1&lt;Penalty2.Lower.1),AND(NOT(Reward.Orientation.1),Penalty2.Upper.1&lt;&gt;"",Penalty2.Lower.1&lt;&gt;"",Penalty2.Upper.1&gt;Penalty2.Lower.1),AND(PC.1&lt;&gt;"",Reward.Orientation.1,Penalty2.Lower.1&lt;&gt;"",PC.1&lt;Penalty2.Lower.1),AND(PC.1&lt;&gt;"",NOT(Reward.Orientation.1),Penalty2.Lower.1&lt;&gt;"",PC.1&gt;Penalty2.Lower.1),AND(PC.1&lt;&gt;"",Reward.Orientation.1,Penalty2.Upper.1&lt;&gt;"",PC.1&lt;Penalty2.Upper.1), AND(PC.1&lt;&gt;"",NOT(Reward.Orientation.1),Penalty2.Upper.1&lt;&gt;"",PC.1&gt;Penalty2.Upper.1)))</f>
        <v>1</v>
      </c>
      <c r="M69" s="96" t="b">
        <f>NOT(OR(AND(Reward.Orientation.1,Penalty2.Upper.1&lt;&gt;"",Penalty2.Lower.1&lt;&gt;"",Penalty2.Upper.1&lt;Penalty2.Lower.1),AND(NOT(Reward.Orientation.1),Penalty2.Upper.1&lt;&gt;"",Penalty2.Lower.1&lt;&gt;"",Penalty2.Upper.1&gt;Penalty2.Lower.1),AND(PC.1&lt;&gt;"",Reward.Orientation.1,Penalty2.Lower.1&lt;&gt;"",PC.1&lt;Penalty2.Lower.1),AND(PC.1&lt;&gt;"",NOT(Reward.Orientation.1),Penalty2.Lower.1&lt;&gt;"",PC.1&gt;Penalty2.Lower.1),AND(PC.1&lt;&gt;"",Reward.Orientation.1,Penalty2.Upper.1&lt;&gt;"",PC.1&lt;Penalty2.Upper.1), AND(PC.1&lt;&gt;"",NOT(Reward.Orientation.1),Penalty2.Upper.1&lt;&gt;"",PC.1&gt;Penalty2.Upper.1)))</f>
        <v>1</v>
      </c>
      <c r="N69" s="96" t="b">
        <f>NOT(OR(AND(Reward.Orientation.1,Penalty2.Upper.1&lt;&gt;"",Penalty2.Lower.1&lt;&gt;"",Penalty2.Upper.1&lt;Penalty2.Lower.1),AND(NOT(Reward.Orientation.1),Penalty2.Upper.1&lt;&gt;"",Penalty2.Lower.1&lt;&gt;"",Penalty2.Upper.1&gt;Penalty2.Lower.1),AND(PC.1&lt;&gt;"",Reward.Orientation.1,Penalty2.Lower.1&lt;&gt;"",PC.1&lt;Penalty2.Lower.1),AND(PC.1&lt;&gt;"",NOT(Reward.Orientation.1),Penalty2.Lower.1&lt;&gt;"",PC.1&gt;Penalty2.Lower.1),AND(PC.1&lt;&gt;"",Reward.Orientation.1,Penalty2.Upper.1&lt;&gt;"",PC.1&lt;Penalty2.Upper.1), AND(PC.1&lt;&gt;"",NOT(Reward.Orientation.1),Penalty2.Upper.1&lt;&gt;"",PC.1&gt;Penalty2.Upper.1)))</f>
        <v>1</v>
      </c>
      <c r="O69" s="96" t="b">
        <f>NOT(OR(AND(Reward.Orientation.1,Penalty2.Upper.1&lt;&gt;"",Penalty2.Lower.1&lt;&gt;"",Penalty2.Upper.1&lt;Penalty2.Lower.1),AND(NOT(Reward.Orientation.1),Penalty2.Upper.1&lt;&gt;"",Penalty2.Lower.1&lt;&gt;"",Penalty2.Upper.1&gt;Penalty2.Lower.1),AND(PC.1&lt;&gt;"",Reward.Orientation.1,Penalty2.Lower.1&lt;&gt;"",PC.1&lt;Penalty2.Lower.1),AND(PC.1&lt;&gt;"",NOT(Reward.Orientation.1),Penalty2.Lower.1&lt;&gt;"",PC.1&gt;Penalty2.Lower.1),AND(PC.1&lt;&gt;"",Reward.Orientation.1,Penalty2.Upper.1&lt;&gt;"",PC.1&lt;Penalty2.Upper.1), AND(PC.1&lt;&gt;"",NOT(Reward.Orientation.1),Penalty2.Upper.1&lt;&gt;"",PC.1&gt;Penalty2.Upper.1)))</f>
        <v>1</v>
      </c>
      <c r="P69" s="96" t="b">
        <f>NOT(OR(AND(Reward.Orientation.1,Penalty2.Upper.1&lt;&gt;"",Penalty2.Lower.1&lt;&gt;"",Penalty2.Upper.1&lt;Penalty2.Lower.1),AND(NOT(Reward.Orientation.1),Penalty2.Upper.1&lt;&gt;"",Penalty2.Lower.1&lt;&gt;"",Penalty2.Upper.1&gt;Penalty2.Lower.1),AND(PC.1&lt;&gt;"",Reward.Orientation.1,Penalty2.Lower.1&lt;&gt;"",PC.1&lt;Penalty2.Lower.1),AND(PC.1&lt;&gt;"",NOT(Reward.Orientation.1),Penalty2.Lower.1&lt;&gt;"",PC.1&gt;Penalty2.Lower.1),AND(PC.1&lt;&gt;"",Reward.Orientation.1,Penalty2.Upper.1&lt;&gt;"",PC.1&lt;Penalty2.Upper.1), AND(PC.1&lt;&gt;"",NOT(Reward.Orientation.1),Penalty2.Upper.1&lt;&gt;"",PC.1&gt;Penalty2.Upper.1)))</f>
        <v>1</v>
      </c>
      <c r="Q69" s="3"/>
    </row>
    <row r="70" spans="1:25" customFormat="1">
      <c r="A70" s="40"/>
      <c r="B70" s="40"/>
      <c r="C70" s="40"/>
      <c r="D70" s="40"/>
      <c r="F70" s="176"/>
      <c r="G70" s="40"/>
      <c r="Q70" s="3"/>
    </row>
    <row r="71" spans="1:25" s="55" customFormat="1" ht="15">
      <c r="A71" s="215"/>
      <c r="B71" s="216"/>
      <c r="C71" s="216"/>
      <c r="D71" s="52"/>
      <c r="E71" s="53" t="s">
        <v>56</v>
      </c>
      <c r="F71" s="193"/>
      <c r="G71" s="52"/>
      <c r="H71" s="54"/>
      <c r="I71" s="54"/>
      <c r="J71" s="54"/>
      <c r="K71" s="54"/>
      <c r="L71" s="54"/>
      <c r="M71" s="54"/>
      <c r="N71" s="54"/>
      <c r="O71" s="54"/>
      <c r="P71" s="54"/>
      <c r="Q71" s="54"/>
      <c r="R71" s="54"/>
      <c r="S71" s="54"/>
      <c r="T71" s="54"/>
      <c r="U71" s="54"/>
      <c r="V71" s="54"/>
      <c r="W71" s="54"/>
      <c r="X71" s="54"/>
      <c r="Y71" s="54"/>
    </row>
    <row r="72" spans="1:25" customFormat="1">
      <c r="A72" s="40"/>
      <c r="B72" s="40"/>
      <c r="C72" s="40"/>
      <c r="D72" s="40"/>
      <c r="F72" s="176"/>
      <c r="G72" s="40"/>
      <c r="Q72" s="3"/>
    </row>
    <row r="73" spans="1:25" customFormat="1">
      <c r="A73" s="227"/>
      <c r="B73" s="227"/>
      <c r="C73" s="227"/>
      <c r="D73" s="227"/>
      <c r="E73" s="16" t="s">
        <v>193</v>
      </c>
      <c r="F73" s="176"/>
      <c r="G73" s="40"/>
      <c r="Q73" s="3"/>
    </row>
    <row r="74" spans="1:25" customFormat="1">
      <c r="A74" s="224"/>
      <c r="B74" s="224"/>
      <c r="C74" s="224"/>
      <c r="D74" s="225" t="s">
        <v>322</v>
      </c>
      <c r="E74" s="17" t="s">
        <v>184</v>
      </c>
      <c r="F74" s="20" t="s">
        <v>46</v>
      </c>
      <c r="G74" s="38"/>
      <c r="H74" s="19"/>
      <c r="I74" s="19"/>
      <c r="J74" s="46"/>
      <c r="K74" s="46"/>
      <c r="L74" s="218"/>
      <c r="M74" s="218"/>
      <c r="N74" s="218"/>
      <c r="O74" s="218"/>
      <c r="P74" s="218"/>
      <c r="Q74" s="3"/>
      <c r="V74" s="70" t="str">
        <f>"Reward.Deadband."&amp;$A$4</f>
        <v>Reward.Deadband.1</v>
      </c>
    </row>
    <row r="75" spans="1:25" customFormat="1">
      <c r="A75" s="224"/>
      <c r="B75" s="224"/>
      <c r="C75" s="224"/>
      <c r="D75" s="225" t="s">
        <v>322</v>
      </c>
      <c r="E75" s="17" t="s">
        <v>185</v>
      </c>
      <c r="F75" s="20" t="s">
        <v>46</v>
      </c>
      <c r="G75" s="38"/>
      <c r="H75" s="19"/>
      <c r="I75" s="19"/>
      <c r="J75" s="46"/>
      <c r="K75" s="46"/>
      <c r="L75" s="218"/>
      <c r="M75" s="218"/>
      <c r="N75" s="218"/>
      <c r="O75" s="218"/>
      <c r="P75" s="218"/>
      <c r="Q75" s="3"/>
      <c r="V75" s="70" t="str">
        <f>"Reward.Cap."&amp;$A$4</f>
        <v>Reward.Cap.1</v>
      </c>
    </row>
    <row r="76" spans="1:25" customFormat="1">
      <c r="A76" s="227"/>
      <c r="B76" s="227"/>
      <c r="C76" s="227"/>
      <c r="D76" s="227"/>
      <c r="F76" s="176"/>
      <c r="G76" s="40"/>
      <c r="Q76" s="3"/>
    </row>
    <row r="77" spans="1:25" customFormat="1">
      <c r="A77" s="227"/>
      <c r="B77" s="227"/>
      <c r="C77" s="227"/>
      <c r="D77" s="227"/>
      <c r="E77" t="s">
        <v>187</v>
      </c>
      <c r="F77" s="176"/>
      <c r="G77" s="40"/>
      <c r="L77" s="96" t="b">
        <f>NOT(OR(AND(PC.1="",Reward.Cap.1&lt;&gt;""),AND(PC.1="",Reward.Deadband.1&lt;&gt;""),AND(Reward.Orientation.1,Reward.Cap.1&lt;&gt;"",Reward.Deadband.1&lt;&gt;"",Reward.Deadband.1&gt;Reward.Cap.1),AND(NOT(Reward.Orientation.1),Reward.Cap.1&lt;&gt;"",Reward.Deadband.1&lt;&gt;"",Reward.Deadband.1&lt;Reward.Cap.1),AND(Reward.Orientation.1, PC.1&lt;&gt;"",Reward.Cap.1&lt;&gt;"",Reward.Cap.1&lt;PC.1),AND(NOT(Reward.Orientation.1), PC.1&lt;&gt;"",Reward.Cap.1&lt;&gt;"",Reward.Cap.1&gt;PC.1),AND(Reward.Orientation.1,PC.1&lt;&gt;"",Reward.Deadband.1&lt;&gt;"",Reward.Deadband.1&lt;PC.1),AND(NOT(Reward.Orientation.1),PC.1&lt;&gt;"",Reward.Deadband.1&lt;&gt;"",Reward.Deadband.1&gt;PC.1)))</f>
        <v>1</v>
      </c>
      <c r="M77" s="96" t="b">
        <f>NOT(OR(AND(PC.1="",Reward.Cap.1&lt;&gt;""),AND(PC.1="",Reward.Deadband.1&lt;&gt;""),AND(Reward.Orientation.1,Reward.Cap.1&lt;&gt;"",Reward.Deadband.1&lt;&gt;"",Reward.Deadband.1&gt;Reward.Cap.1),AND(NOT(Reward.Orientation.1),Reward.Cap.1&lt;&gt;"",Reward.Deadband.1&lt;&gt;"",Reward.Deadband.1&lt;Reward.Cap.1),AND(Reward.Orientation.1, PC.1&lt;&gt;"",Reward.Cap.1&lt;&gt;"",Reward.Cap.1&lt;PC.1),AND(NOT(Reward.Orientation.1), PC.1&lt;&gt;"",Reward.Cap.1&lt;&gt;"",Reward.Cap.1&gt;PC.1),AND(Reward.Orientation.1,PC.1&lt;&gt;"",Reward.Deadband.1&lt;&gt;"",Reward.Deadband.1&lt;PC.1),AND(NOT(Reward.Orientation.1),PC.1&lt;&gt;"",Reward.Deadband.1&lt;&gt;"",Reward.Deadband.1&gt;PC.1)))</f>
        <v>1</v>
      </c>
      <c r="N77" s="96" t="b">
        <f>NOT(OR(AND(PC.1="",Reward.Cap.1&lt;&gt;""),AND(PC.1="",Reward.Deadband.1&lt;&gt;""),AND(Reward.Orientation.1,Reward.Cap.1&lt;&gt;"",Reward.Deadband.1&lt;&gt;"",Reward.Deadband.1&gt;Reward.Cap.1),AND(NOT(Reward.Orientation.1),Reward.Cap.1&lt;&gt;"",Reward.Deadband.1&lt;&gt;"",Reward.Deadband.1&lt;Reward.Cap.1),AND(Reward.Orientation.1, PC.1&lt;&gt;"",Reward.Cap.1&lt;&gt;"",Reward.Cap.1&lt;PC.1),AND(NOT(Reward.Orientation.1), PC.1&lt;&gt;"",Reward.Cap.1&lt;&gt;"",Reward.Cap.1&gt;PC.1),AND(Reward.Orientation.1,PC.1&lt;&gt;"",Reward.Deadband.1&lt;&gt;"",Reward.Deadband.1&lt;PC.1),AND(NOT(Reward.Orientation.1),PC.1&lt;&gt;"",Reward.Deadband.1&lt;&gt;"",Reward.Deadband.1&gt;PC.1)))</f>
        <v>1</v>
      </c>
      <c r="O77" s="96" t="b">
        <f>NOT(OR(AND(PC.1="",Reward.Cap.1&lt;&gt;""),AND(PC.1="",Reward.Deadband.1&lt;&gt;""),AND(Reward.Orientation.1,Reward.Cap.1&lt;&gt;"",Reward.Deadband.1&lt;&gt;"",Reward.Deadband.1&gt;Reward.Cap.1),AND(NOT(Reward.Orientation.1),Reward.Cap.1&lt;&gt;"",Reward.Deadband.1&lt;&gt;"",Reward.Deadband.1&lt;Reward.Cap.1),AND(Reward.Orientation.1, PC.1&lt;&gt;"",Reward.Cap.1&lt;&gt;"",Reward.Cap.1&lt;PC.1),AND(NOT(Reward.Orientation.1), PC.1&lt;&gt;"",Reward.Cap.1&lt;&gt;"",Reward.Cap.1&gt;PC.1),AND(Reward.Orientation.1,PC.1&lt;&gt;"",Reward.Deadband.1&lt;&gt;"",Reward.Deadband.1&lt;PC.1),AND(NOT(Reward.Orientation.1),PC.1&lt;&gt;"",Reward.Deadband.1&lt;&gt;"",Reward.Deadband.1&gt;PC.1)))</f>
        <v>1</v>
      </c>
      <c r="P77" s="96" t="b">
        <f>NOT(OR(AND(PC.1="",Reward.Cap.1&lt;&gt;""),AND(PC.1="",Reward.Deadband.1&lt;&gt;""),AND(Reward.Orientation.1,Reward.Cap.1&lt;&gt;"",Reward.Deadband.1&lt;&gt;"",Reward.Deadband.1&gt;Reward.Cap.1),AND(NOT(Reward.Orientation.1),Reward.Cap.1&lt;&gt;"",Reward.Deadband.1&lt;&gt;"",Reward.Deadband.1&lt;Reward.Cap.1),AND(Reward.Orientation.1, PC.1&lt;&gt;"",Reward.Cap.1&lt;&gt;"",Reward.Cap.1&lt;PC.1),AND(NOT(Reward.Orientation.1), PC.1&lt;&gt;"",Reward.Cap.1&lt;&gt;"",Reward.Cap.1&gt;PC.1),AND(Reward.Orientation.1,PC.1&lt;&gt;"",Reward.Deadband.1&lt;&gt;"",Reward.Deadband.1&lt;PC.1),AND(NOT(Reward.Orientation.1),PC.1&lt;&gt;"",Reward.Deadband.1&lt;&gt;"",Reward.Deadband.1&gt;PC.1)))</f>
        <v>1</v>
      </c>
      <c r="Q77" s="3"/>
    </row>
    <row r="78" spans="1:25" customFormat="1">
      <c r="A78" s="227"/>
      <c r="B78" s="227"/>
      <c r="C78" s="227"/>
      <c r="D78" s="227"/>
      <c r="F78" s="176"/>
      <c r="G78" s="40"/>
      <c r="Q78" s="3"/>
    </row>
    <row r="79" spans="1:25" s="19" customFormat="1">
      <c r="A79" s="224"/>
      <c r="B79" s="224"/>
      <c r="C79" s="224"/>
      <c r="D79" s="224"/>
      <c r="E79" s="16" t="s">
        <v>84</v>
      </c>
      <c r="F79" s="20"/>
      <c r="G79" s="38"/>
      <c r="H79" s="26"/>
      <c r="I79" s="3"/>
      <c r="J79" s="3"/>
      <c r="K79" s="23"/>
      <c r="L79" s="23"/>
      <c r="M79" s="23"/>
      <c r="N79" s="23"/>
      <c r="O79" s="23"/>
      <c r="P79" s="23"/>
      <c r="R79" s="23"/>
      <c r="S79" s="23"/>
      <c r="T79"/>
      <c r="U79"/>
      <c r="V79" s="23"/>
      <c r="X79" s="57"/>
      <c r="Y79" s="57"/>
    </row>
    <row r="80" spans="1:25" s="19" customFormat="1">
      <c r="A80" s="224"/>
      <c r="B80" s="224"/>
      <c r="C80" s="224"/>
      <c r="D80" s="224" t="s">
        <v>21</v>
      </c>
      <c r="E80" s="65" t="s">
        <v>85</v>
      </c>
      <c r="F80" s="20"/>
      <c r="G80" s="38"/>
      <c r="H80" s="26"/>
      <c r="K80" s="23"/>
      <c r="L80" s="60"/>
      <c r="M80" s="60"/>
      <c r="N80" s="60"/>
      <c r="O80" s="60"/>
      <c r="P80" s="60"/>
      <c r="R80" s="23"/>
      <c r="S80" s="23"/>
      <c r="T80"/>
      <c r="U80"/>
      <c r="V80" s="26" t="str">
        <f>"Reward1.Year.Flag."&amp;$A$4</f>
        <v>Reward1.Year.Flag.1</v>
      </c>
      <c r="X80" s="57"/>
      <c r="Y80" s="57"/>
    </row>
    <row r="81" spans="1:25" s="19" customFormat="1">
      <c r="A81" s="224"/>
      <c r="B81" s="224"/>
      <c r="C81" s="224"/>
      <c r="D81" s="224" t="s">
        <v>30</v>
      </c>
      <c r="E81" s="65" t="s">
        <v>86</v>
      </c>
      <c r="F81" s="20" t="s">
        <v>46</v>
      </c>
      <c r="G81" s="38"/>
      <c r="H81" s="26"/>
      <c r="K81" s="23"/>
      <c r="L81" s="97"/>
      <c r="M81" s="97"/>
      <c r="N81" s="97"/>
      <c r="O81" s="97"/>
      <c r="P81" s="97"/>
      <c r="R81" s="23"/>
      <c r="S81" s="23"/>
      <c r="T81"/>
      <c r="U81"/>
      <c r="V81" s="26" t="str">
        <f>"Reward1.Rate."&amp;$A$4</f>
        <v>Reward1.Rate.1</v>
      </c>
    </row>
    <row r="82" spans="1:25" s="19" customFormat="1">
      <c r="A82" s="224"/>
      <c r="B82" s="224"/>
      <c r="C82" s="224"/>
      <c r="D82" s="224"/>
      <c r="E82" s="36"/>
      <c r="F82" s="20"/>
      <c r="G82" s="38"/>
      <c r="H82" s="26"/>
      <c r="K82" s="23"/>
      <c r="L82"/>
      <c r="M82"/>
      <c r="N82"/>
      <c r="O82"/>
      <c r="P82"/>
      <c r="R82" s="23"/>
      <c r="S82" s="23"/>
      <c r="T82"/>
      <c r="U82"/>
      <c r="V82" s="26"/>
    </row>
    <row r="83" spans="1:25" s="19" customFormat="1">
      <c r="A83" s="224"/>
      <c r="B83" s="224"/>
      <c r="C83" s="224"/>
      <c r="D83" s="224"/>
      <c r="E83" s="17" t="s">
        <v>200</v>
      </c>
      <c r="F83" s="20"/>
      <c r="G83" s="180"/>
      <c r="H83" s="26" t="str">
        <f>"Reward.Limits.Flag."&amp;'Inputs - ODI 1'!$A$4</f>
        <v>Reward.Limits.Flag.1</v>
      </c>
      <c r="K83" s="23"/>
      <c r="L83"/>
      <c r="M83"/>
      <c r="N83"/>
      <c r="O83"/>
      <c r="P83"/>
      <c r="R83" s="23"/>
      <c r="S83" s="23"/>
      <c r="T83"/>
      <c r="U83"/>
      <c r="V83" s="26"/>
    </row>
    <row r="84" spans="1:25" s="19" customFormat="1">
      <c r="A84" s="224"/>
      <c r="B84" s="224"/>
      <c r="C84" s="224"/>
      <c r="D84" s="225" t="s">
        <v>322</v>
      </c>
      <c r="E84" s="65" t="s">
        <v>87</v>
      </c>
      <c r="F84" s="20" t="s">
        <v>46</v>
      </c>
      <c r="G84" s="38"/>
      <c r="H84" s="26"/>
      <c r="K84" s="23"/>
      <c r="L84" s="218"/>
      <c r="M84" s="218"/>
      <c r="N84" s="218"/>
      <c r="O84" s="218"/>
      <c r="P84" s="218"/>
      <c r="R84" s="23"/>
      <c r="S84" s="23"/>
      <c r="T84"/>
      <c r="U84"/>
      <c r="V84" s="26" t="str">
        <f>"Reward1.Lower."&amp;$A$4</f>
        <v>Reward1.Lower.1</v>
      </c>
      <c r="X84" s="57"/>
      <c r="Y84" s="57"/>
    </row>
    <row r="85" spans="1:25" s="19" customFormat="1">
      <c r="A85" s="224"/>
      <c r="B85" s="224"/>
      <c r="C85" s="224"/>
      <c r="D85" s="225" t="s">
        <v>322</v>
      </c>
      <c r="E85" s="65" t="s">
        <v>88</v>
      </c>
      <c r="F85" s="20" t="s">
        <v>46</v>
      </c>
      <c r="G85" s="38"/>
      <c r="H85" s="26"/>
      <c r="K85" s="23"/>
      <c r="L85" s="218"/>
      <c r="M85" s="218"/>
      <c r="N85" s="218"/>
      <c r="O85" s="218"/>
      <c r="P85" s="218"/>
      <c r="R85" s="23"/>
      <c r="S85" s="23"/>
      <c r="T85"/>
      <c r="U85"/>
      <c r="V85" s="26" t="str">
        <f>"Reward1.Upper."&amp;$A$4</f>
        <v>Reward1.Upper.1</v>
      </c>
      <c r="X85" s="57"/>
      <c r="Y85" s="57"/>
    </row>
    <row r="86" spans="1:25" s="19" customFormat="1">
      <c r="A86" s="224"/>
      <c r="B86" s="224"/>
      <c r="C86" s="224"/>
      <c r="D86" s="224"/>
      <c r="E86" s="36"/>
      <c r="F86" s="20"/>
      <c r="G86" s="38"/>
      <c r="H86" s="26"/>
      <c r="K86" s="23"/>
      <c r="L86"/>
      <c r="M86"/>
      <c r="N86"/>
      <c r="O86"/>
      <c r="P86"/>
      <c r="R86" s="23"/>
      <c r="S86" s="23"/>
      <c r="T86"/>
      <c r="U86"/>
      <c r="V86" s="26"/>
      <c r="X86" s="57"/>
      <c r="Y86" s="57"/>
    </row>
    <row r="87" spans="1:25" s="19" customFormat="1">
      <c r="A87" s="224"/>
      <c r="B87" s="224"/>
      <c r="C87" s="224"/>
      <c r="D87" s="224"/>
      <c r="E87" t="s">
        <v>191</v>
      </c>
      <c r="F87" s="176"/>
      <c r="G87" s="40"/>
      <c r="H87"/>
      <c r="I87"/>
      <c r="J87"/>
      <c r="K87"/>
      <c r="L87" s="96" t="b">
        <f>NOT(OR(AND(Reward.Orientation.1,Reward1.Upper.1&lt;&gt;"",Reward1.Lower.1&lt;&gt;"",Reward1.Upper.1&lt;Reward1.Lower.1),AND(NOT(Reward.Orientation.1),Reward1.Upper.1&lt;&gt;"",Reward1.Lower.1&lt;&gt;"",Reward1.Upper.1&gt;Reward1.Lower.1),AND(PC.1&lt;&gt;"",Reward.Orientation.1,Reward1.Lower.1&lt;&gt;"",PC.1&gt;Reward1.Lower.1),AND(PC.1&lt;&gt;"",NOT(Reward.Orientation.1),Reward1.Lower.1&lt;&gt;"",PC.1&lt;Reward1.Lower.1),AND(PC.1&lt;&gt;"",Reward.Orientation.1,Reward1.Upper.1&lt;&gt;"",PC.1&gt;Reward1.Upper.1),AND(PC.1&lt;&gt;"",NOT(Reward.Orientation.1),Reward1.Upper.1&lt;&gt;"",PC.1&lt;Reward1.Upper.1)))</f>
        <v>1</v>
      </c>
      <c r="M87" s="95" t="b">
        <f>NOT(OR(AND(Reward.Orientation.1,Reward1.Upper.1&lt;&gt;"",Reward1.Lower.1&lt;&gt;"",Reward1.Upper.1&lt;Reward1.Lower.1),AND(NOT(Reward.Orientation.1),Reward1.Upper.1&lt;&gt;"",Reward1.Lower.1&lt;&gt;"",Reward1.Upper.1&gt;Reward1.Lower.1),AND(PC.1&lt;&gt;"",Reward.Orientation.1,Reward1.Lower.1&lt;&gt;"",PC.1&gt;Reward1.Lower.1),AND(PC.1&lt;&gt;"",NOT(Reward.Orientation.1),Reward1.Lower.1&lt;&gt;"",PC.1&lt;Reward1.Lower.1),AND(PC.1&lt;&gt;"",Reward.Orientation.1,Reward1.Upper.1&lt;&gt;"",PC.1&gt;Reward1.Upper.1),AND(PC.1&lt;&gt;"",NOT(Reward.Orientation.1),Reward1.Upper.1&lt;&gt;"",PC.1&lt;Reward1.Upper.1)))</f>
        <v>1</v>
      </c>
      <c r="N87" s="95" t="b">
        <f>NOT(OR(AND(Reward.Orientation.1,Reward1.Upper.1&lt;&gt;"",Reward1.Lower.1&lt;&gt;"",Reward1.Upper.1&lt;Reward1.Lower.1),AND(NOT(Reward.Orientation.1),Reward1.Upper.1&lt;&gt;"",Reward1.Lower.1&lt;&gt;"",Reward1.Upper.1&gt;Reward1.Lower.1),AND(PC.1&lt;&gt;"",Reward.Orientation.1,Reward1.Lower.1&lt;&gt;"",PC.1&gt;Reward1.Lower.1),AND(PC.1&lt;&gt;"",NOT(Reward.Orientation.1),Reward1.Lower.1&lt;&gt;"",PC.1&lt;Reward1.Lower.1),AND(PC.1&lt;&gt;"",Reward.Orientation.1,Reward1.Upper.1&lt;&gt;"",PC.1&gt;Reward1.Upper.1),AND(PC.1&lt;&gt;"",NOT(Reward.Orientation.1),Reward1.Upper.1&lt;&gt;"",PC.1&lt;Reward1.Upper.1)))</f>
        <v>1</v>
      </c>
      <c r="O87" s="95" t="b">
        <f>NOT(OR(AND(Reward.Orientation.1,Reward1.Upper.1&lt;&gt;"",Reward1.Lower.1&lt;&gt;"",Reward1.Upper.1&lt;Reward1.Lower.1),AND(NOT(Reward.Orientation.1),Reward1.Upper.1&lt;&gt;"",Reward1.Lower.1&lt;&gt;"",Reward1.Upper.1&gt;Reward1.Lower.1),AND(PC.1&lt;&gt;"",Reward.Orientation.1,Reward1.Lower.1&lt;&gt;"",PC.1&gt;Reward1.Lower.1),AND(PC.1&lt;&gt;"",NOT(Reward.Orientation.1),Reward1.Lower.1&lt;&gt;"",PC.1&lt;Reward1.Lower.1),AND(PC.1&lt;&gt;"",Reward.Orientation.1,Reward1.Upper.1&lt;&gt;"",PC.1&gt;Reward1.Upper.1),AND(PC.1&lt;&gt;"",NOT(Reward.Orientation.1),Reward1.Upper.1&lt;&gt;"",PC.1&lt;Reward1.Upper.1)))</f>
        <v>1</v>
      </c>
      <c r="P87" s="95" t="b">
        <f>NOT(OR(AND(Reward.Orientation.1,Reward1.Upper.1&lt;&gt;"",Reward1.Lower.1&lt;&gt;"",Reward1.Upper.1&lt;Reward1.Lower.1),AND(NOT(Reward.Orientation.1),Reward1.Upper.1&lt;&gt;"",Reward1.Lower.1&lt;&gt;"",Reward1.Upper.1&gt;Reward1.Lower.1),AND(PC.1&lt;&gt;"",Reward.Orientation.1,Reward1.Lower.1&lt;&gt;"",PC.1&gt;Reward1.Lower.1),AND(PC.1&lt;&gt;"",NOT(Reward.Orientation.1),Reward1.Lower.1&lt;&gt;"",PC.1&lt;Reward1.Lower.1),AND(PC.1&lt;&gt;"",Reward.Orientation.1,Reward1.Upper.1&lt;&gt;"",PC.1&gt;Reward1.Upper.1),AND(PC.1&lt;&gt;"",NOT(Reward.Orientation.1),Reward1.Upper.1&lt;&gt;"",PC.1&lt;Reward1.Upper.1)))</f>
        <v>1</v>
      </c>
      <c r="R87" s="23"/>
      <c r="S87" s="23"/>
      <c r="T87"/>
      <c r="U87"/>
      <c r="V87" s="26"/>
      <c r="X87" s="57"/>
      <c r="Y87" s="57"/>
    </row>
    <row r="88" spans="1:25" s="19" customFormat="1">
      <c r="A88" s="224"/>
      <c r="B88" s="224"/>
      <c r="C88" s="224"/>
      <c r="D88" s="224"/>
      <c r="E88" s="36"/>
      <c r="F88" s="20"/>
      <c r="G88" s="38"/>
      <c r="H88" s="26"/>
      <c r="K88" s="23"/>
      <c r="L88"/>
      <c r="M88"/>
      <c r="N88"/>
      <c r="O88"/>
      <c r="P88"/>
      <c r="R88" s="23"/>
      <c r="S88" s="23"/>
      <c r="T88"/>
      <c r="U88"/>
      <c r="V88" s="26"/>
      <c r="X88" s="57"/>
      <c r="Y88" s="57"/>
    </row>
    <row r="89" spans="1:25" s="19" customFormat="1">
      <c r="A89" s="224"/>
      <c r="B89" s="224"/>
      <c r="C89" s="224"/>
      <c r="D89" s="224"/>
      <c r="E89" s="36"/>
      <c r="F89" s="20"/>
      <c r="G89" s="38"/>
      <c r="H89" s="26"/>
      <c r="K89" s="23"/>
      <c r="L89"/>
      <c r="M89"/>
      <c r="N89"/>
      <c r="O89"/>
      <c r="P89"/>
      <c r="R89" s="23"/>
      <c r="S89" s="23"/>
      <c r="T89"/>
      <c r="U89"/>
      <c r="V89" s="26"/>
      <c r="X89" s="57"/>
      <c r="Y89" s="57"/>
    </row>
    <row r="90" spans="1:25" s="19" customFormat="1">
      <c r="A90" s="224"/>
      <c r="B90" s="224"/>
      <c r="C90" s="224"/>
      <c r="D90" s="224"/>
      <c r="E90" s="16" t="s">
        <v>89</v>
      </c>
      <c r="F90" s="20"/>
      <c r="G90" s="38"/>
      <c r="H90" s="26"/>
      <c r="K90" s="23"/>
      <c r="L90" s="46"/>
      <c r="M90" s="46"/>
      <c r="N90" s="46"/>
      <c r="O90" s="46"/>
      <c r="P90" s="46"/>
      <c r="R90" s="23"/>
      <c r="S90" s="23"/>
      <c r="T90"/>
      <c r="U90"/>
      <c r="V90" s="26"/>
      <c r="X90" s="57"/>
      <c r="Y90" s="57"/>
    </row>
    <row r="91" spans="1:25" s="19" customFormat="1">
      <c r="A91" s="224"/>
      <c r="B91" s="224"/>
      <c r="C91" s="224"/>
      <c r="D91" s="224"/>
      <c r="E91" s="20" t="s">
        <v>204</v>
      </c>
      <c r="F91" s="20"/>
      <c r="G91" s="38"/>
      <c r="H91" s="26"/>
      <c r="K91" s="23"/>
      <c r="L91" s="46"/>
      <c r="M91" s="46"/>
      <c r="N91" s="46"/>
      <c r="O91" s="46"/>
      <c r="P91" s="46"/>
      <c r="R91" s="23"/>
      <c r="S91" s="23"/>
      <c r="T91"/>
      <c r="U91"/>
      <c r="V91" s="26"/>
      <c r="X91" s="57"/>
      <c r="Y91" s="57"/>
    </row>
    <row r="92" spans="1:25" s="19" customFormat="1">
      <c r="A92" s="224"/>
      <c r="B92" s="224"/>
      <c r="C92" s="224"/>
      <c r="D92" s="224" t="s">
        <v>21</v>
      </c>
      <c r="E92" s="65" t="s">
        <v>90</v>
      </c>
      <c r="F92" s="20"/>
      <c r="G92" s="38"/>
      <c r="H92" s="26"/>
      <c r="K92" s="23"/>
      <c r="L92" s="60"/>
      <c r="M92" s="60"/>
      <c r="N92" s="60"/>
      <c r="O92" s="60"/>
      <c r="P92" s="60"/>
      <c r="R92" s="23"/>
      <c r="S92" s="23"/>
      <c r="T92"/>
      <c r="U92"/>
      <c r="V92" s="26" t="str">
        <f>"Reward2.Year.Flag."&amp;$A$4</f>
        <v>Reward2.Year.Flag.1</v>
      </c>
      <c r="X92" s="57"/>
      <c r="Y92" s="57"/>
    </row>
    <row r="93" spans="1:25" s="19" customFormat="1">
      <c r="A93" s="224"/>
      <c r="B93" s="224"/>
      <c r="C93" s="224"/>
      <c r="D93" s="224" t="s">
        <v>30</v>
      </c>
      <c r="E93" s="65" t="s">
        <v>91</v>
      </c>
      <c r="F93" s="20" t="s">
        <v>46</v>
      </c>
      <c r="G93" s="38"/>
      <c r="H93" s="26"/>
      <c r="K93" s="23"/>
      <c r="L93" s="97"/>
      <c r="M93" s="97"/>
      <c r="N93" s="97"/>
      <c r="O93" s="97"/>
      <c r="P93" s="97"/>
      <c r="R93" s="23"/>
      <c r="S93" s="23"/>
      <c r="T93"/>
      <c r="U93"/>
      <c r="V93" s="26" t="str">
        <f>"Reward2.Rate."&amp;$A$4</f>
        <v>Reward2.Rate.1</v>
      </c>
    </row>
    <row r="94" spans="1:25" s="19" customFormat="1">
      <c r="A94" s="224"/>
      <c r="B94" s="224"/>
      <c r="C94" s="224"/>
      <c r="D94" s="224"/>
      <c r="E94" s="16"/>
      <c r="F94" s="20"/>
      <c r="G94" s="38"/>
      <c r="H94" s="26"/>
      <c r="K94" s="23"/>
      <c r="L94"/>
      <c r="M94"/>
      <c r="N94"/>
      <c r="O94"/>
      <c r="P94"/>
      <c r="R94" s="23"/>
      <c r="S94" s="23"/>
      <c r="T94"/>
      <c r="U94"/>
      <c r="V94" s="26"/>
    </row>
    <row r="95" spans="1:25" s="19" customFormat="1">
      <c r="A95" s="224"/>
      <c r="B95" s="224"/>
      <c r="C95" s="224"/>
      <c r="D95" s="224"/>
      <c r="E95" s="17" t="s">
        <v>200</v>
      </c>
      <c r="F95" s="20"/>
      <c r="G95" s="181">
        <f>Reward.Limits.Flag.1</f>
        <v>0</v>
      </c>
      <c r="H95" s="26"/>
      <c r="K95" s="23"/>
      <c r="L95"/>
      <c r="M95"/>
      <c r="N95"/>
      <c r="O95"/>
      <c r="P95"/>
      <c r="R95" s="23"/>
      <c r="S95" s="23"/>
      <c r="T95"/>
      <c r="U95"/>
      <c r="V95" s="26"/>
    </row>
    <row r="96" spans="1:25" s="19" customFormat="1">
      <c r="A96" s="224"/>
      <c r="B96" s="224"/>
      <c r="C96" s="224"/>
      <c r="D96" s="225" t="s">
        <v>322</v>
      </c>
      <c r="E96" s="65" t="s">
        <v>92</v>
      </c>
      <c r="F96" s="20" t="s">
        <v>46</v>
      </c>
      <c r="G96" s="38"/>
      <c r="H96" s="26"/>
      <c r="K96" s="23"/>
      <c r="L96" s="218"/>
      <c r="M96" s="218"/>
      <c r="N96" s="218"/>
      <c r="O96" s="218"/>
      <c r="P96" s="218"/>
      <c r="R96" s="23"/>
      <c r="S96" s="23"/>
      <c r="T96"/>
      <c r="U96"/>
      <c r="V96" s="26" t="str">
        <f>"Reward2.Lower."&amp;$A$4</f>
        <v>Reward2.Lower.1</v>
      </c>
      <c r="X96" s="57"/>
      <c r="Y96" s="57"/>
    </row>
    <row r="97" spans="1:25" s="19" customFormat="1">
      <c r="A97" s="224"/>
      <c r="B97" s="224"/>
      <c r="C97" s="224"/>
      <c r="D97" s="225" t="s">
        <v>322</v>
      </c>
      <c r="E97" s="65" t="s">
        <v>93</v>
      </c>
      <c r="F97" s="20" t="s">
        <v>46</v>
      </c>
      <c r="G97" s="38"/>
      <c r="H97" s="26"/>
      <c r="K97" s="23"/>
      <c r="L97" s="218"/>
      <c r="M97" s="218"/>
      <c r="N97" s="218"/>
      <c r="O97" s="218"/>
      <c r="P97" s="218"/>
      <c r="R97" s="23"/>
      <c r="S97" s="23"/>
      <c r="T97"/>
      <c r="U97"/>
      <c r="V97" s="26" t="str">
        <f>"Reward2.Upper."&amp;$A$4</f>
        <v>Reward2.Upper.1</v>
      </c>
      <c r="X97" s="57"/>
      <c r="Y97" s="57"/>
    </row>
    <row r="98" spans="1:25" s="19" customFormat="1">
      <c r="A98" s="224"/>
      <c r="B98" s="224"/>
      <c r="C98" s="224"/>
      <c r="D98" s="224"/>
      <c r="E98" s="65"/>
      <c r="F98" s="20"/>
      <c r="G98" s="38"/>
      <c r="H98" s="26"/>
      <c r="K98" s="23"/>
      <c r="Q98" s="26"/>
      <c r="R98" s="23"/>
      <c r="S98" s="23"/>
      <c r="T98"/>
      <c r="U98"/>
      <c r="X98" s="57"/>
      <c r="Y98" s="57"/>
    </row>
    <row r="99" spans="1:25" s="19" customFormat="1">
      <c r="A99" s="224"/>
      <c r="B99" s="224"/>
      <c r="C99" s="224"/>
      <c r="D99" s="224"/>
      <c r="E99" t="s">
        <v>192</v>
      </c>
      <c r="F99" s="20"/>
      <c r="G99" s="38"/>
      <c r="H99" s="26"/>
      <c r="K99" s="23"/>
      <c r="L99" s="95" t="b">
        <f>NOT(OR(AND(Reward.Orientation.1,Reward2.Upper.1&lt;&gt;"",Reward2.Lower.1&lt;&gt;"",Reward2.Upper.1&lt;Reward2.Lower.1),AND(NOT(Reward.Orientation.1),Reward2.Upper.1&lt;&gt;"",Reward2.Lower.1&lt;&gt;"",Reward2.Upper.1&gt;Reward2.Lower.1),AND(PC.1&lt;&gt;"",Reward.Orientation.1,Reward2.Lower.1&lt;&gt;"",PC.1&gt;Reward2.Lower.1),AND(PC.1&lt;&gt;"",NOT(Reward.Orientation.1),Reward2.Lower.1&lt;&gt;"",PC.1&lt;Reward2.Lower.1),AND(PC.1&lt;&gt;"",Reward.Orientation.1,Reward2.Upper.1&lt;&gt;"",PC.1&gt;Reward2.Upper.1),AND(PC.1&lt;&gt;"",NOT(Reward.Orientation.1),Reward2.Upper.1&lt;&gt;"",PC.1&lt;Reward2.Upper.1)))</f>
        <v>1</v>
      </c>
      <c r="M99" s="95" t="b">
        <f>NOT(OR(AND(Reward.Orientation.1,Reward2.Upper.1&lt;&gt;"",Reward2.Lower.1&lt;&gt;"",Reward2.Upper.1&lt;Reward2.Lower.1),AND(NOT(Reward.Orientation.1),Reward2.Upper.1&lt;&gt;"",Reward2.Lower.1&lt;&gt;"",Reward2.Upper.1&gt;Reward2.Lower.1),AND(PC.1&lt;&gt;"",Reward.Orientation.1,Reward2.Lower.1&lt;&gt;"",PC.1&gt;Reward2.Lower.1),AND(PC.1&lt;&gt;"",NOT(Reward.Orientation.1),Reward2.Lower.1&lt;&gt;"",PC.1&lt;Reward2.Lower.1),AND(PC.1&lt;&gt;"",Reward.Orientation.1,Reward2.Upper.1&lt;&gt;"",PC.1&gt;Reward2.Upper.1),AND(PC.1&lt;&gt;"",NOT(Reward.Orientation.1),Reward2.Upper.1&lt;&gt;"",PC.1&lt;Reward2.Upper.1)))</f>
        <v>1</v>
      </c>
      <c r="N99" s="95" t="b">
        <f>NOT(OR(AND(Reward.Orientation.1,Reward2.Upper.1&lt;&gt;"",Reward2.Lower.1&lt;&gt;"",Reward2.Upper.1&lt;Reward2.Lower.1),AND(NOT(Reward.Orientation.1),Reward2.Upper.1&lt;&gt;"",Reward2.Lower.1&lt;&gt;"",Reward2.Upper.1&gt;Reward2.Lower.1),AND(PC.1&lt;&gt;"",Reward.Orientation.1,Reward2.Lower.1&lt;&gt;"",PC.1&gt;Reward2.Lower.1),AND(PC.1&lt;&gt;"",NOT(Reward.Orientation.1),Reward2.Lower.1&lt;&gt;"",PC.1&lt;Reward2.Lower.1),AND(PC.1&lt;&gt;"",Reward.Orientation.1,Reward2.Upper.1&lt;&gt;"",PC.1&gt;Reward2.Upper.1),AND(PC.1&lt;&gt;"",NOT(Reward.Orientation.1),Reward2.Upper.1&lt;&gt;"",PC.1&lt;Reward2.Upper.1)))</f>
        <v>1</v>
      </c>
      <c r="O99" s="95" t="b">
        <f>NOT(OR(AND(Reward.Orientation.1,Reward2.Upper.1&lt;&gt;"",Reward2.Lower.1&lt;&gt;"",Reward2.Upper.1&lt;Reward2.Lower.1),AND(NOT(Reward.Orientation.1),Reward2.Upper.1&lt;&gt;"",Reward2.Lower.1&lt;&gt;"",Reward2.Upper.1&gt;Reward2.Lower.1),AND(PC.1&lt;&gt;"",Reward.Orientation.1,Reward2.Lower.1&lt;&gt;"",PC.1&gt;Reward2.Lower.1),AND(PC.1&lt;&gt;"",NOT(Reward.Orientation.1),Reward2.Lower.1&lt;&gt;"",PC.1&lt;Reward2.Lower.1),AND(PC.1&lt;&gt;"",Reward.Orientation.1,Reward2.Upper.1&lt;&gt;"",PC.1&gt;Reward2.Upper.1),AND(PC.1&lt;&gt;"",NOT(Reward.Orientation.1),Reward2.Upper.1&lt;&gt;"",PC.1&lt;Reward2.Upper.1)))</f>
        <v>1</v>
      </c>
      <c r="P99" s="95" t="b">
        <f>NOT(OR(AND(Reward.Orientation.1,Reward2.Upper.1&lt;&gt;"",Reward2.Lower.1&lt;&gt;"",Reward2.Upper.1&lt;Reward2.Lower.1),AND(NOT(Reward.Orientation.1),Reward2.Upper.1&lt;&gt;"",Reward2.Lower.1&lt;&gt;"",Reward2.Upper.1&gt;Reward2.Lower.1),AND(PC.1&lt;&gt;"",Reward.Orientation.1,Reward2.Lower.1&lt;&gt;"",PC.1&gt;Reward2.Lower.1),AND(PC.1&lt;&gt;"",NOT(Reward.Orientation.1),Reward2.Lower.1&lt;&gt;"",PC.1&lt;Reward2.Lower.1),AND(PC.1&lt;&gt;"",Reward.Orientation.1,Reward2.Upper.1&lt;&gt;"",PC.1&gt;Reward2.Upper.1),AND(PC.1&lt;&gt;"",NOT(Reward.Orientation.1),Reward2.Upper.1&lt;&gt;"",PC.1&lt;Reward2.Upper.1)))</f>
        <v>1</v>
      </c>
      <c r="Q99" s="26"/>
      <c r="R99" s="23"/>
      <c r="S99" s="23"/>
      <c r="T99"/>
      <c r="U99"/>
      <c r="X99" s="57"/>
      <c r="Y99" s="57"/>
    </row>
    <row r="100" spans="1:25" s="19" customFormat="1">
      <c r="A100" s="38"/>
      <c r="B100" s="38"/>
      <c r="C100" s="38"/>
      <c r="D100" s="38"/>
      <c r="E100" s="65"/>
      <c r="F100" s="20"/>
      <c r="G100" s="38"/>
      <c r="H100" s="26"/>
      <c r="K100" s="23"/>
      <c r="Q100" s="26"/>
      <c r="R100" s="23"/>
      <c r="S100" s="23"/>
      <c r="X100" s="57"/>
      <c r="Y100" s="57"/>
    </row>
    <row r="101" spans="1:25" s="51" customFormat="1" ht="15">
      <c r="A101" s="212"/>
      <c r="B101" s="213"/>
      <c r="C101" s="213"/>
      <c r="D101" s="48"/>
      <c r="E101" s="49" t="s">
        <v>54</v>
      </c>
      <c r="F101" s="192"/>
      <c r="G101" s="48"/>
      <c r="H101" s="50"/>
      <c r="I101" s="50"/>
      <c r="J101" s="50"/>
      <c r="K101" s="50"/>
      <c r="L101" s="50"/>
      <c r="M101" s="50"/>
      <c r="N101" s="50"/>
      <c r="O101" s="50"/>
      <c r="P101" s="50"/>
      <c r="Q101" s="50"/>
      <c r="R101" s="50"/>
      <c r="S101" s="50"/>
      <c r="T101" s="50"/>
      <c r="U101" s="50"/>
      <c r="V101" s="50"/>
      <c r="W101" s="50"/>
      <c r="X101" s="50"/>
      <c r="Y101" s="50"/>
    </row>
    <row r="102" spans="1:25" s="19" customFormat="1">
      <c r="A102" s="38"/>
      <c r="B102" s="38"/>
      <c r="C102" s="38"/>
      <c r="D102" s="38"/>
      <c r="F102" s="20"/>
      <c r="G102" s="38"/>
      <c r="Q102" s="23"/>
      <c r="R102" s="23"/>
      <c r="S102" s="23"/>
      <c r="W102" s="26"/>
    </row>
    <row r="103" spans="1:25" s="19" customFormat="1">
      <c r="A103" s="38"/>
      <c r="B103" s="209">
        <v>2</v>
      </c>
      <c r="C103" s="38"/>
      <c r="D103" s="38"/>
      <c r="E103" s="37" t="s">
        <v>118</v>
      </c>
      <c r="F103" s="20"/>
      <c r="G103" s="181" t="b">
        <f>IF(G11=INDEX(ODI.Type.List,B103,),TRUE,FALSE)</f>
        <v>0</v>
      </c>
      <c r="H103" s="26" t="str">
        <f>"Delivery.Flag."&amp;$A$4</f>
        <v>Delivery.Flag.1</v>
      </c>
      <c r="Q103" s="23"/>
      <c r="R103" s="23"/>
      <c r="S103" s="23"/>
      <c r="W103" s="26"/>
    </row>
    <row r="104" spans="1:25" customFormat="1">
      <c r="A104" s="40"/>
      <c r="B104" s="40"/>
      <c r="C104" s="40"/>
      <c r="D104" s="40"/>
      <c r="F104" s="176"/>
      <c r="G104" s="40"/>
    </row>
    <row r="105" spans="1:25" s="19" customFormat="1">
      <c r="A105" s="38"/>
      <c r="B105" s="38"/>
      <c r="C105" s="38"/>
      <c r="D105" s="38"/>
      <c r="E105" s="16" t="s">
        <v>42</v>
      </c>
      <c r="F105" s="20"/>
      <c r="G105" s="38"/>
      <c r="I105" s="83"/>
      <c r="K105" s="23"/>
      <c r="L105" s="42"/>
      <c r="M105" s="42"/>
      <c r="N105" s="42"/>
      <c r="O105" s="42"/>
      <c r="P105" s="42"/>
      <c r="Q105" s="23"/>
      <c r="R105" s="23"/>
      <c r="S105" s="23"/>
      <c r="W105" s="26"/>
    </row>
    <row r="106" spans="1:25" s="19" customFormat="1">
      <c r="A106" s="38"/>
      <c r="B106" s="38"/>
      <c r="C106" s="38"/>
      <c r="D106" s="38"/>
      <c r="E106" s="17" t="s">
        <v>99</v>
      </c>
      <c r="F106" s="20"/>
      <c r="G106" s="178"/>
      <c r="K106" s="23"/>
      <c r="L106" s="41" t="b">
        <f>$G$106=AMP.Years</f>
        <v>0</v>
      </c>
      <c r="M106" s="41" t="b">
        <f>$G$106=AMP.Years</f>
        <v>0</v>
      </c>
      <c r="N106" s="41" t="b">
        <f>$G$106=AMP.Years</f>
        <v>0</v>
      </c>
      <c r="O106" s="41" t="b">
        <f>$G$106=AMP.Years</f>
        <v>0</v>
      </c>
      <c r="P106" s="41" t="b">
        <f>$G$106=AMP.Years</f>
        <v>0</v>
      </c>
      <c r="Q106" s="82"/>
      <c r="R106" s="42"/>
      <c r="S106" s="42"/>
      <c r="T106" s="82"/>
      <c r="U106" s="82"/>
      <c r="V106" s="26" t="str">
        <f>"DeliveryPC."&amp;$A$4</f>
        <v>DeliveryPC.1</v>
      </c>
      <c r="W106" s="41" t="b">
        <f>IFERROR(OR(DeliveryPC.1),FALSE)</f>
        <v>0</v>
      </c>
      <c r="X106" s="26" t="str">
        <f>"DeliveryDefined.Flag."&amp;$A$4</f>
        <v>DeliveryDefined.Flag.1</v>
      </c>
    </row>
    <row r="107" spans="1:25" s="19" customFormat="1">
      <c r="A107" s="38"/>
      <c r="B107" s="38"/>
      <c r="C107" s="38"/>
      <c r="D107" s="38"/>
      <c r="F107" s="20"/>
      <c r="G107" s="38"/>
      <c r="R107" s="23"/>
      <c r="S107" s="23"/>
      <c r="V107" s="26"/>
    </row>
    <row r="108" spans="1:25" s="19" customFormat="1">
      <c r="A108" s="38"/>
      <c r="B108" s="38"/>
      <c r="C108" s="38"/>
      <c r="D108" s="38"/>
      <c r="E108" s="16" t="s">
        <v>57</v>
      </c>
      <c r="F108" s="20"/>
      <c r="G108" s="38"/>
      <c r="R108" s="23"/>
      <c r="S108" s="23"/>
      <c r="V108" s="26"/>
    </row>
    <row r="109" spans="1:25" s="19" customFormat="1">
      <c r="A109" s="38"/>
      <c r="B109" s="38"/>
      <c r="C109" s="38"/>
      <c r="D109" s="38"/>
      <c r="E109" s="17" t="s">
        <v>131</v>
      </c>
      <c r="F109" s="20"/>
      <c r="G109" s="178"/>
      <c r="L109" s="41" t="b">
        <f>$G$109=AMP.Years</f>
        <v>0</v>
      </c>
      <c r="M109" s="41" t="b">
        <f>$G$109=AMP.Years</f>
        <v>0</v>
      </c>
      <c r="N109" s="41" t="b">
        <f>$G$109=AMP.Years</f>
        <v>0</v>
      </c>
      <c r="O109" s="41" t="b">
        <f>$G$109=AMP.Years</f>
        <v>0</v>
      </c>
      <c r="P109" s="41" t="b">
        <f>$G$109=AMP.Years</f>
        <v>0</v>
      </c>
      <c r="R109" s="23"/>
      <c r="S109" s="23"/>
      <c r="V109" s="26" t="str">
        <f>"DeliveryCap."&amp;$A$4</f>
        <v>DeliveryCap.1</v>
      </c>
      <c r="W109" s="41" t="b">
        <f>IFERROR(OR(DeliveryCap.1),FALSE)</f>
        <v>0</v>
      </c>
      <c r="X109" s="26" t="str">
        <f>"DeliveryCap.Flag."&amp;$A$4</f>
        <v>DeliveryCap.Flag.1</v>
      </c>
    </row>
    <row r="110" spans="1:25" s="19" customFormat="1">
      <c r="A110" s="38"/>
      <c r="B110" s="38"/>
      <c r="C110" s="38"/>
      <c r="D110" s="38"/>
      <c r="E110" s="17" t="s">
        <v>132</v>
      </c>
      <c r="F110" s="20"/>
      <c r="G110" s="178"/>
      <c r="L110" s="41" t="b">
        <f>$G$110=AMP.Years</f>
        <v>0</v>
      </c>
      <c r="M110" s="41" t="b">
        <f>$G$110=AMP.Years</f>
        <v>0</v>
      </c>
      <c r="N110" s="41" t="b">
        <f>$G$110=AMP.Years</f>
        <v>0</v>
      </c>
      <c r="O110" s="41" t="b">
        <f>$G$110=AMP.Years</f>
        <v>0</v>
      </c>
      <c r="P110" s="41" t="b">
        <f>$G$110=AMP.Years</f>
        <v>0</v>
      </c>
      <c r="R110" s="23"/>
      <c r="S110" s="23"/>
      <c r="V110" s="26" t="str">
        <f>"DeliveryCollar."&amp;$A$4</f>
        <v>DeliveryCollar.1</v>
      </c>
      <c r="W110" s="41" t="b">
        <f>IFERROR(OR(DeliveryCollar.1),FALSE)</f>
        <v>0</v>
      </c>
      <c r="X110" s="26" t="str">
        <f>"DeliveryCollar.Flag."&amp;$A$4</f>
        <v>DeliveryCollar.Flag.1</v>
      </c>
    </row>
    <row r="111" spans="1:25" s="19" customFormat="1">
      <c r="A111" s="38"/>
      <c r="B111" s="38"/>
      <c r="C111" s="38"/>
      <c r="D111" s="38"/>
      <c r="F111" s="20"/>
      <c r="G111" s="38"/>
      <c r="R111" s="23"/>
      <c r="S111" s="23"/>
      <c r="V111" s="26"/>
    </row>
    <row r="112" spans="1:25" s="19" customFormat="1">
      <c r="A112" s="38"/>
      <c r="B112" s="38"/>
      <c r="C112" s="214"/>
      <c r="D112" s="38"/>
      <c r="E112" s="16" t="s">
        <v>50</v>
      </c>
      <c r="F112" s="20"/>
      <c r="G112" s="38"/>
      <c r="K112" s="23"/>
      <c r="L112" s="23"/>
      <c r="M112" s="23"/>
      <c r="N112" s="23"/>
      <c r="O112" s="23"/>
      <c r="P112" s="23"/>
      <c r="R112" s="23"/>
      <c r="S112" s="23"/>
      <c r="V112" s="26"/>
    </row>
    <row r="113" spans="1:25" s="19" customFormat="1">
      <c r="A113" s="38"/>
      <c r="B113" s="38"/>
      <c r="C113" s="38"/>
      <c r="D113" s="38"/>
      <c r="E113" s="17" t="s">
        <v>100</v>
      </c>
      <c r="F113" s="20"/>
      <c r="G113" s="178"/>
      <c r="H113" s="26"/>
      <c r="K113" s="23"/>
      <c r="L113" s="41" t="b">
        <f>$G$113=AMP.Years</f>
        <v>0</v>
      </c>
      <c r="M113" s="41" t="b">
        <f>$G$113=AMP.Years</f>
        <v>0</v>
      </c>
      <c r="N113" s="41" t="b">
        <f>$G$113=AMP.Years</f>
        <v>0</v>
      </c>
      <c r="O113" s="41" t="b">
        <f>$G$113=AMP.Years</f>
        <v>0</v>
      </c>
      <c r="P113" s="41" t="b">
        <f>$G$113=AMP.Years</f>
        <v>0</v>
      </c>
      <c r="R113" s="23"/>
      <c r="S113" s="23"/>
      <c r="V113" s="26" t="str">
        <f>"Delivery.Performance."&amp;$A$4</f>
        <v>Delivery.Performance.1</v>
      </c>
      <c r="X113" s="57"/>
    </row>
    <row r="114" spans="1:25" customFormat="1">
      <c r="A114" s="40"/>
      <c r="B114" s="40"/>
      <c r="C114" s="40"/>
      <c r="D114" s="40"/>
      <c r="E114" s="17" t="s">
        <v>101</v>
      </c>
      <c r="F114" s="176"/>
      <c r="G114" s="181" t="b">
        <f>IFERROR(NOT(OR(Delivery.Performance.1)),TRUE)</f>
        <v>1</v>
      </c>
      <c r="H114" s="26" t="str">
        <f>"AMP6.NonDel.Flag."&amp;$A$4</f>
        <v>AMP6.NonDel.Flag.1</v>
      </c>
      <c r="I114" s="3"/>
      <c r="V114" s="19"/>
      <c r="W114" s="3"/>
    </row>
    <row r="115" spans="1:25" s="19" customFormat="1">
      <c r="A115" s="38"/>
      <c r="B115" s="38"/>
      <c r="C115" s="38"/>
      <c r="D115" s="38"/>
      <c r="E115" s="34"/>
      <c r="F115" s="20"/>
      <c r="G115" s="20"/>
      <c r="H115" s="26"/>
      <c r="K115" s="23"/>
      <c r="L115" s="98"/>
      <c r="M115" s="98"/>
      <c r="N115" s="98"/>
      <c r="O115" s="98"/>
      <c r="P115" s="98"/>
      <c r="Q115" s="23"/>
      <c r="R115" s="23"/>
      <c r="S115" s="23"/>
      <c r="W115" s="26"/>
    </row>
    <row r="116" spans="1:25" s="55" customFormat="1" ht="15">
      <c r="A116" s="215"/>
      <c r="B116" s="216"/>
      <c r="C116" s="216"/>
      <c r="D116" s="52"/>
      <c r="E116" s="53" t="s">
        <v>58</v>
      </c>
      <c r="F116" s="193"/>
      <c r="G116" s="52"/>
      <c r="H116" s="54"/>
      <c r="I116" s="54"/>
      <c r="J116" s="54"/>
      <c r="K116" s="54"/>
      <c r="L116" s="54"/>
      <c r="M116" s="54"/>
      <c r="N116" s="54"/>
      <c r="O116" s="54"/>
      <c r="P116" s="54"/>
      <c r="Q116" s="54"/>
      <c r="R116" s="54"/>
      <c r="S116" s="54"/>
      <c r="T116" s="54"/>
      <c r="U116" s="54"/>
      <c r="V116" s="54"/>
      <c r="W116" s="54"/>
      <c r="X116" s="54"/>
      <c r="Y116" s="54"/>
    </row>
    <row r="117" spans="1:25" s="19" customFormat="1">
      <c r="A117" s="38"/>
      <c r="B117" s="38"/>
      <c r="C117" s="38"/>
      <c r="D117" s="38"/>
      <c r="F117" s="20"/>
      <c r="G117" s="38"/>
      <c r="Q117" s="23"/>
      <c r="R117" s="23"/>
      <c r="S117" s="23"/>
      <c r="W117" s="26"/>
    </row>
    <row r="118" spans="1:25" s="19" customFormat="1">
      <c r="A118" s="38"/>
      <c r="B118" s="38"/>
      <c r="C118" s="38"/>
      <c r="D118" s="38"/>
      <c r="E118" s="16" t="s">
        <v>60</v>
      </c>
      <c r="F118" s="20"/>
      <c r="G118" s="38"/>
      <c r="Q118" s="23"/>
      <c r="R118" s="23"/>
      <c r="S118" s="23"/>
      <c r="W118" s="26"/>
    </row>
    <row r="119" spans="1:25" s="19" customFormat="1">
      <c r="A119" s="38"/>
      <c r="B119" s="38"/>
      <c r="C119" s="38"/>
      <c r="D119" s="38"/>
      <c r="E119" s="16"/>
      <c r="F119" s="20"/>
      <c r="G119" s="38"/>
      <c r="Q119" s="23"/>
      <c r="R119" s="23"/>
      <c r="S119" s="23"/>
      <c r="W119" s="26"/>
    </row>
    <row r="120" spans="1:25" s="19" customFormat="1">
      <c r="A120" s="38"/>
      <c r="B120" s="38"/>
      <c r="C120" s="38"/>
      <c r="D120" s="43" t="s">
        <v>21</v>
      </c>
      <c r="E120" s="65" t="s">
        <v>102</v>
      </c>
      <c r="F120" s="20"/>
      <c r="G120" s="185"/>
      <c r="H120" s="26" t="str">
        <f>"Delay.Flag."&amp;$A$4</f>
        <v>Delay.Flag.1</v>
      </c>
      <c r="R120" s="23"/>
      <c r="S120" s="23"/>
    </row>
    <row r="121" spans="1:25" customFormat="1">
      <c r="A121" s="40"/>
      <c r="B121" s="40"/>
      <c r="C121" s="40"/>
      <c r="D121" s="40" t="s">
        <v>45</v>
      </c>
      <c r="E121" s="65" t="s">
        <v>104</v>
      </c>
      <c r="F121" s="176"/>
      <c r="G121" s="186"/>
      <c r="H121" s="70" t="str">
        <f>"Delay.Penalty."&amp;$A$4</f>
        <v>Delay.Penalty.1</v>
      </c>
      <c r="I121" s="3"/>
      <c r="L121" s="3"/>
      <c r="M121" s="19"/>
      <c r="N121" s="19"/>
      <c r="O121" s="19"/>
      <c r="P121" s="19"/>
      <c r="Q121" s="19"/>
      <c r="W121" s="3"/>
      <c r="X121" s="57"/>
      <c r="Y121" s="57"/>
    </row>
    <row r="122" spans="1:25" customFormat="1">
      <c r="A122" s="40"/>
      <c r="B122" s="40"/>
      <c r="C122" s="40"/>
      <c r="D122" s="40"/>
      <c r="E122" s="65"/>
      <c r="F122" s="176"/>
      <c r="G122" s="40"/>
      <c r="H122" s="70"/>
      <c r="I122" s="3"/>
      <c r="L122" s="3"/>
      <c r="M122" s="19"/>
      <c r="N122" s="19"/>
      <c r="O122" s="19"/>
      <c r="P122" s="19"/>
      <c r="Q122" s="19"/>
      <c r="W122" s="3"/>
      <c r="X122" s="57"/>
      <c r="Y122" s="57"/>
    </row>
    <row r="123" spans="1:25" customFormat="1">
      <c r="A123" s="40"/>
      <c r="B123" s="40"/>
      <c r="C123" s="40"/>
      <c r="D123" s="43" t="s">
        <v>21</v>
      </c>
      <c r="E123" s="65" t="s">
        <v>103</v>
      </c>
      <c r="F123" s="176"/>
      <c r="G123" s="185"/>
      <c r="H123" s="70" t="str">
        <f>"NonDel.Flag."&amp;$A$4</f>
        <v>NonDel.Flag.1</v>
      </c>
      <c r="I123" s="3"/>
      <c r="L123" s="3"/>
      <c r="M123" s="19"/>
      <c r="N123" s="19"/>
      <c r="O123" s="19"/>
      <c r="P123" s="19"/>
      <c r="Q123" s="19"/>
      <c r="W123" s="3"/>
      <c r="X123" s="57"/>
      <c r="Y123" s="57"/>
    </row>
    <row r="124" spans="1:25" customFormat="1">
      <c r="A124" s="40"/>
      <c r="B124" s="40"/>
      <c r="C124" s="40"/>
      <c r="D124" s="40" t="s">
        <v>44</v>
      </c>
      <c r="E124" s="65" t="s">
        <v>105</v>
      </c>
      <c r="F124" s="176"/>
      <c r="G124" s="186"/>
      <c r="H124" s="70" t="str">
        <f>"NonDel.Penalty."&amp;$A$4</f>
        <v>NonDel.Penalty.1</v>
      </c>
      <c r="I124" s="3"/>
      <c r="L124" s="3"/>
      <c r="M124" s="19"/>
      <c r="N124" s="19"/>
      <c r="O124" s="19"/>
      <c r="P124" s="19"/>
      <c r="Q124" s="19"/>
      <c r="W124" s="3"/>
      <c r="X124" s="57"/>
      <c r="Y124" s="57"/>
    </row>
    <row r="125" spans="1:25" customFormat="1">
      <c r="A125" s="40"/>
      <c r="B125" s="40"/>
      <c r="C125" s="40"/>
      <c r="D125" s="40"/>
      <c r="F125" s="176"/>
      <c r="G125" s="40"/>
    </row>
    <row r="126" spans="1:25" customFormat="1">
      <c r="A126" s="40"/>
      <c r="B126" s="40"/>
      <c r="C126" s="40"/>
      <c r="D126" s="43" t="s">
        <v>21</v>
      </c>
      <c r="E126" s="65" t="s">
        <v>108</v>
      </c>
      <c r="F126" s="176"/>
      <c r="G126" s="185"/>
      <c r="H126" s="3"/>
    </row>
    <row r="127" spans="1:25" customFormat="1">
      <c r="A127" s="40"/>
      <c r="B127" s="40"/>
      <c r="C127" s="40"/>
      <c r="D127" s="40"/>
      <c r="F127" s="176"/>
      <c r="G127" s="181" t="b">
        <f>IF(Delay.Flag.1,G126,FALSE)</f>
        <v>0</v>
      </c>
      <c r="H127" s="26" t="str">
        <f>"DelayNonDel.Flag."&amp;$A$4</f>
        <v>DelayNonDel.Flag.1</v>
      </c>
    </row>
    <row r="128" spans="1:25" customFormat="1">
      <c r="A128" s="40"/>
      <c r="B128" s="40"/>
      <c r="C128" s="40"/>
      <c r="D128" s="40"/>
      <c r="E128" s="3"/>
      <c r="F128" s="176"/>
      <c r="G128" s="40"/>
    </row>
    <row r="129" spans="1:25" s="55" customFormat="1" ht="15">
      <c r="A129" s="215"/>
      <c r="B129" s="216"/>
      <c r="C129" s="216"/>
      <c r="D129" s="52"/>
      <c r="E129" s="53" t="s">
        <v>59</v>
      </c>
      <c r="F129" s="193"/>
      <c r="G129" s="52"/>
      <c r="H129" s="54"/>
      <c r="I129" s="54"/>
      <c r="J129" s="54"/>
      <c r="K129" s="54"/>
      <c r="L129" s="54"/>
      <c r="M129" s="54"/>
      <c r="N129" s="54"/>
      <c r="O129" s="54"/>
      <c r="P129" s="54"/>
      <c r="Q129" s="54"/>
      <c r="R129" s="54"/>
      <c r="S129" s="54"/>
      <c r="T129" s="54"/>
      <c r="U129" s="54"/>
      <c r="V129" s="54"/>
      <c r="W129" s="54"/>
      <c r="X129" s="54"/>
      <c r="Y129" s="54"/>
    </row>
    <row r="130" spans="1:25" customFormat="1">
      <c r="A130" s="40"/>
      <c r="B130" s="40"/>
      <c r="C130" s="40"/>
      <c r="D130" s="40"/>
      <c r="F130" s="176"/>
      <c r="G130" s="40"/>
    </row>
    <row r="131" spans="1:25" customFormat="1">
      <c r="A131" s="40"/>
      <c r="B131" s="40"/>
      <c r="C131" s="40"/>
      <c r="D131" s="40"/>
      <c r="E131" s="16" t="s">
        <v>61</v>
      </c>
      <c r="F131" s="176"/>
      <c r="G131" s="43"/>
    </row>
    <row r="132" spans="1:25" customFormat="1">
      <c r="A132" s="40"/>
      <c r="B132" s="40"/>
      <c r="C132" s="40"/>
      <c r="D132" s="40"/>
      <c r="F132" s="176"/>
      <c r="G132" s="40"/>
    </row>
    <row r="133" spans="1:25" s="19" customFormat="1">
      <c r="A133" s="38"/>
      <c r="B133" s="38"/>
      <c r="C133" s="38"/>
      <c r="D133" s="43" t="s">
        <v>21</v>
      </c>
      <c r="E133" s="65" t="s">
        <v>106</v>
      </c>
      <c r="F133" s="20"/>
      <c r="G133" s="185"/>
      <c r="H133" s="26" t="str">
        <f>"EarlyDel.Flag."&amp;$A$4</f>
        <v>EarlyDel.Flag.1</v>
      </c>
      <c r="R133" s="23"/>
      <c r="S133" s="23"/>
    </row>
    <row r="134" spans="1:25" s="19" customFormat="1">
      <c r="A134" s="38"/>
      <c r="B134" s="38"/>
      <c r="C134" s="38"/>
      <c r="D134" s="43" t="s">
        <v>45</v>
      </c>
      <c r="E134" s="65" t="s">
        <v>107</v>
      </c>
      <c r="F134" s="176"/>
      <c r="G134" s="189"/>
      <c r="H134" s="26" t="str">
        <f>"EarlyDel.Reward."&amp;$A$4</f>
        <v>EarlyDel.Reward.1</v>
      </c>
      <c r="K134" s="23"/>
      <c r="L134" s="23"/>
      <c r="M134" s="23"/>
      <c r="N134" s="23"/>
      <c r="O134" s="23"/>
      <c r="P134" s="23"/>
      <c r="Q134" s="23"/>
      <c r="R134" s="23"/>
      <c r="S134" s="23"/>
      <c r="X134" s="57"/>
      <c r="Y134" s="57"/>
    </row>
    <row r="135" spans="1:25" s="19" customFormat="1">
      <c r="A135" s="38"/>
      <c r="B135" s="38"/>
      <c r="C135" s="38"/>
      <c r="D135" s="38"/>
      <c r="E135" s="36"/>
      <c r="F135" s="20"/>
      <c r="G135" s="38"/>
      <c r="H135" s="26"/>
      <c r="K135" s="23"/>
      <c r="L135" s="23"/>
      <c r="M135" s="23"/>
      <c r="N135" s="23"/>
      <c r="O135" s="23"/>
      <c r="P135" s="23"/>
      <c r="Q135" s="23"/>
      <c r="S135" s="23"/>
      <c r="W135" s="26"/>
    </row>
    <row r="136" spans="1:25" s="19" customFormat="1">
      <c r="A136" s="38"/>
      <c r="B136" s="38"/>
      <c r="C136" s="38"/>
      <c r="D136" s="38"/>
      <c r="E136" s="65" t="s">
        <v>109</v>
      </c>
      <c r="F136" s="20"/>
      <c r="G136" s="185"/>
      <c r="H136" s="26" t="str">
        <f>"OnTimeDel.Flag."&amp;$A$4</f>
        <v>OnTimeDel.Flag.1</v>
      </c>
      <c r="K136" s="23"/>
      <c r="L136" s="23"/>
      <c r="M136" s="23"/>
      <c r="N136" s="23"/>
      <c r="O136" s="23"/>
      <c r="P136" s="23"/>
      <c r="Q136" s="23"/>
      <c r="S136" s="23"/>
      <c r="W136" s="26"/>
    </row>
    <row r="137" spans="1:25" s="19" customFormat="1">
      <c r="A137" s="38"/>
      <c r="B137" s="38"/>
      <c r="C137" s="38"/>
      <c r="D137" s="43" t="s">
        <v>20</v>
      </c>
      <c r="E137" s="65" t="s">
        <v>110</v>
      </c>
      <c r="F137" s="20"/>
      <c r="G137" s="189"/>
      <c r="H137" s="26" t="str">
        <f>"OnTimeDel.Reward."&amp;$A$4</f>
        <v>OnTimeDel.Reward.1</v>
      </c>
      <c r="K137" s="23"/>
      <c r="L137" s="23"/>
      <c r="M137" s="23"/>
      <c r="N137" s="23"/>
      <c r="O137" s="23"/>
      <c r="S137" s="23"/>
      <c r="X137" s="57"/>
      <c r="Y137" s="57"/>
    </row>
    <row r="138" spans="1:25" customFormat="1">
      <c r="A138" s="40"/>
      <c r="B138" s="40"/>
      <c r="C138" s="40"/>
      <c r="D138" s="40"/>
      <c r="F138" s="176"/>
      <c r="G138" s="40"/>
    </row>
    <row r="139" spans="1:25" customFormat="1">
      <c r="A139" s="40"/>
      <c r="B139" s="40"/>
      <c r="C139" s="40"/>
      <c r="D139" s="43" t="s">
        <v>21</v>
      </c>
      <c r="E139" s="65" t="s">
        <v>111</v>
      </c>
      <c r="F139" s="176"/>
      <c r="G139" s="185"/>
      <c r="H139" s="3"/>
    </row>
    <row r="140" spans="1:25" customFormat="1">
      <c r="A140" s="40"/>
      <c r="B140" s="40"/>
      <c r="C140" s="40"/>
      <c r="D140" s="40"/>
      <c r="F140" s="176"/>
      <c r="G140" s="181" t="b">
        <f>IF(EarlyDel.Flag.1,G139,FALSE)</f>
        <v>0</v>
      </c>
      <c r="H140" s="26" t="str">
        <f>"EarlyOnTimeDel.Flag."&amp;$A$4</f>
        <v>EarlyOnTimeDel.Flag.1</v>
      </c>
    </row>
    <row r="141" spans="1:25" customFormat="1">
      <c r="A141" s="40"/>
      <c r="B141" s="40"/>
      <c r="C141" s="40"/>
      <c r="D141" s="40"/>
      <c r="F141" s="176"/>
      <c r="G141" s="40"/>
    </row>
    <row r="142" spans="1:25" s="51" customFormat="1" ht="15">
      <c r="A142" s="212"/>
      <c r="B142" s="213"/>
      <c r="C142" s="213"/>
      <c r="D142" s="48"/>
      <c r="E142" s="49" t="s">
        <v>68</v>
      </c>
      <c r="F142" s="192"/>
      <c r="G142" s="48"/>
      <c r="H142" s="50"/>
      <c r="I142" s="50"/>
      <c r="J142" s="50"/>
      <c r="K142" s="50"/>
      <c r="L142" s="50"/>
      <c r="M142" s="50"/>
      <c r="N142" s="50"/>
      <c r="O142" s="50"/>
      <c r="P142" s="50"/>
      <c r="Q142" s="50"/>
      <c r="R142" s="50"/>
      <c r="S142" s="50"/>
      <c r="T142" s="50"/>
      <c r="U142" s="50"/>
      <c r="V142" s="50"/>
      <c r="W142" s="50"/>
      <c r="X142" s="50"/>
      <c r="Y142" s="50"/>
    </row>
    <row r="143" spans="1:25" customFormat="1">
      <c r="A143" s="40"/>
      <c r="B143" s="40"/>
      <c r="C143" s="40"/>
      <c r="D143" s="40"/>
      <c r="F143" s="176"/>
      <c r="G143" s="40"/>
    </row>
    <row r="144" spans="1:25" customFormat="1">
      <c r="A144" s="40"/>
      <c r="B144" s="40"/>
      <c r="C144" s="40"/>
      <c r="D144" s="40"/>
      <c r="E144" s="176" t="s">
        <v>77</v>
      </c>
      <c r="F144" s="176"/>
      <c r="G144" s="40"/>
    </row>
    <row r="145" spans="1:25" customFormat="1">
      <c r="A145" s="40"/>
      <c r="B145" s="209">
        <v>3</v>
      </c>
      <c r="C145" s="40"/>
      <c r="D145" s="40"/>
      <c r="E145" s="37" t="s">
        <v>123</v>
      </c>
      <c r="F145" s="176"/>
      <c r="G145" s="181" t="b">
        <f>IF(G11=INDEX(ODI.Type.List,B145,),TRUE,FALSE)</f>
        <v>0</v>
      </c>
      <c r="H145" s="26" t="str">
        <f>"Bespoke.Flag."&amp;$A$4</f>
        <v>Bespoke.Flag.1</v>
      </c>
    </row>
    <row r="146" spans="1:25" customFormat="1">
      <c r="A146" s="40"/>
      <c r="B146" s="40"/>
      <c r="C146" s="40"/>
      <c r="D146" s="40"/>
      <c r="E146" s="56"/>
      <c r="F146" s="176"/>
      <c r="G146" s="40"/>
    </row>
    <row r="147" spans="1:25" customFormat="1">
      <c r="A147" s="40"/>
      <c r="B147" s="38"/>
      <c r="C147" s="40"/>
      <c r="D147" s="40"/>
      <c r="E147" s="45" t="s">
        <v>26</v>
      </c>
      <c r="F147" s="176"/>
      <c r="G147" s="38"/>
      <c r="H147" s="3"/>
    </row>
    <row r="148" spans="1:25" customFormat="1">
      <c r="A148" s="40"/>
      <c r="B148" s="40"/>
      <c r="C148" s="40"/>
      <c r="D148" s="40" t="s">
        <v>76</v>
      </c>
      <c r="E148" s="66" t="s">
        <v>72</v>
      </c>
      <c r="F148" s="176"/>
      <c r="G148" s="40"/>
      <c r="L148" s="175"/>
      <c r="M148" s="175"/>
      <c r="N148" s="175"/>
      <c r="O148" s="175"/>
      <c r="P148" s="175"/>
      <c r="Q148" s="3"/>
      <c r="V148" s="70" t="str">
        <f>"Bespoke.Performance."&amp;$A$4</f>
        <v>Bespoke.Performance.1</v>
      </c>
    </row>
    <row r="149" spans="1:25" customFormat="1">
      <c r="A149" s="40"/>
      <c r="B149" s="40"/>
      <c r="C149" s="40"/>
      <c r="D149" s="40"/>
      <c r="E149" s="66"/>
      <c r="F149" s="194"/>
      <c r="G149" s="40"/>
      <c r="H149" s="66"/>
      <c r="I149" s="66"/>
      <c r="J149" s="66"/>
      <c r="K149" s="66"/>
      <c r="L149" s="66"/>
      <c r="M149" s="66"/>
      <c r="N149" s="66"/>
      <c r="O149" s="66"/>
      <c r="P149" s="66"/>
      <c r="Q149" s="3"/>
    </row>
    <row r="150" spans="1:25" customFormat="1">
      <c r="A150" s="40"/>
      <c r="B150" s="40"/>
      <c r="C150" s="40"/>
      <c r="D150" s="40"/>
      <c r="E150" s="45" t="s">
        <v>75</v>
      </c>
      <c r="F150" s="194"/>
      <c r="G150" s="40"/>
      <c r="H150" s="66"/>
      <c r="I150" s="66"/>
      <c r="J150" s="66"/>
      <c r="K150" s="66"/>
      <c r="L150" s="66"/>
      <c r="M150" s="66"/>
      <c r="N150" s="66"/>
      <c r="O150" s="66"/>
      <c r="P150" s="66"/>
      <c r="Q150" s="3"/>
    </row>
    <row r="151" spans="1:25" customFormat="1">
      <c r="A151" s="40"/>
      <c r="B151" s="40"/>
      <c r="C151" s="40"/>
      <c r="D151" s="40" t="s">
        <v>20</v>
      </c>
      <c r="E151" s="66" t="s">
        <v>73</v>
      </c>
      <c r="F151" s="20" t="s">
        <v>46</v>
      </c>
      <c r="G151" s="40"/>
      <c r="L151" s="97"/>
      <c r="M151" s="97"/>
      <c r="N151" s="97"/>
      <c r="O151" s="97"/>
      <c r="P151" s="97"/>
      <c r="Q151" s="3"/>
      <c r="V151" s="70" t="str">
        <f>"Bespoke.Fail."&amp;$A$4</f>
        <v>Bespoke.Fail.1</v>
      </c>
    </row>
    <row r="152" spans="1:25" customFormat="1">
      <c r="A152" s="40"/>
      <c r="B152" s="40"/>
      <c r="C152" s="40"/>
      <c r="D152" s="40" t="s">
        <v>20</v>
      </c>
      <c r="E152" s="66" t="s">
        <v>74</v>
      </c>
      <c r="F152" s="20" t="s">
        <v>46</v>
      </c>
      <c r="G152" s="40"/>
      <c r="L152" s="97"/>
      <c r="M152" s="97"/>
      <c r="N152" s="97"/>
      <c r="O152" s="97"/>
      <c r="P152" s="97"/>
      <c r="Q152" s="3"/>
      <c r="V152" s="70" t="str">
        <f>"Bespoke.Pass."&amp;$A$4</f>
        <v>Bespoke.Pass.1</v>
      </c>
    </row>
    <row r="153" spans="1:25" customFormat="1" ht="13.5" thickBot="1">
      <c r="A153" s="40"/>
      <c r="B153" s="40"/>
      <c r="C153" s="40"/>
      <c r="D153" s="40"/>
      <c r="F153" s="176"/>
      <c r="G153" s="40"/>
    </row>
    <row r="154" spans="1:25" ht="13.5" thickBot="1">
      <c r="A154" s="217" t="s">
        <v>35</v>
      </c>
      <c r="B154" s="187"/>
      <c r="C154" s="187"/>
      <c r="D154" s="187"/>
      <c r="E154" s="22"/>
      <c r="F154" s="195"/>
      <c r="G154" s="187"/>
      <c r="H154" s="22"/>
      <c r="I154" s="22"/>
      <c r="J154" s="22"/>
      <c r="K154" s="22"/>
      <c r="L154" s="22"/>
      <c r="M154" s="22"/>
      <c r="N154" s="22"/>
      <c r="O154" s="22"/>
      <c r="P154" s="22"/>
      <c r="Q154" s="22"/>
      <c r="R154" s="22"/>
      <c r="S154" s="22"/>
      <c r="T154" s="22"/>
      <c r="U154" s="22"/>
      <c r="V154" s="22"/>
      <c r="W154" s="22"/>
      <c r="X154" s="22"/>
      <c r="Y154" s="22"/>
    </row>
    <row r="155" spans="1:25"/>
    <row r="156" spans="1:25" hidden="1">
      <c r="Q156" s="36"/>
      <c r="R156" s="36"/>
      <c r="W156" s="36"/>
    </row>
    <row r="157" spans="1:25" hidden="1">
      <c r="E157" s="36"/>
    </row>
    <row r="158" spans="1:25" hidden="1">
      <c r="Y158" s="3"/>
    </row>
    <row r="159" spans="1:25" hidden="1">
      <c r="E159" s="36"/>
      <c r="Y159" s="3"/>
    </row>
    <row r="160" spans="1:25" hidden="1">
      <c r="Y160" s="3"/>
    </row>
    <row r="161" spans="25:25" hidden="1">
      <c r="Y161" s="3"/>
    </row>
    <row r="162" spans="25:25" hidden="1">
      <c r="Y162" s="3"/>
    </row>
    <row r="163" spans="25:25" hidden="1">
      <c r="Y163" s="3"/>
    </row>
    <row r="164" spans="25:25" hidden="1">
      <c r="Y164" s="3"/>
    </row>
    <row r="165" spans="25:25" hidden="1">
      <c r="Y165" s="3"/>
    </row>
    <row r="166" spans="25:25" hidden="1">
      <c r="Y166" s="3"/>
    </row>
    <row r="167" spans="25:25" hidden="1">
      <c r="Y167" s="3"/>
    </row>
    <row r="168" spans="25:25" hidden="1">
      <c r="Y168" s="3"/>
    </row>
    <row r="169" spans="25:25" hidden="1">
      <c r="Y169" s="3"/>
    </row>
    <row r="170" spans="25:25" hidden="1">
      <c r="Y170" s="3"/>
    </row>
    <row r="171" spans="25:25" hidden="1">
      <c r="Y171" s="3"/>
    </row>
    <row r="172" spans="25:25" hidden="1">
      <c r="Y172" s="3"/>
    </row>
    <row r="173" spans="25:25" hidden="1">
      <c r="Y173" s="3"/>
    </row>
    <row r="174" spans="25:25" hidden="1">
      <c r="Y174" s="3"/>
    </row>
    <row r="175" spans="25:25" hidden="1">
      <c r="Y175" s="3"/>
    </row>
    <row r="176" spans="25:25" hidden="1">
      <c r="Y176" s="3"/>
    </row>
    <row r="177" spans="25:25" hidden="1">
      <c r="Y177" s="3"/>
    </row>
    <row r="178" spans="25:25" hidden="1">
      <c r="Y178" s="3"/>
    </row>
    <row r="179" spans="25:25" hidden="1">
      <c r="Y179" s="3"/>
    </row>
    <row r="180" spans="25:25" hidden="1">
      <c r="Y180" s="3"/>
    </row>
    <row r="181" spans="25:25" hidden="1">
      <c r="Y181" s="3"/>
    </row>
    <row r="182" spans="25:25" hidden="1">
      <c r="Y182" s="3"/>
    </row>
    <row r="183" spans="25:25" hidden="1">
      <c r="Y183" s="3"/>
    </row>
    <row r="184" spans="25:25" hidden="1">
      <c r="Y184" s="3"/>
    </row>
    <row r="185" spans="25:25" hidden="1">
      <c r="Y185" s="3"/>
    </row>
    <row r="186" spans="25:25" hidden="1">
      <c r="Y186" s="3"/>
    </row>
    <row r="187" spans="25:25" hidden="1">
      <c r="Y187" s="3"/>
    </row>
    <row r="188" spans="25:25" hidden="1">
      <c r="Y188" s="3"/>
    </row>
    <row r="189" spans="25:25" hidden="1">
      <c r="Y189" s="3"/>
    </row>
    <row r="190" spans="25:25" hidden="1">
      <c r="Y190" s="3"/>
    </row>
    <row r="191" spans="25:25" hidden="1">
      <c r="Y191" s="3"/>
    </row>
    <row r="192" spans="25:25" hidden="1">
      <c r="Y192" s="3"/>
    </row>
    <row r="193" spans="25:25" hidden="1">
      <c r="Y193" s="3"/>
    </row>
    <row r="194" spans="25:25" hidden="1">
      <c r="Y194" s="3"/>
    </row>
    <row r="195" spans="25:25" hidden="1">
      <c r="Y195" s="3"/>
    </row>
    <row r="196" spans="25:25" hidden="1">
      <c r="Y196" s="3"/>
    </row>
    <row r="197" spans="25:25" hidden="1">
      <c r="Y197" s="3"/>
    </row>
    <row r="198" spans="25:25" hidden="1">
      <c r="Y198" s="3"/>
    </row>
    <row r="199" spans="25:25" hidden="1">
      <c r="Y199" s="3"/>
    </row>
    <row r="200" spans="25:25" hidden="1">
      <c r="Y200" s="3"/>
    </row>
    <row r="201" spans="25:25" hidden="1">
      <c r="Y201" s="3"/>
    </row>
    <row r="202" spans="25:25" hidden="1">
      <c r="Y202" s="3"/>
    </row>
    <row r="203" spans="25:25" hidden="1">
      <c r="Y203" s="3"/>
    </row>
    <row r="204" spans="25:25" hidden="1">
      <c r="Y204" s="3"/>
    </row>
    <row r="205" spans="25:25" hidden="1">
      <c r="Y205" s="3"/>
    </row>
    <row r="206" spans="25:25" hidden="1">
      <c r="Y206" s="3"/>
    </row>
    <row r="207" spans="25:25" hidden="1">
      <c r="Y207" s="3"/>
    </row>
    <row r="208" spans="25:25" hidden="1">
      <c r="Y208" s="3"/>
    </row>
    <row r="209" spans="25:25" hidden="1">
      <c r="Y209" s="3"/>
    </row>
    <row r="210" spans="25:25" hidden="1">
      <c r="Y210" s="3"/>
    </row>
    <row r="211" spans="25:25" hidden="1">
      <c r="Y211" s="3"/>
    </row>
    <row r="212" spans="25:25" hidden="1">
      <c r="Y212" s="3"/>
    </row>
    <row r="213" spans="25:25" hidden="1">
      <c r="Y213" s="3"/>
    </row>
    <row r="214" spans="25:25" hidden="1">
      <c r="Y214" s="3"/>
    </row>
    <row r="215" spans="25:25" hidden="1">
      <c r="Y215" s="3"/>
    </row>
    <row r="216" spans="25:25" hidden="1">
      <c r="Y216" s="3"/>
    </row>
    <row r="217" spans="25:25" hidden="1">
      <c r="Y217" s="3"/>
    </row>
    <row r="218" spans="25:25" hidden="1">
      <c r="Y218" s="3"/>
    </row>
    <row r="219" spans="25:25" hidden="1">
      <c r="Y219" s="3"/>
    </row>
    <row r="220" spans="25:25" hidden="1">
      <c r="Y220" s="3"/>
    </row>
    <row r="221" spans="25:25" hidden="1">
      <c r="Y221" s="3"/>
    </row>
    <row r="222" spans="25:25" hidden="1">
      <c r="Y222" s="3"/>
    </row>
    <row r="223" spans="25:25" hidden="1">
      <c r="Y223" s="3"/>
    </row>
    <row r="224" spans="25:25" hidden="1">
      <c r="Y224" s="3"/>
    </row>
    <row r="225" spans="25:25" hidden="1">
      <c r="Y225" s="3"/>
    </row>
    <row r="226" spans="25:25" hidden="1">
      <c r="Y226" s="3"/>
    </row>
    <row r="227" spans="25:25" hidden="1">
      <c r="Y227" s="3"/>
    </row>
    <row r="228" spans="25:25" hidden="1">
      <c r="Y228" s="3"/>
    </row>
    <row r="229" spans="25:25" hidden="1">
      <c r="Y229" s="3"/>
    </row>
    <row r="230" spans="25:25" hidden="1">
      <c r="Y230" s="3"/>
    </row>
    <row r="231" spans="25:25" hidden="1">
      <c r="Y231" s="3"/>
    </row>
    <row r="232" spans="25:25" hidden="1">
      <c r="Y232" s="3"/>
    </row>
    <row r="233" spans="25:25" hidden="1">
      <c r="Y233" s="3"/>
    </row>
    <row r="234" spans="25:25" hidden="1">
      <c r="Y234" s="3"/>
    </row>
    <row r="235" spans="25:25" hidden="1">
      <c r="Y235" s="3"/>
    </row>
    <row r="236" spans="25:25" hidden="1">
      <c r="Y236" s="3"/>
    </row>
    <row r="237" spans="25:25" hidden="1">
      <c r="Y237" s="3"/>
    </row>
    <row r="238" spans="25:25" hidden="1">
      <c r="Y238" s="3"/>
    </row>
    <row r="239" spans="25:25" hidden="1">
      <c r="Y239" s="3"/>
    </row>
    <row r="240" spans="25:25" hidden="1">
      <c r="Y240" s="3"/>
    </row>
    <row r="241" spans="25:25" hidden="1">
      <c r="Y241" s="3"/>
    </row>
    <row r="242" spans="25:25" hidden="1">
      <c r="Y242" s="3"/>
    </row>
    <row r="243" spans="25:25" hidden="1">
      <c r="Y243" s="3"/>
    </row>
    <row r="244" spans="25:25" hidden="1">
      <c r="Y244" s="3"/>
    </row>
    <row r="245" spans="25:25" hidden="1">
      <c r="Y245" s="3"/>
    </row>
    <row r="246" spans="25:25" hidden="1">
      <c r="Y246" s="3"/>
    </row>
    <row r="247" spans="25:25" hidden="1">
      <c r="Y247" s="3"/>
    </row>
    <row r="248" spans="25:25" hidden="1">
      <c r="Y248" s="3"/>
    </row>
    <row r="249" spans="25:25" hidden="1">
      <c r="Y249" s="3"/>
    </row>
    <row r="250" spans="25:25" hidden="1">
      <c r="Y250" s="3"/>
    </row>
    <row r="251" spans="25:25" hidden="1">
      <c r="Y251" s="3"/>
    </row>
    <row r="252" spans="25:25" hidden="1">
      <c r="Y252" s="3"/>
    </row>
    <row r="253" spans="25:25" hidden="1">
      <c r="Y253" s="3"/>
    </row>
    <row r="254" spans="25:25" hidden="1">
      <c r="Y254" s="3"/>
    </row>
    <row r="255" spans="25:25" hidden="1">
      <c r="Y255" s="3"/>
    </row>
    <row r="256" spans="25:25"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sheetData>
  <conditionalFormatting sqref="L69:P69 L99:P99 L87:P87 L57:P57">
    <cfRule type="cellIs" dxfId="89" priority="95" stopIfTrue="1" operator="equal">
      <formula>TRUE</formula>
    </cfRule>
    <cfRule type="cellIs" dxfId="88" priority="96" stopIfTrue="1" operator="equal">
      <formula>FALSE</formula>
    </cfRule>
  </conditionalFormatting>
  <conditionalFormatting sqref="G114">
    <cfRule type="cellIs" dxfId="87" priority="32" operator="equal">
      <formula>TRUE</formula>
    </cfRule>
  </conditionalFormatting>
  <conditionalFormatting sqref="G24">
    <cfRule type="cellIs" dxfId="86" priority="31" operator="equal">
      <formula>TRUE</formula>
    </cfRule>
  </conditionalFormatting>
  <conditionalFormatting sqref="G103">
    <cfRule type="cellIs" dxfId="85" priority="30" operator="equal">
      <formula>TRUE</formula>
    </cfRule>
  </conditionalFormatting>
  <conditionalFormatting sqref="G145">
    <cfRule type="cellIs" dxfId="84" priority="29" operator="equal">
      <formula>TRUE</formula>
    </cfRule>
  </conditionalFormatting>
  <conditionalFormatting sqref="G140">
    <cfRule type="cellIs" dxfId="83" priority="28" operator="equal">
      <formula>TRUE</formula>
    </cfRule>
  </conditionalFormatting>
  <conditionalFormatting sqref="G127">
    <cfRule type="cellIs" dxfId="82" priority="27" operator="equal">
      <formula>TRUE</formula>
    </cfRule>
  </conditionalFormatting>
  <conditionalFormatting sqref="W106">
    <cfRule type="cellIs" dxfId="81" priority="26" operator="equal">
      <formula>TRUE</formula>
    </cfRule>
  </conditionalFormatting>
  <conditionalFormatting sqref="W109">
    <cfRule type="cellIs" dxfId="80" priority="25" operator="equal">
      <formula>TRUE</formula>
    </cfRule>
  </conditionalFormatting>
  <conditionalFormatting sqref="W110">
    <cfRule type="cellIs" dxfId="79" priority="24" operator="equal">
      <formula>TRUE</formula>
    </cfRule>
  </conditionalFormatting>
  <conditionalFormatting sqref="L106:P106">
    <cfRule type="cellIs" dxfId="78" priority="23" operator="equal">
      <formula>TRUE</formula>
    </cfRule>
  </conditionalFormatting>
  <conditionalFormatting sqref="L109:P110">
    <cfRule type="cellIs" dxfId="77" priority="22" operator="equal">
      <formula>TRUE</formula>
    </cfRule>
  </conditionalFormatting>
  <conditionalFormatting sqref="L113:P113">
    <cfRule type="cellIs" dxfId="76" priority="21" operator="equal">
      <formula>TRUE</formula>
    </cfRule>
  </conditionalFormatting>
  <conditionalFormatting sqref="L47:P47">
    <cfRule type="cellIs" dxfId="75" priority="15" stopIfTrue="1" operator="equal">
      <formula>TRUE</formula>
    </cfRule>
    <cfRule type="cellIs" dxfId="74" priority="16" stopIfTrue="1" operator="equal">
      <formula>FALSE</formula>
    </cfRule>
  </conditionalFormatting>
  <conditionalFormatting sqref="L77:P77">
    <cfRule type="cellIs" dxfId="73" priority="11" stopIfTrue="1" operator="equal">
      <formula>TRUE</formula>
    </cfRule>
    <cfRule type="cellIs" dxfId="72" priority="12" stopIfTrue="1" operator="equal">
      <formula>FALSE</formula>
    </cfRule>
  </conditionalFormatting>
  <conditionalFormatting sqref="G65">
    <cfRule type="cellIs" dxfId="71" priority="2" operator="equal">
      <formula>TRUE</formula>
    </cfRule>
  </conditionalFormatting>
  <conditionalFormatting sqref="G95">
    <cfRule type="cellIs" dxfId="70" priority="1" operator="equal">
      <formula>TRUE</formula>
    </cfRule>
  </conditionalFormatting>
  <dataValidations count="10">
    <dataValidation type="list" allowBlank="1" showInputMessage="1" showErrorMessage="1" sqref="G11">
      <formula1>ODI.Type.List</formula1>
    </dataValidation>
    <dataValidation type="list" allowBlank="1" showInputMessage="1" showErrorMessage="1" sqref="G15:G16">
      <formula1>Applied.Adjustment</formula1>
    </dataValidation>
    <dataValidation type="list" allowBlank="1" showInputMessage="1" showErrorMessage="1" sqref="G83 G18 L50:P50 L92:P92 L114:P114 G126 G123 G120 G136 G133 G139 G39 G53 L80:P80 L62:P62">
      <formula1>"TRUE,FALSE"</formula1>
    </dataValidation>
    <dataValidation type="decimal" allowBlank="1" showInputMessage="1" showErrorMessage="1" sqref="L88:P89 L68:P68 L70:P70 L86:P86">
      <formula1>-9.99999999999999E+38</formula1>
      <formula2>9.99999999999999E+38</formula2>
    </dataValidation>
    <dataValidation type="list" allowBlank="1" showInputMessage="1" showErrorMessage="1" sqref="L148:P148">
      <formula1>Performance.List</formula1>
    </dataValidation>
    <dataValidation type="list" allowBlank="1" showInputMessage="1" showErrorMessage="1" sqref="G106 G109:G110 G113">
      <formula1>DeliveryYear.List</formula1>
    </dataValidation>
    <dataValidation type="list" allowBlank="1" showInputMessage="1" showErrorMessage="1" sqref="G13">
      <formula1>Crystallisation.List</formula1>
    </dataValidation>
    <dataValidation type="whole" operator="greaterThanOrEqual" allowBlank="1" showInputMessage="1" showErrorMessage="1" sqref="G31">
      <formula1>0</formula1>
    </dataValidation>
    <dataValidation type="decimal" operator="greaterThanOrEqual" allowBlank="1" showInputMessage="1" showErrorMessage="1" errorTitle="Positve values only" error="Only values greater than or equal to zero are valid. Please amend accordingly." sqref="G134 G137 L151:P152 G124 G121 L93:P93">
      <formula1>0</formula1>
    </dataValidation>
    <dataValidation type="decimal" operator="greaterThanOrEqual" allowBlank="1" showInputMessage="1" showErrorMessage="1" sqref="L51:P51 L81:P81 L63:P6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Y270"/>
  <sheetViews>
    <sheetView showGridLines="0" zoomScale="80" zoomScaleNormal="80" workbookViewId="0">
      <pane xSplit="5" ySplit="7" topLeftCell="F8" activePane="bottomRight" state="frozen"/>
      <selection activeCell="A8" sqref="A8"/>
      <selection pane="topRight" activeCell="A8" sqref="A8"/>
      <selection pane="bottomLeft" activeCell="A8" sqref="A8"/>
      <selection pane="bottomRight" activeCell="F8" sqref="F8"/>
    </sheetView>
  </sheetViews>
  <sheetFormatPr defaultColWidth="0" defaultRowHeight="12.75" zeroHeight="1"/>
  <cols>
    <col min="1" max="3" width="2.7109375" style="38" customWidth="1"/>
    <col min="4" max="4" width="9.7109375" style="38" customWidth="1"/>
    <col min="5" max="5" width="70.42578125" style="19" customWidth="1"/>
    <col min="6" max="6" width="15.140625" style="20" customWidth="1"/>
    <col min="7" max="7" width="12.7109375" style="38" bestFit="1" customWidth="1"/>
    <col min="8" max="8" width="4.28515625" style="19" customWidth="1"/>
    <col min="9" max="11" width="10.140625" style="19" customWidth="1"/>
    <col min="12" max="22" width="10.5703125" style="19" customWidth="1"/>
    <col min="23" max="23" width="6.28515625" style="19" bestFit="1" customWidth="1"/>
    <col min="24" max="24" width="23.42578125" style="19" bestFit="1" customWidth="1"/>
    <col min="25" max="25" width="10.42578125" style="19" customWidth="1"/>
    <col min="26" max="30" width="0" style="19" hidden="1" customWidth="1"/>
    <col min="31" max="16384" width="0" style="19" hidden="1"/>
  </cols>
  <sheetData>
    <row r="1" spans="1:25" s="2" customFormat="1" ht="33.75">
      <c r="A1" s="177"/>
      <c r="B1" s="177"/>
      <c r="C1" s="177"/>
      <c r="D1" s="31" t="s">
        <v>149</v>
      </c>
      <c r="E1" s="31"/>
      <c r="F1" s="190"/>
      <c r="G1" s="177"/>
      <c r="H1" s="31"/>
      <c r="I1" s="31"/>
      <c r="J1" s="31"/>
      <c r="K1" s="31"/>
      <c r="L1" s="31"/>
      <c r="M1" s="31"/>
      <c r="N1" s="31"/>
      <c r="O1" s="31"/>
      <c r="P1" s="31"/>
      <c r="Q1" s="31"/>
      <c r="R1" s="31"/>
      <c r="S1" s="31"/>
      <c r="T1" s="31"/>
      <c r="U1" s="31"/>
      <c r="V1" s="31"/>
      <c r="W1" s="31"/>
      <c r="X1" s="31"/>
      <c r="Y1" s="31"/>
    </row>
    <row r="2" spans="1:25" s="2" customFormat="1" ht="15">
      <c r="A2" s="208"/>
      <c r="B2" s="208"/>
      <c r="C2" s="208"/>
      <c r="D2" s="208"/>
      <c r="F2" s="20"/>
      <c r="G2" s="38"/>
      <c r="O2" s="19"/>
      <c r="P2" s="19"/>
    </row>
    <row r="3" spans="1:25">
      <c r="E3" s="19" t="s">
        <v>17</v>
      </c>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89"/>
      <c r="W3" s="26"/>
    </row>
    <row r="4" spans="1:25">
      <c r="A4" s="209">
        <v>2</v>
      </c>
      <c r="W4" s="26"/>
    </row>
    <row r="5" spans="1:25">
      <c r="E5" s="30" t="s">
        <v>34</v>
      </c>
      <c r="I5" s="29">
        <f t="shared" ref="I5:U5" si="1">Calendar.Years</f>
        <v>2012</v>
      </c>
      <c r="J5" s="29">
        <f t="shared" si="1"/>
        <v>2013</v>
      </c>
      <c r="K5" s="29">
        <f t="shared" si="1"/>
        <v>2014</v>
      </c>
      <c r="L5" s="29">
        <f t="shared" si="1"/>
        <v>2015</v>
      </c>
      <c r="M5" s="29">
        <f t="shared" si="1"/>
        <v>2016</v>
      </c>
      <c r="N5" s="29">
        <f t="shared" si="1"/>
        <v>2017</v>
      </c>
      <c r="O5" s="29">
        <f t="shared" si="1"/>
        <v>2018</v>
      </c>
      <c r="P5" s="29">
        <f t="shared" si="1"/>
        <v>2019</v>
      </c>
      <c r="Q5" s="29">
        <f t="shared" si="1"/>
        <v>2020</v>
      </c>
      <c r="R5" s="29">
        <f t="shared" si="1"/>
        <v>2021</v>
      </c>
      <c r="S5" s="29">
        <f t="shared" si="1"/>
        <v>2022</v>
      </c>
      <c r="T5" s="29">
        <f t="shared" si="1"/>
        <v>2023</v>
      </c>
      <c r="U5" s="29">
        <f t="shared" si="1"/>
        <v>2024</v>
      </c>
      <c r="V5" s="29"/>
      <c r="W5" s="26"/>
    </row>
    <row r="6" spans="1:25">
      <c r="E6" s="19" t="s">
        <v>18</v>
      </c>
      <c r="K6" s="8"/>
      <c r="L6" s="9">
        <v>1</v>
      </c>
      <c r="M6" s="9">
        <v>2</v>
      </c>
      <c r="N6" s="9">
        <v>3</v>
      </c>
      <c r="O6" s="9">
        <v>4</v>
      </c>
      <c r="P6" s="9">
        <v>5</v>
      </c>
      <c r="Q6" s="9">
        <v>6</v>
      </c>
      <c r="R6" s="9">
        <v>7</v>
      </c>
      <c r="S6" s="9">
        <v>8</v>
      </c>
      <c r="T6" s="9">
        <v>9</v>
      </c>
      <c r="U6" s="9">
        <v>10</v>
      </c>
      <c r="V6" s="29"/>
      <c r="X6" s="16"/>
      <c r="Y6" s="16"/>
    </row>
    <row r="7" spans="1:25"/>
    <row r="8" spans="1:25" s="13" customFormat="1" ht="15">
      <c r="A8" s="210"/>
      <c r="B8" s="211"/>
      <c r="C8" s="211"/>
      <c r="D8" s="39"/>
      <c r="E8" s="11" t="s">
        <v>47</v>
      </c>
      <c r="F8" s="191"/>
      <c r="G8" s="39"/>
      <c r="H8" s="12"/>
      <c r="I8" s="12"/>
      <c r="J8" s="12"/>
      <c r="K8" s="12"/>
      <c r="L8" s="12"/>
      <c r="M8" s="12"/>
      <c r="N8" s="12"/>
      <c r="O8" s="12"/>
      <c r="P8" s="12"/>
      <c r="Q8" s="12"/>
      <c r="R8" s="12"/>
      <c r="S8" s="12"/>
      <c r="T8" s="12"/>
      <c r="U8" s="12"/>
      <c r="V8" s="12"/>
      <c r="W8" s="12"/>
      <c r="X8" s="12"/>
      <c r="Y8" s="12"/>
    </row>
    <row r="9" spans="1:25"/>
    <row r="10" spans="1:25">
      <c r="D10" s="38" t="s">
        <v>19</v>
      </c>
      <c r="E10" s="19" t="s">
        <v>0</v>
      </c>
      <c r="G10" s="69"/>
    </row>
    <row r="11" spans="1:25">
      <c r="D11" s="38" t="s">
        <v>19</v>
      </c>
      <c r="E11" s="19" t="s">
        <v>1</v>
      </c>
      <c r="G11" s="69"/>
      <c r="H11" s="91">
        <f>IF(ISNA(MATCH(G11,ODI.Type.List,0)),0,MATCH(G11,ODI.Type.List,0))</f>
        <v>0</v>
      </c>
      <c r="I11" s="26" t="str">
        <f>"Incentive.Type."&amp;$A$4</f>
        <v>Incentive.Type.2</v>
      </c>
    </row>
    <row r="12" spans="1:25">
      <c r="I12" s="26"/>
    </row>
    <row r="13" spans="1:25">
      <c r="D13" s="43" t="s">
        <v>19</v>
      </c>
      <c r="E13" s="36" t="s">
        <v>135</v>
      </c>
      <c r="G13" s="178"/>
      <c r="H13" s="27">
        <f>IF(ISNA(MATCH(G13,Crystallisation.List,0)),0,MATCH(G13,Crystallisation.List,0))</f>
        <v>0</v>
      </c>
      <c r="I13" s="26" t="str">
        <f>"Crystallisation."&amp;$A$4</f>
        <v>Crystallisation.2</v>
      </c>
    </row>
    <row r="14" spans="1:25">
      <c r="I14" s="26"/>
    </row>
    <row r="15" spans="1:25">
      <c r="D15" s="38" t="s">
        <v>19</v>
      </c>
      <c r="E15" s="64" t="s">
        <v>22</v>
      </c>
      <c r="G15" s="179"/>
      <c r="H15" s="27">
        <f>IF(ISNA(MATCH(G15,Applied.Adjustment,0)),0,MATCH(G15,Applied.Adjustment,0))</f>
        <v>0</v>
      </c>
      <c r="I15" s="26" t="str">
        <f>"NetReward.Applied."&amp;$A$4</f>
        <v>NetReward.Applied.2</v>
      </c>
      <c r="K15" s="32"/>
    </row>
    <row r="16" spans="1:25">
      <c r="D16" s="38" t="s">
        <v>19</v>
      </c>
      <c r="E16" s="64" t="s">
        <v>23</v>
      </c>
      <c r="G16" s="179"/>
      <c r="H16" s="27">
        <f>IF(ISNA(MATCH(G16,Applied.Adjustment,0)),0,MATCH(G16,Applied.Adjustment,0))</f>
        <v>0</v>
      </c>
      <c r="I16" s="26" t="str">
        <f>"NetPenalty.Applied."&amp;$A$4</f>
        <v>NetPenalty.Applied.2</v>
      </c>
      <c r="K16" s="32"/>
    </row>
    <row r="17" spans="1:25"/>
    <row r="18" spans="1:25">
      <c r="D18" s="43" t="s">
        <v>21</v>
      </c>
      <c r="E18" s="36" t="s">
        <v>236</v>
      </c>
      <c r="G18" s="180"/>
      <c r="H18" s="26" t="str">
        <f>"ODI.AggCap.Flag."&amp;$A$4</f>
        <v>ODI.AggCap.Flag.2</v>
      </c>
    </row>
    <row r="19" spans="1:25" customFormat="1">
      <c r="A19" s="40"/>
      <c r="B19" s="40"/>
      <c r="C19" s="40"/>
      <c r="D19" s="40"/>
      <c r="F19" s="176"/>
      <c r="G19" s="40"/>
    </row>
    <row r="20" spans="1:25" s="13" customFormat="1" ht="15">
      <c r="A20" s="210"/>
      <c r="B20" s="211"/>
      <c r="C20" s="211"/>
      <c r="D20" s="39"/>
      <c r="E20" s="11" t="s">
        <v>49</v>
      </c>
      <c r="F20" s="191"/>
      <c r="G20" s="39"/>
      <c r="H20" s="12"/>
      <c r="I20" s="12"/>
      <c r="J20" s="12"/>
      <c r="K20" s="12"/>
      <c r="L20" s="12"/>
      <c r="M20" s="12"/>
      <c r="N20" s="12"/>
      <c r="O20" s="12"/>
      <c r="P20" s="12"/>
      <c r="Q20" s="12"/>
      <c r="R20" s="12"/>
      <c r="S20" s="12"/>
      <c r="T20" s="12"/>
      <c r="U20" s="12"/>
      <c r="V20" s="12"/>
      <c r="W20" s="12"/>
      <c r="X20" s="12"/>
      <c r="Y20" s="12"/>
    </row>
    <row r="21" spans="1:25">
      <c r="K21" s="23"/>
      <c r="L21" s="23"/>
      <c r="M21" s="23"/>
      <c r="N21" s="23"/>
      <c r="O21" s="23"/>
      <c r="P21" s="23"/>
      <c r="Q21" s="23"/>
      <c r="R21" s="23"/>
      <c r="S21" s="23"/>
      <c r="W21" s="26"/>
    </row>
    <row r="22" spans="1:25" s="51" customFormat="1" ht="15">
      <c r="A22" s="212"/>
      <c r="B22" s="213"/>
      <c r="C22" s="213"/>
      <c r="D22" s="48"/>
      <c r="E22" s="49" t="s">
        <v>48</v>
      </c>
      <c r="F22" s="192"/>
      <c r="G22" s="48"/>
      <c r="H22" s="50"/>
      <c r="I22" s="50"/>
      <c r="J22" s="50"/>
      <c r="K22" s="50"/>
      <c r="L22" s="50"/>
      <c r="M22" s="50"/>
      <c r="N22" s="50"/>
      <c r="O22" s="50"/>
      <c r="P22" s="50"/>
      <c r="Q22" s="50"/>
      <c r="R22" s="50"/>
      <c r="S22" s="50"/>
      <c r="T22" s="50"/>
      <c r="U22" s="50"/>
      <c r="V22" s="50"/>
      <c r="W22" s="50"/>
      <c r="X22" s="50"/>
      <c r="Y22" s="50"/>
    </row>
    <row r="23" spans="1:25">
      <c r="K23" s="23"/>
      <c r="L23" s="23"/>
      <c r="M23" s="23"/>
      <c r="N23" s="23"/>
      <c r="O23" s="23"/>
      <c r="P23" s="23"/>
      <c r="Q23" s="23"/>
      <c r="R23" s="23"/>
      <c r="S23" s="23"/>
      <c r="W23" s="26"/>
    </row>
    <row r="24" spans="1:25">
      <c r="B24" s="209">
        <v>1</v>
      </c>
      <c r="E24" s="16" t="s">
        <v>198</v>
      </c>
      <c r="G24" s="181" t="b">
        <f>IF(G11=INDEX(ODI.Type.List,B24,),TRUE,FALSE)</f>
        <v>0</v>
      </c>
      <c r="H24" s="26" t="str">
        <f>"Numeric.Flag."&amp;$A$4</f>
        <v>Numeric.Flag.2</v>
      </c>
      <c r="K24" s="23"/>
      <c r="L24" s="23"/>
      <c r="M24" s="23"/>
      <c r="N24" s="23"/>
      <c r="O24" s="23"/>
      <c r="P24" s="23"/>
      <c r="Q24" s="23"/>
      <c r="R24" s="23"/>
      <c r="S24" s="23"/>
      <c r="W24" s="26"/>
    </row>
    <row r="25" spans="1:25">
      <c r="B25" s="40"/>
      <c r="C25" s="40"/>
      <c r="D25" s="40"/>
      <c r="E25"/>
      <c r="K25" s="23"/>
      <c r="L25" s="23"/>
      <c r="M25" s="23"/>
      <c r="N25" s="23"/>
      <c r="O25" s="23"/>
      <c r="P25" s="23"/>
      <c r="Q25" s="23"/>
      <c r="R25" s="23"/>
      <c r="S25" s="23"/>
      <c r="W25" s="26"/>
    </row>
    <row r="26" spans="1:25">
      <c r="B26" s="40"/>
      <c r="C26" s="40"/>
      <c r="D26" s="40"/>
      <c r="E26" s="37" t="s">
        <v>29</v>
      </c>
      <c r="K26" s="23"/>
      <c r="L26" s="24"/>
      <c r="M26" s="24"/>
      <c r="N26" s="24"/>
      <c r="O26" s="24"/>
      <c r="P26" s="24"/>
      <c r="Q26" s="23"/>
      <c r="R26" s="23"/>
      <c r="S26" s="23"/>
      <c r="W26" s="26"/>
      <c r="X26" s="57"/>
      <c r="Y26" s="57"/>
    </row>
    <row r="27" spans="1:25">
      <c r="A27" s="224"/>
      <c r="B27" s="224"/>
      <c r="C27" s="224"/>
      <c r="D27" s="225" t="s">
        <v>322</v>
      </c>
      <c r="E27" s="17" t="s">
        <v>199</v>
      </c>
      <c r="F27" s="20" t="s">
        <v>46</v>
      </c>
      <c r="G27" s="182"/>
      <c r="K27" s="23"/>
      <c r="L27" s="218"/>
      <c r="M27" s="218"/>
      <c r="N27" s="218"/>
      <c r="O27" s="218"/>
      <c r="P27" s="218"/>
      <c r="S27" s="23"/>
      <c r="V27" s="26" t="str">
        <f>"PC."&amp;$A$4</f>
        <v>PC.2</v>
      </c>
      <c r="X27" s="77"/>
      <c r="Y27" s="77"/>
    </row>
    <row r="28" spans="1:25">
      <c r="A28" s="224"/>
      <c r="B28" s="224"/>
      <c r="C28" s="224"/>
      <c r="D28" s="224"/>
      <c r="E28" s="17"/>
      <c r="G28" s="182"/>
      <c r="K28" s="23"/>
      <c r="L28" s="23"/>
      <c r="M28" s="23"/>
      <c r="N28" s="23"/>
      <c r="O28" s="23"/>
      <c r="P28" s="23"/>
      <c r="S28" s="23"/>
      <c r="V28" s="26"/>
      <c r="X28" s="77"/>
      <c r="Y28" s="77"/>
    </row>
    <row r="29" spans="1:25">
      <c r="A29" s="224"/>
      <c r="B29" s="224"/>
      <c r="C29" s="226"/>
      <c r="D29" s="224"/>
      <c r="E29" s="16" t="s">
        <v>26</v>
      </c>
      <c r="K29" s="23"/>
      <c r="L29" s="23"/>
      <c r="M29" s="23"/>
      <c r="N29" s="23"/>
      <c r="O29" s="23"/>
      <c r="P29" s="23"/>
      <c r="R29" s="23"/>
      <c r="S29" s="23"/>
      <c r="V29" s="26"/>
    </row>
    <row r="30" spans="1:25">
      <c r="A30" s="224"/>
      <c r="B30" s="224"/>
      <c r="C30" s="224"/>
      <c r="D30" s="225" t="s">
        <v>289</v>
      </c>
      <c r="E30" s="17" t="s">
        <v>50</v>
      </c>
      <c r="F30" s="20" t="s">
        <v>46</v>
      </c>
      <c r="K30" s="23"/>
      <c r="L30" s="218"/>
      <c r="M30" s="218"/>
      <c r="N30" s="218"/>
      <c r="O30" s="218"/>
      <c r="P30" s="218"/>
      <c r="R30" s="23"/>
      <c r="S30" s="23"/>
      <c r="V30" s="26"/>
      <c r="X30" s="57"/>
      <c r="Y30" s="57"/>
    </row>
    <row r="31" spans="1:25">
      <c r="A31" s="224"/>
      <c r="B31" s="224"/>
      <c r="C31" s="224"/>
      <c r="D31" s="225" t="s">
        <v>289</v>
      </c>
      <c r="E31" s="17" t="s">
        <v>181</v>
      </c>
      <c r="F31" s="176"/>
      <c r="G31" s="175"/>
      <c r="H31" s="26" t="str">
        <f>"Rounding.Num."&amp;$A$4</f>
        <v>Rounding.Num.2</v>
      </c>
      <c r="I31"/>
      <c r="J31"/>
      <c r="K31"/>
      <c r="L31"/>
      <c r="M31"/>
      <c r="N31"/>
      <c r="O31"/>
      <c r="P31"/>
      <c r="S31" s="23"/>
      <c r="V31"/>
      <c r="W31" s="26"/>
      <c r="X31" s="77"/>
      <c r="Y31" s="77"/>
    </row>
    <row r="32" spans="1:25">
      <c r="A32" s="224"/>
      <c r="B32" s="224"/>
      <c r="C32" s="224"/>
      <c r="D32" s="224"/>
      <c r="E32"/>
      <c r="F32" s="176"/>
      <c r="G32" s="40"/>
      <c r="H32"/>
      <c r="I32"/>
      <c r="J32"/>
      <c r="K32"/>
      <c r="L32"/>
      <c r="M32"/>
      <c r="N32"/>
      <c r="O32"/>
      <c r="P32"/>
      <c r="S32" s="23"/>
      <c r="V32"/>
      <c r="W32" s="26"/>
      <c r="X32" s="77"/>
      <c r="Y32" s="77"/>
    </row>
    <row r="33" spans="1:25">
      <c r="A33" s="224"/>
      <c r="B33" s="224"/>
      <c r="C33" s="224"/>
      <c r="D33" s="225" t="s">
        <v>323</v>
      </c>
      <c r="E33" s="17" t="s">
        <v>180</v>
      </c>
      <c r="F33" s="176"/>
      <c r="G33" s="40"/>
      <c r="H33"/>
      <c r="I33"/>
      <c r="J33"/>
      <c r="K33"/>
      <c r="L33" s="219">
        <f>IF(Rounding.Num.2="",L30, ROUND(L30,Rounding.Num.2))</f>
        <v>0</v>
      </c>
      <c r="M33" s="220">
        <f>IF(Rounding.Num.1="",M30, ROUND(M30,Rounding.Num.1))</f>
        <v>0</v>
      </c>
      <c r="N33" s="220">
        <f>IF(Rounding.Num.1="",N30, ROUND(N30,Rounding.Num.1))</f>
        <v>0</v>
      </c>
      <c r="O33" s="220">
        <f>IF(Rounding.Num.1="",O30, ROUND(O30,Rounding.Num.1))</f>
        <v>0</v>
      </c>
      <c r="P33" s="220">
        <f>IF(Rounding.Num.1="",P30, ROUND(P30,Rounding.Num.1))</f>
        <v>0</v>
      </c>
      <c r="S33" s="23"/>
      <c r="V33" s="26" t="str">
        <f>"Performance."&amp;$A$4</f>
        <v>Performance.2</v>
      </c>
      <c r="W33" s="26"/>
      <c r="X33" s="77"/>
      <c r="Y33" s="77"/>
    </row>
    <row r="34" spans="1:25">
      <c r="A34" s="224"/>
      <c r="B34" s="224"/>
      <c r="C34" s="224"/>
      <c r="D34" s="224"/>
      <c r="E34" s="17"/>
      <c r="G34" s="182"/>
      <c r="K34" s="23"/>
      <c r="L34" s="23"/>
      <c r="M34" s="23"/>
      <c r="N34" s="23"/>
      <c r="O34" s="23"/>
      <c r="P34" s="23"/>
      <c r="S34" s="23"/>
      <c r="V34" s="23"/>
      <c r="W34" s="26"/>
      <c r="X34" s="77"/>
      <c r="Y34" s="77"/>
    </row>
    <row r="35" spans="1:25" customFormat="1">
      <c r="A35" s="227"/>
      <c r="B35" s="227"/>
      <c r="C35" s="227"/>
      <c r="D35" s="224"/>
      <c r="E35" s="16" t="s">
        <v>37</v>
      </c>
      <c r="F35" s="20"/>
      <c r="G35" s="40"/>
      <c r="H35" s="19"/>
      <c r="I35" s="19"/>
      <c r="J35" s="19"/>
      <c r="K35" s="23"/>
      <c r="L35" s="23"/>
      <c r="M35" s="23"/>
      <c r="N35" s="23"/>
      <c r="O35" s="23"/>
      <c r="P35" s="23"/>
      <c r="Q35" s="19"/>
      <c r="X35" s="20"/>
      <c r="Y35" s="20"/>
    </row>
    <row r="36" spans="1:25" customFormat="1">
      <c r="A36" s="40"/>
      <c r="B36" s="40"/>
      <c r="C36" s="40"/>
      <c r="D36" s="38" t="s">
        <v>19</v>
      </c>
      <c r="E36" s="17" t="s">
        <v>11</v>
      </c>
      <c r="F36" s="20"/>
      <c r="G36" s="183"/>
      <c r="Q36" s="19"/>
    </row>
    <row r="37" spans="1:25" customFormat="1">
      <c r="A37" s="40"/>
      <c r="B37" s="40"/>
      <c r="C37" s="40"/>
      <c r="D37" s="40"/>
      <c r="F37" s="176"/>
      <c r="G37" s="40"/>
      <c r="Q37" s="19"/>
    </row>
    <row r="38" spans="1:25" customFormat="1">
      <c r="A38" s="40"/>
      <c r="B38" s="40"/>
      <c r="C38" s="40"/>
      <c r="D38" s="40"/>
      <c r="E38" s="45" t="s">
        <v>190</v>
      </c>
      <c r="F38" s="176"/>
      <c r="G38" s="40"/>
      <c r="Q38" s="19"/>
    </row>
    <row r="39" spans="1:25" customFormat="1">
      <c r="A39" s="40"/>
      <c r="B39" s="40"/>
      <c r="C39" s="40"/>
      <c r="D39" s="59" t="s">
        <v>21</v>
      </c>
      <c r="E39" s="17" t="s">
        <v>249</v>
      </c>
      <c r="F39" s="176"/>
      <c r="G39" s="180"/>
      <c r="H39" s="26" t="str">
        <f>"Reward.Orientation."&amp;$A$4</f>
        <v>Reward.Orientation.2</v>
      </c>
      <c r="Q39" s="19"/>
    </row>
    <row r="40" spans="1:25" customFormat="1">
      <c r="A40" s="40"/>
      <c r="B40" s="40"/>
      <c r="C40" s="40"/>
      <c r="D40" s="40"/>
      <c r="F40" s="176"/>
      <c r="G40" s="40"/>
      <c r="Q40" s="19"/>
    </row>
    <row r="41" spans="1:25" s="55" customFormat="1" ht="15">
      <c r="A41" s="215"/>
      <c r="B41" s="216"/>
      <c r="C41" s="216"/>
      <c r="D41" s="52"/>
      <c r="E41" s="53" t="s">
        <v>206</v>
      </c>
      <c r="F41" s="193"/>
      <c r="G41" s="52"/>
      <c r="H41" s="54"/>
      <c r="I41" s="54"/>
      <c r="J41" s="54"/>
      <c r="K41" s="54"/>
      <c r="L41" s="54"/>
      <c r="M41" s="54"/>
      <c r="N41" s="54"/>
      <c r="O41" s="54"/>
      <c r="P41" s="54"/>
      <c r="Q41" s="54"/>
      <c r="R41" s="54"/>
      <c r="S41" s="54"/>
      <c r="T41" s="54"/>
      <c r="U41" s="54"/>
      <c r="V41" s="54"/>
      <c r="W41" s="54"/>
      <c r="X41" s="54"/>
      <c r="Y41" s="54"/>
    </row>
    <row r="42" spans="1:25" customFormat="1">
      <c r="A42" s="40"/>
      <c r="B42" s="40"/>
      <c r="C42" s="40"/>
      <c r="D42" s="40"/>
      <c r="F42" s="176"/>
      <c r="G42" s="40"/>
      <c r="Q42" s="19"/>
    </row>
    <row r="43" spans="1:25" customFormat="1">
      <c r="A43" s="227"/>
      <c r="B43" s="227"/>
      <c r="C43" s="227"/>
      <c r="D43" s="227"/>
      <c r="E43" s="76" t="s">
        <v>288</v>
      </c>
      <c r="F43" s="176"/>
      <c r="G43" s="40"/>
      <c r="Q43" s="19"/>
    </row>
    <row r="44" spans="1:25" customFormat="1">
      <c r="A44" s="224"/>
      <c r="B44" s="224"/>
      <c r="C44" s="224"/>
      <c r="D44" s="225" t="s">
        <v>322</v>
      </c>
      <c r="E44" s="17" t="s">
        <v>182</v>
      </c>
      <c r="F44" s="20" t="s">
        <v>46</v>
      </c>
      <c r="G44" s="38"/>
      <c r="H44" s="19"/>
      <c r="I44" s="19"/>
      <c r="J44" s="46"/>
      <c r="K44" s="46"/>
      <c r="L44" s="218"/>
      <c r="M44" s="218"/>
      <c r="N44" s="218"/>
      <c r="O44" s="218"/>
      <c r="P44" s="218"/>
      <c r="Q44" s="19"/>
      <c r="V44" s="70" t="str">
        <f>"Penalty.Collar."&amp;$A$4</f>
        <v>Penalty.Collar.2</v>
      </c>
    </row>
    <row r="45" spans="1:25" customFormat="1">
      <c r="A45" s="224"/>
      <c r="B45" s="224"/>
      <c r="C45" s="224"/>
      <c r="D45" s="225" t="s">
        <v>322</v>
      </c>
      <c r="E45" s="17" t="s">
        <v>183</v>
      </c>
      <c r="F45" s="20" t="s">
        <v>46</v>
      </c>
      <c r="G45" s="38"/>
      <c r="H45" s="19"/>
      <c r="I45" s="19"/>
      <c r="J45" s="46"/>
      <c r="K45" s="46"/>
      <c r="L45" s="218"/>
      <c r="M45" s="218"/>
      <c r="N45" s="218"/>
      <c r="O45" s="218"/>
      <c r="P45" s="218"/>
      <c r="Q45" s="19"/>
      <c r="V45" s="70" t="str">
        <f>"Penalty.Deadband."&amp;$A$4</f>
        <v>Penalty.Deadband.2</v>
      </c>
    </row>
    <row r="46" spans="1:25" customFormat="1">
      <c r="A46" s="227"/>
      <c r="B46" s="227"/>
      <c r="C46" s="227"/>
      <c r="D46" s="227"/>
      <c r="F46" s="176"/>
      <c r="G46" s="40"/>
      <c r="Q46" s="19"/>
    </row>
    <row r="47" spans="1:25" customFormat="1">
      <c r="A47" s="227"/>
      <c r="B47" s="227"/>
      <c r="C47" s="227"/>
      <c r="D47" s="227"/>
      <c r="E47" t="s">
        <v>186</v>
      </c>
      <c r="F47" s="176"/>
      <c r="G47" s="40"/>
      <c r="L47" s="96" t="b">
        <f>NOT(OR(AND(PC.2="",Penalty.Collar.2&lt;&gt;""),AND(PC.2="",Penalty.Deadband.2&lt;&gt;""),AND(Reward.Orientation.2,Penalty.Collar.2&lt;&gt;"",Penalty.Deadband.2&lt;&gt;"",Penalty.Collar.2&gt;Penalty.Deadband.2),AND(NOT(Reward.Orientation.2),Penalty.Collar.2&lt;&gt;"",Penalty.Deadband.2&lt;&gt;"",Penalty.Collar.2&lt;Penalty.Deadband.2),AND(Reward.Orientation.2, PC.2&lt;&gt;"",Penalty.Collar.2&lt;&gt;"",Penalty.Collar.2&gt;PC.2),AND(NOT(Reward.Orientation.2), PC.2&lt;&gt;"",Penalty.Collar.2&lt;&gt;"",Penalty.Collar.2&lt;PC.2),AND(Reward.Orientation.2,PC.2&lt;&gt;"",Penalty.Deadband.2&lt;&gt;"",Penalty.Deadband.2&gt;PC.2),AND(NOT(Reward.Orientation.2),PC.2&lt;&gt;"",Penalty.Deadband.2&lt;&gt;"",Penalty.Deadband.2&lt;PC.2)))</f>
        <v>1</v>
      </c>
      <c r="M47" s="96" t="b">
        <f>NOT(OR(AND(PC.2="",Penalty.Collar.2&lt;&gt;""),AND(PC.2="",Penalty.Deadband.2&lt;&gt;""),AND(Reward.Orientation.2,Penalty.Collar.2&lt;&gt;"",Penalty.Deadband.2&lt;&gt;"",Penalty.Collar.2&gt;Penalty.Deadband.2),AND(NOT(Reward.Orientation.2),Penalty.Collar.2&lt;&gt;"",Penalty.Deadband.2&lt;&gt;"",Penalty.Collar.2&lt;Penalty.Deadband.2),AND(Reward.Orientation.2, PC.2&lt;&gt;"",Penalty.Collar.2&lt;&gt;"",Penalty.Collar.2&gt;PC.2),AND(NOT(Reward.Orientation.2), PC.2&lt;&gt;"",Penalty.Collar.2&lt;&gt;"",Penalty.Collar.2&lt;PC.2),AND(Reward.Orientation.2,PC.2&lt;&gt;"",Penalty.Deadband.2&lt;&gt;"",Penalty.Deadband.2&gt;PC.2),AND(NOT(Reward.Orientation.2),PC.2&lt;&gt;"",Penalty.Deadband.2&lt;&gt;"",Penalty.Deadband.2&lt;PC.2)))</f>
        <v>1</v>
      </c>
      <c r="N47" s="96" t="b">
        <f>NOT(OR(AND(PC.2="",Penalty.Collar.2&lt;&gt;""),AND(PC.2="",Penalty.Deadband.2&lt;&gt;""),AND(Reward.Orientation.2,Penalty.Collar.2&lt;&gt;"",Penalty.Deadband.2&lt;&gt;"",Penalty.Collar.2&gt;Penalty.Deadband.2),AND(NOT(Reward.Orientation.2),Penalty.Collar.2&lt;&gt;"",Penalty.Deadband.2&lt;&gt;"",Penalty.Collar.2&lt;Penalty.Deadband.2),AND(Reward.Orientation.2, PC.2&lt;&gt;"",Penalty.Collar.2&lt;&gt;"",Penalty.Collar.2&gt;PC.2),AND(NOT(Reward.Orientation.2), PC.2&lt;&gt;"",Penalty.Collar.2&lt;&gt;"",Penalty.Collar.2&lt;PC.2),AND(Reward.Orientation.2,PC.2&lt;&gt;"",Penalty.Deadband.2&lt;&gt;"",Penalty.Deadband.2&gt;PC.2),AND(NOT(Reward.Orientation.2),PC.2&lt;&gt;"",Penalty.Deadband.2&lt;&gt;"",Penalty.Deadband.2&lt;PC.2)))</f>
        <v>1</v>
      </c>
      <c r="O47" s="96" t="b">
        <f>NOT(OR(AND(PC.2="",Penalty.Collar.2&lt;&gt;""),AND(PC.2="",Penalty.Deadband.2&lt;&gt;""),AND(Reward.Orientation.2,Penalty.Collar.2&lt;&gt;"",Penalty.Deadband.2&lt;&gt;"",Penalty.Collar.2&gt;Penalty.Deadband.2),AND(NOT(Reward.Orientation.2),Penalty.Collar.2&lt;&gt;"",Penalty.Deadband.2&lt;&gt;"",Penalty.Collar.2&lt;Penalty.Deadband.2),AND(Reward.Orientation.2, PC.2&lt;&gt;"",Penalty.Collar.2&lt;&gt;"",Penalty.Collar.2&gt;PC.2),AND(NOT(Reward.Orientation.2), PC.2&lt;&gt;"",Penalty.Collar.2&lt;&gt;"",Penalty.Collar.2&lt;PC.2),AND(Reward.Orientation.2,PC.2&lt;&gt;"",Penalty.Deadband.2&lt;&gt;"",Penalty.Deadband.2&gt;PC.2),AND(NOT(Reward.Orientation.2),PC.2&lt;&gt;"",Penalty.Deadband.2&lt;&gt;"",Penalty.Deadband.2&lt;PC.2)))</f>
        <v>1</v>
      </c>
      <c r="P47" s="96" t="b">
        <f>NOT(OR(AND(PC.2="",Penalty.Collar.2&lt;&gt;""),AND(PC.2="",Penalty.Deadband.2&lt;&gt;""),AND(Reward.Orientation.2,Penalty.Collar.2&lt;&gt;"",Penalty.Deadband.2&lt;&gt;"",Penalty.Collar.2&gt;Penalty.Deadband.2),AND(NOT(Reward.Orientation.2),Penalty.Collar.2&lt;&gt;"",Penalty.Deadband.2&lt;&gt;"",Penalty.Collar.2&lt;Penalty.Deadband.2),AND(Reward.Orientation.2, PC.2&lt;&gt;"",Penalty.Collar.2&lt;&gt;"",Penalty.Collar.2&gt;PC.2),AND(NOT(Reward.Orientation.2), PC.2&lt;&gt;"",Penalty.Collar.2&lt;&gt;"",Penalty.Collar.2&lt;PC.2),AND(Reward.Orientation.2,PC.2&lt;&gt;"",Penalty.Deadband.2&lt;&gt;"",Penalty.Deadband.2&gt;PC.2),AND(NOT(Reward.Orientation.2),PC.2&lt;&gt;"",Penalty.Deadband.2&lt;&gt;"",Penalty.Deadband.2&lt;PC.2)))</f>
        <v>1</v>
      </c>
      <c r="Q47" s="19"/>
    </row>
    <row r="48" spans="1:25" customFormat="1">
      <c r="A48" s="227"/>
      <c r="B48" s="227"/>
      <c r="C48" s="227"/>
      <c r="D48" s="227"/>
      <c r="F48" s="176"/>
      <c r="G48" s="40"/>
      <c r="Q48" s="19"/>
    </row>
    <row r="49" spans="1:25" customFormat="1">
      <c r="A49" s="227"/>
      <c r="B49" s="224"/>
      <c r="C49" s="227"/>
      <c r="D49" s="228"/>
      <c r="E49" s="76" t="s">
        <v>64</v>
      </c>
      <c r="F49" s="20"/>
      <c r="G49" s="184"/>
      <c r="H49" s="58"/>
      <c r="I49" s="46"/>
      <c r="J49" s="46"/>
      <c r="K49" s="46"/>
      <c r="L49" s="46"/>
      <c r="M49" s="46"/>
      <c r="N49" s="46"/>
      <c r="O49" s="46"/>
      <c r="P49" s="46"/>
      <c r="Q49" s="19"/>
      <c r="R49" s="46"/>
      <c r="S49" s="46"/>
      <c r="T49" s="46"/>
      <c r="U49" s="46"/>
      <c r="V49" s="46"/>
      <c r="X49" s="56"/>
      <c r="Y49" s="56"/>
    </row>
    <row r="50" spans="1:25" customFormat="1">
      <c r="A50" s="227"/>
      <c r="B50" s="224"/>
      <c r="C50" s="224"/>
      <c r="D50" s="228" t="s">
        <v>21</v>
      </c>
      <c r="E50" s="17" t="s">
        <v>78</v>
      </c>
      <c r="F50" s="20"/>
      <c r="G50" s="184"/>
      <c r="H50" s="58"/>
      <c r="I50" s="46"/>
      <c r="J50" s="46"/>
      <c r="K50" s="46"/>
      <c r="L50" s="60"/>
      <c r="M50" s="60"/>
      <c r="N50" s="60"/>
      <c r="O50" s="60"/>
      <c r="P50" s="60"/>
      <c r="Q50" s="19"/>
      <c r="R50" s="46"/>
      <c r="S50" s="46"/>
      <c r="T50" s="46"/>
      <c r="U50" s="46"/>
      <c r="V50" s="26" t="str">
        <f>"Penalty1.Year.Flag"&amp;$A$4</f>
        <v>Penalty1.Year.Flag2</v>
      </c>
      <c r="W50" s="19"/>
      <c r="X50" s="57"/>
      <c r="Y50" s="57"/>
    </row>
    <row r="51" spans="1:25" customFormat="1">
      <c r="A51" s="227"/>
      <c r="B51" s="224"/>
      <c r="C51" s="224"/>
      <c r="D51" s="228" t="s">
        <v>30</v>
      </c>
      <c r="E51" s="17" t="s">
        <v>39</v>
      </c>
      <c r="F51" s="20" t="s">
        <v>46</v>
      </c>
      <c r="G51" s="38"/>
      <c r="H51" s="19"/>
      <c r="I51" s="19"/>
      <c r="J51" s="46"/>
      <c r="K51" s="46"/>
      <c r="L51" s="97"/>
      <c r="M51" s="97"/>
      <c r="N51" s="97"/>
      <c r="O51" s="97"/>
      <c r="P51" s="97"/>
      <c r="Q51" s="19"/>
      <c r="R51" s="19"/>
      <c r="S51" s="57"/>
      <c r="T51" s="46"/>
      <c r="U51" s="46"/>
      <c r="V51" s="26" t="str">
        <f>"Penalty1.Rate."&amp;$A$4</f>
        <v>Penalty1.Rate.2</v>
      </c>
      <c r="W51" s="19"/>
      <c r="X51" s="57"/>
      <c r="Y51" s="57"/>
    </row>
    <row r="52" spans="1:25" customFormat="1">
      <c r="A52" s="227"/>
      <c r="B52" s="224"/>
      <c r="C52" s="224"/>
      <c r="D52" s="228"/>
      <c r="E52" s="17"/>
      <c r="F52" s="20"/>
      <c r="G52" s="38"/>
      <c r="H52" s="19"/>
      <c r="I52" s="19"/>
      <c r="J52" s="46"/>
      <c r="K52" s="46"/>
      <c r="Q52" s="19"/>
      <c r="R52" s="19"/>
      <c r="S52" s="57"/>
      <c r="T52" s="46"/>
      <c r="U52" s="46"/>
      <c r="V52" s="26"/>
      <c r="W52" s="19"/>
      <c r="X52" s="57"/>
      <c r="Y52" s="57"/>
    </row>
    <row r="53" spans="1:25" customFormat="1">
      <c r="A53" s="227"/>
      <c r="B53" s="224"/>
      <c r="C53" s="224"/>
      <c r="D53" s="228"/>
      <c r="E53" s="17" t="s">
        <v>200</v>
      </c>
      <c r="F53" s="20"/>
      <c r="G53" s="180"/>
      <c r="H53" s="26" t="str">
        <f>"Penalty.Limits.Flag."&amp;$A$4</f>
        <v>Penalty.Limits.Flag.2</v>
      </c>
      <c r="I53" s="19"/>
      <c r="J53" s="46"/>
      <c r="K53" s="46"/>
      <c r="Q53" s="19"/>
      <c r="R53" s="19"/>
      <c r="S53" s="57"/>
      <c r="T53" s="46"/>
      <c r="U53" s="46"/>
      <c r="V53" s="26"/>
      <c r="W53" s="19"/>
      <c r="X53" s="57"/>
      <c r="Y53" s="57"/>
    </row>
    <row r="54" spans="1:25" customFormat="1">
      <c r="A54" s="224"/>
      <c r="B54" s="224"/>
      <c r="C54" s="224"/>
      <c r="D54" s="225" t="s">
        <v>322</v>
      </c>
      <c r="E54" s="17" t="s">
        <v>79</v>
      </c>
      <c r="F54" s="20" t="s">
        <v>46</v>
      </c>
      <c r="G54" s="38"/>
      <c r="H54" s="19"/>
      <c r="I54" s="19"/>
      <c r="J54" s="46"/>
      <c r="K54" s="46"/>
      <c r="L54" s="218"/>
      <c r="M54" s="218"/>
      <c r="N54" s="218"/>
      <c r="O54" s="218"/>
      <c r="P54" s="218"/>
      <c r="Q54" s="19"/>
      <c r="R54" s="19"/>
      <c r="S54" s="57"/>
      <c r="T54" s="46"/>
      <c r="U54" s="46"/>
      <c r="V54" s="26" t="str">
        <f>"Penalty1.Lower."&amp;$A$4</f>
        <v>Penalty1.Lower.2</v>
      </c>
      <c r="W54" s="19"/>
      <c r="X54" s="57"/>
      <c r="Y54" s="57"/>
    </row>
    <row r="55" spans="1:25" customFormat="1">
      <c r="A55" s="224"/>
      <c r="B55" s="224"/>
      <c r="C55" s="224"/>
      <c r="D55" s="225" t="s">
        <v>322</v>
      </c>
      <c r="E55" s="17" t="s">
        <v>80</v>
      </c>
      <c r="F55" s="20" t="s">
        <v>46</v>
      </c>
      <c r="G55" s="38"/>
      <c r="H55" s="19"/>
      <c r="I55" s="19"/>
      <c r="J55" s="46"/>
      <c r="K55" s="46"/>
      <c r="L55" s="218"/>
      <c r="M55" s="218"/>
      <c r="N55" s="218"/>
      <c r="O55" s="218"/>
      <c r="P55" s="218"/>
      <c r="Q55" s="19"/>
      <c r="R55" s="19"/>
      <c r="S55" s="57"/>
      <c r="T55" s="46"/>
      <c r="U55" s="46"/>
      <c r="V55" s="26" t="str">
        <f>"Penalty1.Upper."&amp;$A$4</f>
        <v>Penalty1.Upper.2</v>
      </c>
      <c r="W55" s="19"/>
      <c r="X55" s="57"/>
      <c r="Y55" s="57"/>
    </row>
    <row r="56" spans="1:25" customFormat="1">
      <c r="A56" s="227"/>
      <c r="B56" s="227"/>
      <c r="C56" s="227"/>
      <c r="D56" s="227"/>
      <c r="F56" s="176"/>
      <c r="G56" s="40"/>
      <c r="Q56" s="19"/>
    </row>
    <row r="57" spans="1:25" customFormat="1">
      <c r="A57" s="227"/>
      <c r="B57" s="227"/>
      <c r="C57" s="227"/>
      <c r="D57" s="227"/>
      <c r="E57" t="s">
        <v>188</v>
      </c>
      <c r="F57" s="176"/>
      <c r="G57" s="40"/>
      <c r="L57" s="96" t="b">
        <f>NOT(OR(AND(Reward.Orientation.2,Penalty1.Upper.2&lt;&gt;"",Penalty1.Lower.2&lt;&gt;"",Penalty1.Upper.2&lt;Penalty1.Lower.2),AND(NOT(Reward.Orientation.2),Penalty1.Upper.2&lt;&gt;"",Penalty1.Lower.2&lt;&gt;"",Penalty1.Upper.2&gt;Penalty1.Lower.2),AND(PC.2&lt;&gt;"",Reward.Orientation.2,Penalty1.Lower.2&lt;&gt;"",PC.2&lt;Penalty1.Lower.2),AND(PC.2&lt;&gt;"",NOT(Reward.Orientation.2),Penalty1.Lower.2&lt;&gt;"",PC.2&gt;Penalty1.Lower.2),AND(PC.2&lt;&gt;"",Reward.Orientation.2,Penalty1.Upper.2&lt;&gt;"",PC.2&lt;Penalty1.Upper.2), AND(PC.2&lt;&gt;"",NOT(Reward.Orientation.2),Penalty1.Upper.2&lt;&gt;"",PC.2&gt;Penalty1.Upper.2)))</f>
        <v>1</v>
      </c>
      <c r="M57" s="96" t="b">
        <f>NOT(OR(AND(Reward.Orientation.2,Penalty1.Upper.2&lt;&gt;"",Penalty1.Lower.2&lt;&gt;"",Penalty1.Upper.2&lt;Penalty1.Lower.2),AND(NOT(Reward.Orientation.2),Penalty1.Upper.2&lt;&gt;"",Penalty1.Lower.2&lt;&gt;"",Penalty1.Upper.2&gt;Penalty1.Lower.2),AND(PC.2&lt;&gt;"",Reward.Orientation.2,Penalty1.Lower.2&lt;&gt;"",PC.2&lt;Penalty1.Lower.2),AND(PC.2&lt;&gt;"",NOT(Reward.Orientation.2),Penalty1.Lower.2&lt;&gt;"",PC.2&gt;Penalty1.Lower.2),AND(PC.2&lt;&gt;"",Reward.Orientation.2,Penalty1.Upper.2&lt;&gt;"",PC.2&lt;Penalty1.Upper.2), AND(PC.2&lt;&gt;"",NOT(Reward.Orientation.2),Penalty1.Upper.2&lt;&gt;"",PC.2&gt;Penalty1.Upper.2)))</f>
        <v>1</v>
      </c>
      <c r="N57" s="96" t="b">
        <f>NOT(OR(AND(Reward.Orientation.2,Penalty1.Upper.2&lt;&gt;"",Penalty1.Lower.2&lt;&gt;"",Penalty1.Upper.2&lt;Penalty1.Lower.2),AND(NOT(Reward.Orientation.2),Penalty1.Upper.2&lt;&gt;"",Penalty1.Lower.2&lt;&gt;"",Penalty1.Upper.2&gt;Penalty1.Lower.2),AND(PC.2&lt;&gt;"",Reward.Orientation.2,Penalty1.Lower.2&lt;&gt;"",PC.2&lt;Penalty1.Lower.2),AND(PC.2&lt;&gt;"",NOT(Reward.Orientation.2),Penalty1.Lower.2&lt;&gt;"",PC.2&gt;Penalty1.Lower.2),AND(PC.2&lt;&gt;"",Reward.Orientation.2,Penalty1.Upper.2&lt;&gt;"",PC.2&lt;Penalty1.Upper.2), AND(PC.2&lt;&gt;"",NOT(Reward.Orientation.2),Penalty1.Upper.2&lt;&gt;"",PC.2&gt;Penalty1.Upper.2)))</f>
        <v>1</v>
      </c>
      <c r="O57" s="96" t="b">
        <f>NOT(OR(AND(Reward.Orientation.2,Penalty1.Upper.2&lt;&gt;"",Penalty1.Lower.2&lt;&gt;"",Penalty1.Upper.2&lt;Penalty1.Lower.2),AND(NOT(Reward.Orientation.2),Penalty1.Upper.2&lt;&gt;"",Penalty1.Lower.2&lt;&gt;"",Penalty1.Upper.2&gt;Penalty1.Lower.2),AND(PC.2&lt;&gt;"",Reward.Orientation.2,Penalty1.Lower.2&lt;&gt;"",PC.2&lt;Penalty1.Lower.2),AND(PC.2&lt;&gt;"",NOT(Reward.Orientation.2),Penalty1.Lower.2&lt;&gt;"",PC.2&gt;Penalty1.Lower.2),AND(PC.2&lt;&gt;"",Reward.Orientation.2,Penalty1.Upper.2&lt;&gt;"",PC.2&lt;Penalty1.Upper.2), AND(PC.2&lt;&gt;"",NOT(Reward.Orientation.2),Penalty1.Upper.2&lt;&gt;"",PC.2&gt;Penalty1.Upper.2)))</f>
        <v>1</v>
      </c>
      <c r="P57" s="96" t="b">
        <f>NOT(OR(AND(Reward.Orientation.2,Penalty1.Upper.2&lt;&gt;"",Penalty1.Lower.2&lt;&gt;"",Penalty1.Upper.2&lt;Penalty1.Lower.2),AND(NOT(Reward.Orientation.2),Penalty1.Upper.2&lt;&gt;"",Penalty1.Lower.2&lt;&gt;"",Penalty1.Upper.2&gt;Penalty1.Lower.2),AND(PC.2&lt;&gt;"",Reward.Orientation.2,Penalty1.Lower.2&lt;&gt;"",PC.2&lt;Penalty1.Lower.2),AND(PC.2&lt;&gt;"",NOT(Reward.Orientation.2),Penalty1.Lower.2&lt;&gt;"",PC.2&gt;Penalty1.Lower.2),AND(PC.2&lt;&gt;"",Reward.Orientation.2,Penalty1.Upper.2&lt;&gt;"",PC.2&lt;Penalty1.Upper.2), AND(PC.2&lt;&gt;"",NOT(Reward.Orientation.2),Penalty1.Upper.2&lt;&gt;"",PC.2&gt;Penalty1.Upper.2)))</f>
        <v>1</v>
      </c>
      <c r="Q57" s="19"/>
    </row>
    <row r="58" spans="1:25" customFormat="1">
      <c r="A58" s="227"/>
      <c r="B58" s="227"/>
      <c r="C58" s="227"/>
      <c r="D58" s="227"/>
      <c r="F58" s="176"/>
      <c r="G58" s="40"/>
      <c r="Q58" s="19"/>
      <c r="W58" s="19"/>
      <c r="X58" s="56"/>
      <c r="Y58" s="56"/>
    </row>
    <row r="59" spans="1:25" customFormat="1">
      <c r="A59" s="227"/>
      <c r="B59" s="227"/>
      <c r="C59" s="227"/>
      <c r="D59" s="227"/>
      <c r="F59" s="176"/>
      <c r="G59" s="40"/>
      <c r="Q59" s="19"/>
      <c r="W59" s="19"/>
      <c r="X59" s="56"/>
      <c r="Y59" s="56"/>
    </row>
    <row r="60" spans="1:25" customFormat="1">
      <c r="A60" s="227"/>
      <c r="B60" s="224"/>
      <c r="C60" s="224"/>
      <c r="D60" s="228"/>
      <c r="E60" s="76" t="s">
        <v>65</v>
      </c>
      <c r="F60" s="20"/>
      <c r="G60" s="38"/>
      <c r="H60" s="19"/>
      <c r="I60" s="19"/>
      <c r="J60" s="46"/>
      <c r="K60" s="46"/>
      <c r="L60" s="46"/>
      <c r="M60" s="46"/>
      <c r="N60" s="46"/>
      <c r="O60" s="46"/>
      <c r="P60" s="46"/>
      <c r="Q60" s="19"/>
      <c r="R60" s="19"/>
      <c r="S60" s="57"/>
      <c r="T60" s="46"/>
      <c r="U60" s="46"/>
      <c r="V60" s="26"/>
      <c r="W60" s="19"/>
      <c r="X60" s="57"/>
      <c r="Y60" s="57"/>
    </row>
    <row r="61" spans="1:25" customFormat="1">
      <c r="A61" s="227"/>
      <c r="B61" s="224"/>
      <c r="C61" s="224"/>
      <c r="D61" s="228"/>
      <c r="E61" s="57" t="s">
        <v>207</v>
      </c>
      <c r="F61" s="20"/>
      <c r="G61" s="38"/>
      <c r="H61" s="19"/>
      <c r="I61" s="19"/>
      <c r="J61" s="46"/>
      <c r="K61" s="46"/>
      <c r="L61" s="46"/>
      <c r="M61" s="46"/>
      <c r="N61" s="46"/>
      <c r="O61" s="46"/>
      <c r="P61" s="46"/>
      <c r="Q61" s="19"/>
      <c r="R61" s="19"/>
      <c r="S61" s="57"/>
      <c r="T61" s="46"/>
      <c r="U61" s="46"/>
      <c r="V61" s="26"/>
      <c r="W61" s="19"/>
      <c r="X61" s="57"/>
      <c r="Y61" s="57"/>
    </row>
    <row r="62" spans="1:25" customFormat="1">
      <c r="A62" s="227"/>
      <c r="B62" s="224"/>
      <c r="C62" s="224"/>
      <c r="D62" s="228" t="s">
        <v>21</v>
      </c>
      <c r="E62" s="17" t="s">
        <v>81</v>
      </c>
      <c r="F62" s="20"/>
      <c r="G62" s="38"/>
      <c r="H62" s="19"/>
      <c r="I62" s="19"/>
      <c r="J62" s="46"/>
      <c r="K62" s="46"/>
      <c r="L62" s="71"/>
      <c r="M62" s="71"/>
      <c r="N62" s="71"/>
      <c r="O62" s="71"/>
      <c r="P62" s="71"/>
      <c r="Q62" s="19"/>
      <c r="R62" s="19"/>
      <c r="S62" s="57"/>
      <c r="T62" s="46"/>
      <c r="U62" s="46"/>
      <c r="V62" s="26" t="str">
        <f>"Penalty2.Year.Flag"&amp;$A$4</f>
        <v>Penalty2.Year.Flag2</v>
      </c>
      <c r="W62" s="19"/>
      <c r="X62" s="57"/>
      <c r="Y62" s="57"/>
    </row>
    <row r="63" spans="1:25" customFormat="1">
      <c r="A63" s="227"/>
      <c r="B63" s="227"/>
      <c r="C63" s="227"/>
      <c r="D63" s="228" t="s">
        <v>30</v>
      </c>
      <c r="E63" s="17" t="s">
        <v>40</v>
      </c>
      <c r="F63" s="20" t="s">
        <v>46</v>
      </c>
      <c r="G63" s="38"/>
      <c r="H63" s="19"/>
      <c r="I63" s="19"/>
      <c r="J63" s="46"/>
      <c r="K63" s="46"/>
      <c r="L63" s="60"/>
      <c r="M63" s="60"/>
      <c r="N63" s="60"/>
      <c r="O63" s="60"/>
      <c r="P63" s="60"/>
      <c r="Q63" s="19"/>
      <c r="R63" s="46"/>
      <c r="S63" s="46"/>
      <c r="T63" s="46"/>
      <c r="U63" s="46"/>
      <c r="V63" s="26" t="str">
        <f>"Penalty2.Rate."&amp;$A$4</f>
        <v>Penalty2.Rate.2</v>
      </c>
      <c r="W63" s="19"/>
      <c r="X63" s="56"/>
      <c r="Y63" s="56"/>
    </row>
    <row r="64" spans="1:25" customFormat="1">
      <c r="A64" s="227"/>
      <c r="B64" s="227"/>
      <c r="C64" s="227"/>
      <c r="D64" s="227"/>
      <c r="F64" s="176"/>
      <c r="G64" s="40"/>
      <c r="Q64" s="19"/>
      <c r="W64" s="19"/>
      <c r="X64" s="56"/>
      <c r="Y64" s="56"/>
    </row>
    <row r="65" spans="1:25" customFormat="1">
      <c r="A65" s="227"/>
      <c r="B65" s="227"/>
      <c r="C65" s="227"/>
      <c r="D65" s="227"/>
      <c r="E65" s="17" t="s">
        <v>200</v>
      </c>
      <c r="F65" s="176"/>
      <c r="G65" s="181">
        <f>Penalty.Limits.Flag.1</f>
        <v>0</v>
      </c>
      <c r="H65" s="19"/>
      <c r="Q65" s="19"/>
      <c r="W65" s="19"/>
      <c r="X65" s="56"/>
      <c r="Y65" s="56"/>
    </row>
    <row r="66" spans="1:25" customFormat="1">
      <c r="A66" s="224"/>
      <c r="B66" s="224"/>
      <c r="C66" s="224"/>
      <c r="D66" s="225" t="s">
        <v>322</v>
      </c>
      <c r="E66" s="17" t="s">
        <v>82</v>
      </c>
      <c r="F66" s="20" t="s">
        <v>46</v>
      </c>
      <c r="G66" s="38"/>
      <c r="H66" s="19"/>
      <c r="I66" s="19"/>
      <c r="J66" s="46"/>
      <c r="K66" s="46"/>
      <c r="L66" s="218"/>
      <c r="M66" s="218"/>
      <c r="N66" s="218"/>
      <c r="O66" s="218"/>
      <c r="P66" s="218"/>
      <c r="Q66" s="19"/>
      <c r="R66" s="19"/>
      <c r="S66" s="57"/>
      <c r="T66" s="46"/>
      <c r="U66" s="46"/>
      <c r="V66" s="26" t="str">
        <f>"Penalty2.Lower."&amp;$A$4</f>
        <v>Penalty2.Lower.2</v>
      </c>
      <c r="W66" s="19"/>
      <c r="X66" s="57"/>
      <c r="Y66" s="57"/>
    </row>
    <row r="67" spans="1:25" customFormat="1">
      <c r="A67" s="224"/>
      <c r="B67" s="224"/>
      <c r="C67" s="224"/>
      <c r="D67" s="225" t="s">
        <v>322</v>
      </c>
      <c r="E67" s="17" t="s">
        <v>83</v>
      </c>
      <c r="F67" s="20" t="s">
        <v>46</v>
      </c>
      <c r="G67" s="38"/>
      <c r="H67" s="19"/>
      <c r="I67" s="19"/>
      <c r="J67" s="46"/>
      <c r="K67" s="46"/>
      <c r="L67" s="218"/>
      <c r="M67" s="218"/>
      <c r="N67" s="218"/>
      <c r="O67" s="218"/>
      <c r="P67" s="218"/>
      <c r="Q67" s="19"/>
      <c r="R67" s="19"/>
      <c r="S67" s="57"/>
      <c r="V67" s="26" t="str">
        <f>"Penalty2.Upper."&amp;$A$4</f>
        <v>Penalty2.Upper.2</v>
      </c>
      <c r="W67" s="19"/>
      <c r="X67" s="57"/>
      <c r="Y67" s="57"/>
    </row>
    <row r="68" spans="1:25" customFormat="1">
      <c r="A68" s="227"/>
      <c r="B68" s="227"/>
      <c r="C68" s="227"/>
      <c r="D68" s="227"/>
      <c r="E68" s="17"/>
      <c r="F68" s="20"/>
      <c r="G68" s="38"/>
      <c r="H68" s="19"/>
      <c r="I68" s="19"/>
      <c r="J68" s="46"/>
      <c r="K68" s="46"/>
      <c r="L68" s="46"/>
      <c r="M68" s="46"/>
      <c r="N68" s="46"/>
      <c r="O68" s="46"/>
      <c r="P68" s="46"/>
      <c r="Q68" s="19"/>
      <c r="R68" s="19"/>
      <c r="S68" s="57"/>
      <c r="V68" s="46"/>
      <c r="W68" s="19"/>
      <c r="X68" s="57"/>
      <c r="Y68" s="57"/>
    </row>
    <row r="69" spans="1:25" customFormat="1">
      <c r="A69" s="40"/>
      <c r="B69" s="40"/>
      <c r="C69" s="40"/>
      <c r="D69" s="40"/>
      <c r="E69" t="s">
        <v>189</v>
      </c>
      <c r="F69" s="20"/>
      <c r="G69" s="38"/>
      <c r="H69" s="19"/>
      <c r="I69" s="19"/>
      <c r="J69" s="46"/>
      <c r="K69" s="46"/>
      <c r="L69" s="96" t="b">
        <f>NOT(OR(AND(Reward.Orientation.2,Penalty2.Upper.2&lt;&gt;"",Penalty2.Lower.2&lt;&gt;"",Penalty2.Upper.2&lt;Penalty2.Lower.2),AND(NOT(Reward.Orientation.2),Penalty2.Upper.2&lt;&gt;"",Penalty2.Lower.2&lt;&gt;"",Penalty2.Upper.2&gt;Penalty2.Lower.2),AND(PC.2&lt;&gt;"",Reward.Orientation.2,Penalty2.Lower.2&lt;&gt;"",PC.2&lt;Penalty2.Lower.2),AND(PC.2&lt;&gt;"",NOT(Reward.Orientation.2),Penalty2.Lower.2&lt;&gt;"",PC.2&gt;Penalty2.Lower.2),AND(PC.2&lt;&gt;"",Reward.Orientation.2,Penalty2.Upper.2&lt;&gt;"",PC.2&lt;Penalty2.Upper.2), AND(PC.2&lt;&gt;"",NOT(Reward.Orientation.2),Penalty2.Upper.2&lt;&gt;"",PC.2&gt;Penalty2.Upper.2)))</f>
        <v>1</v>
      </c>
      <c r="M69" s="96" t="b">
        <f>NOT(OR(AND(Reward.Orientation.2,Penalty2.Upper.2&lt;&gt;"",Penalty2.Lower.2&lt;&gt;"",Penalty2.Upper.2&lt;Penalty2.Lower.2),AND(NOT(Reward.Orientation.2),Penalty2.Upper.2&lt;&gt;"",Penalty2.Lower.2&lt;&gt;"",Penalty2.Upper.2&gt;Penalty2.Lower.2),AND(PC.2&lt;&gt;"",Reward.Orientation.2,Penalty2.Lower.2&lt;&gt;"",PC.2&lt;Penalty2.Lower.2),AND(PC.2&lt;&gt;"",NOT(Reward.Orientation.2),Penalty2.Lower.2&lt;&gt;"",PC.2&gt;Penalty2.Lower.2),AND(PC.2&lt;&gt;"",Reward.Orientation.2,Penalty2.Upper.2&lt;&gt;"",PC.2&lt;Penalty2.Upper.2), AND(PC.2&lt;&gt;"",NOT(Reward.Orientation.2),Penalty2.Upper.2&lt;&gt;"",PC.2&gt;Penalty2.Upper.2)))</f>
        <v>1</v>
      </c>
      <c r="N69" s="96" t="b">
        <f>NOT(OR(AND(Reward.Orientation.2,Penalty2.Upper.2&lt;&gt;"",Penalty2.Lower.2&lt;&gt;"",Penalty2.Upper.2&lt;Penalty2.Lower.2),AND(NOT(Reward.Orientation.2),Penalty2.Upper.2&lt;&gt;"",Penalty2.Lower.2&lt;&gt;"",Penalty2.Upper.2&gt;Penalty2.Lower.2),AND(PC.2&lt;&gt;"",Reward.Orientation.2,Penalty2.Lower.2&lt;&gt;"",PC.2&lt;Penalty2.Lower.2),AND(PC.2&lt;&gt;"",NOT(Reward.Orientation.2),Penalty2.Lower.2&lt;&gt;"",PC.2&gt;Penalty2.Lower.2),AND(PC.2&lt;&gt;"",Reward.Orientation.2,Penalty2.Upper.2&lt;&gt;"",PC.2&lt;Penalty2.Upper.2), AND(PC.2&lt;&gt;"",NOT(Reward.Orientation.2),Penalty2.Upper.2&lt;&gt;"",PC.2&gt;Penalty2.Upper.2)))</f>
        <v>1</v>
      </c>
      <c r="O69" s="96" t="b">
        <f>NOT(OR(AND(Reward.Orientation.2,Penalty2.Upper.2&lt;&gt;"",Penalty2.Lower.2&lt;&gt;"",Penalty2.Upper.2&lt;Penalty2.Lower.2),AND(NOT(Reward.Orientation.2),Penalty2.Upper.2&lt;&gt;"",Penalty2.Lower.2&lt;&gt;"",Penalty2.Upper.2&gt;Penalty2.Lower.2),AND(PC.2&lt;&gt;"",Reward.Orientation.2,Penalty2.Lower.2&lt;&gt;"",PC.2&lt;Penalty2.Lower.2),AND(PC.2&lt;&gt;"",NOT(Reward.Orientation.2),Penalty2.Lower.2&lt;&gt;"",PC.2&gt;Penalty2.Lower.2),AND(PC.2&lt;&gt;"",Reward.Orientation.2,Penalty2.Upper.2&lt;&gt;"",PC.2&lt;Penalty2.Upper.2), AND(PC.2&lt;&gt;"",NOT(Reward.Orientation.2),Penalty2.Upper.2&lt;&gt;"",PC.2&gt;Penalty2.Upper.2)))</f>
        <v>1</v>
      </c>
      <c r="P69" s="96" t="b">
        <f>NOT(OR(AND(Reward.Orientation.2,Penalty2.Upper.2&lt;&gt;"",Penalty2.Lower.2&lt;&gt;"",Penalty2.Upper.2&lt;Penalty2.Lower.2),AND(NOT(Reward.Orientation.2),Penalty2.Upper.2&lt;&gt;"",Penalty2.Lower.2&lt;&gt;"",Penalty2.Upper.2&gt;Penalty2.Lower.2),AND(PC.2&lt;&gt;"",Reward.Orientation.2,Penalty2.Lower.2&lt;&gt;"",PC.2&lt;Penalty2.Lower.2),AND(PC.2&lt;&gt;"",NOT(Reward.Orientation.2),Penalty2.Lower.2&lt;&gt;"",PC.2&gt;Penalty2.Lower.2),AND(PC.2&lt;&gt;"",Reward.Orientation.2,Penalty2.Upper.2&lt;&gt;"",PC.2&lt;Penalty2.Upper.2), AND(PC.2&lt;&gt;"",NOT(Reward.Orientation.2),Penalty2.Upper.2&lt;&gt;"",PC.2&gt;Penalty2.Upper.2)))</f>
        <v>1</v>
      </c>
      <c r="Q69" s="19"/>
      <c r="R69" s="19"/>
      <c r="S69" s="57"/>
      <c r="V69" s="46"/>
      <c r="W69" s="19"/>
      <c r="X69" s="57"/>
      <c r="Y69" s="57"/>
    </row>
    <row r="70" spans="1:25" customFormat="1">
      <c r="A70" s="40"/>
      <c r="B70" s="40"/>
      <c r="C70" s="40"/>
      <c r="D70" s="40"/>
      <c r="F70" s="176"/>
      <c r="G70" s="40"/>
      <c r="Q70" s="19"/>
    </row>
    <row r="71" spans="1:25" s="55" customFormat="1" ht="15">
      <c r="A71" s="215"/>
      <c r="B71" s="216"/>
      <c r="C71" s="216"/>
      <c r="D71" s="52"/>
      <c r="E71" s="53" t="s">
        <v>56</v>
      </c>
      <c r="F71" s="193"/>
      <c r="G71" s="52"/>
      <c r="H71" s="54"/>
      <c r="I71" s="54"/>
      <c r="J71" s="54"/>
      <c r="K71" s="54"/>
      <c r="L71" s="54"/>
      <c r="M71" s="54"/>
      <c r="N71" s="54"/>
      <c r="O71" s="54"/>
      <c r="P71" s="54"/>
      <c r="Q71" s="54"/>
      <c r="R71" s="54"/>
      <c r="S71" s="54"/>
      <c r="T71" s="54"/>
      <c r="U71" s="54"/>
      <c r="V71" s="54"/>
      <c r="W71" s="54"/>
      <c r="X71" s="54"/>
      <c r="Y71" s="54"/>
    </row>
    <row r="72" spans="1:25" customFormat="1">
      <c r="A72" s="40"/>
      <c r="B72" s="40"/>
      <c r="C72" s="40"/>
      <c r="D72" s="40"/>
      <c r="F72" s="176"/>
      <c r="G72" s="40"/>
      <c r="Q72" s="19"/>
    </row>
    <row r="73" spans="1:25" customFormat="1">
      <c r="A73" s="227"/>
      <c r="B73" s="227"/>
      <c r="C73" s="227"/>
      <c r="D73" s="227"/>
      <c r="E73" s="16" t="s">
        <v>193</v>
      </c>
      <c r="F73" s="176"/>
      <c r="G73" s="40"/>
      <c r="Q73" s="19"/>
    </row>
    <row r="74" spans="1:25" customFormat="1">
      <c r="A74" s="224"/>
      <c r="B74" s="224"/>
      <c r="C74" s="224"/>
      <c r="D74" s="225" t="s">
        <v>322</v>
      </c>
      <c r="E74" s="17" t="s">
        <v>184</v>
      </c>
      <c r="F74" s="20" t="s">
        <v>46</v>
      </c>
      <c r="G74" s="38"/>
      <c r="H74" s="19"/>
      <c r="I74" s="19"/>
      <c r="J74" s="46"/>
      <c r="K74" s="46"/>
      <c r="L74" s="218"/>
      <c r="M74" s="218"/>
      <c r="N74" s="218"/>
      <c r="O74" s="218"/>
      <c r="P74" s="218"/>
      <c r="Q74" s="19"/>
      <c r="V74" s="70" t="str">
        <f>"Reward.Deadband."&amp;$A$4</f>
        <v>Reward.Deadband.2</v>
      </c>
    </row>
    <row r="75" spans="1:25" customFormat="1">
      <c r="A75" s="224"/>
      <c r="B75" s="224"/>
      <c r="C75" s="224"/>
      <c r="D75" s="225" t="s">
        <v>322</v>
      </c>
      <c r="E75" s="17" t="s">
        <v>185</v>
      </c>
      <c r="F75" s="20" t="s">
        <v>46</v>
      </c>
      <c r="G75" s="38"/>
      <c r="H75" s="19"/>
      <c r="I75" s="19"/>
      <c r="J75" s="46"/>
      <c r="K75" s="46"/>
      <c r="L75" s="218"/>
      <c r="M75" s="218"/>
      <c r="N75" s="218"/>
      <c r="O75" s="218"/>
      <c r="P75" s="218"/>
      <c r="Q75" s="19"/>
      <c r="V75" s="70" t="str">
        <f>"Reward.Cap."&amp;$A$4</f>
        <v>Reward.Cap.2</v>
      </c>
    </row>
    <row r="76" spans="1:25" customFormat="1">
      <c r="A76" s="227"/>
      <c r="B76" s="227"/>
      <c r="C76" s="227"/>
      <c r="D76" s="227"/>
      <c r="F76" s="176"/>
      <c r="G76" s="40"/>
      <c r="Q76" s="19"/>
    </row>
    <row r="77" spans="1:25" customFormat="1">
      <c r="A77" s="227"/>
      <c r="B77" s="227"/>
      <c r="C77" s="227"/>
      <c r="D77" s="227"/>
      <c r="E77" t="s">
        <v>187</v>
      </c>
      <c r="F77" s="176"/>
      <c r="G77" s="40"/>
      <c r="L77" s="96" t="b">
        <f>NOT(OR(AND(PC.2="",Reward.Cap.2&lt;&gt;""),AND(PC.2="",Reward.Deadband.2&lt;&gt;""),AND(Reward.Orientation.2,Reward.Cap.2&lt;&gt;"",Reward.Deadband.2&lt;&gt;"",Reward.Deadband.2&gt;Reward.Cap.2),AND(NOT(Reward.Orientation.2),Reward.Cap.2&lt;&gt;"",Reward.Deadband.2&lt;&gt;"",Reward.Deadband.2&lt;Reward.Cap.2),AND(Reward.Orientation.2, PC.2&lt;&gt;"",Reward.Cap.2&lt;&gt;"",Reward.Cap.2&lt;PC.2),AND(NOT(Reward.Orientation.2), PC.2&lt;&gt;"",Reward.Cap.2&lt;&gt;"",Reward.Cap.2&gt;PC.2),AND(Reward.Orientation.2,PC.2&lt;&gt;"",Reward.Deadband.2&lt;&gt;"",Reward.Deadband.2&lt;PC.2),AND(NOT(Reward.Orientation.2),PC.2&lt;&gt;"",Reward.Deadband.2&lt;&gt;"",Reward.Deadband.2&gt;PC.2)))</f>
        <v>1</v>
      </c>
      <c r="M77" s="96" t="b">
        <f>NOT(OR(AND(PC.2="",Reward.Cap.2&lt;&gt;""),AND(PC.2="",Reward.Deadband.2&lt;&gt;""),AND(Reward.Orientation.2,Reward.Cap.2&lt;&gt;"",Reward.Deadband.2&lt;&gt;"",Reward.Deadband.2&gt;Reward.Cap.2),AND(NOT(Reward.Orientation.2),Reward.Cap.2&lt;&gt;"",Reward.Deadband.2&lt;&gt;"",Reward.Deadband.2&lt;Reward.Cap.2),AND(Reward.Orientation.2, PC.2&lt;&gt;"",Reward.Cap.2&lt;&gt;"",Reward.Cap.2&lt;PC.2),AND(NOT(Reward.Orientation.2), PC.2&lt;&gt;"",Reward.Cap.2&lt;&gt;"",Reward.Cap.2&gt;PC.2),AND(Reward.Orientation.2,PC.2&lt;&gt;"",Reward.Deadband.2&lt;&gt;"",Reward.Deadband.2&lt;PC.2),AND(NOT(Reward.Orientation.2),PC.2&lt;&gt;"",Reward.Deadband.2&lt;&gt;"",Reward.Deadband.2&gt;PC.2)))</f>
        <v>1</v>
      </c>
      <c r="N77" s="96" t="b">
        <f>NOT(OR(AND(PC.2="",Reward.Cap.2&lt;&gt;""),AND(PC.2="",Reward.Deadband.2&lt;&gt;""),AND(Reward.Orientation.2,Reward.Cap.2&lt;&gt;"",Reward.Deadband.2&lt;&gt;"",Reward.Deadband.2&gt;Reward.Cap.2),AND(NOT(Reward.Orientation.2),Reward.Cap.2&lt;&gt;"",Reward.Deadband.2&lt;&gt;"",Reward.Deadband.2&lt;Reward.Cap.2),AND(Reward.Orientation.2, PC.2&lt;&gt;"",Reward.Cap.2&lt;&gt;"",Reward.Cap.2&lt;PC.2),AND(NOT(Reward.Orientation.2), PC.2&lt;&gt;"",Reward.Cap.2&lt;&gt;"",Reward.Cap.2&gt;PC.2),AND(Reward.Orientation.2,PC.2&lt;&gt;"",Reward.Deadband.2&lt;&gt;"",Reward.Deadband.2&lt;PC.2),AND(NOT(Reward.Orientation.2),PC.2&lt;&gt;"",Reward.Deadband.2&lt;&gt;"",Reward.Deadband.2&gt;PC.2)))</f>
        <v>1</v>
      </c>
      <c r="O77" s="96" t="b">
        <f>NOT(OR(AND(PC.2="",Reward.Cap.2&lt;&gt;""),AND(PC.2="",Reward.Deadband.2&lt;&gt;""),AND(Reward.Orientation.2,Reward.Cap.2&lt;&gt;"",Reward.Deadband.2&lt;&gt;"",Reward.Deadband.2&gt;Reward.Cap.2),AND(NOT(Reward.Orientation.2),Reward.Cap.2&lt;&gt;"",Reward.Deadband.2&lt;&gt;"",Reward.Deadband.2&lt;Reward.Cap.2),AND(Reward.Orientation.2, PC.2&lt;&gt;"",Reward.Cap.2&lt;&gt;"",Reward.Cap.2&lt;PC.2),AND(NOT(Reward.Orientation.2), PC.2&lt;&gt;"",Reward.Cap.2&lt;&gt;"",Reward.Cap.2&gt;PC.2),AND(Reward.Orientation.2,PC.2&lt;&gt;"",Reward.Deadband.2&lt;&gt;"",Reward.Deadband.2&lt;PC.2),AND(NOT(Reward.Orientation.2),PC.2&lt;&gt;"",Reward.Deadband.2&lt;&gt;"",Reward.Deadband.2&gt;PC.2)))</f>
        <v>1</v>
      </c>
      <c r="P77" s="96" t="b">
        <f>NOT(OR(AND(PC.2="",Reward.Cap.2&lt;&gt;""),AND(PC.2="",Reward.Deadband.2&lt;&gt;""),AND(Reward.Orientation.2,Reward.Cap.2&lt;&gt;"",Reward.Deadband.2&lt;&gt;"",Reward.Deadband.2&gt;Reward.Cap.2),AND(NOT(Reward.Orientation.2),Reward.Cap.2&lt;&gt;"",Reward.Deadband.2&lt;&gt;"",Reward.Deadband.2&lt;Reward.Cap.2),AND(Reward.Orientation.2, PC.2&lt;&gt;"",Reward.Cap.2&lt;&gt;"",Reward.Cap.2&lt;PC.2),AND(NOT(Reward.Orientation.2), PC.2&lt;&gt;"",Reward.Cap.2&lt;&gt;"",Reward.Cap.2&gt;PC.2),AND(Reward.Orientation.2,PC.2&lt;&gt;"",Reward.Deadband.2&lt;&gt;"",Reward.Deadband.2&lt;PC.2),AND(NOT(Reward.Orientation.2),PC.2&lt;&gt;"",Reward.Deadband.2&lt;&gt;"",Reward.Deadband.2&gt;PC.2)))</f>
        <v>1</v>
      </c>
      <c r="Q77" s="19"/>
    </row>
    <row r="78" spans="1:25" customFormat="1">
      <c r="A78" s="227"/>
      <c r="B78" s="227"/>
      <c r="C78" s="227"/>
      <c r="D78" s="227"/>
      <c r="F78" s="176"/>
      <c r="G78" s="40"/>
      <c r="Q78" s="19"/>
    </row>
    <row r="79" spans="1:25">
      <c r="A79" s="224"/>
      <c r="B79" s="224"/>
      <c r="C79" s="224"/>
      <c r="D79" s="224"/>
      <c r="E79" s="16" t="s">
        <v>84</v>
      </c>
      <c r="H79" s="26"/>
      <c r="K79" s="23"/>
      <c r="L79" s="23"/>
      <c r="M79" s="23"/>
      <c r="N79" s="23"/>
      <c r="O79" s="23"/>
      <c r="P79" s="23"/>
      <c r="R79" s="23"/>
      <c r="S79" s="23"/>
      <c r="V79" s="23"/>
      <c r="X79" s="57"/>
      <c r="Y79" s="57"/>
    </row>
    <row r="80" spans="1:25">
      <c r="A80" s="224"/>
      <c r="B80" s="224"/>
      <c r="C80" s="224"/>
      <c r="D80" s="224" t="s">
        <v>21</v>
      </c>
      <c r="E80" s="65" t="s">
        <v>85</v>
      </c>
      <c r="H80" s="26"/>
      <c r="K80" s="23"/>
      <c r="L80" s="60"/>
      <c r="M80" s="60"/>
      <c r="N80" s="60"/>
      <c r="O80" s="60"/>
      <c r="P80" s="60"/>
      <c r="R80" s="23"/>
      <c r="S80" s="23"/>
      <c r="V80" s="26" t="str">
        <f>"Reward1.Year.Flag."&amp;$A$4</f>
        <v>Reward1.Year.Flag.2</v>
      </c>
      <c r="X80" s="57"/>
      <c r="Y80" s="57"/>
    </row>
    <row r="81" spans="1:25">
      <c r="A81" s="224"/>
      <c r="B81" s="224"/>
      <c r="C81" s="224"/>
      <c r="D81" s="224" t="s">
        <v>30</v>
      </c>
      <c r="E81" s="65" t="s">
        <v>86</v>
      </c>
      <c r="F81" s="20" t="s">
        <v>46</v>
      </c>
      <c r="H81" s="26"/>
      <c r="K81" s="23"/>
      <c r="L81" s="97"/>
      <c r="M81" s="97"/>
      <c r="N81" s="97"/>
      <c r="O81" s="97"/>
      <c r="P81" s="97"/>
      <c r="R81" s="23"/>
      <c r="S81" s="23"/>
      <c r="V81" s="26" t="str">
        <f>"Reward1.Rate."&amp;$A$4</f>
        <v>Reward1.Rate.2</v>
      </c>
    </row>
    <row r="82" spans="1:25">
      <c r="A82" s="224"/>
      <c r="B82" s="224"/>
      <c r="C82" s="224"/>
      <c r="D82" s="224"/>
      <c r="E82" s="36"/>
      <c r="H82" s="26"/>
      <c r="K82" s="23"/>
      <c r="L82"/>
      <c r="M82"/>
      <c r="N82"/>
      <c r="O82"/>
      <c r="P82"/>
      <c r="R82" s="23"/>
      <c r="S82" s="23"/>
      <c r="V82" s="26"/>
    </row>
    <row r="83" spans="1:25">
      <c r="A83" s="224"/>
      <c r="B83" s="224"/>
      <c r="C83" s="224"/>
      <c r="D83" s="224"/>
      <c r="E83" s="17" t="s">
        <v>200</v>
      </c>
      <c r="G83" s="180"/>
      <c r="H83" s="26" t="str">
        <f>"Reward.Limits.Flag."&amp;$A$4</f>
        <v>Reward.Limits.Flag.2</v>
      </c>
      <c r="K83" s="23"/>
      <c r="L83"/>
      <c r="M83"/>
      <c r="N83"/>
      <c r="O83"/>
      <c r="P83"/>
      <c r="R83" s="23"/>
      <c r="S83" s="23"/>
      <c r="V83" s="26"/>
    </row>
    <row r="84" spans="1:25">
      <c r="A84" s="224"/>
      <c r="B84" s="224"/>
      <c r="C84" s="224"/>
      <c r="D84" s="225" t="s">
        <v>322</v>
      </c>
      <c r="E84" s="65" t="s">
        <v>87</v>
      </c>
      <c r="F84" s="20" t="s">
        <v>46</v>
      </c>
      <c r="H84" s="26"/>
      <c r="K84" s="23"/>
      <c r="L84" s="218"/>
      <c r="M84" s="218"/>
      <c r="N84" s="218"/>
      <c r="O84" s="218"/>
      <c r="P84" s="218"/>
      <c r="R84" s="23"/>
      <c r="S84" s="23"/>
      <c r="V84" s="26" t="str">
        <f>"Reward1.Lower."&amp;$A$4</f>
        <v>Reward1.Lower.2</v>
      </c>
      <c r="X84" s="57"/>
      <c r="Y84" s="57"/>
    </row>
    <row r="85" spans="1:25">
      <c r="A85" s="224"/>
      <c r="B85" s="224"/>
      <c r="C85" s="224"/>
      <c r="D85" s="225" t="s">
        <v>322</v>
      </c>
      <c r="E85" s="65" t="s">
        <v>88</v>
      </c>
      <c r="F85" s="20" t="s">
        <v>46</v>
      </c>
      <c r="H85" s="26"/>
      <c r="K85" s="23"/>
      <c r="L85" s="218"/>
      <c r="M85" s="218"/>
      <c r="N85" s="218"/>
      <c r="O85" s="218"/>
      <c r="P85" s="218"/>
      <c r="R85" s="23"/>
      <c r="S85" s="23"/>
      <c r="V85" s="26" t="str">
        <f>"Reward1.Upper."&amp;$A$4</f>
        <v>Reward1.Upper.2</v>
      </c>
      <c r="X85" s="57"/>
      <c r="Y85" s="57"/>
    </row>
    <row r="86" spans="1:25">
      <c r="A86" s="224"/>
      <c r="B86" s="224"/>
      <c r="C86" s="224"/>
      <c r="D86" s="224"/>
      <c r="E86" s="36"/>
      <c r="H86" s="26"/>
      <c r="K86" s="23"/>
      <c r="L86"/>
      <c r="M86"/>
      <c r="N86"/>
      <c r="O86"/>
      <c r="P86"/>
      <c r="R86" s="23"/>
      <c r="S86" s="23"/>
      <c r="V86" s="26"/>
      <c r="X86" s="57"/>
      <c r="Y86" s="57"/>
    </row>
    <row r="87" spans="1:25">
      <c r="A87" s="224"/>
      <c r="B87" s="224"/>
      <c r="C87" s="224"/>
      <c r="D87" s="224"/>
      <c r="E87" t="s">
        <v>191</v>
      </c>
      <c r="F87" s="176"/>
      <c r="G87" s="40"/>
      <c r="H87"/>
      <c r="I87"/>
      <c r="J87"/>
      <c r="K87"/>
      <c r="L87" s="95" t="b">
        <f>NOT(OR(AND(Reward.Orientation.2,Reward1.Upper.2&lt;&gt;"",Reward1.Lower.2&lt;&gt;"",Reward1.Upper.2&lt;Reward1.Lower.2),AND(NOT(Reward.Orientation.2),Reward1.Upper.2&lt;&gt;"",Reward1.Lower.2&lt;&gt;"",Reward1.Upper.2&gt;Reward1.Lower.2),AND(PC.2&lt;&gt;"",Reward.Orientation.2,Reward1.Lower.2&lt;&gt;"",PC.2&gt;Reward1.Lower.2),AND(PC.2&lt;&gt;"",NOT(Reward.Orientation.2),Reward1.Lower.2&lt;&gt;"",PC.2&lt;Reward1.Lower.2),AND(PC.2&lt;&gt;"",Reward.Orientation.2,Reward1.Upper.2&lt;&gt;"",PC.2&gt;Reward1.Upper.2),AND(PC.2&lt;&gt;"",NOT(Reward.Orientation.2),Reward1.Upper.2&lt;&gt;"",PC.2&lt;Reward1.Upper.2)))</f>
        <v>1</v>
      </c>
      <c r="M87" s="95" t="b">
        <f>NOT(OR(AND(Reward.Orientation.2,Reward1.Upper.2&lt;&gt;"",Reward1.Lower.2&lt;&gt;"",Reward1.Upper.2&lt;Reward1.Lower.2),AND(NOT(Reward.Orientation.2),Reward1.Upper.2&lt;&gt;"",Reward1.Lower.2&lt;&gt;"",Reward1.Upper.2&gt;Reward1.Lower.2),AND(PC.2&lt;&gt;"",Reward.Orientation.2,Reward1.Lower.2&lt;&gt;"",PC.2&gt;Reward1.Lower.2),AND(PC.2&lt;&gt;"",NOT(Reward.Orientation.2),Reward1.Lower.2&lt;&gt;"",PC.2&lt;Reward1.Lower.2),AND(PC.2&lt;&gt;"",Reward.Orientation.2,Reward1.Upper.2&lt;&gt;"",PC.2&gt;Reward1.Upper.2),AND(PC.2&lt;&gt;"",NOT(Reward.Orientation.2),Reward1.Upper.2&lt;&gt;"",PC.2&lt;Reward1.Upper.2)))</f>
        <v>1</v>
      </c>
      <c r="N87" s="95" t="b">
        <f>NOT(OR(AND(Reward.Orientation.2,Reward1.Upper.2&lt;&gt;"",Reward1.Lower.2&lt;&gt;"",Reward1.Upper.2&lt;Reward1.Lower.2),AND(NOT(Reward.Orientation.2),Reward1.Upper.2&lt;&gt;"",Reward1.Lower.2&lt;&gt;"",Reward1.Upper.2&gt;Reward1.Lower.2),AND(PC.2&lt;&gt;"",Reward.Orientation.2,Reward1.Lower.2&lt;&gt;"",PC.2&gt;Reward1.Lower.2),AND(PC.2&lt;&gt;"",NOT(Reward.Orientation.2),Reward1.Lower.2&lt;&gt;"",PC.2&lt;Reward1.Lower.2),AND(PC.2&lt;&gt;"",Reward.Orientation.2,Reward1.Upper.2&lt;&gt;"",PC.2&gt;Reward1.Upper.2),AND(PC.2&lt;&gt;"",NOT(Reward.Orientation.2),Reward1.Upper.2&lt;&gt;"",PC.2&lt;Reward1.Upper.2)))</f>
        <v>1</v>
      </c>
      <c r="O87" s="95" t="b">
        <f>NOT(OR(AND(Reward.Orientation.2,Reward1.Upper.2&lt;&gt;"",Reward1.Lower.2&lt;&gt;"",Reward1.Upper.2&lt;Reward1.Lower.2),AND(NOT(Reward.Orientation.2),Reward1.Upper.2&lt;&gt;"",Reward1.Lower.2&lt;&gt;"",Reward1.Upper.2&gt;Reward1.Lower.2),AND(PC.2&lt;&gt;"",Reward.Orientation.2,Reward1.Lower.2&lt;&gt;"",PC.2&gt;Reward1.Lower.2),AND(PC.2&lt;&gt;"",NOT(Reward.Orientation.2),Reward1.Lower.2&lt;&gt;"",PC.2&lt;Reward1.Lower.2),AND(PC.2&lt;&gt;"",Reward.Orientation.2,Reward1.Upper.2&lt;&gt;"",PC.2&gt;Reward1.Upper.2),AND(PC.2&lt;&gt;"",NOT(Reward.Orientation.2),Reward1.Upper.2&lt;&gt;"",PC.2&lt;Reward1.Upper.2)))</f>
        <v>1</v>
      </c>
      <c r="P87" s="95" t="b">
        <f>NOT(OR(AND(Reward.Orientation.2,Reward1.Upper.2&lt;&gt;"",Reward1.Lower.2&lt;&gt;"",Reward1.Upper.2&lt;Reward1.Lower.2),AND(NOT(Reward.Orientation.2),Reward1.Upper.2&lt;&gt;"",Reward1.Lower.2&lt;&gt;"",Reward1.Upper.2&gt;Reward1.Lower.2),AND(PC.2&lt;&gt;"",Reward.Orientation.2,Reward1.Lower.2&lt;&gt;"",PC.2&gt;Reward1.Lower.2),AND(PC.2&lt;&gt;"",NOT(Reward.Orientation.2),Reward1.Lower.2&lt;&gt;"",PC.2&lt;Reward1.Lower.2),AND(PC.2&lt;&gt;"",Reward.Orientation.2,Reward1.Upper.2&lt;&gt;"",PC.2&gt;Reward1.Upper.2),AND(PC.2&lt;&gt;"",NOT(Reward.Orientation.2),Reward1.Upper.2&lt;&gt;"",PC.2&lt;Reward1.Upper.2)))</f>
        <v>1</v>
      </c>
      <c r="R87" s="23"/>
      <c r="S87" s="23"/>
      <c r="V87" s="26"/>
      <c r="X87" s="57"/>
      <c r="Y87" s="57"/>
    </row>
    <row r="88" spans="1:25">
      <c r="A88" s="224"/>
      <c r="B88" s="224"/>
      <c r="C88" s="224"/>
      <c r="D88" s="224"/>
      <c r="E88" s="36"/>
      <c r="H88" s="26"/>
      <c r="K88" s="23"/>
      <c r="L88"/>
      <c r="M88"/>
      <c r="N88"/>
      <c r="O88"/>
      <c r="P88"/>
      <c r="R88" s="23"/>
      <c r="S88" s="23"/>
      <c r="V88" s="26"/>
      <c r="X88" s="57"/>
      <c r="Y88" s="57"/>
    </row>
    <row r="89" spans="1:25">
      <c r="A89" s="224"/>
      <c r="B89" s="224"/>
      <c r="C89" s="224"/>
      <c r="D89" s="224"/>
      <c r="E89" s="36"/>
      <c r="H89" s="26"/>
      <c r="K89" s="23"/>
      <c r="L89"/>
      <c r="M89"/>
      <c r="N89"/>
      <c r="O89"/>
      <c r="P89"/>
      <c r="R89" s="23"/>
      <c r="S89" s="23"/>
      <c r="V89" s="26"/>
      <c r="X89" s="57"/>
      <c r="Y89" s="57"/>
    </row>
    <row r="90" spans="1:25">
      <c r="A90" s="224"/>
      <c r="B90" s="224"/>
      <c r="C90" s="224"/>
      <c r="D90" s="224"/>
      <c r="E90" s="16" t="s">
        <v>89</v>
      </c>
      <c r="H90" s="26"/>
      <c r="K90" s="23"/>
      <c r="L90" s="46"/>
      <c r="M90" s="46"/>
      <c r="N90" s="46"/>
      <c r="O90" s="46"/>
      <c r="P90" s="46"/>
      <c r="R90" s="23"/>
      <c r="S90" s="23"/>
      <c r="V90" s="26"/>
      <c r="X90" s="57"/>
      <c r="Y90" s="57"/>
    </row>
    <row r="91" spans="1:25">
      <c r="A91" s="224"/>
      <c r="B91" s="224"/>
      <c r="C91" s="224"/>
      <c r="D91" s="224"/>
      <c r="E91" s="57" t="s">
        <v>204</v>
      </c>
      <c r="H91" s="26"/>
      <c r="K91" s="23"/>
      <c r="L91" s="46"/>
      <c r="M91" s="46"/>
      <c r="N91" s="46"/>
      <c r="O91" s="46"/>
      <c r="P91" s="46"/>
      <c r="R91" s="23"/>
      <c r="S91" s="23"/>
      <c r="V91" s="26"/>
      <c r="X91" s="57"/>
      <c r="Y91" s="57"/>
    </row>
    <row r="92" spans="1:25">
      <c r="A92" s="224"/>
      <c r="B92" s="224"/>
      <c r="C92" s="224"/>
      <c r="D92" s="224" t="s">
        <v>21</v>
      </c>
      <c r="E92" s="65" t="s">
        <v>90</v>
      </c>
      <c r="H92" s="26"/>
      <c r="K92" s="23"/>
      <c r="L92" s="71"/>
      <c r="M92" s="71"/>
      <c r="N92" s="71"/>
      <c r="O92" s="71"/>
      <c r="P92" s="71"/>
      <c r="R92" s="23"/>
      <c r="S92" s="23"/>
      <c r="V92" s="26" t="str">
        <f>"Reward2.Year.Flag."&amp;$A$4</f>
        <v>Reward2.Year.Flag.2</v>
      </c>
      <c r="X92" s="57"/>
      <c r="Y92" s="57"/>
    </row>
    <row r="93" spans="1:25">
      <c r="A93" s="224"/>
      <c r="B93" s="224"/>
      <c r="C93" s="224"/>
      <c r="D93" s="224" t="s">
        <v>30</v>
      </c>
      <c r="E93" s="65" t="s">
        <v>91</v>
      </c>
      <c r="F93" s="20" t="s">
        <v>46</v>
      </c>
      <c r="H93" s="26"/>
      <c r="K93" s="23"/>
      <c r="L93" s="60"/>
      <c r="M93" s="60"/>
      <c r="N93" s="60"/>
      <c r="O93" s="60"/>
      <c r="P93" s="60"/>
      <c r="R93" s="23"/>
      <c r="S93" s="23"/>
      <c r="V93" s="26" t="str">
        <f>"Reward2.Rate."&amp;$A$4</f>
        <v>Reward2.Rate.2</v>
      </c>
    </row>
    <row r="94" spans="1:25">
      <c r="A94" s="224"/>
      <c r="B94" s="224"/>
      <c r="C94" s="224"/>
      <c r="D94" s="224"/>
      <c r="E94" s="16"/>
      <c r="H94" s="26"/>
      <c r="K94" s="23"/>
      <c r="L94"/>
      <c r="M94"/>
      <c r="N94"/>
      <c r="O94"/>
      <c r="P94"/>
      <c r="R94" s="23"/>
      <c r="S94" s="23"/>
      <c r="V94" s="26"/>
    </row>
    <row r="95" spans="1:25">
      <c r="A95" s="224"/>
      <c r="B95" s="224"/>
      <c r="C95" s="224"/>
      <c r="D95" s="224"/>
      <c r="E95" s="17" t="s">
        <v>200</v>
      </c>
      <c r="G95" s="181">
        <f>Reward.Limits.Flag.1</f>
        <v>0</v>
      </c>
      <c r="H95" s="26"/>
      <c r="K95" s="23"/>
      <c r="L95"/>
      <c r="M95"/>
      <c r="N95"/>
      <c r="O95"/>
      <c r="P95"/>
      <c r="R95" s="23"/>
      <c r="S95" s="23"/>
      <c r="V95" s="26"/>
    </row>
    <row r="96" spans="1:25">
      <c r="A96" s="224"/>
      <c r="B96" s="224"/>
      <c r="C96" s="224"/>
      <c r="D96" s="225" t="s">
        <v>322</v>
      </c>
      <c r="E96" s="65" t="s">
        <v>92</v>
      </c>
      <c r="F96" s="20" t="s">
        <v>46</v>
      </c>
      <c r="H96" s="26"/>
      <c r="K96" s="23"/>
      <c r="L96" s="218"/>
      <c r="M96" s="218"/>
      <c r="N96" s="218"/>
      <c r="O96" s="218"/>
      <c r="P96" s="218"/>
      <c r="R96" s="23"/>
      <c r="S96" s="23"/>
      <c r="V96" s="26" t="str">
        <f>"Reward2.Lower."&amp;$A$4</f>
        <v>Reward2.Lower.2</v>
      </c>
      <c r="X96" s="57"/>
      <c r="Y96" s="57"/>
    </row>
    <row r="97" spans="1:25">
      <c r="A97" s="224"/>
      <c r="B97" s="224"/>
      <c r="C97" s="224"/>
      <c r="D97" s="225" t="s">
        <v>322</v>
      </c>
      <c r="E97" s="65" t="s">
        <v>93</v>
      </c>
      <c r="F97" s="20" t="s">
        <v>46</v>
      </c>
      <c r="H97" s="26"/>
      <c r="K97" s="23"/>
      <c r="L97" s="218"/>
      <c r="M97" s="218"/>
      <c r="N97" s="218"/>
      <c r="O97" s="218"/>
      <c r="P97" s="218"/>
      <c r="R97" s="23"/>
      <c r="S97" s="23"/>
      <c r="V97" s="26" t="str">
        <f>"Reward2.Upper."&amp;$A$4</f>
        <v>Reward2.Upper.2</v>
      </c>
      <c r="X97" s="57"/>
      <c r="Y97" s="57"/>
    </row>
    <row r="98" spans="1:25">
      <c r="E98" s="65"/>
      <c r="H98" s="26"/>
      <c r="K98" s="23"/>
      <c r="L98" s="23"/>
      <c r="M98" s="23"/>
      <c r="N98" s="23"/>
      <c r="O98" s="23"/>
      <c r="P98" s="23"/>
      <c r="R98" s="23"/>
      <c r="S98" s="23"/>
      <c r="V98" s="26"/>
      <c r="X98" s="57"/>
      <c r="Y98" s="57"/>
    </row>
    <row r="99" spans="1:25">
      <c r="E99" t="s">
        <v>192</v>
      </c>
      <c r="H99" s="26"/>
      <c r="K99" s="23"/>
      <c r="L99" s="95" t="b">
        <f>NOT(OR(AND(Reward.Orientation.2,Reward2.Upper.2&lt;&gt;"",Reward2.Lower.2&lt;&gt;"",Reward2.Upper.2&lt;Reward2.Lower.2),AND(NOT(Reward.Orientation.2),Reward2.Upper.2&lt;&gt;"",Reward2.Lower.2&lt;&gt;"",Reward2.Upper.2&gt;Reward2.Lower.2),AND(PC.2&lt;&gt;"",Reward.Orientation.2,Reward2.Lower.2&lt;&gt;"",PC.2&gt;Reward2.Lower.2),AND(PC.2&lt;&gt;"",NOT(Reward.Orientation.2),Reward2.Lower.2&lt;&gt;"",PC.2&lt;Reward2.Lower.2),AND(PC.2&lt;&gt;"",Reward.Orientation.2,Reward2.Upper.2&lt;&gt;"",PC.2&gt;Reward2.Upper.2),AND(PC.2&lt;&gt;"",NOT(Reward.Orientation.2),Reward2.Upper.2&lt;&gt;"",PC.2&lt;Reward2.Upper.2)))</f>
        <v>1</v>
      </c>
      <c r="M99" s="95" t="b">
        <f>NOT(OR(AND(Reward.Orientation.2,Reward2.Upper.2&lt;&gt;"",Reward2.Lower.2&lt;&gt;"",Reward2.Upper.2&lt;Reward2.Lower.2),AND(NOT(Reward.Orientation.2),Reward2.Upper.2&lt;&gt;"",Reward2.Lower.2&lt;&gt;"",Reward2.Upper.2&gt;Reward2.Lower.2),AND(PC.2&lt;&gt;"",Reward.Orientation.2,Reward2.Lower.2&lt;&gt;"",PC.2&gt;Reward2.Lower.2),AND(PC.2&lt;&gt;"",NOT(Reward.Orientation.2),Reward2.Lower.2&lt;&gt;"",PC.2&lt;Reward2.Lower.2),AND(PC.2&lt;&gt;"",Reward.Orientation.2,Reward2.Upper.2&lt;&gt;"",PC.2&gt;Reward2.Upper.2),AND(PC.2&lt;&gt;"",NOT(Reward.Orientation.2),Reward2.Upper.2&lt;&gt;"",PC.2&lt;Reward2.Upper.2)))</f>
        <v>1</v>
      </c>
      <c r="N99" s="95" t="b">
        <f>NOT(OR(AND(Reward.Orientation.2,Reward2.Upper.2&lt;&gt;"",Reward2.Lower.2&lt;&gt;"",Reward2.Upper.2&lt;Reward2.Lower.2),AND(NOT(Reward.Orientation.2),Reward2.Upper.2&lt;&gt;"",Reward2.Lower.2&lt;&gt;"",Reward2.Upper.2&gt;Reward2.Lower.2),AND(PC.2&lt;&gt;"",Reward.Orientation.2,Reward2.Lower.2&lt;&gt;"",PC.2&gt;Reward2.Lower.2),AND(PC.2&lt;&gt;"",NOT(Reward.Orientation.2),Reward2.Lower.2&lt;&gt;"",PC.2&lt;Reward2.Lower.2),AND(PC.2&lt;&gt;"",Reward.Orientation.2,Reward2.Upper.2&lt;&gt;"",PC.2&gt;Reward2.Upper.2),AND(PC.2&lt;&gt;"",NOT(Reward.Orientation.2),Reward2.Upper.2&lt;&gt;"",PC.2&lt;Reward2.Upper.2)))</f>
        <v>1</v>
      </c>
      <c r="O99" s="95" t="b">
        <f>NOT(OR(AND(Reward.Orientation.2,Reward2.Upper.2&lt;&gt;"",Reward2.Lower.2&lt;&gt;"",Reward2.Upper.2&lt;Reward2.Lower.2),AND(NOT(Reward.Orientation.2),Reward2.Upper.2&lt;&gt;"",Reward2.Lower.2&lt;&gt;"",Reward2.Upper.2&gt;Reward2.Lower.2),AND(PC.2&lt;&gt;"",Reward.Orientation.2,Reward2.Lower.2&lt;&gt;"",PC.2&gt;Reward2.Lower.2),AND(PC.2&lt;&gt;"",NOT(Reward.Orientation.2),Reward2.Lower.2&lt;&gt;"",PC.2&lt;Reward2.Lower.2),AND(PC.2&lt;&gt;"",Reward.Orientation.2,Reward2.Upper.2&lt;&gt;"",PC.2&gt;Reward2.Upper.2),AND(PC.2&lt;&gt;"",NOT(Reward.Orientation.2),Reward2.Upper.2&lt;&gt;"",PC.2&lt;Reward2.Upper.2)))</f>
        <v>1</v>
      </c>
      <c r="P99" s="95" t="b">
        <f>NOT(OR(AND(Reward.Orientation.2,Reward2.Upper.2&lt;&gt;"",Reward2.Lower.2&lt;&gt;"",Reward2.Upper.2&lt;Reward2.Lower.2),AND(NOT(Reward.Orientation.2),Reward2.Upper.2&lt;&gt;"",Reward2.Lower.2&lt;&gt;"",Reward2.Upper.2&gt;Reward2.Lower.2),AND(PC.2&lt;&gt;"",Reward.Orientation.2,Reward2.Lower.2&lt;&gt;"",PC.2&gt;Reward2.Lower.2),AND(PC.2&lt;&gt;"",NOT(Reward.Orientation.2),Reward2.Lower.2&lt;&gt;"",PC.2&lt;Reward2.Lower.2),AND(PC.2&lt;&gt;"",Reward.Orientation.2,Reward2.Upper.2&lt;&gt;"",PC.2&gt;Reward2.Upper.2),AND(PC.2&lt;&gt;"",NOT(Reward.Orientation.2),Reward2.Upper.2&lt;&gt;"",PC.2&lt;Reward2.Upper.2)))</f>
        <v>1</v>
      </c>
      <c r="R99" s="23"/>
      <c r="S99" s="23"/>
      <c r="V99" s="26"/>
      <c r="X99" s="57"/>
      <c r="Y99" s="57"/>
    </row>
    <row r="100" spans="1:25" customFormat="1">
      <c r="A100" s="40"/>
      <c r="B100" s="40"/>
      <c r="C100" s="40"/>
      <c r="D100" s="38"/>
      <c r="F100" s="176"/>
      <c r="G100" s="40"/>
      <c r="Q100" s="19"/>
    </row>
    <row r="101" spans="1:25" s="51" customFormat="1" ht="15">
      <c r="A101" s="212"/>
      <c r="B101" s="213"/>
      <c r="C101" s="213"/>
      <c r="D101" s="48"/>
      <c r="E101" s="49" t="s">
        <v>54</v>
      </c>
      <c r="F101" s="192"/>
      <c r="G101" s="48"/>
      <c r="H101" s="50"/>
      <c r="I101" s="50"/>
      <c r="J101" s="50"/>
      <c r="K101" s="50"/>
      <c r="L101" s="50"/>
      <c r="M101" s="50"/>
      <c r="N101" s="50"/>
      <c r="O101" s="50"/>
      <c r="P101" s="50"/>
      <c r="Q101" s="50"/>
      <c r="R101" s="50"/>
      <c r="S101" s="50"/>
      <c r="T101" s="50"/>
      <c r="U101" s="50"/>
      <c r="V101" s="50"/>
      <c r="W101" s="50"/>
      <c r="X101" s="50"/>
      <c r="Y101" s="50"/>
    </row>
    <row r="102" spans="1:25">
      <c r="R102" s="23"/>
      <c r="S102" s="23"/>
      <c r="V102" s="23"/>
      <c r="W102" s="26"/>
    </row>
    <row r="103" spans="1:25">
      <c r="B103" s="209">
        <v>2</v>
      </c>
      <c r="E103" s="37" t="s">
        <v>118</v>
      </c>
      <c r="G103" s="181" t="b">
        <f>IF(G11=INDEX(ODI.Type.List,B103,),TRUE,FALSE)</f>
        <v>0</v>
      </c>
      <c r="H103" s="26" t="str">
        <f>"Delivery.Flag."&amp;$A$4</f>
        <v>Delivery.Flag.2</v>
      </c>
      <c r="R103" s="23"/>
      <c r="S103" s="23"/>
      <c r="V103" s="23"/>
      <c r="W103" s="26"/>
    </row>
    <row r="104" spans="1:25" customFormat="1">
      <c r="A104" s="40"/>
      <c r="B104" s="40"/>
      <c r="C104" s="40"/>
      <c r="D104" s="40"/>
      <c r="F104" s="176"/>
      <c r="G104" s="40"/>
      <c r="Q104" s="19"/>
    </row>
    <row r="105" spans="1:25">
      <c r="E105" s="16" t="s">
        <v>42</v>
      </c>
      <c r="I105" s="83"/>
      <c r="K105" s="23"/>
      <c r="L105" s="23"/>
      <c r="M105" s="23"/>
      <c r="N105" s="23"/>
      <c r="O105" s="23"/>
      <c r="P105" s="23"/>
      <c r="R105" s="23"/>
      <c r="S105" s="23"/>
      <c r="V105" s="23"/>
      <c r="W105" s="26"/>
    </row>
    <row r="106" spans="1:25">
      <c r="E106" s="17" t="s">
        <v>99</v>
      </c>
      <c r="G106" s="178"/>
      <c r="K106" s="23"/>
      <c r="L106" s="41" t="b">
        <f>$G$106=AMP.Years</f>
        <v>0</v>
      </c>
      <c r="M106" s="41" t="b">
        <f>$G$106=AMP.Years</f>
        <v>0</v>
      </c>
      <c r="N106" s="41" t="b">
        <f>$G$106=AMP.Years</f>
        <v>0</v>
      </c>
      <c r="O106" s="41" t="b">
        <f>$G$106=AMP.Years</f>
        <v>0</v>
      </c>
      <c r="P106" s="41" t="b">
        <f>$G$106=AMP.Years</f>
        <v>0</v>
      </c>
      <c r="R106" s="23"/>
      <c r="S106" s="23"/>
      <c r="V106" s="26" t="str">
        <f>"DeliveryPC."&amp;$A$4</f>
        <v>DeliveryPC.2</v>
      </c>
      <c r="W106" s="41" t="b">
        <f>IFERROR(OR(DeliveryPC.2),FALSE)</f>
        <v>0</v>
      </c>
      <c r="X106" s="26" t="str">
        <f>"DeliveryDefined.Flag."&amp;$A$4</f>
        <v>DeliveryDefined.Flag.2</v>
      </c>
    </row>
    <row r="107" spans="1:25">
      <c r="R107" s="23"/>
      <c r="S107" s="23"/>
      <c r="V107" s="26"/>
    </row>
    <row r="108" spans="1:25">
      <c r="E108" s="16" t="s">
        <v>57</v>
      </c>
      <c r="R108" s="23"/>
      <c r="S108" s="23"/>
      <c r="V108" s="26"/>
    </row>
    <row r="109" spans="1:25">
      <c r="E109" s="17" t="s">
        <v>131</v>
      </c>
      <c r="G109" s="178"/>
      <c r="L109" s="41" t="b">
        <f>$G$109=AMP.Years</f>
        <v>0</v>
      </c>
      <c r="M109" s="41" t="b">
        <f>$G$109=AMP.Years</f>
        <v>0</v>
      </c>
      <c r="N109" s="41" t="b">
        <f>$G$109=AMP.Years</f>
        <v>0</v>
      </c>
      <c r="O109" s="41" t="b">
        <f>$G$109=AMP.Years</f>
        <v>0</v>
      </c>
      <c r="P109" s="41" t="b">
        <f>$G$109=AMP.Years</f>
        <v>0</v>
      </c>
      <c r="R109" s="23"/>
      <c r="S109" s="23"/>
      <c r="V109" s="26" t="str">
        <f>"DeliveryCap."&amp;$A$4</f>
        <v>DeliveryCap.2</v>
      </c>
      <c r="W109" s="41" t="b">
        <f>IFERROR(OR(DeliveryCap.2),FALSE)</f>
        <v>0</v>
      </c>
      <c r="X109" s="26" t="str">
        <f>"DeliveryCap.Flag."&amp;$A$4</f>
        <v>DeliveryCap.Flag.2</v>
      </c>
    </row>
    <row r="110" spans="1:25">
      <c r="E110" s="17" t="s">
        <v>132</v>
      </c>
      <c r="G110" s="178"/>
      <c r="L110" s="41" t="b">
        <f>$G$110=AMP.Years</f>
        <v>0</v>
      </c>
      <c r="M110" s="41" t="b">
        <f>$G$110=AMP.Years</f>
        <v>0</v>
      </c>
      <c r="N110" s="41" t="b">
        <f>$G$110=AMP.Years</f>
        <v>0</v>
      </c>
      <c r="O110" s="41" t="b">
        <f>$G$110=AMP.Years</f>
        <v>0</v>
      </c>
      <c r="P110" s="41" t="b">
        <f>$G$110=AMP.Years</f>
        <v>0</v>
      </c>
      <c r="R110" s="23"/>
      <c r="S110" s="23"/>
      <c r="V110" s="26" t="str">
        <f>"DeliveryCollar."&amp;$A$4</f>
        <v>DeliveryCollar.2</v>
      </c>
      <c r="W110" s="41" t="b">
        <f>IFERROR(OR(DeliveryCollar.2),FALSE)</f>
        <v>0</v>
      </c>
      <c r="X110" s="26" t="str">
        <f>"DeliveryCollar.Flag."&amp;$A$4</f>
        <v>DeliveryCollar.Flag.2</v>
      </c>
    </row>
    <row r="111" spans="1:25">
      <c r="R111" s="23"/>
      <c r="S111" s="23"/>
      <c r="V111" s="26"/>
    </row>
    <row r="112" spans="1:25">
      <c r="C112" s="214"/>
      <c r="E112" s="16" t="s">
        <v>50</v>
      </c>
      <c r="K112" s="23"/>
      <c r="L112" s="23"/>
      <c r="M112" s="23"/>
      <c r="N112" s="23"/>
      <c r="O112" s="23"/>
      <c r="P112" s="23"/>
      <c r="R112" s="23"/>
      <c r="S112" s="23"/>
      <c r="V112" s="26"/>
    </row>
    <row r="113" spans="1:25">
      <c r="E113" s="17" t="s">
        <v>100</v>
      </c>
      <c r="G113" s="178"/>
      <c r="K113" s="23"/>
      <c r="L113" s="41" t="b">
        <f>$G$113=AMP.Years</f>
        <v>0</v>
      </c>
      <c r="M113" s="41" t="b">
        <f>$G$113=AMP.Years</f>
        <v>0</v>
      </c>
      <c r="N113" s="41" t="b">
        <f>$G$113=AMP.Years</f>
        <v>0</v>
      </c>
      <c r="O113" s="41" t="b">
        <f>$G$113=AMP.Years</f>
        <v>0</v>
      </c>
      <c r="P113" s="41" t="b">
        <f>$G$113=AMP.Years</f>
        <v>0</v>
      </c>
      <c r="R113" s="23"/>
      <c r="S113" s="23"/>
      <c r="V113" s="26" t="str">
        <f>"Delivery.Performance."&amp;$A$4</f>
        <v>Delivery.Performance.2</v>
      </c>
      <c r="X113" s="57"/>
    </row>
    <row r="114" spans="1:25" customFormat="1">
      <c r="A114" s="40"/>
      <c r="B114" s="40"/>
      <c r="C114" s="40"/>
      <c r="D114" s="40"/>
      <c r="E114" s="17" t="s">
        <v>101</v>
      </c>
      <c r="F114" s="176"/>
      <c r="G114" s="181" t="b">
        <f>IFERROR(NOT(OR(Delivery.Performance.2)),TRUE)</f>
        <v>1</v>
      </c>
      <c r="H114" s="26" t="str">
        <f>"AMP6.NonDel.Flag."&amp;$A$4</f>
        <v>AMP6.NonDel.Flag.2</v>
      </c>
      <c r="I114" s="19"/>
      <c r="Q114" s="19"/>
      <c r="W114" s="19"/>
    </row>
    <row r="115" spans="1:25">
      <c r="E115" s="17"/>
      <c r="K115" s="23"/>
      <c r="R115" s="23"/>
      <c r="S115" s="23"/>
      <c r="V115" s="23"/>
      <c r="W115" s="26"/>
    </row>
    <row r="116" spans="1:25" s="55" customFormat="1" ht="15">
      <c r="A116" s="215"/>
      <c r="B116" s="216"/>
      <c r="C116" s="216"/>
      <c r="D116" s="52"/>
      <c r="E116" s="53" t="s">
        <v>58</v>
      </c>
      <c r="F116" s="193"/>
      <c r="G116" s="52"/>
      <c r="H116" s="54"/>
      <c r="I116" s="54"/>
      <c r="J116" s="54"/>
      <c r="K116" s="54"/>
      <c r="L116" s="54"/>
      <c r="M116" s="54"/>
      <c r="N116" s="54"/>
      <c r="O116" s="54"/>
      <c r="P116" s="54"/>
      <c r="Q116" s="54"/>
      <c r="R116" s="54"/>
      <c r="S116" s="54"/>
      <c r="T116" s="54"/>
      <c r="U116" s="54"/>
      <c r="V116" s="54"/>
      <c r="W116" s="54"/>
      <c r="X116" s="54"/>
      <c r="Y116" s="54"/>
    </row>
    <row r="117" spans="1:25">
      <c r="R117" s="23"/>
      <c r="S117" s="23"/>
      <c r="V117" s="23"/>
      <c r="W117" s="26"/>
    </row>
    <row r="118" spans="1:25">
      <c r="E118" s="16" t="s">
        <v>60</v>
      </c>
      <c r="R118" s="23"/>
      <c r="S118" s="23"/>
      <c r="V118" s="23"/>
      <c r="W118" s="26"/>
    </row>
    <row r="119" spans="1:25">
      <c r="E119" s="16"/>
      <c r="R119" s="23"/>
      <c r="S119" s="23"/>
      <c r="V119" s="23"/>
      <c r="W119" s="26"/>
    </row>
    <row r="120" spans="1:25">
      <c r="D120" s="43" t="s">
        <v>21</v>
      </c>
      <c r="E120" s="65" t="s">
        <v>102</v>
      </c>
      <c r="G120" s="185"/>
      <c r="H120" s="26" t="str">
        <f>"Delay.Flag."&amp;$A$4</f>
        <v>Delay.Flag.2</v>
      </c>
      <c r="R120" s="23"/>
      <c r="S120" s="23"/>
    </row>
    <row r="121" spans="1:25" customFormat="1">
      <c r="A121" s="40"/>
      <c r="B121" s="40"/>
      <c r="C121" s="40"/>
      <c r="D121" s="40" t="s">
        <v>45</v>
      </c>
      <c r="E121" s="65" t="s">
        <v>104</v>
      </c>
      <c r="F121" s="176"/>
      <c r="G121" s="186"/>
      <c r="H121" s="70" t="str">
        <f>"Delay.Penalty."&amp;$A$4</f>
        <v>Delay.Penalty.2</v>
      </c>
      <c r="I121" s="19"/>
      <c r="L121" s="19"/>
      <c r="M121" s="19"/>
      <c r="N121" s="19"/>
      <c r="O121" s="19"/>
      <c r="P121" s="19"/>
      <c r="Q121" s="19"/>
      <c r="V121" s="19"/>
      <c r="W121" s="19"/>
      <c r="X121" s="57"/>
      <c r="Y121" s="57"/>
    </row>
    <row r="122" spans="1:25" customFormat="1">
      <c r="A122" s="40"/>
      <c r="B122" s="40"/>
      <c r="C122" s="40"/>
      <c r="D122" s="40"/>
      <c r="E122" s="65"/>
      <c r="F122" s="176"/>
      <c r="G122" s="40"/>
      <c r="H122" s="70"/>
      <c r="I122" s="19"/>
      <c r="L122" s="19"/>
      <c r="M122" s="19"/>
      <c r="N122" s="19"/>
      <c r="O122" s="19"/>
      <c r="P122" s="19"/>
      <c r="Q122" s="19"/>
      <c r="V122" s="19"/>
      <c r="W122" s="19"/>
      <c r="X122" s="57"/>
      <c r="Y122" s="57"/>
    </row>
    <row r="123" spans="1:25" customFormat="1">
      <c r="A123" s="40"/>
      <c r="B123" s="40"/>
      <c r="C123" s="40"/>
      <c r="D123" s="43" t="s">
        <v>21</v>
      </c>
      <c r="E123" s="65" t="s">
        <v>103</v>
      </c>
      <c r="F123" s="176"/>
      <c r="G123" s="185"/>
      <c r="H123" s="70" t="str">
        <f>"NonDel.Flag."&amp;$A$4</f>
        <v>NonDel.Flag.2</v>
      </c>
      <c r="I123" s="19"/>
      <c r="L123" s="19"/>
      <c r="M123" s="19"/>
      <c r="N123" s="19"/>
      <c r="O123" s="19"/>
      <c r="P123" s="19"/>
      <c r="Q123" s="19"/>
      <c r="V123" s="19"/>
      <c r="W123" s="19"/>
      <c r="X123" s="57"/>
      <c r="Y123" s="57"/>
    </row>
    <row r="124" spans="1:25" customFormat="1">
      <c r="A124" s="40"/>
      <c r="B124" s="40"/>
      <c r="C124" s="40"/>
      <c r="D124" s="40" t="s">
        <v>44</v>
      </c>
      <c r="E124" s="65" t="s">
        <v>105</v>
      </c>
      <c r="F124" s="176"/>
      <c r="G124" s="179"/>
      <c r="H124" s="70" t="str">
        <f>"NonDel.Penalty."&amp;$A$4</f>
        <v>NonDel.Penalty.2</v>
      </c>
      <c r="I124" s="19"/>
      <c r="L124" s="19"/>
      <c r="M124" s="19"/>
      <c r="N124" s="19"/>
      <c r="O124" s="19"/>
      <c r="P124" s="19"/>
      <c r="Q124" s="19"/>
      <c r="V124" s="19"/>
      <c r="W124" s="19"/>
      <c r="X124" s="57"/>
      <c r="Y124" s="57"/>
    </row>
    <row r="125" spans="1:25" customFormat="1">
      <c r="A125" s="40"/>
      <c r="B125" s="40"/>
      <c r="C125" s="40"/>
      <c r="D125" s="40"/>
      <c r="F125" s="176"/>
      <c r="G125" s="40"/>
      <c r="Q125" s="19"/>
    </row>
    <row r="126" spans="1:25" customFormat="1">
      <c r="A126" s="40"/>
      <c r="B126" s="40"/>
      <c r="C126" s="40"/>
      <c r="D126" s="43" t="s">
        <v>21</v>
      </c>
      <c r="E126" s="65" t="s">
        <v>108</v>
      </c>
      <c r="F126" s="176"/>
      <c r="G126" s="180"/>
      <c r="H126" s="19"/>
      <c r="Q126" s="19"/>
    </row>
    <row r="127" spans="1:25" customFormat="1">
      <c r="A127" s="40"/>
      <c r="B127" s="40"/>
      <c r="C127" s="40"/>
      <c r="D127" s="40"/>
      <c r="F127" s="176"/>
      <c r="G127" s="181" t="b">
        <f>IF(Delay.Flag.2,G126,FALSE)</f>
        <v>0</v>
      </c>
      <c r="H127" s="26" t="str">
        <f>"DelayNonDel.Flag."&amp;$A$4</f>
        <v>DelayNonDel.Flag.2</v>
      </c>
      <c r="Q127" s="19"/>
    </row>
    <row r="128" spans="1:25" customFormat="1">
      <c r="A128" s="40"/>
      <c r="B128" s="40"/>
      <c r="C128" s="40"/>
      <c r="D128" s="40"/>
      <c r="F128" s="176"/>
      <c r="G128" s="40"/>
      <c r="Q128" s="19"/>
    </row>
    <row r="129" spans="1:25" s="55" customFormat="1" ht="15">
      <c r="A129" s="215"/>
      <c r="B129" s="216"/>
      <c r="C129" s="216"/>
      <c r="D129" s="52"/>
      <c r="E129" s="53" t="s">
        <v>59</v>
      </c>
      <c r="F129" s="193"/>
      <c r="G129" s="52"/>
      <c r="H129" s="54"/>
      <c r="I129" s="54"/>
      <c r="J129" s="54"/>
      <c r="K129" s="54"/>
      <c r="L129" s="54"/>
      <c r="M129" s="54"/>
      <c r="N129" s="54"/>
      <c r="O129" s="54"/>
      <c r="P129" s="54"/>
      <c r="Q129" s="54"/>
      <c r="R129" s="54"/>
      <c r="S129" s="54"/>
      <c r="T129" s="54"/>
      <c r="U129" s="54"/>
      <c r="V129" s="54"/>
      <c r="W129" s="54"/>
      <c r="X129" s="54"/>
      <c r="Y129" s="54"/>
    </row>
    <row r="130" spans="1:25" customFormat="1">
      <c r="A130" s="40"/>
      <c r="B130" s="40"/>
      <c r="C130" s="40"/>
      <c r="D130" s="40"/>
      <c r="F130" s="176"/>
      <c r="G130" s="40"/>
      <c r="Q130" s="19"/>
    </row>
    <row r="131" spans="1:25" customFormat="1">
      <c r="A131" s="40"/>
      <c r="B131" s="40"/>
      <c r="C131" s="40"/>
      <c r="D131" s="40"/>
      <c r="E131" s="16" t="s">
        <v>61</v>
      </c>
      <c r="F131" s="176"/>
      <c r="G131" s="43"/>
      <c r="Q131" s="19"/>
    </row>
    <row r="132" spans="1:25" customFormat="1">
      <c r="A132" s="40"/>
      <c r="B132" s="40"/>
      <c r="C132" s="40"/>
      <c r="D132" s="40"/>
      <c r="F132" s="176"/>
      <c r="G132" s="40"/>
      <c r="Q132" s="19"/>
    </row>
    <row r="133" spans="1:25">
      <c r="D133" s="43" t="s">
        <v>21</v>
      </c>
      <c r="E133" s="65" t="s">
        <v>106</v>
      </c>
      <c r="G133" s="185"/>
      <c r="H133" s="26" t="str">
        <f>"EarlyDel.Flag."&amp;$A$4</f>
        <v>EarlyDel.Flag.2</v>
      </c>
      <c r="R133" s="23"/>
      <c r="S133" s="23"/>
    </row>
    <row r="134" spans="1:25">
      <c r="D134" s="43" t="s">
        <v>45</v>
      </c>
      <c r="E134" s="65" t="s">
        <v>107</v>
      </c>
      <c r="F134" s="176"/>
      <c r="G134" s="186"/>
      <c r="H134" s="26" t="str">
        <f>"EarlyDel.Reward."&amp;$A$4</f>
        <v>EarlyDel.Reward.2</v>
      </c>
      <c r="K134" s="23"/>
      <c r="L134" s="23"/>
      <c r="M134" s="23"/>
      <c r="N134" s="23"/>
      <c r="O134" s="23"/>
      <c r="P134" s="23"/>
      <c r="R134" s="23"/>
      <c r="S134" s="23"/>
      <c r="V134" s="23"/>
      <c r="X134" s="57"/>
      <c r="Y134" s="57"/>
    </row>
    <row r="135" spans="1:25">
      <c r="E135" s="36"/>
      <c r="H135" s="26"/>
      <c r="K135" s="23"/>
      <c r="L135" s="23"/>
      <c r="M135" s="23"/>
      <c r="N135" s="23"/>
      <c r="O135" s="23"/>
      <c r="P135" s="23"/>
      <c r="S135" s="23"/>
      <c r="V135" s="23"/>
      <c r="W135" s="26"/>
    </row>
    <row r="136" spans="1:25">
      <c r="E136" s="65" t="s">
        <v>109</v>
      </c>
      <c r="G136" s="185"/>
      <c r="H136" s="26" t="str">
        <f>"OnTimeDel.Flag."&amp;$A$4</f>
        <v>OnTimeDel.Flag.2</v>
      </c>
      <c r="K136" s="23"/>
      <c r="L136" s="23"/>
      <c r="M136" s="23"/>
      <c r="N136" s="23"/>
      <c r="O136" s="23"/>
      <c r="P136" s="23"/>
      <c r="S136" s="23"/>
      <c r="V136" s="23"/>
      <c r="W136" s="26"/>
    </row>
    <row r="137" spans="1:25">
      <c r="D137" s="43" t="s">
        <v>20</v>
      </c>
      <c r="E137" s="65" t="s">
        <v>110</v>
      </c>
      <c r="G137" s="179"/>
      <c r="H137" s="26" t="str">
        <f>"OnTimeDel.Reward."&amp;$A$4</f>
        <v>OnTimeDel.Reward.2</v>
      </c>
      <c r="K137" s="23"/>
      <c r="L137" s="23"/>
      <c r="M137" s="23"/>
      <c r="N137" s="23"/>
      <c r="O137" s="23"/>
      <c r="S137" s="23"/>
      <c r="X137" s="57"/>
      <c r="Y137" s="57"/>
    </row>
    <row r="138" spans="1:25" customFormat="1">
      <c r="A138" s="40"/>
      <c r="B138" s="40"/>
      <c r="C138" s="40"/>
      <c r="D138" s="40"/>
      <c r="F138" s="176"/>
      <c r="G138" s="40"/>
      <c r="Q138" s="19"/>
    </row>
    <row r="139" spans="1:25" customFormat="1">
      <c r="A139" s="40"/>
      <c r="B139" s="40"/>
      <c r="C139" s="40"/>
      <c r="D139" s="43" t="s">
        <v>21</v>
      </c>
      <c r="E139" s="65" t="s">
        <v>111</v>
      </c>
      <c r="F139" s="176"/>
      <c r="G139" s="185"/>
      <c r="H139" s="19"/>
      <c r="Q139" s="19"/>
    </row>
    <row r="140" spans="1:25" customFormat="1">
      <c r="A140" s="40"/>
      <c r="B140" s="40"/>
      <c r="C140" s="40"/>
      <c r="D140" s="40"/>
      <c r="F140" s="176"/>
      <c r="G140" s="181" t="b">
        <f>IF(EarlyDel.Flag.2,G139,FALSE)</f>
        <v>0</v>
      </c>
      <c r="H140" s="26" t="str">
        <f>"EarlyOnTimeDel.Flag."&amp;$A$4</f>
        <v>EarlyOnTimeDel.Flag.2</v>
      </c>
      <c r="Q140" s="19"/>
    </row>
    <row r="141" spans="1:25" customFormat="1">
      <c r="A141" s="40"/>
      <c r="B141" s="40"/>
      <c r="C141" s="40"/>
      <c r="D141" s="40"/>
      <c r="F141" s="176"/>
      <c r="G141" s="40"/>
      <c r="Q141" s="19"/>
    </row>
    <row r="142" spans="1:25" s="51" customFormat="1" ht="15">
      <c r="A142" s="212"/>
      <c r="B142" s="213"/>
      <c r="C142" s="213"/>
      <c r="D142" s="48"/>
      <c r="E142" s="49" t="s">
        <v>68</v>
      </c>
      <c r="F142" s="192"/>
      <c r="G142" s="48"/>
      <c r="H142" s="50"/>
      <c r="I142" s="50"/>
      <c r="J142" s="50"/>
      <c r="K142" s="50"/>
      <c r="L142" s="50"/>
      <c r="M142" s="50"/>
      <c r="N142" s="50"/>
      <c r="O142" s="50"/>
      <c r="P142" s="50"/>
      <c r="Q142" s="50"/>
      <c r="R142" s="50"/>
      <c r="S142" s="50"/>
      <c r="T142" s="50"/>
      <c r="U142" s="50"/>
      <c r="V142" s="50"/>
      <c r="W142" s="50"/>
      <c r="X142" s="50"/>
      <c r="Y142" s="50"/>
    </row>
    <row r="143" spans="1:25" customFormat="1">
      <c r="A143" s="40"/>
      <c r="B143" s="40"/>
      <c r="C143" s="40"/>
      <c r="D143" s="40"/>
      <c r="F143" s="176"/>
      <c r="G143" s="40"/>
      <c r="Q143" s="19"/>
    </row>
    <row r="144" spans="1:25" customFormat="1">
      <c r="A144" s="40"/>
      <c r="B144" s="40"/>
      <c r="C144" s="40"/>
      <c r="D144" s="40"/>
      <c r="E144" s="56" t="s">
        <v>77</v>
      </c>
      <c r="F144" s="176"/>
      <c r="G144" s="40"/>
      <c r="Q144" s="19"/>
    </row>
    <row r="145" spans="1:25" customFormat="1">
      <c r="A145" s="40"/>
      <c r="B145" s="40"/>
      <c r="C145" s="40"/>
      <c r="D145" s="40"/>
      <c r="E145" s="37"/>
      <c r="F145" s="176"/>
      <c r="G145" s="40"/>
      <c r="Q145" s="19"/>
    </row>
    <row r="146" spans="1:25" customFormat="1">
      <c r="A146" s="40"/>
      <c r="B146" s="209">
        <v>3</v>
      </c>
      <c r="C146" s="40"/>
      <c r="D146" s="40"/>
      <c r="E146" s="37" t="s">
        <v>123</v>
      </c>
      <c r="F146" s="176"/>
      <c r="G146" s="181" t="b">
        <f>IF(G11=INDEX(ODI.Type.List,B146,),TRUE,FALSE)</f>
        <v>0</v>
      </c>
      <c r="H146" s="26" t="str">
        <f>"Bespoke.Flag."&amp;$A$4</f>
        <v>Bespoke.Flag.2</v>
      </c>
      <c r="Q146" s="19"/>
    </row>
    <row r="147" spans="1:25" customFormat="1">
      <c r="A147" s="40"/>
      <c r="B147" s="40"/>
      <c r="C147" s="40"/>
      <c r="D147" s="40"/>
      <c r="E147" s="56"/>
      <c r="F147" s="176"/>
      <c r="G147" s="40"/>
      <c r="Q147" s="19"/>
    </row>
    <row r="148" spans="1:25" customFormat="1">
      <c r="A148" s="40"/>
      <c r="B148" s="38"/>
      <c r="C148" s="40"/>
      <c r="D148" s="40" t="s">
        <v>76</v>
      </c>
      <c r="E148" s="45" t="s">
        <v>26</v>
      </c>
      <c r="F148" s="176"/>
      <c r="G148" s="38"/>
      <c r="H148" s="19"/>
      <c r="Q148" s="19"/>
    </row>
    <row r="149" spans="1:25" customFormat="1">
      <c r="A149" s="40"/>
      <c r="B149" s="40"/>
      <c r="C149" s="40"/>
      <c r="D149" s="40"/>
      <c r="E149" s="66" t="s">
        <v>72</v>
      </c>
      <c r="F149" s="176"/>
      <c r="G149" s="40"/>
      <c r="L149" s="175"/>
      <c r="M149" s="175"/>
      <c r="N149" s="175"/>
      <c r="O149" s="175"/>
      <c r="P149" s="175"/>
      <c r="Q149" s="19"/>
      <c r="V149" s="70" t="str">
        <f>"Bespoke.Performance."&amp;$A$4</f>
        <v>Bespoke.Performance.2</v>
      </c>
    </row>
    <row r="150" spans="1:25" customFormat="1">
      <c r="A150" s="40"/>
      <c r="B150" s="40"/>
      <c r="C150" s="40"/>
      <c r="D150" s="40"/>
      <c r="E150" s="66"/>
      <c r="F150" s="194"/>
      <c r="G150" s="40"/>
      <c r="H150" s="66"/>
      <c r="I150" s="66"/>
      <c r="J150" s="66"/>
      <c r="K150" s="66"/>
      <c r="L150" s="66"/>
      <c r="M150" s="66"/>
      <c r="N150" s="66"/>
      <c r="O150" s="66"/>
      <c r="P150" s="66"/>
      <c r="Q150" s="19"/>
    </row>
    <row r="151" spans="1:25" customFormat="1">
      <c r="A151" s="40"/>
      <c r="B151" s="40"/>
      <c r="C151" s="40"/>
      <c r="D151" s="40" t="s">
        <v>20</v>
      </c>
      <c r="E151" s="45" t="s">
        <v>75</v>
      </c>
      <c r="F151" s="194"/>
      <c r="G151" s="40"/>
      <c r="H151" s="66"/>
      <c r="I151" s="66"/>
      <c r="J151" s="66"/>
      <c r="K151" s="66"/>
      <c r="L151" s="66"/>
      <c r="M151" s="66"/>
      <c r="N151" s="66"/>
      <c r="O151" s="66"/>
      <c r="P151" s="66"/>
      <c r="Q151" s="19"/>
    </row>
    <row r="152" spans="1:25" customFormat="1">
      <c r="A152" s="40"/>
      <c r="B152" s="40"/>
      <c r="C152" s="40"/>
      <c r="D152" s="40" t="s">
        <v>20</v>
      </c>
      <c r="E152" s="66" t="s">
        <v>73</v>
      </c>
      <c r="F152" s="176"/>
      <c r="G152" s="40"/>
      <c r="L152" s="68"/>
      <c r="M152" s="68"/>
      <c r="N152" s="68"/>
      <c r="O152" s="68"/>
      <c r="P152" s="68"/>
      <c r="Q152" s="19"/>
      <c r="V152" s="70" t="str">
        <f>"Bespoke.Fail."&amp;$A$4</f>
        <v>Bespoke.Fail.2</v>
      </c>
    </row>
    <row r="153" spans="1:25" customFormat="1">
      <c r="A153" s="40"/>
      <c r="B153" s="40"/>
      <c r="C153" s="40"/>
      <c r="D153" s="40" t="s">
        <v>20</v>
      </c>
      <c r="E153" s="66" t="s">
        <v>74</v>
      </c>
      <c r="F153" s="176"/>
      <c r="G153" s="40"/>
      <c r="L153" s="68"/>
      <c r="M153" s="68"/>
      <c r="N153" s="68"/>
      <c r="O153" s="68"/>
      <c r="P153" s="68"/>
      <c r="Q153" s="19"/>
      <c r="V153" s="70" t="str">
        <f>"Bespoke.Pass."&amp;$A$4</f>
        <v>Bespoke.Pass.2</v>
      </c>
    </row>
    <row r="154" spans="1:25" customFormat="1" ht="13.5" thickBot="1">
      <c r="A154" s="40"/>
      <c r="B154" s="40"/>
      <c r="C154" s="40"/>
      <c r="D154" s="40"/>
      <c r="F154" s="176"/>
      <c r="G154" s="40"/>
    </row>
    <row r="155" spans="1:25" ht="13.5" thickBot="1">
      <c r="A155" s="217" t="s">
        <v>35</v>
      </c>
      <c r="B155" s="187"/>
      <c r="C155" s="187"/>
      <c r="D155" s="187"/>
      <c r="E155" s="22"/>
      <c r="F155" s="195"/>
      <c r="G155" s="187"/>
      <c r="H155" s="22"/>
      <c r="I155" s="22"/>
      <c r="J155" s="22"/>
      <c r="K155" s="22"/>
      <c r="L155" s="22"/>
      <c r="M155" s="22"/>
      <c r="N155" s="22"/>
      <c r="O155" s="22"/>
      <c r="P155" s="22"/>
      <c r="Q155" s="22"/>
      <c r="R155" s="22"/>
      <c r="S155" s="22"/>
      <c r="T155" s="22"/>
      <c r="U155" s="22"/>
      <c r="V155" s="22"/>
      <c r="W155" s="22"/>
      <c r="X155" s="22"/>
      <c r="Y155" s="22"/>
    </row>
    <row r="156" spans="1:25"/>
    <row r="157" spans="1:25" hidden="1">
      <c r="Q157" s="36"/>
      <c r="R157" s="36"/>
      <c r="W157" s="36"/>
    </row>
    <row r="158" spans="1:25" hidden="1">
      <c r="E158" s="36"/>
    </row>
    <row r="159" spans="1:25" hidden="1"/>
    <row r="160" spans="1:25" hidden="1">
      <c r="E160" s="36"/>
    </row>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sheetData>
  <conditionalFormatting sqref="G114">
    <cfRule type="cellIs" dxfId="69" priority="33" operator="equal">
      <formula>TRUE</formula>
    </cfRule>
  </conditionalFormatting>
  <conditionalFormatting sqref="G24">
    <cfRule type="cellIs" dxfId="68" priority="32" operator="equal">
      <formula>TRUE</formula>
    </cfRule>
  </conditionalFormatting>
  <conditionalFormatting sqref="G103">
    <cfRule type="cellIs" dxfId="67" priority="31" operator="equal">
      <formula>TRUE</formula>
    </cfRule>
  </conditionalFormatting>
  <conditionalFormatting sqref="G146">
    <cfRule type="cellIs" dxfId="66" priority="30" operator="equal">
      <formula>TRUE</formula>
    </cfRule>
  </conditionalFormatting>
  <conditionalFormatting sqref="G140">
    <cfRule type="cellIs" dxfId="65" priority="29" operator="equal">
      <formula>TRUE</formula>
    </cfRule>
  </conditionalFormatting>
  <conditionalFormatting sqref="G127">
    <cfRule type="cellIs" dxfId="64" priority="28" operator="equal">
      <formula>TRUE</formula>
    </cfRule>
  </conditionalFormatting>
  <conditionalFormatting sqref="W106">
    <cfRule type="cellIs" dxfId="63" priority="27" operator="equal">
      <formula>TRUE</formula>
    </cfRule>
  </conditionalFormatting>
  <conditionalFormatting sqref="W109">
    <cfRule type="cellIs" dxfId="62" priority="26" operator="equal">
      <formula>TRUE</formula>
    </cfRule>
  </conditionalFormatting>
  <conditionalFormatting sqref="W110">
    <cfRule type="cellIs" dxfId="61" priority="25" operator="equal">
      <formula>TRUE</formula>
    </cfRule>
  </conditionalFormatting>
  <conditionalFormatting sqref="L57:P57">
    <cfRule type="cellIs" dxfId="60" priority="18" stopIfTrue="1" operator="equal">
      <formula>TRUE</formula>
    </cfRule>
    <cfRule type="cellIs" dxfId="59" priority="19" stopIfTrue="1" operator="equal">
      <formula>FALSE</formula>
    </cfRule>
  </conditionalFormatting>
  <conditionalFormatting sqref="L69:P69">
    <cfRule type="cellIs" dxfId="58" priority="16" stopIfTrue="1" operator="equal">
      <formula>TRUE</formula>
    </cfRule>
    <cfRule type="cellIs" dxfId="57" priority="17" stopIfTrue="1" operator="equal">
      <formula>FALSE</formula>
    </cfRule>
  </conditionalFormatting>
  <conditionalFormatting sqref="L87:P87">
    <cfRule type="cellIs" dxfId="56" priority="12" stopIfTrue="1" operator="equal">
      <formula>TRUE</formula>
    </cfRule>
    <cfRule type="cellIs" dxfId="55" priority="13" stopIfTrue="1" operator="equal">
      <formula>FALSE</formula>
    </cfRule>
  </conditionalFormatting>
  <conditionalFormatting sqref="L99:P99">
    <cfRule type="cellIs" dxfId="54" priority="10" stopIfTrue="1" operator="equal">
      <formula>TRUE</formula>
    </cfRule>
    <cfRule type="cellIs" dxfId="53" priority="11" stopIfTrue="1" operator="equal">
      <formula>FALSE</formula>
    </cfRule>
  </conditionalFormatting>
  <conditionalFormatting sqref="G65">
    <cfRule type="cellIs" dxfId="52" priority="9" operator="equal">
      <formula>TRUE</formula>
    </cfRule>
  </conditionalFormatting>
  <conditionalFormatting sqref="G95">
    <cfRule type="cellIs" dxfId="51" priority="8" operator="equal">
      <formula>TRUE</formula>
    </cfRule>
  </conditionalFormatting>
  <conditionalFormatting sqref="L47:P47">
    <cfRule type="cellIs" dxfId="50" priority="6" stopIfTrue="1" operator="equal">
      <formula>TRUE</formula>
    </cfRule>
    <cfRule type="cellIs" dxfId="49" priority="7" stopIfTrue="1" operator="equal">
      <formula>FALSE</formula>
    </cfRule>
  </conditionalFormatting>
  <conditionalFormatting sqref="L77:P77">
    <cfRule type="cellIs" dxfId="48" priority="4" stopIfTrue="1" operator="equal">
      <formula>TRUE</formula>
    </cfRule>
    <cfRule type="cellIs" dxfId="47" priority="5" stopIfTrue="1" operator="equal">
      <formula>FALSE</formula>
    </cfRule>
  </conditionalFormatting>
  <conditionalFormatting sqref="L106:P106">
    <cfRule type="cellIs" dxfId="46" priority="3" operator="equal">
      <formula>TRUE</formula>
    </cfRule>
  </conditionalFormatting>
  <conditionalFormatting sqref="L109:P110">
    <cfRule type="cellIs" dxfId="45" priority="2" operator="equal">
      <formula>TRUE</formula>
    </cfRule>
  </conditionalFormatting>
  <conditionalFormatting sqref="L113:P113">
    <cfRule type="cellIs" dxfId="44" priority="1" operator="equal">
      <formula>TRUE</formula>
    </cfRule>
  </conditionalFormatting>
  <dataValidations disablePrompts="1" count="10">
    <dataValidation type="list" allowBlank="1" showInputMessage="1" showErrorMessage="1" sqref="G13">
      <formula1>Crystallisation.List</formula1>
    </dataValidation>
    <dataValidation type="list" allowBlank="1" showInputMessage="1" showErrorMessage="1" sqref="G106 G109:G110 G113">
      <formula1>DeliveryYear.List</formula1>
    </dataValidation>
    <dataValidation type="decimal" operator="greaterThan" allowBlank="1" showInputMessage="1" showErrorMessage="1" sqref="L152:P153">
      <formula1>0</formula1>
    </dataValidation>
    <dataValidation type="list" allowBlank="1" showInputMessage="1" showErrorMessage="1" sqref="L149:P149">
      <formula1>Performance.List</formula1>
    </dataValidation>
    <dataValidation type="decimal" allowBlank="1" showInputMessage="1" showErrorMessage="1" sqref="L88:P89 L58:P59 L70:P70 L86:P86 L56:P56">
      <formula1>-9.99999999999999E+38</formula1>
      <formula2>9.99999999999999E+38</formula2>
    </dataValidation>
    <dataValidation type="list" allowBlank="1" showInputMessage="1" showErrorMessage="1" sqref="G18 L62:P62 L50:P50 L92:P92 L114:P114 G126 G123 G120 G136 G133 G139 G39 G53 G83 L80:P80">
      <formula1>"TRUE,FALSE"</formula1>
    </dataValidation>
    <dataValidation type="list" allowBlank="1" showInputMessage="1" showErrorMessage="1" sqref="G15:G16">
      <formula1>Applied.Adjustment</formula1>
    </dataValidation>
    <dataValidation type="list" allowBlank="1" showInputMessage="1" showErrorMessage="1" sqref="G11">
      <formula1>ODI.Type.List</formula1>
    </dataValidation>
    <dataValidation type="whole" operator="greaterThanOrEqual" allowBlank="1" showInputMessage="1" showErrorMessage="1" sqref="G31">
      <formula1>0</formula1>
    </dataValidation>
    <dataValidation type="decimal" operator="greaterThanOrEqual" allowBlank="1" showInputMessage="1" showErrorMessage="1" sqref="L93:P93 L63:P63 L51:P51 L81:P81">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X15"/>
  <sheetViews>
    <sheetView showGridLines="0" showRowColHeaders="0" zoomScale="80" zoomScaleNormal="80" workbookViewId="0"/>
  </sheetViews>
  <sheetFormatPr defaultColWidth="0" defaultRowHeight="12.75" customHeight="1" zeroHeight="1"/>
  <cols>
    <col min="1" max="2" width="8" style="62" customWidth="1"/>
    <col min="3" max="3" width="8" style="62"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61"/>
    </row>
    <row r="2" spans="1:24" ht="15">
      <c r="A2" s="63"/>
      <c r="B2" s="63"/>
      <c r="C2" s="63"/>
      <c r="D2" s="2"/>
      <c r="E2" s="2"/>
      <c r="F2" s="19"/>
      <c r="G2" s="19"/>
      <c r="H2" s="2"/>
      <c r="I2" s="2"/>
      <c r="J2" s="2"/>
      <c r="K2" s="2"/>
      <c r="L2" s="2"/>
      <c r="M2" s="2"/>
      <c r="N2" s="2"/>
      <c r="O2" s="19"/>
      <c r="P2" s="19"/>
      <c r="Q2" s="2"/>
      <c r="R2" s="2"/>
      <c r="S2" s="2"/>
      <c r="T2" s="2"/>
      <c r="U2" s="2"/>
      <c r="V2" s="2"/>
      <c r="W2" s="2"/>
      <c r="X2" s="2"/>
    </row>
    <row r="3" spans="1:24" ht="15" hidden="1">
      <c r="A3" s="63"/>
      <c r="B3" s="63"/>
      <c r="C3" s="63"/>
      <c r="D3" s="2"/>
      <c r="E3" s="2"/>
      <c r="F3" s="19"/>
      <c r="G3" s="19"/>
      <c r="H3" s="2"/>
      <c r="I3" s="2"/>
      <c r="J3" s="2"/>
      <c r="K3" s="2"/>
      <c r="L3" s="2"/>
      <c r="M3" s="2"/>
      <c r="N3" s="2"/>
      <c r="O3" s="19"/>
      <c r="P3" s="19"/>
      <c r="Q3" s="2"/>
      <c r="R3" s="2"/>
      <c r="S3" s="2"/>
      <c r="T3" s="2"/>
      <c r="U3" s="2"/>
      <c r="V3" s="2"/>
      <c r="W3" s="2"/>
      <c r="X3" s="2"/>
    </row>
    <row r="4" spans="1:24" ht="15" hidden="1">
      <c r="A4" s="63"/>
      <c r="B4" s="63"/>
      <c r="C4" s="63"/>
      <c r="D4" s="2"/>
      <c r="E4" s="2"/>
      <c r="F4" s="19"/>
      <c r="G4" s="19"/>
      <c r="H4" s="2"/>
      <c r="I4" s="2"/>
      <c r="J4" s="2"/>
      <c r="K4" s="2"/>
      <c r="L4" s="2"/>
      <c r="M4" s="2"/>
      <c r="N4" s="2"/>
      <c r="O4" s="19"/>
      <c r="P4" s="19"/>
      <c r="Q4" s="2"/>
      <c r="R4" s="2"/>
      <c r="S4" s="2"/>
      <c r="T4" s="2"/>
      <c r="U4" s="2"/>
      <c r="V4" s="2"/>
      <c r="W4" s="2"/>
      <c r="X4" s="2"/>
    </row>
    <row r="5" spans="1:24" ht="15" hidden="1">
      <c r="A5" s="63"/>
      <c r="B5" s="63"/>
      <c r="C5" s="63"/>
      <c r="D5" s="2"/>
      <c r="E5" s="2"/>
      <c r="F5" s="19"/>
      <c r="G5" s="19"/>
      <c r="H5" s="2"/>
      <c r="I5" s="2"/>
      <c r="J5" s="2"/>
      <c r="K5" s="2"/>
      <c r="L5" s="2"/>
      <c r="M5" s="2"/>
      <c r="N5" s="2"/>
      <c r="O5" s="19"/>
      <c r="P5" s="19"/>
      <c r="Q5" s="2"/>
      <c r="R5" s="2"/>
      <c r="S5" s="2"/>
      <c r="T5" s="2"/>
      <c r="U5" s="2"/>
      <c r="V5" s="2"/>
      <c r="W5" s="2"/>
      <c r="X5" s="2"/>
    </row>
    <row r="6" spans="1:24" ht="15" hidden="1">
      <c r="A6" s="63"/>
      <c r="B6" s="63"/>
      <c r="C6" s="63"/>
      <c r="D6" s="2"/>
      <c r="E6" s="2"/>
      <c r="F6" s="19"/>
      <c r="G6" s="19"/>
      <c r="H6" s="2"/>
      <c r="I6" s="2"/>
      <c r="J6" s="2"/>
      <c r="K6" s="2"/>
      <c r="L6" s="2"/>
      <c r="M6" s="2"/>
      <c r="N6" s="2"/>
      <c r="O6" s="19"/>
      <c r="P6" s="19"/>
      <c r="Q6" s="2"/>
      <c r="R6" s="2"/>
      <c r="S6" s="2"/>
      <c r="T6" s="2"/>
      <c r="U6" s="2"/>
      <c r="V6" s="2"/>
      <c r="W6" s="2"/>
      <c r="X6" s="2"/>
    </row>
    <row r="7" spans="1:24" ht="15" hidden="1">
      <c r="A7" s="63"/>
      <c r="B7" s="63"/>
      <c r="C7" s="63"/>
      <c r="D7" s="2"/>
      <c r="E7" s="2"/>
      <c r="F7" s="19"/>
      <c r="G7" s="19"/>
      <c r="H7" s="2"/>
      <c r="I7" s="2"/>
      <c r="J7" s="2"/>
      <c r="K7" s="2"/>
      <c r="L7" s="2"/>
      <c r="M7" s="2"/>
      <c r="N7" s="2"/>
      <c r="O7" s="19"/>
      <c r="P7" s="19"/>
      <c r="Q7" s="2"/>
      <c r="R7" s="2"/>
      <c r="S7" s="2"/>
      <c r="T7" s="2"/>
      <c r="U7" s="2"/>
      <c r="V7" s="2"/>
      <c r="W7" s="2"/>
      <c r="X7" s="2"/>
    </row>
    <row r="8" spans="1:24" ht="15" hidden="1">
      <c r="A8" s="63"/>
      <c r="B8" s="63"/>
      <c r="C8" s="63"/>
      <c r="D8" s="2"/>
      <c r="E8" s="2"/>
      <c r="F8" s="19"/>
      <c r="G8" s="19"/>
      <c r="H8" s="2"/>
      <c r="I8" s="2"/>
      <c r="J8" s="2"/>
      <c r="K8" s="2"/>
      <c r="L8" s="2"/>
      <c r="M8" s="2"/>
      <c r="N8" s="2"/>
      <c r="O8" s="19"/>
      <c r="P8" s="19"/>
      <c r="Q8" s="2"/>
      <c r="R8" s="2"/>
      <c r="S8" s="2"/>
      <c r="T8" s="2"/>
      <c r="U8" s="2"/>
      <c r="V8" s="2"/>
      <c r="W8" s="2"/>
      <c r="X8" s="2"/>
    </row>
    <row r="9" spans="1:24" ht="15" hidden="1">
      <c r="A9" s="63"/>
      <c r="B9" s="63"/>
      <c r="C9" s="63"/>
      <c r="D9" s="2"/>
      <c r="E9" s="2"/>
      <c r="F9" s="19"/>
      <c r="G9" s="19"/>
      <c r="H9" s="2"/>
      <c r="I9" s="2"/>
      <c r="J9" s="2"/>
      <c r="K9" s="2"/>
      <c r="L9" s="2"/>
      <c r="M9" s="2"/>
      <c r="N9" s="2"/>
      <c r="O9" s="19"/>
      <c r="P9" s="19"/>
      <c r="Q9" s="2"/>
      <c r="R9" s="2"/>
      <c r="S9" s="2"/>
      <c r="T9" s="2"/>
      <c r="U9" s="2"/>
      <c r="V9" s="2"/>
      <c r="W9" s="2"/>
      <c r="X9" s="2"/>
    </row>
    <row r="10" spans="1:24" ht="15" hidden="1">
      <c r="A10" s="63"/>
      <c r="B10" s="63"/>
      <c r="C10" s="63"/>
      <c r="D10" s="2"/>
      <c r="E10" s="2"/>
      <c r="F10" s="19"/>
      <c r="G10" s="19"/>
      <c r="H10" s="2"/>
      <c r="I10" s="2"/>
      <c r="J10" s="2"/>
      <c r="K10" s="2"/>
      <c r="L10" s="2"/>
      <c r="M10" s="2"/>
      <c r="N10" s="2"/>
      <c r="O10" s="19"/>
      <c r="P10" s="19"/>
      <c r="Q10" s="2"/>
      <c r="R10" s="2"/>
      <c r="S10" s="2"/>
      <c r="T10" s="2"/>
      <c r="U10" s="2"/>
      <c r="V10" s="2"/>
      <c r="W10" s="2"/>
      <c r="X10" s="2"/>
    </row>
    <row r="11" spans="1:24" ht="15" hidden="1">
      <c r="A11" s="63"/>
      <c r="B11" s="63"/>
      <c r="C11" s="63"/>
      <c r="D11" s="2"/>
      <c r="E11" s="2"/>
      <c r="F11" s="19"/>
      <c r="G11" s="19"/>
      <c r="H11" s="2"/>
      <c r="I11" s="2"/>
      <c r="J11" s="2"/>
      <c r="K11" s="2"/>
      <c r="L11" s="2"/>
      <c r="M11" s="2"/>
      <c r="N11" s="2"/>
      <c r="O11" s="19"/>
      <c r="P11" s="19"/>
      <c r="Q11" s="2"/>
      <c r="R11" s="2"/>
      <c r="S11" s="2"/>
      <c r="T11" s="2"/>
      <c r="U11" s="2"/>
      <c r="V11" s="2"/>
      <c r="W11" s="2"/>
      <c r="X11" s="2"/>
    </row>
    <row r="12" spans="1:24" ht="15" hidden="1">
      <c r="A12" s="63"/>
      <c r="B12" s="63"/>
      <c r="C12" s="63"/>
      <c r="D12" s="2"/>
      <c r="E12" s="2"/>
      <c r="F12" s="19"/>
      <c r="G12" s="19"/>
      <c r="H12" s="2"/>
      <c r="I12" s="2"/>
      <c r="J12" s="2"/>
      <c r="K12" s="2"/>
      <c r="L12" s="2"/>
      <c r="M12" s="2"/>
      <c r="N12" s="2"/>
      <c r="O12" s="19"/>
      <c r="P12" s="19"/>
      <c r="Q12" s="2"/>
      <c r="R12" s="2"/>
      <c r="S12" s="2"/>
      <c r="T12" s="2"/>
      <c r="U12" s="2"/>
      <c r="V12" s="2"/>
      <c r="W12" s="2"/>
      <c r="X12" s="2"/>
    </row>
    <row r="13" spans="1:24" ht="15" hidden="1">
      <c r="A13" s="63"/>
      <c r="B13" s="63"/>
      <c r="C13" s="63"/>
      <c r="D13" s="2"/>
      <c r="E13" s="2"/>
      <c r="F13" s="19"/>
      <c r="G13" s="19"/>
      <c r="H13" s="2"/>
      <c r="I13" s="2"/>
      <c r="J13" s="2"/>
      <c r="K13" s="2"/>
      <c r="L13" s="2"/>
      <c r="M13" s="2"/>
      <c r="N13" s="2"/>
      <c r="O13" s="19"/>
      <c r="P13" s="19"/>
      <c r="Q13" s="2"/>
      <c r="R13" s="2"/>
      <c r="S13" s="2"/>
      <c r="T13" s="2"/>
      <c r="U13" s="2"/>
      <c r="V13" s="2"/>
      <c r="W13" s="2"/>
      <c r="X13" s="2"/>
    </row>
    <row r="14" spans="1:24" ht="15" hidden="1">
      <c r="A14" s="63"/>
      <c r="B14" s="63"/>
      <c r="C14" s="63"/>
      <c r="D14" s="2"/>
      <c r="E14" s="2"/>
      <c r="F14" s="19"/>
      <c r="G14" s="19"/>
      <c r="H14" s="2"/>
      <c r="I14" s="2"/>
      <c r="J14" s="2"/>
      <c r="K14" s="2"/>
      <c r="L14" s="2"/>
      <c r="M14" s="2"/>
      <c r="N14" s="2"/>
      <c r="O14" s="19"/>
      <c r="P14" s="19"/>
      <c r="Q14" s="2"/>
      <c r="R14" s="2"/>
      <c r="S14" s="2"/>
      <c r="T14" s="2"/>
      <c r="U14" s="2"/>
      <c r="V14" s="2"/>
      <c r="W14" s="2"/>
      <c r="X14" s="2"/>
    </row>
    <row r="15" spans="1:24" ht="15" hidden="1">
      <c r="A15" s="63"/>
      <c r="B15" s="63"/>
      <c r="C15" s="63"/>
      <c r="D15" s="2"/>
      <c r="E15" s="2"/>
      <c r="F15" s="19"/>
      <c r="G15" s="19"/>
      <c r="H15" s="2"/>
      <c r="I15" s="2"/>
      <c r="J15" s="2"/>
      <c r="K15" s="2"/>
      <c r="L15" s="2"/>
      <c r="M15" s="2"/>
      <c r="N15" s="2"/>
      <c r="O15" s="19"/>
      <c r="P15" s="19"/>
      <c r="Q15" s="2"/>
      <c r="R15" s="2"/>
      <c r="S15" s="2"/>
      <c r="T15" s="2"/>
      <c r="U15" s="2"/>
      <c r="V15" s="2"/>
      <c r="W15" s="2"/>
      <c r="X15"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C152"/>
  <sheetViews>
    <sheetView showGridLines="0" zoomScale="80" zoomScaleNormal="80" workbookViewId="0">
      <pane xSplit="8" ySplit="7" topLeftCell="I8" activePane="bottomRight" state="frozen"/>
      <selection activeCell="A151" sqref="A151:XFD151"/>
      <selection pane="topRight" activeCell="A151" sqref="A151:XFD151"/>
      <selection pane="bottomLeft" activeCell="A151" sqref="A151:XFD151"/>
      <selection pane="bottomRight" activeCell="I8" sqref="I8"/>
    </sheetView>
  </sheetViews>
  <sheetFormatPr defaultColWidth="0" defaultRowHeight="12.75" zeroHeight="1"/>
  <cols>
    <col min="1" max="3" width="2.7109375" customWidth="1"/>
    <col min="4" max="4" width="9.140625" customWidth="1"/>
    <col min="5" max="5" width="68.28515625" customWidth="1"/>
    <col min="6" max="6" width="2.7109375" style="176" customWidth="1"/>
    <col min="7" max="7" width="7.42578125" bestFit="1" customWidth="1"/>
    <col min="8" max="8" width="2.7109375" customWidth="1"/>
    <col min="9" max="21" width="10.5703125" customWidth="1"/>
    <col min="22" max="24" width="9.140625" customWidth="1"/>
    <col min="25" max="29" width="0" hidden="1" customWidth="1"/>
    <col min="30" max="16384" width="9.140625" hidden="1"/>
  </cols>
  <sheetData>
    <row r="1" spans="1:24" s="2" customFormat="1" ht="33.75">
      <c r="A1" s="31"/>
      <c r="B1" s="31"/>
      <c r="C1" s="31"/>
      <c r="D1" s="31" t="s">
        <v>147</v>
      </c>
      <c r="E1" s="31"/>
      <c r="F1" s="190"/>
      <c r="G1" s="31"/>
      <c r="H1" s="31"/>
      <c r="I1" s="31"/>
      <c r="J1" s="31"/>
      <c r="K1" s="31"/>
      <c r="L1" s="31"/>
      <c r="M1" s="31"/>
      <c r="N1" s="31"/>
      <c r="O1" s="31"/>
      <c r="P1" s="31"/>
      <c r="Q1" s="31"/>
      <c r="R1" s="31"/>
      <c r="S1" s="31"/>
      <c r="T1" s="31"/>
      <c r="U1" s="31"/>
      <c r="V1" s="31"/>
      <c r="W1" s="31"/>
      <c r="X1" s="31"/>
    </row>
    <row r="2" spans="1:24" s="2" customFormat="1" ht="15">
      <c r="F2" s="20"/>
      <c r="G2" s="19"/>
      <c r="O2" s="19"/>
      <c r="P2" s="19"/>
    </row>
    <row r="3" spans="1:24" s="19" customFormat="1">
      <c r="E3" s="19" t="s">
        <v>17</v>
      </c>
      <c r="F3" s="20"/>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26"/>
    </row>
    <row r="4" spans="1:24" s="19" customFormat="1">
      <c r="A4" s="9">
        <v>1</v>
      </c>
      <c r="F4" s="20"/>
      <c r="V4" s="26"/>
    </row>
    <row r="5" spans="1:24" s="19" customFormat="1">
      <c r="E5" s="30" t="s">
        <v>34</v>
      </c>
      <c r="F5" s="20"/>
      <c r="I5" s="29">
        <f t="shared" ref="I5:U5" si="1">Calendar.Years</f>
        <v>2012</v>
      </c>
      <c r="J5" s="29">
        <f t="shared" si="1"/>
        <v>2013</v>
      </c>
      <c r="K5" s="29">
        <f t="shared" si="1"/>
        <v>2014</v>
      </c>
      <c r="L5" s="29">
        <f t="shared" si="1"/>
        <v>2015</v>
      </c>
      <c r="M5" s="29">
        <f t="shared" si="1"/>
        <v>2016</v>
      </c>
      <c r="N5" s="29">
        <f t="shared" si="1"/>
        <v>2017</v>
      </c>
      <c r="O5" s="29">
        <f t="shared" si="1"/>
        <v>2018</v>
      </c>
      <c r="P5" s="29">
        <f t="shared" si="1"/>
        <v>2019</v>
      </c>
      <c r="Q5" s="29">
        <f t="shared" si="1"/>
        <v>2020</v>
      </c>
      <c r="R5" s="29">
        <f t="shared" si="1"/>
        <v>2021</v>
      </c>
      <c r="S5" s="29">
        <f t="shared" si="1"/>
        <v>2022</v>
      </c>
      <c r="T5" s="29">
        <f t="shared" si="1"/>
        <v>2023</v>
      </c>
      <c r="U5" s="29">
        <f t="shared" si="1"/>
        <v>2024</v>
      </c>
      <c r="V5" s="26"/>
    </row>
    <row r="6" spans="1:24" s="19" customFormat="1">
      <c r="E6" s="19" t="s">
        <v>18</v>
      </c>
      <c r="F6" s="20"/>
      <c r="K6" s="8"/>
      <c r="L6" s="9">
        <v>1</v>
      </c>
      <c r="M6" s="9">
        <v>2</v>
      </c>
      <c r="N6" s="9">
        <v>3</v>
      </c>
      <c r="O6" s="9">
        <v>4</v>
      </c>
      <c r="P6" s="9">
        <v>5</v>
      </c>
      <c r="Q6" s="9">
        <v>6</v>
      </c>
      <c r="R6" s="9">
        <v>7</v>
      </c>
      <c r="S6" s="9">
        <v>8</v>
      </c>
      <c r="T6" s="9">
        <v>9</v>
      </c>
      <c r="U6" s="9">
        <v>10</v>
      </c>
    </row>
    <row r="7" spans="1:24"/>
    <row r="8" spans="1:24" s="13" customFormat="1" ht="15">
      <c r="A8" s="10"/>
      <c r="B8" s="14"/>
      <c r="C8" s="14"/>
      <c r="D8" s="12"/>
      <c r="E8" s="11" t="s">
        <v>62</v>
      </c>
      <c r="F8" s="191"/>
      <c r="G8" s="12"/>
      <c r="H8" s="12"/>
      <c r="I8" s="12"/>
      <c r="J8" s="12"/>
      <c r="K8" s="12"/>
      <c r="L8" s="12"/>
      <c r="M8" s="12"/>
      <c r="N8" s="12"/>
      <c r="O8" s="12"/>
      <c r="P8" s="12"/>
      <c r="Q8" s="12"/>
      <c r="R8" s="12"/>
      <c r="S8" s="12"/>
      <c r="T8" s="12"/>
      <c r="U8" s="12"/>
      <c r="V8" s="12"/>
      <c r="W8" s="12"/>
      <c r="X8" s="12"/>
    </row>
    <row r="9" spans="1:24" s="3" customFormat="1">
      <c r="D9" s="38"/>
      <c r="F9" s="20"/>
    </row>
    <row r="10" spans="1:24" s="19" customFormat="1">
      <c r="D10" s="38"/>
      <c r="E10" s="36" t="s">
        <v>245</v>
      </c>
      <c r="F10" s="20"/>
      <c r="G10" s="41" t="b">
        <f>Numeric.Flag.1</f>
        <v>0</v>
      </c>
    </row>
    <row r="11" spans="1:24" s="19" customFormat="1">
      <c r="D11" s="38"/>
      <c r="F11" s="20"/>
    </row>
    <row r="12" spans="1:24" s="19" customFormat="1">
      <c r="D12" s="38"/>
      <c r="E12" s="78" t="s">
        <v>95</v>
      </c>
      <c r="F12" s="20"/>
    </row>
    <row r="13" spans="1:24" s="19" customFormat="1">
      <c r="D13" s="38" t="s">
        <v>21</v>
      </c>
      <c r="E13" s="17" t="s">
        <v>249</v>
      </c>
      <c r="F13" s="20"/>
      <c r="G13" s="41">
        <f>Reward.Orientation.1</f>
        <v>0</v>
      </c>
      <c r="Q13" s="26"/>
    </row>
    <row r="14" spans="1:24" s="19" customFormat="1">
      <c r="D14" s="38"/>
      <c r="E14" s="36"/>
      <c r="F14" s="20"/>
    </row>
    <row r="15" spans="1:24" s="19" customFormat="1" ht="15">
      <c r="D15" s="59"/>
      <c r="E15" s="72" t="s">
        <v>247</v>
      </c>
      <c r="F15" s="20"/>
      <c r="L15" s="15"/>
      <c r="M15" s="15"/>
      <c r="N15" s="15"/>
      <c r="O15" s="15"/>
      <c r="P15" s="15"/>
    </row>
    <row r="16" spans="1:24" s="19" customFormat="1">
      <c r="D16" s="59"/>
      <c r="E16" s="73" t="s">
        <v>201</v>
      </c>
      <c r="F16" s="20"/>
      <c r="L16" s="15"/>
      <c r="M16" s="15"/>
      <c r="N16" s="15"/>
      <c r="O16" s="15"/>
      <c r="P16" s="15"/>
    </row>
    <row r="17" spans="4:16" s="19" customFormat="1">
      <c r="D17" s="38" t="s">
        <v>21</v>
      </c>
      <c r="E17" s="34" t="s">
        <v>202</v>
      </c>
      <c r="F17" s="20"/>
      <c r="G17" s="41">
        <f>Reward.Limits.Flag.1</f>
        <v>0</v>
      </c>
      <c r="L17" s="15"/>
      <c r="M17" s="15"/>
      <c r="N17" s="15"/>
      <c r="O17" s="15"/>
      <c r="P17" s="15"/>
    </row>
    <row r="18" spans="4:16" s="19" customFormat="1">
      <c r="D18" s="59" t="s">
        <v>20</v>
      </c>
      <c r="E18" s="35" t="s">
        <v>203</v>
      </c>
      <c r="F18" s="20"/>
      <c r="L18" s="84">
        <f>IF($G17, MAX(MIN(INDEX(Reward1.Upper.1,,L$6),INDEX(Performance.1,,L$6)) - INDEX(Reward1.Lower.1,,L$6),0)*Reward1.Rate.1*Reward1.Year.Flag.1 + MAX(MIN(INDEX(Reward2.Upper.1,,L$6),INDEX(Performance.1,,L$6)) - INDEX(Reward2.Lower.1,,L$6),0)*Reward2.Rate.1*Reward2.Year.Flag.1, MAX((MIN(INDEX(Reward.Cap.1,,L$6),INDEX(Performance.1,,L$6)) - INDEX(Reward.Deadband.1,,L$6)),0)*Reward1.Rate.1*Reward1.Year.Flag.1)*$G$10</f>
        <v>0</v>
      </c>
      <c r="M18" s="84">
        <f>IF($G17, MAX(MIN(INDEX(Reward1.Upper.1,,M$6),INDEX(Performance.1,,M$6)) - INDEX(Reward1.Lower.1,,M$6),0)*Reward1.Rate.1*Reward1.Year.Flag.1 + MAX(MIN(INDEX(Reward2.Upper.1,,M$6),INDEX(Performance.1,,M$6)) - INDEX(Reward2.Lower.1,,M$6),0)*Reward2.Rate.1*Reward2.Year.Flag.1, MAX((MIN(INDEX(Reward.Cap.1,,M$6),INDEX(Performance.1,,M$6)) - INDEX(Reward.Deadband.1,,M$6)),0)*Reward1.Rate.1*Reward1.Year.Flag.1)*$G$10</f>
        <v>0</v>
      </c>
      <c r="N18" s="84">
        <f>IF($G17, MAX(MIN(INDEX(Reward1.Upper.1,,N$6),INDEX(Performance.1,,N$6)) - INDEX(Reward1.Lower.1,,N$6),0)*Reward1.Rate.1*Reward1.Year.Flag.1 + MAX(MIN(INDEX(Reward2.Upper.1,,N$6),INDEX(Performance.1,,N$6)) - INDEX(Reward2.Lower.1,,N$6),0)*Reward2.Rate.1*Reward2.Year.Flag.1, MAX((MIN(INDEX(Reward.Cap.1,,N$6),INDEX(Performance.1,,N$6)) - INDEX(Reward.Deadband.1,,N$6)),0)*Reward1.Rate.1*Reward1.Year.Flag.1)*$G$10</f>
        <v>0</v>
      </c>
      <c r="O18" s="84">
        <f>IF($G17, MAX(MIN(INDEX(Reward1.Upper.1,,O$6),INDEX(Performance.1,,O$6)) - INDEX(Reward1.Lower.1,,O$6),0)*Reward1.Rate.1*Reward1.Year.Flag.1 + MAX(MIN(INDEX(Reward2.Upper.1,,O$6),INDEX(Performance.1,,O$6)) - INDEX(Reward2.Lower.1,,O$6),0)*Reward2.Rate.1*Reward2.Year.Flag.1, MAX((MIN(INDEX(Reward.Cap.1,,O$6),INDEX(Performance.1,,O$6)) - INDEX(Reward.Deadband.1,,O$6)),0)*Reward1.Rate.1*Reward1.Year.Flag.1)*$G$10</f>
        <v>0</v>
      </c>
      <c r="P18" s="84">
        <f>IF($G17, MAX(MIN(INDEX(Reward1.Upper.1,,P$6),INDEX(Performance.1,,P$6)) - INDEX(Reward1.Lower.1,,P$6),0)*Reward1.Rate.1*Reward1.Year.Flag.1 + MAX(MIN(INDEX(Reward2.Upper.1,,P$6),INDEX(Performance.1,,P$6)) - INDEX(Reward2.Lower.1,,P$6),0)*Reward2.Rate.1*Reward2.Year.Flag.1, MAX((MIN(INDEX(Reward.Cap.1,,P$6),INDEX(Performance.1,,P$6)) - INDEX(Reward.Deadband.1,,P$6)),0)*Reward1.Rate.1*Reward1.Year.Flag.1)*$G$10</f>
        <v>0</v>
      </c>
    </row>
    <row r="19" spans="4:16" s="19" customFormat="1" ht="15">
      <c r="D19" s="59"/>
      <c r="E19" s="72"/>
      <c r="F19" s="20"/>
      <c r="L19" s="15"/>
      <c r="M19" s="15"/>
      <c r="N19" s="15"/>
      <c r="O19" s="15"/>
      <c r="P19" s="15"/>
    </row>
    <row r="20" spans="4:16" s="19" customFormat="1">
      <c r="D20" s="59"/>
      <c r="E20" s="73" t="s">
        <v>8</v>
      </c>
      <c r="F20" s="20"/>
      <c r="L20" s="15"/>
      <c r="M20" s="15"/>
      <c r="N20" s="15"/>
      <c r="O20" s="15"/>
      <c r="P20" s="15"/>
    </row>
    <row r="21" spans="4:16" s="19" customFormat="1">
      <c r="D21" s="38" t="s">
        <v>21</v>
      </c>
      <c r="E21" s="34" t="s">
        <v>202</v>
      </c>
      <c r="F21" s="20"/>
      <c r="G21" s="41">
        <f>Penalty.Limits.Flag.1</f>
        <v>0</v>
      </c>
    </row>
    <row r="22" spans="4:16" s="19" customFormat="1">
      <c r="D22" s="59" t="s">
        <v>20</v>
      </c>
      <c r="E22" s="35" t="s">
        <v>205</v>
      </c>
      <c r="F22" s="20"/>
      <c r="L22" s="84">
        <f>IF($G21,MAX(INDEX(Penalty1.Upper.1,,L$6) - MAX(INDEX(Penalty1.Lower.1,,L$6),INDEX(Performance.1,,L$6)),0)*Penalty1.Rate.1*Penalty1.Year.Flag.1 + MAX(INDEX(Penalty2.Upper.1,,L$6) - MAX(INDEX(Penalty2.Lower.1,,L$6),INDEX(Performance.1,,L$6)),0)*Penalty2.Rate.1*Penalty2.Year.Flag.1, MAX(INDEX(Penalty.Deadband.1,,L$6) - MAX(INDEX(Penalty.Collar.1,,L$6),INDEX(Performance.1,,L$6)),0)*Penalty1.Rate.1*Penalty1.Year.Flag.1)*$G$10</f>
        <v>0</v>
      </c>
      <c r="M22" s="84">
        <f>IF($G21,MAX(INDEX(Penalty1.Upper.1,,M$6) - MAX(INDEX(Penalty1.Lower.1,,M$6),INDEX(Performance.1,,M$6)),0)*Penalty1.Rate.1*Penalty1.Year.Flag.1 + MAX(INDEX(Penalty2.Upper.1,,M$6) - MAX(INDEX(Penalty2.Lower.1,,M$6),INDEX(Performance.1,,M$6)),0)*Penalty2.Rate.1*Penalty2.Year.Flag.1, MAX(INDEX(Penalty.Deadband.1,,M$6) - MAX(INDEX(Penalty.Collar.1,,M$6),INDEX(Performance.1,,M$6)),0)*Penalty1.Rate.1*Penalty1.Year.Flag.1)*$G$10</f>
        <v>0</v>
      </c>
      <c r="N22" s="84">
        <f>IF($G21,MAX(INDEX(Penalty1.Upper.1,,N$6) - MAX(INDEX(Penalty1.Lower.1,,N$6),INDEX(Performance.1,,N$6)),0)*Penalty1.Rate.1*Penalty1.Year.Flag.1 + MAX(INDEX(Penalty2.Upper.1,,N$6) - MAX(INDEX(Penalty2.Lower.1,,N$6),INDEX(Performance.1,,N$6)),0)*Penalty2.Rate.1*Penalty2.Year.Flag.1, MAX(INDEX(Penalty.Deadband.1,,N$6) - MAX(INDEX(Penalty.Collar.1,,N$6),INDEX(Performance.1,,N$6)),0)*Penalty1.Rate.1*Penalty1.Year.Flag.1)*$G$10</f>
        <v>0</v>
      </c>
      <c r="O22" s="84">
        <f>IF($G21,MAX(INDEX(Penalty1.Upper.1,,O$6) - MAX(INDEX(Penalty1.Lower.1,,O$6),INDEX(Performance.1,,O$6)),0)*Penalty1.Rate.1*Penalty1.Year.Flag.1 + MAX(INDEX(Penalty2.Upper.1,,O$6) - MAX(INDEX(Penalty2.Lower.1,,O$6),INDEX(Performance.1,,O$6)),0)*Penalty2.Rate.1*Penalty2.Year.Flag.1, MAX(INDEX(Penalty.Deadband.1,,O$6) - MAX(INDEX(Penalty.Collar.1,,O$6),INDEX(Performance.1,,O$6)),0)*Penalty1.Rate.1*Penalty1.Year.Flag.1)*$G$10</f>
        <v>0</v>
      </c>
      <c r="P22" s="84">
        <f>IF($G21,MAX(INDEX(Penalty1.Upper.1,,P$6) - MAX(INDEX(Penalty1.Lower.1,,P$6),INDEX(Performance.1,,P$6)),0)*Penalty1.Rate.1*Penalty1.Year.Flag.1 + MAX(INDEX(Penalty2.Upper.1,,P$6) - MAX(INDEX(Penalty2.Lower.1,,P$6),INDEX(Performance.1,,P$6)),0)*Penalty2.Rate.1*Penalty2.Year.Flag.1, MAX(INDEX(Penalty.Deadband.1,,P$6) - MAX(INDEX(Penalty.Collar.1,,P$6),INDEX(Performance.1,,P$6)),0)*Penalty1.Rate.1*Penalty1.Year.Flag.1)*$G$10</f>
        <v>0</v>
      </c>
    </row>
    <row r="23" spans="4:16" s="19" customFormat="1" ht="15">
      <c r="D23" s="59"/>
      <c r="E23" s="72"/>
      <c r="F23" s="20"/>
      <c r="L23" s="15"/>
      <c r="M23" s="15"/>
      <c r="N23" s="15"/>
      <c r="O23" s="15"/>
      <c r="P23" s="15"/>
    </row>
    <row r="24" spans="4:16" s="19" customFormat="1" ht="15">
      <c r="D24" s="59"/>
      <c r="E24" s="72" t="s">
        <v>248</v>
      </c>
      <c r="F24" s="20"/>
      <c r="L24" s="15"/>
      <c r="M24" s="15"/>
      <c r="N24" s="15"/>
      <c r="O24" s="15"/>
      <c r="P24" s="15"/>
    </row>
    <row r="25" spans="4:16" s="19" customFormat="1">
      <c r="D25" s="59"/>
      <c r="E25" s="73" t="s">
        <v>201</v>
      </c>
      <c r="F25" s="20"/>
      <c r="L25" s="15"/>
      <c r="M25" s="15"/>
      <c r="N25" s="15"/>
      <c r="O25" s="15"/>
      <c r="P25" s="15"/>
    </row>
    <row r="26" spans="4:16" s="19" customFormat="1">
      <c r="D26" s="38" t="s">
        <v>21</v>
      </c>
      <c r="E26" s="34" t="s">
        <v>202</v>
      </c>
      <c r="F26" s="20"/>
      <c r="G26" s="41">
        <f>Reward.Limits.Flag.1</f>
        <v>0</v>
      </c>
      <c r="L26" s="15"/>
      <c r="M26" s="15"/>
      <c r="N26" s="15"/>
      <c r="O26" s="15"/>
      <c r="P26" s="15"/>
    </row>
    <row r="27" spans="4:16" s="19" customFormat="1">
      <c r="D27" s="59" t="s">
        <v>20</v>
      </c>
      <c r="E27" s="35" t="s">
        <v>203</v>
      </c>
      <c r="F27" s="20"/>
      <c r="L27" s="84">
        <f>IF($G26,MAX(INDEX(Reward1.Lower.1,,L$6)-MAX(INDEX(Reward1.Upper.1,,L$6),INDEX(Performance.1,,L$6)),0)*Reward1.Rate.1*Reward1.Year.Flag.1+MAX(INDEX(Reward2.Lower.1,,L$6)-MAX(INDEX(Reward2.Upper.1,,L$6),INDEX(Performance.1,,L$6)),0)*Reward2.Rate.1*Reward2.Year.Flag.1,MAX(INDEX(Reward.Deadband.1,,L$6)-MAX(INDEX(Reward.Cap.1,,L$6),INDEX(Performance.1,,L$6)),0)*Reward1.Rate.1*Reward1.Year.Flag.1)*$G$10</f>
        <v>0</v>
      </c>
      <c r="M27" s="84">
        <f>IF($G26,MAX(INDEX(Reward1.Lower.1,,M$6)-MAX(INDEX(Reward1.Upper.1,,M$6),INDEX(Performance.1,,M$6)),0)*Reward1.Rate.1*Reward1.Year.Flag.1+MAX(INDEX(Reward2.Lower.1,,M$6)-MAX(INDEX(Reward2.Upper.1,,M$6),INDEX(Performance.1,,M$6)),0)*Reward2.Rate.1*Reward2.Year.Flag.1,MAX(INDEX(Reward.Deadband.1,,M$6)-MAX(INDEX(Reward.Cap.1,,M$6),INDEX(Performance.1,,M$6)),0)*Reward1.Rate.1*Reward1.Year.Flag.1)*$G$10</f>
        <v>0</v>
      </c>
      <c r="N27" s="84">
        <f>IF($G26,MAX(INDEX(Reward1.Lower.1,,N$6)-MAX(INDEX(Reward1.Upper.1,,N$6),INDEX(Performance.1,,N$6)),0)*Reward1.Rate.1*Reward1.Year.Flag.1+MAX(INDEX(Reward2.Lower.1,,N$6)-MAX(INDEX(Reward2.Upper.1,,N$6),INDEX(Performance.1,,N$6)),0)*Reward2.Rate.1*Reward2.Year.Flag.1,MAX(INDEX(Reward.Deadband.1,,N$6)-MAX(INDEX(Reward.Cap.1,,N$6),INDEX(Performance.1,,N$6)),0)*Reward1.Rate.1*Reward1.Year.Flag.1)*$G$10</f>
        <v>0</v>
      </c>
      <c r="O27" s="84">
        <f>IF($G26,MAX(INDEX(Reward1.Lower.1,,O$6)-MAX(INDEX(Reward1.Upper.1,,O$6),INDEX(Performance.1,,O$6)),0)*Reward1.Rate.1*Reward1.Year.Flag.1+MAX(INDEX(Reward2.Lower.1,,O$6)-MAX(INDEX(Reward2.Upper.1,,O$6),INDEX(Performance.1,,O$6)),0)*Reward2.Rate.1*Reward2.Year.Flag.1,MAX(INDEX(Reward.Deadband.1,,O$6)-MAX(INDEX(Reward.Cap.1,,O$6),INDEX(Performance.1,,O$6)),0)*Reward1.Rate.1*Reward1.Year.Flag.1)*$G$10</f>
        <v>0</v>
      </c>
      <c r="P27" s="84">
        <f>IF($G26,MAX(INDEX(Reward1.Lower.1,,P$6)-MAX(INDEX(Reward1.Upper.1,,P$6),INDEX(Performance.1,,P$6)),0)*Reward1.Rate.1*Reward1.Year.Flag.1+MAX(INDEX(Reward2.Lower.1,,P$6)-MAX(INDEX(Reward2.Upper.1,,P$6),INDEX(Performance.1,,P$6)),0)*Reward2.Rate.1*Reward2.Year.Flag.1,MAX(INDEX(Reward.Deadband.1,,P$6)-MAX(INDEX(Reward.Cap.1,,P$6),INDEX(Performance.1,,P$6)),0)*Reward1.Rate.1*Reward1.Year.Flag.1)*$G$10</f>
        <v>0</v>
      </c>
    </row>
    <row r="28" spans="4:16" s="19" customFormat="1" ht="15">
      <c r="D28" s="59"/>
      <c r="E28" s="72"/>
      <c r="F28" s="20"/>
      <c r="L28" s="15"/>
      <c r="M28" s="15"/>
      <c r="N28" s="15"/>
      <c r="O28" s="15"/>
      <c r="P28" s="15"/>
    </row>
    <row r="29" spans="4:16" s="19" customFormat="1">
      <c r="D29" s="59"/>
      <c r="E29" s="73" t="s">
        <v>8</v>
      </c>
      <c r="F29" s="20"/>
      <c r="L29" s="15"/>
      <c r="M29" s="15"/>
      <c r="N29" s="15"/>
      <c r="O29" s="15"/>
      <c r="P29" s="15"/>
    </row>
    <row r="30" spans="4:16" s="19" customFormat="1">
      <c r="D30" s="38" t="s">
        <v>21</v>
      </c>
      <c r="E30" s="34" t="s">
        <v>202</v>
      </c>
      <c r="F30" s="20"/>
      <c r="G30" s="41">
        <f>Penalty.Limits.Flag.1</f>
        <v>0</v>
      </c>
      <c r="L30" s="15"/>
      <c r="M30" s="15"/>
      <c r="N30" s="15"/>
      <c r="O30" s="15"/>
      <c r="P30" s="15"/>
    </row>
    <row r="31" spans="4:16" s="19" customFormat="1">
      <c r="D31" s="38"/>
      <c r="E31" s="35" t="s">
        <v>205</v>
      </c>
      <c r="F31" s="20"/>
      <c r="G31" s="79"/>
      <c r="L31" s="84">
        <f>IF($G30,MAX(MIN(INDEX(Penalty1.Lower.1,,L$6),INDEX(Performance.1,,L$6))-INDEX(Penalty1.Upper.1,,L$6),0)*Penalty1.Rate.1*Penalty1.Year.Flag.1+MAX(MIN(INDEX(Penalty2.Lower.1,,L$6),INDEX(Performance.1,,L$6))-INDEX(Penalty2.Upper.1,,L$6),0)*Penalty2.Rate.1*Penalty2.Year.Flag.1,MAX(MIN(INDEX(Penalty.Collar.1,,L$6),INDEX(Performance.1,,L$6))-INDEX(Penalty.Deadband.1,,L$6),0)*Penalty1.Rate.1*Penalty1.Year.Flag.1)*$G$10</f>
        <v>0</v>
      </c>
      <c r="M31" s="84">
        <f>IF($G30,MAX(MIN(INDEX(Penalty1.Lower.1,,M$6),INDEX(Performance.1,,M$6))-INDEX(Penalty1.Upper.1,,M$6),0)*Penalty1.Rate.1*Penalty1.Year.Flag.1+MAX(MIN(INDEX(Penalty2.Lower.1,,M$6),INDEX(Performance.1,,M$6))-INDEX(Penalty2.Upper.1,,M$6),0)*Penalty2.Rate.1*Penalty2.Year.Flag.1,MAX(MIN(INDEX(Penalty.Collar.1,,M$6),INDEX(Performance.1,,M$6))-INDEX(Penalty.Deadband.1,,M$6),0)*Penalty1.Rate.1*Penalty1.Year.Flag.1)*$G$10</f>
        <v>0</v>
      </c>
      <c r="N31" s="84">
        <f>IF($G30,MAX(MIN(INDEX(Penalty1.Lower.1,,N$6),INDEX(Performance.1,,N$6))-INDEX(Penalty1.Upper.1,,N$6),0)*Penalty1.Rate.1*Penalty1.Year.Flag.1+MAX(MIN(INDEX(Penalty2.Lower.1,,N$6),INDEX(Performance.1,,N$6))-INDEX(Penalty2.Upper.1,,N$6),0)*Penalty2.Rate.1*Penalty2.Year.Flag.1,MAX(MIN(INDEX(Penalty.Collar.1,,N$6),INDEX(Performance.1,,N$6))-INDEX(Penalty.Deadband.1,,N$6),0)*Penalty1.Rate.1*Penalty1.Year.Flag.1)*$G$10</f>
        <v>0</v>
      </c>
      <c r="O31" s="84">
        <f>IF($G30,MAX(MIN(INDEX(Penalty1.Lower.1,,O$6),INDEX(Performance.1,,O$6))-INDEX(Penalty1.Upper.1,,O$6),0)*Penalty1.Rate.1*Penalty1.Year.Flag.1+MAX(MIN(INDEX(Penalty2.Lower.1,,O$6),INDEX(Performance.1,,O$6))-INDEX(Penalty2.Upper.1,,O$6),0)*Penalty2.Rate.1*Penalty2.Year.Flag.1,MAX(MIN(INDEX(Penalty.Collar.1,,O$6),INDEX(Performance.1,,O$6))-INDEX(Penalty.Deadband.1,,O$6),0)*Penalty1.Rate.1*Penalty1.Year.Flag.1)*$G$10</f>
        <v>0</v>
      </c>
      <c r="P31" s="84">
        <f>IF($G30,MAX(MIN(INDEX(Penalty1.Lower.1,,P$6),INDEX(Performance.1,,P$6))-INDEX(Penalty1.Upper.1,,P$6),0)*Penalty1.Rate.1*Penalty1.Year.Flag.1+MAX(MIN(INDEX(Penalty2.Lower.1,,P$6),INDEX(Performance.1,,P$6))-INDEX(Penalty2.Upper.1,,P$6),0)*Penalty2.Rate.1*Penalty2.Year.Flag.1,MAX(MIN(INDEX(Penalty.Collar.1,,P$6),INDEX(Performance.1,,P$6))-INDEX(Penalty.Deadband.1,,P$6),0)*Penalty1.Rate.1*Penalty1.Year.Flag.1)*$G$10</f>
        <v>0</v>
      </c>
    </row>
    <row r="32" spans="4:16" s="19" customFormat="1">
      <c r="D32" s="38"/>
      <c r="E32" s="34"/>
      <c r="F32" s="20"/>
      <c r="G32" s="79"/>
      <c r="L32" s="15"/>
      <c r="M32" s="15"/>
      <c r="N32" s="15"/>
      <c r="O32" s="15"/>
      <c r="P32" s="15"/>
    </row>
    <row r="33" spans="1:24" s="19" customFormat="1">
      <c r="D33" s="59" t="s">
        <v>20</v>
      </c>
      <c r="E33" s="80" t="s">
        <v>36</v>
      </c>
      <c r="F33" s="20"/>
      <c r="L33" s="42">
        <f>IF(Reward.Orientation.1,L18-L22,L27-L31)</f>
        <v>0</v>
      </c>
      <c r="M33" s="42">
        <f>IF(Reward.Orientation.1,M18-M22,M27-M31)</f>
        <v>0</v>
      </c>
      <c r="N33" s="42">
        <f>IF(Reward.Orientation.1,N18-N22,N27-N31)</f>
        <v>0</v>
      </c>
      <c r="O33" s="42">
        <f>IF(Reward.Orientation.1,O18-O22,O27-O31)</f>
        <v>0</v>
      </c>
      <c r="P33" s="42">
        <f>IF(Reward.Orientation.1,P18-P22,P27-P31)</f>
        <v>0</v>
      </c>
      <c r="V33" s="26" t="str">
        <f>"Net.Reward.NumPC."&amp;$A$4</f>
        <v>Net.Reward.NumPC.1</v>
      </c>
    </row>
    <row r="34" spans="1:24" s="19" customFormat="1">
      <c r="D34" s="38"/>
      <c r="E34" s="34"/>
      <c r="F34" s="20"/>
      <c r="G34" s="79"/>
      <c r="L34" s="15"/>
      <c r="M34" s="15"/>
      <c r="N34" s="15"/>
      <c r="O34" s="15"/>
      <c r="P34" s="15"/>
    </row>
    <row r="35" spans="1:24" s="13" customFormat="1" ht="15">
      <c r="A35" s="10"/>
      <c r="B35" s="14"/>
      <c r="C35" s="14"/>
      <c r="D35" s="12"/>
      <c r="E35" s="11" t="s">
        <v>63</v>
      </c>
      <c r="F35" s="191"/>
      <c r="G35" s="12"/>
      <c r="H35" s="12"/>
      <c r="I35" s="12"/>
      <c r="J35" s="12"/>
      <c r="K35" s="12"/>
      <c r="L35" s="12"/>
      <c r="M35" s="12"/>
      <c r="N35" s="12"/>
      <c r="O35" s="12"/>
      <c r="P35" s="12"/>
      <c r="Q35" s="12"/>
      <c r="R35" s="12"/>
      <c r="S35" s="12"/>
      <c r="T35" s="12"/>
      <c r="U35" s="12"/>
      <c r="V35" s="12"/>
      <c r="W35" s="12"/>
      <c r="X35" s="12"/>
    </row>
    <row r="36" spans="1:24" s="19" customFormat="1">
      <c r="D36" s="38"/>
      <c r="F36" s="20"/>
      <c r="L36" s="23"/>
      <c r="M36" s="23"/>
      <c r="N36" s="23"/>
      <c r="O36" s="23"/>
      <c r="P36" s="23"/>
      <c r="R36" s="23"/>
      <c r="S36" s="23"/>
      <c r="T36" s="23"/>
      <c r="U36" s="23"/>
      <c r="V36" s="23"/>
    </row>
    <row r="37" spans="1:24" s="19" customFormat="1">
      <c r="D37" s="38"/>
      <c r="E37" s="36" t="s">
        <v>246</v>
      </c>
      <c r="F37" s="20"/>
      <c r="G37" s="41" t="b">
        <f>Delivery.Flag.1</f>
        <v>0</v>
      </c>
      <c r="L37" s="23"/>
      <c r="M37" s="23"/>
      <c r="N37" s="23"/>
      <c r="O37" s="23"/>
      <c r="P37" s="23"/>
      <c r="R37" s="23"/>
      <c r="S37" s="23"/>
      <c r="T37" s="23"/>
      <c r="U37" s="23"/>
      <c r="V37" s="23"/>
    </row>
    <row r="38" spans="1:24" s="19" customFormat="1">
      <c r="D38" s="38"/>
      <c r="F38" s="20"/>
      <c r="L38" s="23"/>
      <c r="M38" s="23"/>
      <c r="N38" s="23"/>
      <c r="O38" s="23"/>
      <c r="P38" s="23"/>
      <c r="R38" s="23"/>
      <c r="S38" s="23"/>
      <c r="T38" s="23"/>
      <c r="U38" s="23"/>
      <c r="V38" s="23"/>
    </row>
    <row r="39" spans="1:24" s="19" customFormat="1">
      <c r="D39" s="38"/>
      <c r="E39" s="16" t="s">
        <v>51</v>
      </c>
      <c r="F39" s="20"/>
      <c r="L39" s="23"/>
      <c r="M39" s="23"/>
      <c r="N39" s="23"/>
      <c r="O39" s="23"/>
      <c r="P39" s="23"/>
      <c r="R39" s="23"/>
      <c r="S39" s="23"/>
      <c r="T39" s="23"/>
      <c r="U39" s="23"/>
      <c r="V39" s="23"/>
    </row>
    <row r="40" spans="1:24" s="19" customFormat="1">
      <c r="D40" s="38" t="s">
        <v>21</v>
      </c>
      <c r="E40" s="65" t="s">
        <v>114</v>
      </c>
      <c r="F40" s="20"/>
      <c r="G40" s="41" t="b">
        <f>OR(L40:P40)</f>
        <v>0</v>
      </c>
      <c r="L40" s="41" t="b">
        <f>IF(OR(AMP6.NonDel.Flag.1,NOT(DeliveryDefined.Flag.1)),FALSE,AND(L6&lt;MATCH(TRUE,DeliveryPC.1,0),L6&gt;=MATCH(TRUE,Delivery.Performance.1,0)))</f>
        <v>0</v>
      </c>
      <c r="M40" s="41" t="b">
        <f>IF(OR(AMP6.NonDel.Flag.1,NOT(DeliveryDefined.Flag.1)),FALSE,AND(M6&lt;MATCH(TRUE,DeliveryPC.1,0),M6&gt;=MATCH(TRUE,Delivery.Performance.1,0)))</f>
        <v>0</v>
      </c>
      <c r="N40" s="41" t="b">
        <f>IF(OR(AMP6.NonDel.Flag.1,NOT(DeliveryDefined.Flag.1)),FALSE,AND(N6&lt;MATCH(TRUE,DeliveryPC.1,0),N6&gt;=MATCH(TRUE,Delivery.Performance.1,0)))</f>
        <v>0</v>
      </c>
      <c r="O40" s="41" t="b">
        <f>IF(OR(AMP6.NonDel.Flag.1,NOT(DeliveryDefined.Flag.1)),FALSE,AND(O6&lt;MATCH(TRUE,DeliveryPC.1,0),O6&gt;=MATCH(TRUE,Delivery.Performance.1,0)))</f>
        <v>0</v>
      </c>
      <c r="P40" s="41" t="b">
        <f>IF(OR(AMP6.NonDel.Flag.1,NOT(DeliveryDefined.Flag.1)),FALSE,AND(P6&lt;MATCH(TRUE,DeliveryPC.1,0),P6&gt;=MATCH(TRUE,Delivery.Performance.1,0)))</f>
        <v>0</v>
      </c>
      <c r="R40" s="85"/>
      <c r="S40" s="23"/>
      <c r="T40" s="23"/>
      <c r="U40" s="23"/>
      <c r="V40" s="23"/>
    </row>
    <row r="41" spans="1:24"/>
    <row r="42" spans="1:24">
      <c r="D42" s="40" t="s">
        <v>126</v>
      </c>
      <c r="E42" s="65" t="s">
        <v>120</v>
      </c>
      <c r="G42" s="90">
        <f>IF(G40,MATCH(TRUE,DeliveryPC.1,0)-MATCH(TRUE,Delivery.Performance.1,0),0)</f>
        <v>0</v>
      </c>
    </row>
    <row r="43" spans="1:24">
      <c r="D43" s="59" t="s">
        <v>20</v>
      </c>
      <c r="E43" s="65" t="s">
        <v>128</v>
      </c>
      <c r="G43" s="84">
        <f>G42*EarlyDel.Flag.1*EarlyDel.Reward.1</f>
        <v>0</v>
      </c>
    </row>
    <row r="44" spans="1:24">
      <c r="D44" s="59"/>
      <c r="E44" s="65"/>
      <c r="G44" s="84"/>
    </row>
    <row r="45" spans="1:24">
      <c r="D45" s="40" t="s">
        <v>126</v>
      </c>
      <c r="E45" s="65" t="s">
        <v>127</v>
      </c>
      <c r="G45" s="90">
        <f>IF(OR(NOT(DeliveryCap.Flag.1),NOT(DeliveryDefined.Flag.1)),0,MATCH(TRUE,DeliveryPC.1)-MATCH(TRUE,DeliveryCap.1,0))</f>
        <v>0</v>
      </c>
    </row>
    <row r="46" spans="1:24">
      <c r="D46" s="59" t="s">
        <v>20</v>
      </c>
      <c r="E46" s="65" t="s">
        <v>129</v>
      </c>
      <c r="G46" s="84">
        <f>G45*EarlyDel.Reward.1</f>
        <v>0</v>
      </c>
    </row>
    <row r="47" spans="1:24">
      <c r="D47" s="59"/>
      <c r="E47" s="65"/>
      <c r="G47" s="84"/>
    </row>
    <row r="48" spans="1:24">
      <c r="D48" s="59" t="s">
        <v>20</v>
      </c>
      <c r="E48" s="65" t="s">
        <v>121</v>
      </c>
      <c r="G48" s="84"/>
      <c r="L48" s="84">
        <f>IF($G40,Delivery.Performance.1*MIN($G$43,$G$46),0)*$G$37</f>
        <v>0</v>
      </c>
      <c r="M48" s="84">
        <f>IF($G40,Delivery.Performance.1*MIN($G$43,$G$46),0)*$G$37</f>
        <v>0</v>
      </c>
      <c r="N48" s="84">
        <f>IF($G40,Delivery.Performance.1*MIN($G$43,$G$46),0)*$G$37</f>
        <v>0</v>
      </c>
      <c r="O48" s="84">
        <f>IF($G40,Delivery.Performance.1*MIN($G$43,$G$46),0)*$G$37</f>
        <v>0</v>
      </c>
      <c r="P48" s="84">
        <f>IF($G40,Delivery.Performance.1*MIN($G$43,$G$46),0)*$G$37</f>
        <v>0</v>
      </c>
    </row>
    <row r="49" spans="4:22" s="19" customFormat="1">
      <c r="D49" s="38"/>
      <c r="F49" s="20"/>
      <c r="R49" s="82"/>
      <c r="S49" s="23"/>
      <c r="T49" s="23"/>
      <c r="U49" s="23"/>
      <c r="V49" s="23"/>
    </row>
    <row r="50" spans="4:22" s="19" customFormat="1">
      <c r="D50" s="38" t="s">
        <v>21</v>
      </c>
      <c r="E50" s="65" t="s">
        <v>115</v>
      </c>
      <c r="F50" s="20"/>
      <c r="G50" s="41" t="b">
        <f>IF(OR(AMP6.NonDel.Flag.1,NOT(DeliveryDefined.Flag.1)),FALSE,MATCH(TRUE,DeliveryPC.1,0)&lt;MATCH(TRUE,Delivery.Performance.1,0))</f>
        <v>0</v>
      </c>
      <c r="R50" s="85"/>
      <c r="S50" s="23"/>
      <c r="T50" s="23"/>
      <c r="U50" s="23"/>
      <c r="V50" s="23"/>
    </row>
    <row r="51" spans="4:22" s="19" customFormat="1">
      <c r="D51" s="38" t="s">
        <v>21</v>
      </c>
      <c r="E51" s="65" t="s">
        <v>112</v>
      </c>
      <c r="F51" s="20"/>
      <c r="L51" s="41" t="b">
        <f>AND(OnTimeDel.Flag.1,+Delivery.Performance.1,NOT($G$50),DeliveryDefined.Flag.1)</f>
        <v>0</v>
      </c>
      <c r="M51" s="41" t="b">
        <f>AND(OnTimeDel.Flag.1,+Delivery.Performance.1,NOT($G$50),DeliveryDefined.Flag.1)</f>
        <v>0</v>
      </c>
      <c r="N51" s="41" t="b">
        <f>AND(OnTimeDel.Flag.1,+Delivery.Performance.1,NOT($G$50),DeliveryDefined.Flag.1)</f>
        <v>0</v>
      </c>
      <c r="O51" s="41" t="b">
        <f>AND(OnTimeDel.Flag.1,+Delivery.Performance.1,NOT($G$50),DeliveryDefined.Flag.1)</f>
        <v>0</v>
      </c>
      <c r="P51" s="41" t="b">
        <f>AND(OnTimeDel.Flag.1,+Delivery.Performance.1,NOT($G$50),DeliveryDefined.Flag.1)</f>
        <v>0</v>
      </c>
      <c r="R51" s="82"/>
      <c r="S51" s="23"/>
      <c r="T51" s="23"/>
      <c r="U51" s="23"/>
      <c r="V51" s="23"/>
    </row>
    <row r="52" spans="4:22" s="19" customFormat="1">
      <c r="D52" s="38"/>
      <c r="E52" s="65" t="s">
        <v>113</v>
      </c>
      <c r="F52" s="20"/>
      <c r="L52" s="84">
        <f>L51*OnTimeDel.Reward.1*$G$37</f>
        <v>0</v>
      </c>
      <c r="M52" s="84">
        <f>M51*OnTimeDel.Reward.1*$G$37</f>
        <v>0</v>
      </c>
      <c r="N52" s="84">
        <f>N51*OnTimeDel.Reward.1*$G$37</f>
        <v>0</v>
      </c>
      <c r="O52" s="84">
        <f>O51*OnTimeDel.Reward.1*$G$37</f>
        <v>0</v>
      </c>
      <c r="P52" s="84">
        <f>P51*OnTimeDel.Reward.1*$G$37</f>
        <v>0</v>
      </c>
      <c r="R52" s="42"/>
      <c r="S52" s="23"/>
      <c r="T52" s="23"/>
      <c r="U52" s="23"/>
      <c r="V52" s="23"/>
    </row>
    <row r="53" spans="4:22" s="19" customFormat="1">
      <c r="D53" s="38"/>
      <c r="F53" s="20"/>
      <c r="L53" s="23"/>
      <c r="M53" s="23"/>
      <c r="N53" s="23"/>
      <c r="O53" s="23"/>
      <c r="P53" s="23"/>
      <c r="R53" s="42"/>
      <c r="S53" s="23"/>
      <c r="T53" s="23"/>
      <c r="U53" s="23"/>
      <c r="V53" s="23"/>
    </row>
    <row r="54" spans="4:22" s="19" customFormat="1">
      <c r="D54" s="59" t="s">
        <v>20</v>
      </c>
      <c r="E54" s="33" t="s">
        <v>94</v>
      </c>
      <c r="F54" s="182"/>
      <c r="G54" s="38"/>
      <c r="H54" s="38"/>
      <c r="L54" s="84">
        <f>IF($G$40,L48+L52*NOT(EarlyOnTimeDel.Flag.1),L52)</f>
        <v>0</v>
      </c>
      <c r="M54" s="84">
        <f>IF($G$40,M48+M52*NOT(EarlyOnTimeDel.Flag.1),M52)</f>
        <v>0</v>
      </c>
      <c r="N54" s="84">
        <f>IF($G$40,N48+N52*NOT(EarlyOnTimeDel.Flag.1),N52)</f>
        <v>0</v>
      </c>
      <c r="O54" s="84">
        <f>IF($G$40,O48+O52*NOT(EarlyOnTimeDel.Flag.1),O52)</f>
        <v>0</v>
      </c>
      <c r="P54" s="84">
        <f>IF($G$40,P48+P52*NOT(EarlyOnTimeDel.Flag.1),P52)</f>
        <v>0</v>
      </c>
      <c r="R54" s="82"/>
      <c r="S54" s="23"/>
      <c r="T54" s="23"/>
      <c r="U54" s="23"/>
    </row>
    <row r="55" spans="4:22" s="19" customFormat="1">
      <c r="D55" s="38"/>
      <c r="E55" s="38"/>
      <c r="F55" s="182"/>
      <c r="G55" s="38"/>
      <c r="H55" s="38"/>
      <c r="R55" s="42"/>
      <c r="S55" s="23"/>
      <c r="T55" s="23"/>
      <c r="U55" s="23"/>
    </row>
    <row r="56" spans="4:22" s="19" customFormat="1">
      <c r="D56" s="38"/>
      <c r="E56" s="16" t="s">
        <v>8</v>
      </c>
      <c r="F56" s="20"/>
      <c r="L56" s="23"/>
      <c r="M56" s="23"/>
      <c r="N56" s="23"/>
      <c r="O56" s="23"/>
      <c r="P56" s="23"/>
      <c r="R56" s="42"/>
      <c r="S56" s="23"/>
      <c r="T56" s="23"/>
      <c r="U56" s="23"/>
      <c r="V56" s="23"/>
    </row>
    <row r="57" spans="4:22" s="19" customFormat="1">
      <c r="D57" s="38" t="s">
        <v>21</v>
      </c>
      <c r="E57" s="65" t="s">
        <v>96</v>
      </c>
      <c r="F57" s="20"/>
      <c r="G57" s="41" t="b">
        <f>OR(L57:P57)</f>
        <v>0</v>
      </c>
      <c r="L57" s="41" t="b">
        <f>IF(NOT(DeliveryDefined.Flag.1),FALSE,IF(AMP6.NonDel.Flag.1,L6&gt;=MATCH(TRUE,DeliveryPC.1,0),AND(L6&gt;=MATCH(TRUE,DeliveryPC.1,0),L6&lt;MATCH(TRUE,Delivery.Performance.1,0))))</f>
        <v>0</v>
      </c>
      <c r="M57" s="41" t="b">
        <f>IF(NOT(DeliveryDefined.Flag.1),FALSE,IF(AMP6.NonDel.Flag.1,M6&gt;=MATCH(TRUE,DeliveryPC.1,0),AND(M6&gt;=MATCH(TRUE,DeliveryPC.1,0),M6&lt;MATCH(TRUE,Delivery.Performance.1,0))))</f>
        <v>0</v>
      </c>
      <c r="N57" s="41" t="b">
        <f>IF(NOT(DeliveryDefined.Flag.1),FALSE,IF(AMP6.NonDel.Flag.1,N6&gt;=MATCH(TRUE,DeliveryPC.1,0),AND(N6&gt;=MATCH(TRUE,DeliveryPC.1,0),N6&lt;MATCH(TRUE,Delivery.Performance.1,0))))</f>
        <v>0</v>
      </c>
      <c r="O57" s="41" t="b">
        <f>IF(NOT(DeliveryDefined.Flag.1),FALSE,IF(AMP6.NonDel.Flag.1,O6&gt;=MATCH(TRUE,DeliveryPC.1,0),AND(O6&gt;=MATCH(TRUE,DeliveryPC.1,0),O6&lt;MATCH(TRUE,Delivery.Performance.1,0))))</f>
        <v>0</v>
      </c>
      <c r="P57" s="41" t="b">
        <f>IF(NOT(DeliveryDefined.Flag.1),FALSE,IF(AMP6.NonDel.Flag.1,P6&gt;=MATCH(TRUE,DeliveryPC.1,0),AND(P6&gt;=MATCH(TRUE,DeliveryPC.1,0),P6&lt;MATCH(TRUE,Delivery.Performance.1,0))))</f>
        <v>0</v>
      </c>
      <c r="R57" s="85"/>
      <c r="S57" s="23"/>
      <c r="T57" s="23"/>
      <c r="U57" s="23"/>
      <c r="V57" s="23"/>
    </row>
    <row r="58" spans="4:22" s="19" customFormat="1">
      <c r="D58" s="38" t="s">
        <v>21</v>
      </c>
      <c r="E58" s="65" t="s">
        <v>116</v>
      </c>
      <c r="F58" s="20"/>
      <c r="L58" s="41" t="b">
        <f>AND(L57,Delay.Flag.1)</f>
        <v>0</v>
      </c>
      <c r="M58" s="41" t="b">
        <f>AND(M57,Delay.Flag.1)</f>
        <v>0</v>
      </c>
      <c r="N58" s="41" t="b">
        <f>AND(N57,Delay.Flag.1)</f>
        <v>0</v>
      </c>
      <c r="O58" s="41" t="b">
        <f>AND(O57,Delay.Flag.1)</f>
        <v>0</v>
      </c>
      <c r="P58" s="41" t="b">
        <f>AND(P57,Delay.Flag.1)</f>
        <v>0</v>
      </c>
      <c r="R58" s="23"/>
      <c r="S58" s="23"/>
      <c r="T58" s="23"/>
      <c r="U58" s="23"/>
      <c r="V58" s="23"/>
    </row>
    <row r="59" spans="4:22" s="19" customFormat="1">
      <c r="D59" s="38"/>
      <c r="E59" s="65"/>
      <c r="F59" s="20"/>
      <c r="L59" s="79"/>
      <c r="M59" s="79"/>
      <c r="N59" s="79"/>
      <c r="O59" s="79"/>
      <c r="P59" s="79"/>
      <c r="R59" s="23"/>
      <c r="S59" s="23"/>
      <c r="T59" s="23"/>
      <c r="U59" s="23"/>
      <c r="V59" s="23"/>
    </row>
    <row r="60" spans="4:22" s="19" customFormat="1">
      <c r="D60" s="38" t="s">
        <v>21</v>
      </c>
      <c r="E60" s="65" t="s">
        <v>130</v>
      </c>
      <c r="F60" s="20"/>
      <c r="G60" s="84"/>
      <c r="L60" s="41" t="b">
        <f>IF(OR(NOT(DeliveryCollar.Flag.1),NOT(DeliveryDefined.Flag.1)),FALSE,L6&gt;MATCH(TRUE,DeliveryCollar.1))</f>
        <v>0</v>
      </c>
      <c r="M60" s="41" t="b">
        <f>IF(OR(NOT(DeliveryCollar.Flag.1),NOT(DeliveryDefined.Flag.1)),FALSE,M6&gt;MATCH(TRUE,DeliveryCollar.1))</f>
        <v>0</v>
      </c>
      <c r="N60" s="41" t="b">
        <f>IF(OR(NOT(DeliveryCollar.Flag.1),NOT(DeliveryDefined.Flag.1)),FALSE,N6&gt;MATCH(TRUE,DeliveryCollar.1))</f>
        <v>0</v>
      </c>
      <c r="O60" s="41" t="b">
        <f>IF(OR(NOT(DeliveryCollar.Flag.1),NOT(DeliveryDefined.Flag.1)),FALSE,O6&gt;MATCH(TRUE,DeliveryCollar.1))</f>
        <v>0</v>
      </c>
      <c r="P60" s="41" t="b">
        <f>IF(OR(NOT(DeliveryCollar.Flag.1),NOT(DeliveryDefined.Flag.1)),FALSE,P6&gt;MATCH(TRUE,DeliveryCollar.1))</f>
        <v>0</v>
      </c>
      <c r="R60" s="23"/>
      <c r="S60" s="23"/>
      <c r="T60" s="23"/>
      <c r="U60" s="23"/>
      <c r="V60" s="23"/>
    </row>
    <row r="61" spans="4:22" s="19" customFormat="1">
      <c r="D61" s="38"/>
      <c r="E61" s="65"/>
      <c r="F61" s="20"/>
      <c r="L61" s="79"/>
      <c r="M61" s="79"/>
      <c r="N61" s="79"/>
      <c r="O61" s="79"/>
      <c r="P61" s="79"/>
      <c r="R61" s="23"/>
      <c r="S61" s="23"/>
      <c r="T61" s="23"/>
      <c r="U61" s="23"/>
      <c r="V61" s="23"/>
    </row>
    <row r="62" spans="4:22" s="19" customFormat="1">
      <c r="D62" s="59" t="s">
        <v>20</v>
      </c>
      <c r="E62" s="65" t="s">
        <v>97</v>
      </c>
      <c r="F62" s="20"/>
      <c r="L62" s="84">
        <f>L58*Delay.Penalty.1*NOT(L60)*$G$37</f>
        <v>0</v>
      </c>
      <c r="M62" s="84">
        <f>M58*Delay.Penalty.1*NOT(M60)*$G$37</f>
        <v>0</v>
      </c>
      <c r="N62" s="84">
        <f>N58*Delay.Penalty.1*NOT(N60)*$G$37</f>
        <v>0</v>
      </c>
      <c r="O62" s="84">
        <f>O58*Delay.Penalty.1*NOT(O60)*$G$37</f>
        <v>0</v>
      </c>
      <c r="P62" s="84">
        <f>P58*Delay.Penalty.1*NOT(P60)*$G$37</f>
        <v>0</v>
      </c>
      <c r="R62" s="23"/>
      <c r="S62" s="23"/>
      <c r="T62" s="23"/>
      <c r="U62" s="23"/>
      <c r="V62" s="23"/>
    </row>
    <row r="63" spans="4:22" s="19" customFormat="1">
      <c r="D63" s="38"/>
      <c r="F63" s="20"/>
      <c r="R63" s="23"/>
      <c r="S63" s="23"/>
      <c r="T63" s="23"/>
      <c r="U63" s="23"/>
      <c r="V63" s="23"/>
    </row>
    <row r="64" spans="4:22" s="19" customFormat="1">
      <c r="D64" s="38" t="s">
        <v>21</v>
      </c>
      <c r="E64" s="65" t="s">
        <v>98</v>
      </c>
      <c r="F64" s="20"/>
      <c r="G64" s="41" t="b">
        <f>AMP6.NonDel.Flag.1</f>
        <v>1</v>
      </c>
      <c r="R64" s="23"/>
      <c r="S64" s="23"/>
      <c r="T64" s="23"/>
      <c r="U64" s="23"/>
      <c r="V64" s="23"/>
    </row>
    <row r="65" spans="1:24" s="19" customFormat="1">
      <c r="D65" s="38" t="s">
        <v>21</v>
      </c>
      <c r="E65" s="65" t="s">
        <v>117</v>
      </c>
      <c r="F65" s="20"/>
      <c r="L65" s="41" t="b">
        <f>AND(NonDel.Flag.1,+DeliveryPC.1,$G$64)</f>
        <v>0</v>
      </c>
      <c r="M65" s="41" t="b">
        <f>AND(NonDel.Flag.1,+DeliveryPC.1,$G$64)</f>
        <v>0</v>
      </c>
      <c r="N65" s="41" t="b">
        <f>AND(NonDel.Flag.1,+DeliveryPC.1,$G$64)</f>
        <v>0</v>
      </c>
      <c r="O65" s="41" t="b">
        <f>AND(NonDel.Flag.1,+DeliveryPC.1,$G$64)</f>
        <v>0</v>
      </c>
      <c r="P65" s="41" t="b">
        <f>AND(NonDel.Flag.1,+DeliveryPC.1,$G$64)</f>
        <v>0</v>
      </c>
      <c r="R65" s="23"/>
      <c r="S65" s="23"/>
      <c r="T65" s="23"/>
      <c r="U65" s="23"/>
      <c r="V65" s="23"/>
    </row>
    <row r="66" spans="1:24" s="19" customFormat="1">
      <c r="D66" s="59" t="s">
        <v>20</v>
      </c>
      <c r="E66" s="65" t="s">
        <v>43</v>
      </c>
      <c r="F66" s="20"/>
      <c r="L66" s="84">
        <f>L65*NonDel.Penalty.1*$G$37</f>
        <v>0</v>
      </c>
      <c r="M66" s="84">
        <f>M65*NonDel.Penalty.1*$G$37</f>
        <v>0</v>
      </c>
      <c r="N66" s="84">
        <f>N65*NonDel.Penalty.1*$G$37</f>
        <v>0</v>
      </c>
      <c r="O66" s="84">
        <f>O65*NonDel.Penalty.1*$G$37</f>
        <v>0</v>
      </c>
      <c r="P66" s="84">
        <f>P65*NonDel.Penalty.1*$G$37</f>
        <v>0</v>
      </c>
      <c r="R66" s="23"/>
      <c r="S66" s="23"/>
      <c r="T66" s="23"/>
      <c r="U66" s="23"/>
      <c r="V66" s="23"/>
    </row>
    <row r="67" spans="1:24" s="19" customFormat="1">
      <c r="D67" s="38"/>
      <c r="F67" s="20"/>
      <c r="L67" s="23"/>
      <c r="M67" s="23"/>
      <c r="N67" s="23"/>
      <c r="O67" s="23"/>
      <c r="P67" s="23"/>
      <c r="R67" s="23"/>
      <c r="S67" s="23"/>
      <c r="T67" s="23"/>
      <c r="U67" s="23"/>
      <c r="V67" s="23"/>
    </row>
    <row r="68" spans="1:24" s="19" customFormat="1">
      <c r="D68" s="59" t="s">
        <v>20</v>
      </c>
      <c r="E68" s="33" t="s">
        <v>119</v>
      </c>
      <c r="F68" s="182"/>
      <c r="G68" s="38"/>
      <c r="H68" s="38"/>
      <c r="L68" s="84">
        <f>IF($G$64, L66+L62*NOT(DelayNonDel.Flag.1),L62)</f>
        <v>0</v>
      </c>
      <c r="M68" s="84">
        <f>IF($G$64, M66+M62*NOT(DelayNonDel.Flag.1),M62)</f>
        <v>0</v>
      </c>
      <c r="N68" s="84">
        <f>IF($G$64, N66+N62*NOT(DelayNonDel.Flag.1),N62)</f>
        <v>0</v>
      </c>
      <c r="O68" s="84">
        <f>IF($G$64, O66+O62*NOT(DelayNonDel.Flag.1),O62)</f>
        <v>0</v>
      </c>
      <c r="P68" s="84">
        <f>IF($G$64, P66+P62*NOT(DelayNonDel.Flag.1),P62)</f>
        <v>0</v>
      </c>
      <c r="R68" s="23"/>
      <c r="S68" s="23"/>
      <c r="T68" s="23"/>
      <c r="U68" s="23"/>
      <c r="V68" s="23"/>
    </row>
    <row r="69" spans="1:24" s="19" customFormat="1">
      <c r="D69" s="38"/>
      <c r="E69" s="38"/>
      <c r="F69" s="182"/>
      <c r="G69" s="38"/>
      <c r="H69" s="38"/>
      <c r="R69" s="23"/>
      <c r="S69" s="23"/>
      <c r="T69" s="23"/>
      <c r="U69" s="23"/>
      <c r="V69" s="23"/>
    </row>
    <row r="70" spans="1:24" s="19" customFormat="1">
      <c r="D70" s="59" t="s">
        <v>20</v>
      </c>
      <c r="E70" s="80" t="s">
        <v>36</v>
      </c>
      <c r="F70" s="20"/>
      <c r="L70" s="42">
        <f>L54-L68</f>
        <v>0</v>
      </c>
      <c r="M70" s="42">
        <f>M54-M68</f>
        <v>0</v>
      </c>
      <c r="N70" s="42">
        <f>N54-N68</f>
        <v>0</v>
      </c>
      <c r="O70" s="42">
        <f>O54-O68</f>
        <v>0</v>
      </c>
      <c r="P70" s="42">
        <f>P54-P68</f>
        <v>0</v>
      </c>
      <c r="R70" s="23"/>
      <c r="S70" s="23"/>
      <c r="T70" s="23"/>
      <c r="U70" s="23"/>
      <c r="V70" s="87" t="str">
        <f>"Net.Reward.DelPC."&amp;$A$4</f>
        <v>Net.Reward.DelPC.1</v>
      </c>
    </row>
    <row r="71" spans="1:24" s="19" customFormat="1">
      <c r="D71" s="38"/>
      <c r="F71" s="20"/>
      <c r="L71" s="23"/>
      <c r="M71" s="23"/>
      <c r="N71" s="23"/>
      <c r="O71" s="23"/>
      <c r="P71" s="23"/>
      <c r="R71" s="23"/>
      <c r="S71" s="23"/>
      <c r="T71" s="23"/>
      <c r="U71" s="23"/>
      <c r="V71" s="23"/>
    </row>
    <row r="72" spans="1:24" s="13" customFormat="1" ht="15">
      <c r="A72" s="10"/>
      <c r="B72" s="14"/>
      <c r="C72" s="14"/>
      <c r="D72" s="12"/>
      <c r="E72" s="11" t="s">
        <v>122</v>
      </c>
      <c r="F72" s="191"/>
      <c r="G72" s="12"/>
      <c r="H72" s="12"/>
      <c r="I72" s="12"/>
      <c r="J72" s="12"/>
      <c r="K72" s="12"/>
      <c r="L72" s="12"/>
      <c r="M72" s="12"/>
      <c r="N72" s="12"/>
      <c r="O72" s="12"/>
      <c r="P72" s="12"/>
      <c r="Q72" s="12"/>
      <c r="R72" s="12"/>
      <c r="S72" s="12"/>
      <c r="T72" s="12"/>
      <c r="U72" s="12"/>
      <c r="V72" s="12"/>
      <c r="W72" s="12"/>
      <c r="X72" s="12"/>
    </row>
    <row r="73" spans="1:24" s="19" customFormat="1">
      <c r="D73" s="38"/>
      <c r="F73" s="20"/>
      <c r="L73" s="23"/>
      <c r="M73" s="23"/>
      <c r="N73" s="23"/>
      <c r="O73" s="23"/>
      <c r="P73" s="23"/>
      <c r="R73" s="23"/>
      <c r="S73" s="23"/>
      <c r="T73" s="23"/>
      <c r="U73" s="23"/>
      <c r="V73" s="23"/>
    </row>
    <row r="74" spans="1:24" s="19" customFormat="1">
      <c r="D74" s="38"/>
      <c r="E74" s="36" t="s">
        <v>242</v>
      </c>
      <c r="F74" s="20"/>
      <c r="G74" s="41" t="b">
        <f>Bespoke.Flag.1</f>
        <v>0</v>
      </c>
      <c r="L74" s="23"/>
      <c r="M74" s="23"/>
      <c r="N74" s="23"/>
      <c r="O74" s="23"/>
      <c r="P74" s="23"/>
      <c r="R74" s="23"/>
      <c r="S74" s="23"/>
      <c r="T74" s="23"/>
      <c r="U74" s="23"/>
      <c r="V74" s="23"/>
    </row>
    <row r="75" spans="1:24" s="19" customFormat="1">
      <c r="D75" s="38"/>
      <c r="F75" s="20"/>
      <c r="L75" s="23"/>
      <c r="M75" s="23"/>
      <c r="N75" s="23"/>
      <c r="O75" s="23"/>
      <c r="P75" s="23"/>
      <c r="R75" s="23"/>
      <c r="S75" s="23"/>
      <c r="T75" s="23"/>
      <c r="U75" s="23"/>
      <c r="V75" s="23"/>
    </row>
    <row r="76" spans="1:24" s="19" customFormat="1">
      <c r="D76" s="38"/>
      <c r="E76" s="16" t="s">
        <v>51</v>
      </c>
      <c r="F76" s="20"/>
      <c r="L76" s="23"/>
      <c r="M76" s="23"/>
      <c r="N76" s="23"/>
      <c r="O76" s="23"/>
      <c r="P76" s="23"/>
      <c r="R76" s="23"/>
      <c r="S76" s="23"/>
      <c r="T76" s="23"/>
      <c r="U76" s="23"/>
      <c r="V76" s="23"/>
    </row>
    <row r="77" spans="1:24" s="19" customFormat="1">
      <c r="B77" s="9">
        <v>1</v>
      </c>
      <c r="D77" s="38" t="s">
        <v>21</v>
      </c>
      <c r="E77" s="65" t="s">
        <v>124</v>
      </c>
      <c r="F77" s="20"/>
      <c r="L77" s="41" t="b">
        <f>INDEX(Performance.List,$B$77,)=Bespoke.Performance.1</f>
        <v>0</v>
      </c>
      <c r="M77" s="41" t="b">
        <f>INDEX(Performance.List,$B$77,)=Bespoke.Performance.1</f>
        <v>0</v>
      </c>
      <c r="N77" s="41" t="b">
        <f>INDEX(Performance.List,$B$77,)=Bespoke.Performance.1</f>
        <v>0</v>
      </c>
      <c r="O77" s="41" t="b">
        <f>INDEX(Performance.List,$B$77,)=Bespoke.Performance.1</f>
        <v>0</v>
      </c>
      <c r="P77" s="41" t="b">
        <f>INDEX(Performance.List,$B$77,)=Bespoke.Performance.1</f>
        <v>0</v>
      </c>
      <c r="R77" s="23"/>
      <c r="S77" s="23"/>
      <c r="T77" s="23"/>
      <c r="U77" s="23"/>
      <c r="V77" s="23"/>
    </row>
    <row r="78" spans="1:24" s="19" customFormat="1">
      <c r="D78" s="38"/>
      <c r="E78" s="86"/>
      <c r="F78" s="20"/>
      <c r="L78" s="23"/>
      <c r="M78" s="23"/>
      <c r="N78" s="23"/>
      <c r="O78" s="23"/>
      <c r="P78" s="23"/>
      <c r="R78" s="23"/>
      <c r="S78" s="23"/>
      <c r="T78" s="23"/>
      <c r="U78" s="23"/>
      <c r="V78" s="23"/>
    </row>
    <row r="79" spans="1:24" s="19" customFormat="1">
      <c r="D79" s="59" t="s">
        <v>20</v>
      </c>
      <c r="E79" s="33" t="s">
        <v>10</v>
      </c>
      <c r="F79" s="20"/>
      <c r="L79" s="23">
        <f>L77*Bespoke.Pass.1*$G$74</f>
        <v>0</v>
      </c>
      <c r="M79" s="23">
        <f>M77*Bespoke.Pass.1*$G$74</f>
        <v>0</v>
      </c>
      <c r="N79" s="23">
        <f>N77*Bespoke.Pass.1*$G$74</f>
        <v>0</v>
      </c>
      <c r="O79" s="23">
        <f>O77*Bespoke.Pass.1*$G$74</f>
        <v>0</v>
      </c>
      <c r="P79" s="23">
        <f>P77*Bespoke.Pass.1*$G$74</f>
        <v>0</v>
      </c>
      <c r="R79" s="23"/>
      <c r="S79" s="23"/>
      <c r="T79" s="23"/>
      <c r="U79" s="23"/>
      <c r="V79" s="23"/>
    </row>
    <row r="80" spans="1:24" s="19" customFormat="1">
      <c r="D80" s="38"/>
      <c r="F80" s="20"/>
      <c r="L80" s="23"/>
      <c r="M80" s="23"/>
      <c r="N80" s="23"/>
      <c r="O80" s="23"/>
      <c r="P80" s="23"/>
      <c r="R80" s="23"/>
      <c r="S80" s="23"/>
      <c r="T80" s="23"/>
      <c r="U80" s="23"/>
      <c r="V80" s="23"/>
    </row>
    <row r="81" spans="1:24" s="19" customFormat="1">
      <c r="D81" s="38"/>
      <c r="E81" s="16" t="s">
        <v>38</v>
      </c>
      <c r="F81" s="20"/>
      <c r="L81" s="23"/>
      <c r="M81" s="23"/>
      <c r="N81" s="23"/>
      <c r="O81" s="23"/>
      <c r="P81" s="23"/>
      <c r="R81" s="23"/>
      <c r="S81" s="23"/>
      <c r="T81" s="23"/>
      <c r="U81" s="23"/>
      <c r="V81" s="23"/>
    </row>
    <row r="82" spans="1:24" s="19" customFormat="1">
      <c r="B82" s="9">
        <v>2</v>
      </c>
      <c r="D82" s="38" t="s">
        <v>21</v>
      </c>
      <c r="E82" s="65" t="s">
        <v>125</v>
      </c>
      <c r="F82" s="20"/>
      <c r="L82" s="41" t="b">
        <f>INDEX(Performance.List,$B$82,)=Bespoke.Performance.1</f>
        <v>0</v>
      </c>
      <c r="M82" s="41" t="b">
        <f>INDEX(Performance.List,$B$82,)=Bespoke.Performance.1</f>
        <v>0</v>
      </c>
      <c r="N82" s="41" t="b">
        <f>INDEX(Performance.List,$B$82,)=Bespoke.Performance.1</f>
        <v>0</v>
      </c>
      <c r="O82" s="41" t="b">
        <f>INDEX(Performance.List,$B$82,)=Bespoke.Performance.1</f>
        <v>0</v>
      </c>
      <c r="P82" s="41" t="b">
        <f>INDEX(Performance.List,$B$82,)=Bespoke.Performance.1</f>
        <v>0</v>
      </c>
      <c r="R82" s="23"/>
      <c r="S82" s="23"/>
      <c r="T82" s="23"/>
      <c r="U82" s="23"/>
      <c r="V82" s="23"/>
    </row>
    <row r="83" spans="1:24" s="19" customFormat="1">
      <c r="D83" s="38"/>
      <c r="E83" s="86"/>
      <c r="F83" s="20"/>
      <c r="L83" s="23"/>
      <c r="M83" s="23"/>
      <c r="N83" s="23"/>
      <c r="O83" s="23"/>
      <c r="P83" s="23"/>
      <c r="R83" s="23"/>
      <c r="S83" s="23"/>
      <c r="T83" s="23"/>
      <c r="U83" s="23"/>
      <c r="V83" s="23"/>
    </row>
    <row r="84" spans="1:24" s="19" customFormat="1">
      <c r="D84" s="59" t="s">
        <v>20</v>
      </c>
      <c r="E84" s="33" t="s">
        <v>9</v>
      </c>
      <c r="F84" s="20"/>
      <c r="L84" s="23">
        <f>L82*Bespoke.Fail.1*$G$74</f>
        <v>0</v>
      </c>
      <c r="M84" s="23">
        <f>M82*Bespoke.Fail.1*$G$74</f>
        <v>0</v>
      </c>
      <c r="N84" s="23">
        <f>N82*Bespoke.Fail.1*$G$74</f>
        <v>0</v>
      </c>
      <c r="O84" s="23">
        <f>O82*Bespoke.Fail.1*$G$74</f>
        <v>0</v>
      </c>
      <c r="P84" s="23">
        <f>P82*Bespoke.Fail.1*$G$74</f>
        <v>0</v>
      </c>
      <c r="R84" s="23"/>
      <c r="S84" s="23"/>
      <c r="T84" s="23"/>
      <c r="U84" s="23"/>
      <c r="V84" s="23"/>
    </row>
    <row r="85" spans="1:24" s="19" customFormat="1">
      <c r="D85" s="38"/>
      <c r="F85" s="20"/>
      <c r="L85" s="23"/>
      <c r="M85" s="23"/>
      <c r="N85" s="23"/>
      <c r="O85" s="23"/>
      <c r="P85" s="23"/>
      <c r="R85" s="23"/>
      <c r="S85" s="23"/>
      <c r="T85" s="23"/>
      <c r="U85" s="23"/>
      <c r="V85" s="23"/>
    </row>
    <row r="86" spans="1:24" s="19" customFormat="1">
      <c r="D86" s="59" t="s">
        <v>20</v>
      </c>
      <c r="E86" s="80" t="s">
        <v>36</v>
      </c>
      <c r="F86" s="20"/>
      <c r="L86" s="42">
        <f>L79-L84</f>
        <v>0</v>
      </c>
      <c r="M86" s="42">
        <f t="shared" ref="M86:P86" si="2">M79-M84</f>
        <v>0</v>
      </c>
      <c r="N86" s="42">
        <f t="shared" si="2"/>
        <v>0</v>
      </c>
      <c r="O86" s="42">
        <f t="shared" si="2"/>
        <v>0</v>
      </c>
      <c r="P86" s="42">
        <f t="shared" si="2"/>
        <v>0</v>
      </c>
      <c r="R86" s="23"/>
      <c r="S86" s="23"/>
      <c r="T86" s="23"/>
      <c r="U86" s="23"/>
      <c r="V86" s="87" t="str">
        <f>"Net.Reward.BespokePC."&amp;$A$4</f>
        <v>Net.Reward.BespokePC.1</v>
      </c>
    </row>
    <row r="87" spans="1:24" s="19" customFormat="1" ht="13.5" thickBot="1">
      <c r="D87" s="38"/>
      <c r="F87" s="20"/>
      <c r="L87" s="23"/>
      <c r="M87" s="23"/>
      <c r="N87" s="23"/>
      <c r="O87" s="23"/>
      <c r="P87" s="23"/>
      <c r="Q87" s="23"/>
      <c r="R87" s="23"/>
      <c r="S87" s="23"/>
      <c r="T87" s="23"/>
      <c r="U87" s="23"/>
    </row>
    <row r="88" spans="1:24" ht="13.5" thickBot="1">
      <c r="A88" s="21" t="s">
        <v>35</v>
      </c>
      <c r="B88" s="22"/>
      <c r="C88" s="22"/>
      <c r="D88" s="22"/>
      <c r="E88" s="22"/>
      <c r="F88" s="195"/>
      <c r="G88" s="22"/>
      <c r="H88" s="22"/>
      <c r="I88" s="22"/>
      <c r="J88" s="22"/>
      <c r="K88" s="22"/>
      <c r="L88" s="22"/>
      <c r="M88" s="22"/>
      <c r="N88" s="22"/>
      <c r="O88" s="22"/>
      <c r="P88" s="22"/>
      <c r="Q88" s="22"/>
      <c r="R88" s="22"/>
      <c r="S88" s="22"/>
      <c r="T88" s="22"/>
      <c r="U88" s="22"/>
      <c r="V88" s="22"/>
      <c r="W88" s="22"/>
      <c r="X88" s="22"/>
    </row>
    <row r="89" spans="1:24"/>
    <row r="90" spans="1:24" hidden="1"/>
    <row r="91" spans="1:24" hidden="1"/>
    <row r="92" spans="1:24" hidden="1"/>
    <row r="93" spans="1:24" hidden="1"/>
    <row r="94" spans="1:24" hidden="1"/>
    <row r="95" spans="1:24" hidden="1"/>
    <row r="96" spans="1:24" hidden="1"/>
    <row r="97"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sheetData>
  <conditionalFormatting sqref="L58:P61">
    <cfRule type="cellIs" dxfId="43" priority="70" operator="equal">
      <formula>TRUE</formula>
    </cfRule>
  </conditionalFormatting>
  <conditionalFormatting sqref="L51:P51">
    <cfRule type="cellIs" dxfId="42" priority="28" operator="equal">
      <formula>TRUE</formula>
    </cfRule>
  </conditionalFormatting>
  <conditionalFormatting sqref="L40:P40">
    <cfRule type="cellIs" dxfId="41" priority="29" operator="equal">
      <formula>TRUE</formula>
    </cfRule>
  </conditionalFormatting>
  <conditionalFormatting sqref="G50">
    <cfRule type="cellIs" dxfId="40" priority="27" operator="equal">
      <formula>TRUE</formula>
    </cfRule>
  </conditionalFormatting>
  <conditionalFormatting sqref="L65:P65">
    <cfRule type="cellIs" dxfId="39" priority="24" operator="equal">
      <formula>TRUE</formula>
    </cfRule>
  </conditionalFormatting>
  <conditionalFormatting sqref="L57:P57">
    <cfRule type="cellIs" dxfId="38" priority="25" operator="equal">
      <formula>TRUE</formula>
    </cfRule>
  </conditionalFormatting>
  <conditionalFormatting sqref="G64">
    <cfRule type="cellIs" dxfId="37" priority="23" operator="equal">
      <formula>TRUE</formula>
    </cfRule>
  </conditionalFormatting>
  <conditionalFormatting sqref="G40">
    <cfRule type="cellIs" dxfId="36" priority="13" operator="equal">
      <formula>TRUE</formula>
    </cfRule>
  </conditionalFormatting>
  <conditionalFormatting sqref="G57">
    <cfRule type="cellIs" dxfId="35" priority="12" operator="equal">
      <formula>TRUE</formula>
    </cfRule>
  </conditionalFormatting>
  <conditionalFormatting sqref="L77:P77">
    <cfRule type="cellIs" dxfId="34" priority="11" operator="equal">
      <formula>TRUE</formula>
    </cfRule>
  </conditionalFormatting>
  <conditionalFormatting sqref="L82:P82">
    <cfRule type="cellIs" dxfId="33" priority="10" operator="equal">
      <formula>TRUE</formula>
    </cfRule>
  </conditionalFormatting>
  <conditionalFormatting sqref="G13">
    <cfRule type="cellIs" dxfId="32" priority="8" operator="equal">
      <formula>TRUE</formula>
    </cfRule>
  </conditionalFormatting>
  <conditionalFormatting sqref="G17">
    <cfRule type="cellIs" dxfId="31" priority="7" operator="equal">
      <formula>TRUE</formula>
    </cfRule>
  </conditionalFormatting>
  <conditionalFormatting sqref="G21">
    <cfRule type="cellIs" dxfId="30" priority="6" operator="equal">
      <formula>TRUE</formula>
    </cfRule>
  </conditionalFormatting>
  <conditionalFormatting sqref="G26">
    <cfRule type="cellIs" dxfId="29" priority="5" operator="equal">
      <formula>TRUE</formula>
    </cfRule>
  </conditionalFormatting>
  <conditionalFormatting sqref="G30:G32 G34">
    <cfRule type="cellIs" dxfId="28" priority="4" operator="equal">
      <formula>TRUE</formula>
    </cfRule>
  </conditionalFormatting>
  <conditionalFormatting sqref="G74">
    <cfRule type="cellIs" dxfId="27" priority="3" operator="equal">
      <formula>TRUE</formula>
    </cfRule>
  </conditionalFormatting>
  <conditionalFormatting sqref="G10">
    <cfRule type="cellIs" dxfId="26" priority="2" operator="equal">
      <formula>TRUE</formula>
    </cfRule>
  </conditionalFormatting>
  <conditionalFormatting sqref="G37">
    <cfRule type="cellIs" dxfId="25" priority="1" operator="equal">
      <formula>TRUE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39997558519241921"/>
  </sheetPr>
  <dimension ref="A1:AC151"/>
  <sheetViews>
    <sheetView showGridLines="0" zoomScale="80" zoomScaleNormal="80" workbookViewId="0">
      <pane xSplit="8" ySplit="7" topLeftCell="I8" activePane="bottomRight" state="frozen"/>
      <selection pane="topRight" activeCell="I1" sqref="I1"/>
      <selection pane="bottomLeft" activeCell="A8" sqref="A8"/>
      <selection pane="bottomRight" activeCell="I8" sqref="I8"/>
    </sheetView>
  </sheetViews>
  <sheetFormatPr defaultColWidth="0" defaultRowHeight="12.75" zeroHeight="1"/>
  <cols>
    <col min="1" max="3" width="2.7109375" customWidth="1"/>
    <col min="4" max="4" width="9.140625" customWidth="1"/>
    <col min="5" max="5" width="68.28515625" customWidth="1"/>
    <col min="6" max="6" width="2.7109375" style="176" customWidth="1"/>
    <col min="7" max="7" width="7.42578125" bestFit="1" customWidth="1"/>
    <col min="8" max="8" width="2.7109375" customWidth="1"/>
    <col min="9" max="21" width="10.5703125" customWidth="1"/>
    <col min="22" max="24" width="9.140625" customWidth="1"/>
    <col min="25" max="29" width="0" hidden="1" customWidth="1"/>
    <col min="30" max="16384" width="9.140625" hidden="1"/>
  </cols>
  <sheetData>
    <row r="1" spans="1:24" s="2" customFormat="1" ht="33.75">
      <c r="A1" s="31"/>
      <c r="B1" s="31"/>
      <c r="C1" s="31"/>
      <c r="D1" s="31" t="s">
        <v>148</v>
      </c>
      <c r="E1" s="31"/>
      <c r="F1" s="190"/>
      <c r="G1" s="31"/>
      <c r="H1" s="31"/>
      <c r="I1" s="31"/>
      <c r="J1" s="31"/>
      <c r="K1" s="31"/>
      <c r="L1" s="31"/>
      <c r="M1" s="31"/>
      <c r="N1" s="31"/>
      <c r="O1" s="31"/>
      <c r="P1" s="31"/>
      <c r="Q1" s="31"/>
      <c r="R1" s="31"/>
      <c r="S1" s="31"/>
      <c r="T1" s="31"/>
      <c r="U1" s="31"/>
      <c r="V1" s="31"/>
      <c r="W1" s="31"/>
      <c r="X1" s="31"/>
    </row>
    <row r="2" spans="1:24" s="2" customFormat="1" ht="15">
      <c r="F2" s="20"/>
      <c r="G2" s="19"/>
      <c r="O2" s="19"/>
      <c r="P2" s="19"/>
    </row>
    <row r="3" spans="1:24" s="19" customFormat="1">
      <c r="E3" s="19" t="s">
        <v>17</v>
      </c>
      <c r="F3" s="20"/>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26"/>
    </row>
    <row r="4" spans="1:24" s="19" customFormat="1">
      <c r="A4" s="9">
        <v>2</v>
      </c>
      <c r="F4" s="20"/>
      <c r="V4" s="26"/>
    </row>
    <row r="5" spans="1:24" s="19" customFormat="1">
      <c r="E5" s="30" t="s">
        <v>34</v>
      </c>
      <c r="F5" s="20"/>
      <c r="I5" s="29">
        <f t="shared" ref="I5:U5" si="1">Calendar.Years</f>
        <v>2012</v>
      </c>
      <c r="J5" s="29">
        <f t="shared" si="1"/>
        <v>2013</v>
      </c>
      <c r="K5" s="29">
        <f t="shared" si="1"/>
        <v>2014</v>
      </c>
      <c r="L5" s="29">
        <f t="shared" si="1"/>
        <v>2015</v>
      </c>
      <c r="M5" s="29">
        <f t="shared" si="1"/>
        <v>2016</v>
      </c>
      <c r="N5" s="29">
        <f t="shared" si="1"/>
        <v>2017</v>
      </c>
      <c r="O5" s="29">
        <f t="shared" si="1"/>
        <v>2018</v>
      </c>
      <c r="P5" s="29">
        <f t="shared" si="1"/>
        <v>2019</v>
      </c>
      <c r="Q5" s="29">
        <f t="shared" si="1"/>
        <v>2020</v>
      </c>
      <c r="R5" s="29">
        <f t="shared" si="1"/>
        <v>2021</v>
      </c>
      <c r="S5" s="29">
        <f t="shared" si="1"/>
        <v>2022</v>
      </c>
      <c r="T5" s="29">
        <f t="shared" si="1"/>
        <v>2023</v>
      </c>
      <c r="U5" s="29">
        <f t="shared" si="1"/>
        <v>2024</v>
      </c>
      <c r="V5" s="26"/>
    </row>
    <row r="6" spans="1:24" s="19" customFormat="1">
      <c r="E6" s="19" t="s">
        <v>18</v>
      </c>
      <c r="F6" s="20"/>
      <c r="K6" s="8"/>
      <c r="L6" s="9">
        <v>1</v>
      </c>
      <c r="M6" s="9">
        <v>2</v>
      </c>
      <c r="N6" s="9">
        <v>3</v>
      </c>
      <c r="O6" s="9">
        <v>4</v>
      </c>
      <c r="P6" s="9">
        <v>5</v>
      </c>
      <c r="Q6" s="9">
        <v>6</v>
      </c>
      <c r="R6" s="9">
        <v>7</v>
      </c>
      <c r="S6" s="9">
        <v>8</v>
      </c>
      <c r="T6" s="9">
        <v>9</v>
      </c>
      <c r="U6" s="9">
        <v>10</v>
      </c>
    </row>
    <row r="7" spans="1:24"/>
    <row r="8" spans="1:24" s="13" customFormat="1" ht="15">
      <c r="A8" s="10"/>
      <c r="B8" s="14"/>
      <c r="C8" s="14"/>
      <c r="D8" s="12"/>
      <c r="E8" s="11" t="s">
        <v>62</v>
      </c>
      <c r="F8" s="191"/>
      <c r="G8" s="12"/>
      <c r="H8" s="12"/>
      <c r="I8" s="12"/>
      <c r="J8" s="12"/>
      <c r="K8" s="12"/>
      <c r="L8" s="12"/>
      <c r="M8" s="12"/>
      <c r="N8" s="12"/>
      <c r="O8" s="12"/>
      <c r="P8" s="12"/>
      <c r="Q8" s="12"/>
      <c r="R8" s="12"/>
      <c r="S8" s="12"/>
      <c r="T8" s="12"/>
      <c r="U8" s="12"/>
      <c r="V8" s="12"/>
      <c r="W8" s="12"/>
      <c r="X8" s="12"/>
    </row>
    <row r="9" spans="1:24" s="19" customFormat="1">
      <c r="D9" s="38"/>
      <c r="F9" s="20"/>
    </row>
    <row r="10" spans="1:24" s="19" customFormat="1">
      <c r="D10" s="38"/>
      <c r="E10" s="36" t="s">
        <v>245</v>
      </c>
      <c r="F10" s="20"/>
      <c r="G10" s="41" t="b">
        <f>Numeric.Flag.2</f>
        <v>0</v>
      </c>
    </row>
    <row r="11" spans="1:24" s="19" customFormat="1">
      <c r="D11" s="38"/>
      <c r="F11" s="20"/>
    </row>
    <row r="12" spans="1:24" s="19" customFormat="1">
      <c r="D12" s="38"/>
      <c r="E12" s="78" t="s">
        <v>95</v>
      </c>
      <c r="F12" s="20"/>
    </row>
    <row r="13" spans="1:24" s="19" customFormat="1">
      <c r="D13" s="38" t="s">
        <v>21</v>
      </c>
      <c r="E13" s="17" t="s">
        <v>249</v>
      </c>
      <c r="F13" s="20"/>
      <c r="G13" s="41">
        <f>Reward.Orientation.2</f>
        <v>0</v>
      </c>
    </row>
    <row r="14" spans="1:24" s="19" customFormat="1">
      <c r="D14" s="38"/>
      <c r="E14" s="36"/>
      <c r="F14" s="20"/>
    </row>
    <row r="15" spans="1:24" s="19" customFormat="1" ht="15">
      <c r="D15" s="59"/>
      <c r="E15" s="72" t="s">
        <v>247</v>
      </c>
      <c r="F15" s="20"/>
      <c r="L15" s="15"/>
      <c r="M15" s="15"/>
      <c r="N15" s="15"/>
      <c r="O15" s="15"/>
      <c r="P15" s="15"/>
    </row>
    <row r="16" spans="1:24" s="19" customFormat="1">
      <c r="D16" s="59"/>
      <c r="E16" s="73" t="s">
        <v>201</v>
      </c>
      <c r="F16" s="20"/>
      <c r="L16" s="15"/>
      <c r="M16" s="15"/>
      <c r="N16" s="15"/>
      <c r="O16" s="15"/>
      <c r="P16" s="15"/>
    </row>
    <row r="17" spans="4:16" s="19" customFormat="1">
      <c r="D17" s="38" t="s">
        <v>21</v>
      </c>
      <c r="E17" s="34" t="s">
        <v>202</v>
      </c>
      <c r="F17" s="20"/>
      <c r="G17" s="41">
        <f>Reward.Limits.Flag.2</f>
        <v>0</v>
      </c>
      <c r="L17" s="15"/>
      <c r="M17" s="15"/>
      <c r="N17" s="15"/>
      <c r="O17" s="15"/>
      <c r="P17" s="15"/>
    </row>
    <row r="18" spans="4:16" s="19" customFormat="1">
      <c r="D18" s="59" t="s">
        <v>20</v>
      </c>
      <c r="E18" s="35" t="s">
        <v>203</v>
      </c>
      <c r="F18" s="20"/>
      <c r="L18" s="84">
        <f>IF($G17, MAX(MIN(INDEX(Reward1.Upper.2,,L$6),INDEX(Performance.2,,L$6)) - INDEX(Reward1.Lower.2,,L$6),0)*Reward1.Rate.2*Reward1.Year.Flag.2 + MAX(MIN(INDEX(Reward2.Upper.2,,L$6),INDEX(Performance.2,,L$6)) - INDEX(Reward2.Lower.2,,L$6),0)*Reward2.Rate.2*Reward2.Year.Flag.2, MAX((MIN(INDEX(Reward.Cap.2,,L$6),INDEX(Performance.2,,L$6)) - INDEX(Reward.Deadband.2,,L$6)),0)*Reward1.Rate.2*Reward1.Year.Flag.2)*$G$10</f>
        <v>0</v>
      </c>
      <c r="M18" s="84">
        <f>IF($G17, MAX(MIN(INDEX(Reward1.Upper.2,,M$6),INDEX(Performance.2,,M$6)) - INDEX(Reward1.Lower.2,,M$6),0)*Reward1.Rate.2*Reward1.Year.Flag.2 + MAX(MIN(INDEX(Reward2.Upper.2,,M$6),INDEX(Performance.2,,M$6)) - INDEX(Reward2.Lower.2,,M$6),0)*Reward2.Rate.2*Reward2.Year.Flag.2, MAX((MIN(INDEX(Reward.Cap.2,,M$6),INDEX(Performance.2,,M$6)) - INDEX(Reward.Deadband.2,,M$6)),0)*Reward1.Rate.2*Reward1.Year.Flag.2)*$G$10</f>
        <v>0</v>
      </c>
      <c r="N18" s="84">
        <f>IF($G17, MAX(MIN(INDEX(Reward1.Upper.2,,N$6),INDEX(Performance.2,,N$6)) - INDEX(Reward1.Lower.2,,N$6),0)*Reward1.Rate.2*Reward1.Year.Flag.2 + MAX(MIN(INDEX(Reward2.Upper.2,,N$6),INDEX(Performance.2,,N$6)) - INDEX(Reward2.Lower.2,,N$6),0)*Reward2.Rate.2*Reward2.Year.Flag.2, MAX((MIN(INDEX(Reward.Cap.2,,N$6),INDEX(Performance.2,,N$6)) - INDEX(Reward.Deadband.2,,N$6)),0)*Reward1.Rate.2*Reward1.Year.Flag.2)*$G$10</f>
        <v>0</v>
      </c>
      <c r="O18" s="84">
        <f>IF($G17, MAX(MIN(INDEX(Reward1.Upper.2,,O$6),INDEX(Performance.2,,O$6)) - INDEX(Reward1.Lower.2,,O$6),0)*Reward1.Rate.2*Reward1.Year.Flag.2 + MAX(MIN(INDEX(Reward2.Upper.2,,O$6),INDEX(Performance.2,,O$6)) - INDEX(Reward2.Lower.2,,O$6),0)*Reward2.Rate.2*Reward2.Year.Flag.2, MAX((MIN(INDEX(Reward.Cap.2,,O$6),INDEX(Performance.2,,O$6)) - INDEX(Reward.Deadband.2,,O$6)),0)*Reward1.Rate.2*Reward1.Year.Flag.2)*$G$10</f>
        <v>0</v>
      </c>
      <c r="P18" s="84">
        <f>IF($G17, MAX(MIN(INDEX(Reward1.Upper.2,,P$6),INDEX(Performance.2,,P$6)) - INDEX(Reward1.Lower.2,,P$6),0)*Reward1.Rate.2*Reward1.Year.Flag.2 + MAX(MIN(INDEX(Reward2.Upper.2,,P$6),INDEX(Performance.2,,P$6)) - INDEX(Reward2.Lower.2,,P$6),0)*Reward2.Rate.2*Reward2.Year.Flag.2, MAX((MIN(INDEX(Reward.Cap.2,,P$6),INDEX(Performance.2,,P$6)) - INDEX(Reward.Deadband.2,,P$6)),0)*Reward1.Rate.2*Reward1.Year.Flag.2)*$G$10</f>
        <v>0</v>
      </c>
    </row>
    <row r="19" spans="4:16" s="19" customFormat="1" ht="15">
      <c r="D19" s="59"/>
      <c r="E19" s="72"/>
      <c r="F19" s="20"/>
      <c r="L19" s="15"/>
      <c r="M19" s="15"/>
      <c r="N19" s="15"/>
      <c r="O19" s="15"/>
      <c r="P19" s="15"/>
    </row>
    <row r="20" spans="4:16" s="19" customFormat="1">
      <c r="D20" s="59"/>
      <c r="E20" s="73" t="s">
        <v>8</v>
      </c>
      <c r="F20" s="20"/>
      <c r="L20" s="15"/>
      <c r="M20" s="15"/>
      <c r="N20" s="15"/>
      <c r="O20" s="15"/>
      <c r="P20" s="15"/>
    </row>
    <row r="21" spans="4:16" s="19" customFormat="1">
      <c r="D21" s="38" t="s">
        <v>21</v>
      </c>
      <c r="E21" s="34" t="s">
        <v>202</v>
      </c>
      <c r="F21" s="20"/>
      <c r="G21" s="41">
        <f>Penalty.Limits.Flag.2</f>
        <v>0</v>
      </c>
    </row>
    <row r="22" spans="4:16" s="19" customFormat="1">
      <c r="D22" s="59" t="s">
        <v>20</v>
      </c>
      <c r="E22" s="35" t="s">
        <v>205</v>
      </c>
      <c r="F22" s="20"/>
      <c r="L22" s="84">
        <f>IF($G21,MAX(INDEX(Penalty1.Upper.2,,L$6) - MAX(INDEX(Penalty1.Lower.2,,L$6),INDEX(Performance.2,,L$6)),0)*Penalty1.Rate.2*Penalty1.Year.Flag.2 + MAX(INDEX(Penalty2.Upper.2,,L$6) - MAX(INDEX(Penalty2.Lower.2,,L$6),INDEX(Performance.2,,L$6)),0)*Penalty2.Rate.2*Penalty2.Year.Flag.2, MAX(INDEX(Penalty.Deadband.2,,L$6) - MAX(INDEX(Penalty.Collar.2,,L$6),INDEX(Performance.2,,L$6)),0)*Penalty1.Rate.2*Penalty1.Year.Flag.2)*$G$10</f>
        <v>0</v>
      </c>
      <c r="M22" s="84">
        <f>IF($G21,MAX(INDEX(Penalty1.Upper.2,,M$6) - MAX(INDEX(Penalty1.Lower.2,,M$6),INDEX(Performance.2,,M$6)),0)*Penalty1.Rate.2*Penalty1.Year.Flag.2 + MAX(INDEX(Penalty2.Upper.2,,M$6) - MAX(INDEX(Penalty2.Lower.2,,M$6),INDEX(Performance.2,,M$6)),0)*Penalty2.Rate.2*Penalty2.Year.Flag.2, MAX(INDEX(Penalty.Deadband.2,,M$6) - MAX(INDEX(Penalty.Collar.2,,M$6),INDEX(Performance.2,,M$6)),0)*Penalty1.Rate.2*Penalty1.Year.Flag.2)*$G$10</f>
        <v>0</v>
      </c>
      <c r="N22" s="84">
        <f>IF($G21,MAX(INDEX(Penalty1.Upper.2,,N$6) - MAX(INDEX(Penalty1.Lower.2,,N$6),INDEX(Performance.2,,N$6)),0)*Penalty1.Rate.2*Penalty1.Year.Flag.2 + MAX(INDEX(Penalty2.Upper.2,,N$6) - MAX(INDEX(Penalty2.Lower.2,,N$6),INDEX(Performance.2,,N$6)),0)*Penalty2.Rate.2*Penalty2.Year.Flag.2, MAX(INDEX(Penalty.Deadband.2,,N$6) - MAX(INDEX(Penalty.Collar.2,,N$6),INDEX(Performance.2,,N$6)),0)*Penalty1.Rate.2*Penalty1.Year.Flag.2)*$G$10</f>
        <v>0</v>
      </c>
      <c r="O22" s="84">
        <f>IF($G21,MAX(INDEX(Penalty1.Upper.2,,O$6) - MAX(INDEX(Penalty1.Lower.2,,O$6),INDEX(Performance.2,,O$6)),0)*Penalty1.Rate.2*Penalty1.Year.Flag.2 + MAX(INDEX(Penalty2.Upper.2,,O$6) - MAX(INDEX(Penalty2.Lower.2,,O$6),INDEX(Performance.2,,O$6)),0)*Penalty2.Rate.2*Penalty2.Year.Flag.2, MAX(INDEX(Penalty.Deadband.2,,O$6) - MAX(INDEX(Penalty.Collar.2,,O$6),INDEX(Performance.2,,O$6)),0)*Penalty1.Rate.2*Penalty1.Year.Flag.2)*$G$10</f>
        <v>0</v>
      </c>
      <c r="P22" s="84">
        <f>IF($G21,MAX(INDEX(Penalty1.Upper.2,,P$6) - MAX(INDEX(Penalty1.Lower.2,,P$6),INDEX(Performance.2,,P$6)),0)*Penalty1.Rate.2*Penalty1.Year.Flag.2 + MAX(INDEX(Penalty2.Upper.2,,P$6) - MAX(INDEX(Penalty2.Lower.2,,P$6),INDEX(Performance.2,,P$6)),0)*Penalty2.Rate.2*Penalty2.Year.Flag.2, MAX(INDEX(Penalty.Deadband.2,,P$6) - MAX(INDEX(Penalty.Collar.2,,P$6),INDEX(Performance.2,,P$6)),0)*Penalty1.Rate.2*Penalty1.Year.Flag.2)*$G$10</f>
        <v>0</v>
      </c>
    </row>
    <row r="23" spans="4:16" s="19" customFormat="1" ht="15">
      <c r="D23" s="59"/>
      <c r="E23" s="72"/>
      <c r="F23" s="20"/>
      <c r="L23" s="15"/>
      <c r="M23" s="15"/>
      <c r="N23" s="15"/>
      <c r="O23" s="15"/>
      <c r="P23" s="15"/>
    </row>
    <row r="24" spans="4:16" s="19" customFormat="1" ht="15">
      <c r="D24" s="59"/>
      <c r="E24" s="72" t="s">
        <v>248</v>
      </c>
      <c r="F24" s="20"/>
      <c r="L24" s="15"/>
      <c r="M24" s="15"/>
      <c r="N24" s="15"/>
      <c r="O24" s="15"/>
      <c r="P24" s="15"/>
    </row>
    <row r="25" spans="4:16" s="19" customFormat="1">
      <c r="D25" s="59"/>
      <c r="E25" s="73" t="s">
        <v>201</v>
      </c>
      <c r="F25" s="20"/>
      <c r="L25" s="15"/>
      <c r="M25" s="15"/>
      <c r="N25" s="15"/>
      <c r="O25" s="15"/>
      <c r="P25" s="15"/>
    </row>
    <row r="26" spans="4:16" s="19" customFormat="1">
      <c r="D26" s="38" t="s">
        <v>21</v>
      </c>
      <c r="E26" s="34" t="s">
        <v>202</v>
      </c>
      <c r="F26" s="20"/>
      <c r="G26" s="41">
        <f>Reward.Limits.Flag.2</f>
        <v>0</v>
      </c>
      <c r="L26" s="15"/>
      <c r="M26" s="15"/>
      <c r="N26" s="15"/>
      <c r="O26" s="15"/>
      <c r="P26" s="15"/>
    </row>
    <row r="27" spans="4:16" s="19" customFormat="1">
      <c r="D27" s="59" t="s">
        <v>20</v>
      </c>
      <c r="E27" s="35" t="s">
        <v>203</v>
      </c>
      <c r="F27" s="20"/>
      <c r="L27" s="84">
        <f>IF($G26,MAX(INDEX(Reward1.Lower.2,,L$6)-MAX(INDEX(Reward1.Upper.2,,L$6),INDEX(Performance.2,,L$6)),0)*Reward1.Rate.2*Reward1.Year.Flag.2+MAX(INDEX(Reward2.Lower.2,,L$6)-MAX(INDEX(Reward2.Upper.2,,L$6),INDEX(Performance.2,,L$6)),0)*Reward2.Rate.2*Reward2.Year.Flag.2,MAX(INDEX(Reward.Deadband.2,,L$6)-MAX(INDEX(Reward.Cap.2,,L$6),INDEX(Performance.2,,L$6)),0)*Reward1.Rate.2*Reward1.Year.Flag.2)*$G$10</f>
        <v>0</v>
      </c>
      <c r="M27" s="84">
        <f>IF($G26,MAX(INDEX(Reward1.Lower.2,,M$6)-MAX(INDEX(Reward1.Upper.2,,M$6),INDEX(Performance.2,,M$6)),0)*Reward1.Rate.2*Reward1.Year.Flag.2+MAX(INDEX(Reward2.Lower.2,,M$6)-MAX(INDEX(Reward2.Upper.2,,M$6),INDEX(Performance.2,,M$6)),0)*Reward2.Rate.2*Reward2.Year.Flag.2,MAX(INDEX(Reward.Deadband.2,,M$6)-MAX(INDEX(Reward.Cap.2,,M$6),INDEX(Performance.2,,M$6)),0)*Reward1.Rate.2*Reward1.Year.Flag.2)*$G$10</f>
        <v>0</v>
      </c>
      <c r="N27" s="84">
        <f>IF($G26,MAX(INDEX(Reward1.Lower.2,,N$6)-MAX(INDEX(Reward1.Upper.2,,N$6),INDEX(Performance.2,,N$6)),0)*Reward1.Rate.2*Reward1.Year.Flag.2+MAX(INDEX(Reward2.Lower.2,,N$6)-MAX(INDEX(Reward2.Upper.2,,N$6),INDEX(Performance.2,,N$6)),0)*Reward2.Rate.2*Reward2.Year.Flag.2,MAX(INDEX(Reward.Deadband.2,,N$6)-MAX(INDEX(Reward.Cap.2,,N$6),INDEX(Performance.2,,N$6)),0)*Reward1.Rate.2*Reward1.Year.Flag.2)*$G$10</f>
        <v>0</v>
      </c>
      <c r="O27" s="84">
        <f>IF($G26,MAX(INDEX(Reward1.Lower.2,,O$6)-MAX(INDEX(Reward1.Upper.2,,O$6),INDEX(Performance.2,,O$6)),0)*Reward1.Rate.2*Reward1.Year.Flag.2+MAX(INDEX(Reward2.Lower.2,,O$6)-MAX(INDEX(Reward2.Upper.2,,O$6),INDEX(Performance.2,,O$6)),0)*Reward2.Rate.2*Reward2.Year.Flag.2,MAX(INDEX(Reward.Deadband.2,,O$6)-MAX(INDEX(Reward.Cap.2,,O$6),INDEX(Performance.2,,O$6)),0)*Reward1.Rate.2*Reward1.Year.Flag.2)*$G$10</f>
        <v>0</v>
      </c>
      <c r="P27" s="84">
        <f>IF($G26,MAX(INDEX(Reward1.Lower.2,,P$6)-MAX(INDEX(Reward1.Upper.2,,P$6),INDEX(Performance.2,,P$6)),0)*Reward1.Rate.2*Reward1.Year.Flag.2+MAX(INDEX(Reward2.Lower.2,,P$6)-MAX(INDEX(Reward2.Upper.2,,P$6),INDEX(Performance.2,,P$6)),0)*Reward2.Rate.2*Reward2.Year.Flag.2,MAX(INDEX(Reward.Deadband.2,,P$6)-MAX(INDEX(Reward.Cap.2,,P$6),INDEX(Performance.2,,P$6)),0)*Reward1.Rate.2*Reward1.Year.Flag.2)*$G$10</f>
        <v>0</v>
      </c>
    </row>
    <row r="28" spans="4:16" s="19" customFormat="1" ht="15">
      <c r="D28" s="59"/>
      <c r="E28" s="72"/>
      <c r="F28" s="20"/>
      <c r="L28" s="15"/>
      <c r="M28" s="15"/>
      <c r="N28" s="15"/>
      <c r="O28" s="15"/>
      <c r="P28" s="15"/>
    </row>
    <row r="29" spans="4:16" s="19" customFormat="1">
      <c r="D29" s="59"/>
      <c r="E29" s="73" t="s">
        <v>8</v>
      </c>
      <c r="F29" s="20"/>
      <c r="L29" s="15"/>
      <c r="M29" s="15"/>
      <c r="N29" s="15"/>
      <c r="O29" s="15"/>
      <c r="P29" s="15"/>
    </row>
    <row r="30" spans="4:16" s="19" customFormat="1">
      <c r="D30" s="38" t="s">
        <v>21</v>
      </c>
      <c r="E30" s="34" t="s">
        <v>202</v>
      </c>
      <c r="F30" s="20"/>
      <c r="G30" s="41">
        <f>Penalty.Limits.Flag.2</f>
        <v>0</v>
      </c>
      <c r="L30" s="15"/>
      <c r="M30" s="15"/>
      <c r="N30" s="15"/>
      <c r="O30" s="15"/>
      <c r="P30" s="15"/>
    </row>
    <row r="31" spans="4:16" s="19" customFormat="1">
      <c r="D31" s="38"/>
      <c r="E31" s="35" t="s">
        <v>205</v>
      </c>
      <c r="F31" s="20"/>
      <c r="G31" s="79"/>
      <c r="L31" s="84">
        <f>IF($G30,MAX(MIN(INDEX(Penalty1.Lower.2,,L$6),INDEX(Performance.2,,L$6))-INDEX(Penalty1.Upper.2,,L$6),0)*Penalty1.Rate.2*Penalty1.Year.Flag.2+MAX(MIN(INDEX(Penalty2.Lower.2,,L$6),INDEX(Performance.2,,L$6))-INDEX(Penalty2.Upper.2,,L$6),0)*Penalty2.Rate.2*Penalty2.Year.Flag.2,MAX(MIN(INDEX(Penalty.Collar.2,,L$6),INDEX(Performance.2,,L$6))-INDEX(Penalty.Deadband.2,,L$6),0)*Penalty1.Rate.2*Penalty1.Year.Flag.2)*$G$10</f>
        <v>0</v>
      </c>
      <c r="M31" s="84">
        <f>IF($G30,MAX(MIN(INDEX(Penalty1.Lower.2,,M$6),INDEX(Performance.2,,M$6))-INDEX(Penalty1.Upper.2,,M$6),0)*Penalty1.Rate.2*Penalty1.Year.Flag.2+MAX(MIN(INDEX(Penalty2.Lower.2,,M$6),INDEX(Performance.2,,M$6))-INDEX(Penalty2.Upper.2,,M$6),0)*Penalty2.Rate.2*Penalty2.Year.Flag.2,MAX(MIN(INDEX(Penalty.Collar.2,,M$6),INDEX(Performance.2,,M$6))-INDEX(Penalty.Deadband.2,,M$6),0)*Penalty1.Rate.2*Penalty1.Year.Flag.2)*$G$10</f>
        <v>0</v>
      </c>
      <c r="N31" s="84">
        <f>IF($G30,MAX(MIN(INDEX(Penalty1.Lower.2,,N$6),INDEX(Performance.2,,N$6))-INDEX(Penalty1.Upper.2,,N$6),0)*Penalty1.Rate.2*Penalty1.Year.Flag.2+MAX(MIN(INDEX(Penalty2.Lower.2,,N$6),INDEX(Performance.2,,N$6))-INDEX(Penalty2.Upper.2,,N$6),0)*Penalty2.Rate.2*Penalty2.Year.Flag.2,MAX(MIN(INDEX(Penalty.Collar.2,,N$6),INDEX(Performance.2,,N$6))-INDEX(Penalty.Deadband.2,,N$6),0)*Penalty1.Rate.2*Penalty1.Year.Flag.2)*$G$10</f>
        <v>0</v>
      </c>
      <c r="O31" s="84">
        <f>IF($G30,MAX(MIN(INDEX(Penalty1.Lower.2,,O$6),INDEX(Performance.2,,O$6))-INDEX(Penalty1.Upper.2,,O$6),0)*Penalty1.Rate.2*Penalty1.Year.Flag.2+MAX(MIN(INDEX(Penalty2.Lower.2,,O$6),INDEX(Performance.2,,O$6))-INDEX(Penalty2.Upper.2,,O$6),0)*Penalty2.Rate.2*Penalty2.Year.Flag.2,MAX(MIN(INDEX(Penalty.Collar.2,,O$6),INDEX(Performance.2,,O$6))-INDEX(Penalty.Deadband.2,,O$6),0)*Penalty1.Rate.2*Penalty1.Year.Flag.2)*$G$10</f>
        <v>0</v>
      </c>
      <c r="P31" s="84">
        <f>IF($G30,MAX(MIN(INDEX(Penalty1.Lower.2,,P$6),INDEX(Performance.2,,P$6))-INDEX(Penalty1.Upper.2,,P$6),0)*Penalty1.Rate.2*Penalty1.Year.Flag.2+MAX(MIN(INDEX(Penalty2.Lower.2,,P$6),INDEX(Performance.2,,P$6))-INDEX(Penalty2.Upper.2,,P$6),0)*Penalty2.Rate.2*Penalty2.Year.Flag.2,MAX(MIN(INDEX(Penalty.Collar.2,,P$6),INDEX(Performance.2,,P$6))-INDEX(Penalty.Deadband.2,,P$6),0)*Penalty1.Rate.2*Penalty1.Year.Flag.2)*$G$10</f>
        <v>0</v>
      </c>
    </row>
    <row r="32" spans="4:16" s="19" customFormat="1">
      <c r="D32" s="38"/>
      <c r="E32" s="34"/>
      <c r="F32" s="20"/>
      <c r="G32" s="79"/>
      <c r="L32" s="15"/>
      <c r="M32" s="15"/>
      <c r="N32" s="15"/>
      <c r="O32" s="15"/>
      <c r="P32" s="15"/>
    </row>
    <row r="33" spans="1:24" s="19" customFormat="1">
      <c r="D33" s="59" t="s">
        <v>20</v>
      </c>
      <c r="E33" s="80" t="s">
        <v>36</v>
      </c>
      <c r="F33" s="20"/>
      <c r="L33" s="23">
        <f>IF(Reward.Orientation.2,L18-L22,L27-L31)</f>
        <v>0</v>
      </c>
      <c r="M33" s="23">
        <f>IF(Reward.Orientation.2,M18-M22,M27-M31)</f>
        <v>0</v>
      </c>
      <c r="N33" s="23">
        <f>IF(Reward.Orientation.2,N18-N22,N27-N31)</f>
        <v>0</v>
      </c>
      <c r="O33" s="23">
        <f>IF(Reward.Orientation.2,O18-O22,O27-O31)</f>
        <v>0</v>
      </c>
      <c r="P33" s="23">
        <f>IF(Reward.Orientation.2,P18-P22,P27-P31)</f>
        <v>0</v>
      </c>
      <c r="V33" s="26" t="str">
        <f>"Net.Reward.NumPC."&amp;$A$4</f>
        <v>Net.Reward.NumPC.2</v>
      </c>
    </row>
    <row r="34" spans="1:24" s="19" customFormat="1">
      <c r="D34" s="38"/>
      <c r="E34" s="36"/>
      <c r="F34" s="20"/>
    </row>
    <row r="35" spans="1:24" s="13" customFormat="1" ht="15">
      <c r="A35" s="10"/>
      <c r="B35" s="14"/>
      <c r="C35" s="14"/>
      <c r="D35" s="12"/>
      <c r="E35" s="11" t="s">
        <v>63</v>
      </c>
      <c r="F35" s="191"/>
      <c r="G35" s="12"/>
      <c r="H35" s="12"/>
      <c r="I35" s="12"/>
      <c r="J35" s="12"/>
      <c r="K35" s="12"/>
      <c r="L35" s="12"/>
      <c r="M35" s="12"/>
      <c r="N35" s="12"/>
      <c r="O35" s="12"/>
      <c r="P35" s="12"/>
      <c r="Q35" s="12"/>
      <c r="R35" s="12"/>
      <c r="S35" s="12"/>
      <c r="T35" s="12"/>
      <c r="U35" s="12"/>
      <c r="V35" s="12"/>
      <c r="W35" s="12"/>
      <c r="X35" s="12"/>
    </row>
    <row r="36" spans="1:24" s="19" customFormat="1">
      <c r="D36" s="38"/>
      <c r="F36" s="20"/>
      <c r="L36" s="23"/>
      <c r="M36" s="23"/>
      <c r="N36" s="23"/>
      <c r="O36" s="23"/>
      <c r="P36" s="23"/>
      <c r="R36" s="23"/>
      <c r="S36" s="23"/>
      <c r="T36" s="23"/>
      <c r="U36" s="23"/>
      <c r="V36" s="23"/>
    </row>
    <row r="37" spans="1:24" s="19" customFormat="1">
      <c r="D37" s="38"/>
      <c r="E37" s="36" t="s">
        <v>246</v>
      </c>
      <c r="F37" s="20"/>
      <c r="G37" s="41" t="b">
        <f>Delivery.Flag.2</f>
        <v>0</v>
      </c>
      <c r="L37" s="23"/>
      <c r="M37" s="23"/>
      <c r="N37" s="23"/>
      <c r="O37" s="23"/>
      <c r="P37" s="23"/>
      <c r="R37" s="23"/>
      <c r="S37" s="23"/>
      <c r="T37" s="23"/>
      <c r="U37" s="23"/>
      <c r="V37" s="23"/>
    </row>
    <row r="38" spans="1:24" s="19" customFormat="1">
      <c r="D38" s="38"/>
      <c r="F38" s="20"/>
      <c r="L38" s="23"/>
      <c r="M38" s="23"/>
      <c r="N38" s="23"/>
      <c r="O38" s="23"/>
      <c r="P38" s="23"/>
      <c r="R38" s="23"/>
      <c r="S38" s="23"/>
      <c r="T38" s="23"/>
      <c r="U38" s="23"/>
      <c r="V38" s="23"/>
    </row>
    <row r="39" spans="1:24" s="19" customFormat="1">
      <c r="D39" s="38"/>
      <c r="E39" s="16" t="s">
        <v>51</v>
      </c>
      <c r="F39" s="20"/>
      <c r="L39" s="23"/>
      <c r="M39" s="23"/>
      <c r="N39" s="23"/>
      <c r="O39" s="23"/>
      <c r="P39" s="23"/>
      <c r="R39" s="23"/>
      <c r="S39" s="23"/>
      <c r="T39" s="23"/>
      <c r="U39" s="23"/>
      <c r="V39" s="23"/>
    </row>
    <row r="40" spans="1:24" s="19" customFormat="1">
      <c r="D40" s="38" t="s">
        <v>21</v>
      </c>
      <c r="E40" s="65" t="s">
        <v>114</v>
      </c>
      <c r="F40" s="20"/>
      <c r="G40" s="41" t="b">
        <f>OR(L40:P40)</f>
        <v>0</v>
      </c>
      <c r="L40" s="41" t="b">
        <f>IF(OR(AMP6.NonDel.Flag.2,NOT(DeliveryDefined.Flag.2)),FALSE,AND(L6&lt;MATCH(TRUE,DeliveryPC.2,0),L6&gt;=MATCH(TRUE,Delivery.Performance.2,0)))</f>
        <v>0</v>
      </c>
      <c r="M40" s="41" t="b">
        <f>IF(OR(AMP6.NonDel.Flag.2,NOT(DeliveryDefined.Flag.2)),FALSE,AND(M6&lt;MATCH(TRUE,DeliveryPC.2,0),M6&gt;=MATCH(TRUE,Delivery.Performance.2,0)))</f>
        <v>0</v>
      </c>
      <c r="N40" s="41" t="b">
        <f>IF(OR(AMP6.NonDel.Flag.2,NOT(DeliveryDefined.Flag.2)),FALSE,AND(N6&lt;MATCH(TRUE,DeliveryPC.2,0),N6&gt;=MATCH(TRUE,Delivery.Performance.2,0)))</f>
        <v>0</v>
      </c>
      <c r="O40" s="41" t="b">
        <f>IF(OR(AMP6.NonDel.Flag.2,NOT(DeliveryDefined.Flag.2)),FALSE,AND(O6&lt;MATCH(TRUE,DeliveryPC.2,0),O6&gt;=MATCH(TRUE,Delivery.Performance.2,0)))</f>
        <v>0</v>
      </c>
      <c r="P40" s="41" t="b">
        <f>IF(OR(AMP6.NonDel.Flag.2,NOT(DeliveryDefined.Flag.2)),FALSE,AND(P6&lt;MATCH(TRUE,DeliveryPC.2,0),P6&gt;=MATCH(TRUE,Delivery.Performance.2,0)))</f>
        <v>0</v>
      </c>
      <c r="R40" s="85"/>
      <c r="S40" s="23"/>
      <c r="T40" s="23"/>
      <c r="U40" s="23"/>
      <c r="V40" s="23"/>
    </row>
    <row r="41" spans="1:24"/>
    <row r="42" spans="1:24">
      <c r="D42" s="40" t="s">
        <v>126</v>
      </c>
      <c r="E42" s="65" t="s">
        <v>120</v>
      </c>
      <c r="G42" s="90">
        <f>IF(G40,MATCH(TRUE,DeliveryPC.2,0)-MATCH(TRUE,Delivery.Performance.2,0),0)</f>
        <v>0</v>
      </c>
    </row>
    <row r="43" spans="1:24">
      <c r="D43" s="59" t="s">
        <v>20</v>
      </c>
      <c r="E43" s="65" t="s">
        <v>128</v>
      </c>
      <c r="G43" s="84">
        <f>G42*EarlyDel.Flag.2*EarlyDel.Reward.2</f>
        <v>0</v>
      </c>
    </row>
    <row r="44" spans="1:24">
      <c r="D44" s="59"/>
      <c r="E44" s="65"/>
      <c r="G44" s="84"/>
    </row>
    <row r="45" spans="1:24">
      <c r="D45" s="40" t="s">
        <v>126</v>
      </c>
      <c r="E45" s="65" t="s">
        <v>127</v>
      </c>
      <c r="G45" s="90">
        <f>IF(OR(NOT(DeliveryCap.Flag.2),NOT(DeliveryDefined.Flag.2)),0,MATCH(TRUE,DeliveryPC.2)-MATCH(TRUE,DeliveryCap.2,0))</f>
        <v>0</v>
      </c>
    </row>
    <row r="46" spans="1:24">
      <c r="D46" s="59" t="s">
        <v>20</v>
      </c>
      <c r="E46" s="65" t="s">
        <v>129</v>
      </c>
      <c r="G46" s="84">
        <f>G45*EarlyDel.Reward.2</f>
        <v>0</v>
      </c>
    </row>
    <row r="47" spans="1:24">
      <c r="D47" s="59"/>
      <c r="E47" s="65"/>
      <c r="G47" s="84"/>
    </row>
    <row r="48" spans="1:24">
      <c r="D48" s="59" t="s">
        <v>20</v>
      </c>
      <c r="E48" s="65" t="s">
        <v>121</v>
      </c>
      <c r="G48" s="84"/>
      <c r="L48" s="84">
        <f>IF($G40,Delivery.Performance.2*MIN($G$43,$G$46),0)*$G$37</f>
        <v>0</v>
      </c>
      <c r="M48" s="84">
        <f>IF($G40,Delivery.Performance.2*MIN($G$43,$G$46),0)*$G$37</f>
        <v>0</v>
      </c>
      <c r="N48" s="84">
        <f>IF($G40,Delivery.Performance.2*MIN($G$43,$G$46),0)*$G$37</f>
        <v>0</v>
      </c>
      <c r="O48" s="84">
        <f>IF($G40,Delivery.Performance.2*MIN($G$43,$G$46),0)*$G$37</f>
        <v>0</v>
      </c>
      <c r="P48" s="84">
        <f>IF($G40,Delivery.Performance.2*MIN($G$43,$G$46),0)*$G$37</f>
        <v>0</v>
      </c>
    </row>
    <row r="49" spans="4:22" s="19" customFormat="1">
      <c r="D49" s="38"/>
      <c r="F49" s="20"/>
      <c r="R49" s="82"/>
      <c r="S49" s="23"/>
      <c r="T49" s="23"/>
      <c r="U49" s="23"/>
      <c r="V49" s="23"/>
    </row>
    <row r="50" spans="4:22" s="19" customFormat="1">
      <c r="D50" s="38" t="s">
        <v>21</v>
      </c>
      <c r="E50" s="65" t="s">
        <v>115</v>
      </c>
      <c r="F50" s="20"/>
      <c r="G50" s="41" t="b">
        <f>IF(OR(AMP6.NonDel.Flag.2,NOT(DeliveryDefined.Flag.2)),FALSE,MATCH(TRUE,DeliveryPC.2,0)&lt;MATCH(TRUE,Delivery.Performance.2,0))</f>
        <v>0</v>
      </c>
      <c r="R50" s="85"/>
      <c r="S50" s="23"/>
      <c r="T50" s="23"/>
      <c r="U50" s="23"/>
      <c r="V50" s="23"/>
    </row>
    <row r="51" spans="4:22" s="19" customFormat="1">
      <c r="D51" s="38" t="s">
        <v>21</v>
      </c>
      <c r="E51" s="65" t="s">
        <v>112</v>
      </c>
      <c r="F51" s="20"/>
      <c r="L51" s="41" t="b">
        <f>AND(OnTimeDel.Flag.2,+Delivery.Performance.2,NOT($G$50),DeliveryDefined.Flag.2)</f>
        <v>0</v>
      </c>
      <c r="M51" s="41" t="b">
        <f>AND(OnTimeDel.Flag.2,+Delivery.Performance.2,NOT($G$50),DeliveryDefined.Flag.2)</f>
        <v>0</v>
      </c>
      <c r="N51" s="41" t="b">
        <f>AND(OnTimeDel.Flag.2,+Delivery.Performance.2,NOT($G$50),DeliveryDefined.Flag.2)</f>
        <v>0</v>
      </c>
      <c r="O51" s="41" t="b">
        <f>AND(OnTimeDel.Flag.2,+Delivery.Performance.2,NOT($G$50),DeliveryDefined.Flag.2)</f>
        <v>0</v>
      </c>
      <c r="P51" s="41" t="b">
        <f>AND(OnTimeDel.Flag.2,+Delivery.Performance.2,NOT($G$50),DeliveryDefined.Flag.2)</f>
        <v>0</v>
      </c>
      <c r="R51" s="82"/>
      <c r="S51" s="23"/>
      <c r="T51" s="23"/>
      <c r="U51" s="23"/>
      <c r="V51" s="23"/>
    </row>
    <row r="52" spans="4:22" s="19" customFormat="1">
      <c r="D52" s="38"/>
      <c r="E52" s="65" t="s">
        <v>113</v>
      </c>
      <c r="F52" s="20"/>
      <c r="L52" s="84">
        <f>L51*OnTimeDel.Reward.2*$G$37</f>
        <v>0</v>
      </c>
      <c r="M52" s="84">
        <f>M51*OnTimeDel.Reward.2*$G$37</f>
        <v>0</v>
      </c>
      <c r="N52" s="84">
        <f>N51*OnTimeDel.Reward.2*$G$37</f>
        <v>0</v>
      </c>
      <c r="O52" s="84">
        <f>O51*OnTimeDel.Reward.2*$G$37</f>
        <v>0</v>
      </c>
      <c r="P52" s="84">
        <f>P51*OnTimeDel.Reward.2*$G$37</f>
        <v>0</v>
      </c>
      <c r="R52" s="42"/>
      <c r="S52" s="23"/>
      <c r="T52" s="23"/>
      <c r="U52" s="23"/>
      <c r="V52" s="23"/>
    </row>
    <row r="53" spans="4:22" s="19" customFormat="1">
      <c r="D53" s="38"/>
      <c r="F53" s="20"/>
      <c r="L53" s="23"/>
      <c r="M53" s="23"/>
      <c r="N53" s="23"/>
      <c r="O53" s="23"/>
      <c r="P53" s="23"/>
      <c r="R53" s="42"/>
      <c r="S53" s="23"/>
      <c r="T53" s="23"/>
      <c r="U53" s="23"/>
      <c r="V53" s="23"/>
    </row>
    <row r="54" spans="4:22" s="19" customFormat="1">
      <c r="D54" s="59" t="s">
        <v>20</v>
      </c>
      <c r="E54" s="33" t="s">
        <v>94</v>
      </c>
      <c r="F54" s="182"/>
      <c r="G54" s="38"/>
      <c r="H54" s="38"/>
      <c r="L54" s="84">
        <f>IF($G$40,L48+L52*NOT(EarlyOnTimeDel.Flag.2),L52)</f>
        <v>0</v>
      </c>
      <c r="M54" s="84">
        <f>IF($G$40,M48+M52*NOT(EarlyOnTimeDel.Flag.2),M52)</f>
        <v>0</v>
      </c>
      <c r="N54" s="84">
        <f>IF($G$40,N48+N52*NOT(EarlyOnTimeDel.Flag.2),N52)</f>
        <v>0</v>
      </c>
      <c r="O54" s="84">
        <f>IF($G$40,O48+O52*NOT(EarlyOnTimeDel.Flag.2),O52)</f>
        <v>0</v>
      </c>
      <c r="P54" s="84">
        <f>IF($G$40,P48+P52*NOT(EarlyOnTimeDel.Flag.2),P52)</f>
        <v>0</v>
      </c>
      <c r="R54" s="82"/>
      <c r="S54" s="23"/>
      <c r="T54" s="23"/>
      <c r="U54" s="23"/>
    </row>
    <row r="55" spans="4:22" s="19" customFormat="1">
      <c r="D55" s="38"/>
      <c r="E55" s="38"/>
      <c r="F55" s="182"/>
      <c r="G55" s="38"/>
      <c r="H55" s="38"/>
      <c r="R55" s="42"/>
      <c r="S55" s="23"/>
      <c r="T55" s="23"/>
      <c r="U55" s="23"/>
    </row>
    <row r="56" spans="4:22" s="19" customFormat="1">
      <c r="D56" s="38"/>
      <c r="E56" s="16" t="s">
        <v>8</v>
      </c>
      <c r="F56" s="20"/>
      <c r="L56" s="23"/>
      <c r="M56" s="23"/>
      <c r="N56" s="23"/>
      <c r="O56" s="23"/>
      <c r="P56" s="23"/>
      <c r="R56" s="42"/>
      <c r="S56" s="23"/>
      <c r="T56" s="23"/>
      <c r="U56" s="23"/>
      <c r="V56" s="23"/>
    </row>
    <row r="57" spans="4:22" s="19" customFormat="1">
      <c r="D57" s="38" t="s">
        <v>21</v>
      </c>
      <c r="E57" s="65" t="s">
        <v>96</v>
      </c>
      <c r="F57" s="20"/>
      <c r="G57" s="41" t="b">
        <f>OR(L57:P57)</f>
        <v>0</v>
      </c>
      <c r="L57" s="41" t="b">
        <f>IF(NOT(DeliveryDefined.Flag.2),FALSE,IF(AMP6.NonDel.Flag.2,L6&gt;=MATCH(TRUE,DeliveryPC.2,0),AND(L6&gt;=MATCH(TRUE,DeliveryPC.2,0),L6&lt;MATCH(TRUE,Delivery.Performance.2,0))))</f>
        <v>0</v>
      </c>
      <c r="M57" s="41" t="b">
        <f>IF(NOT(DeliveryDefined.Flag.2),FALSE,IF(AMP6.NonDel.Flag.2,M6&gt;=MATCH(TRUE,DeliveryPC.2,0),AND(M6&gt;=MATCH(TRUE,DeliveryPC.2,0),M6&lt;MATCH(TRUE,Delivery.Performance.2,0))))</f>
        <v>0</v>
      </c>
      <c r="N57" s="41" t="b">
        <f>IF(NOT(DeliveryDefined.Flag.2),FALSE,IF(AMP6.NonDel.Flag.2,N6&gt;=MATCH(TRUE,DeliveryPC.2,0),AND(N6&gt;=MATCH(TRUE,DeliveryPC.2,0),N6&lt;MATCH(TRUE,Delivery.Performance.2,0))))</f>
        <v>0</v>
      </c>
      <c r="O57" s="41" t="b">
        <f>IF(NOT(DeliveryDefined.Flag.2),FALSE,IF(AMP6.NonDel.Flag.2,O6&gt;=MATCH(TRUE,DeliveryPC.2,0),AND(O6&gt;=MATCH(TRUE,DeliveryPC.2,0),O6&lt;MATCH(TRUE,Delivery.Performance.2,0))))</f>
        <v>0</v>
      </c>
      <c r="P57" s="41" t="b">
        <f>IF(NOT(DeliveryDefined.Flag.2),FALSE,IF(AMP6.NonDel.Flag.2,P6&gt;=MATCH(TRUE,DeliveryPC.2,0),AND(P6&gt;=MATCH(TRUE,DeliveryPC.2,0),P6&lt;MATCH(TRUE,Delivery.Performance.2,0))))</f>
        <v>0</v>
      </c>
      <c r="R57" s="85"/>
      <c r="S57" s="23"/>
      <c r="T57" s="23"/>
      <c r="U57" s="23"/>
      <c r="V57" s="23"/>
    </row>
    <row r="58" spans="4:22" s="19" customFormat="1">
      <c r="D58" s="38" t="s">
        <v>21</v>
      </c>
      <c r="E58" s="65" t="s">
        <v>116</v>
      </c>
      <c r="F58" s="20"/>
      <c r="L58" s="41" t="b">
        <f>AND(L57,Delay.Flag.2)</f>
        <v>0</v>
      </c>
      <c r="M58" s="41" t="b">
        <f>AND(M57,Delay.Flag.2)</f>
        <v>0</v>
      </c>
      <c r="N58" s="41" t="b">
        <f>AND(N57,Delay.Flag.2)</f>
        <v>0</v>
      </c>
      <c r="O58" s="41" t="b">
        <f>AND(O57,Delay.Flag.2)</f>
        <v>0</v>
      </c>
      <c r="P58" s="41" t="b">
        <f>AND(P57,Delay.Flag.2)</f>
        <v>0</v>
      </c>
      <c r="R58" s="23"/>
      <c r="S58" s="23"/>
      <c r="T58" s="23"/>
      <c r="U58" s="23"/>
      <c r="V58" s="23"/>
    </row>
    <row r="59" spans="4:22" s="19" customFormat="1">
      <c r="D59" s="38"/>
      <c r="E59" s="65"/>
      <c r="F59" s="20"/>
      <c r="L59" s="79"/>
      <c r="M59" s="79"/>
      <c r="N59" s="79"/>
      <c r="O59" s="79"/>
      <c r="P59" s="79"/>
      <c r="R59" s="23"/>
      <c r="S59" s="23"/>
      <c r="T59" s="23"/>
      <c r="U59" s="23"/>
      <c r="V59" s="23"/>
    </row>
    <row r="60" spans="4:22" s="19" customFormat="1">
      <c r="D60" s="38" t="s">
        <v>21</v>
      </c>
      <c r="E60" s="65" t="s">
        <v>130</v>
      </c>
      <c r="F60" s="20"/>
      <c r="G60" s="84"/>
      <c r="L60" s="41" t="b">
        <f>IF(OR(NOT(DeliveryCollar.Flag.2),NOT(DeliveryDefined.Flag.2)),FALSE,L6&gt;MATCH(TRUE,DeliveryCollar.2))</f>
        <v>0</v>
      </c>
      <c r="M60" s="41" t="b">
        <f>IF(OR(NOT(DeliveryCollar.Flag.2),NOT(DeliveryDefined.Flag.2)),FALSE,M6&gt;MATCH(TRUE,DeliveryCollar.2))</f>
        <v>0</v>
      </c>
      <c r="N60" s="41" t="b">
        <f>IF(OR(NOT(DeliveryCollar.Flag.2),NOT(DeliveryDefined.Flag.2)),FALSE,N6&gt;MATCH(TRUE,DeliveryCollar.2))</f>
        <v>0</v>
      </c>
      <c r="O60" s="41" t="b">
        <f>IF(OR(NOT(DeliveryCollar.Flag.2),NOT(DeliveryDefined.Flag.2)),FALSE,O6&gt;MATCH(TRUE,DeliveryCollar.2))</f>
        <v>0</v>
      </c>
      <c r="P60" s="41" t="b">
        <f>IF(OR(NOT(DeliveryCollar.Flag.2),NOT(DeliveryDefined.Flag.2)),FALSE,P6&gt;MATCH(TRUE,DeliveryCollar.2))</f>
        <v>0</v>
      </c>
      <c r="R60" s="23"/>
      <c r="S60" s="23"/>
      <c r="T60" s="23"/>
      <c r="U60" s="23"/>
      <c r="V60" s="23"/>
    </row>
    <row r="61" spans="4:22" s="19" customFormat="1">
      <c r="D61" s="38"/>
      <c r="E61" s="65"/>
      <c r="F61" s="20"/>
      <c r="L61" s="79"/>
      <c r="M61" s="79"/>
      <c r="N61" s="79"/>
      <c r="O61" s="79"/>
      <c r="P61" s="79"/>
      <c r="R61" s="23"/>
      <c r="S61" s="23"/>
      <c r="T61" s="23"/>
      <c r="U61" s="23"/>
      <c r="V61" s="23"/>
    </row>
    <row r="62" spans="4:22" s="19" customFormat="1">
      <c r="D62" s="59" t="s">
        <v>20</v>
      </c>
      <c r="E62" s="65" t="s">
        <v>97</v>
      </c>
      <c r="F62" s="20"/>
      <c r="L62" s="74">
        <f>L58*Delay.Penalty.2*NOT(L60)*$G$37</f>
        <v>0</v>
      </c>
      <c r="M62" s="74">
        <f>M58*Delay.Penalty.2*NOT(M60)*$G$37</f>
        <v>0</v>
      </c>
      <c r="N62" s="74">
        <f>N58*Delay.Penalty.2*NOT(N60)*$G$37</f>
        <v>0</v>
      </c>
      <c r="O62" s="74">
        <f>O58*Delay.Penalty.2*NOT(O60)*$G$37</f>
        <v>0</v>
      </c>
      <c r="P62" s="74">
        <f>P58*Delay.Penalty.2*NOT(P60)*$G$37</f>
        <v>0</v>
      </c>
      <c r="R62" s="23"/>
      <c r="S62" s="23"/>
      <c r="T62" s="23"/>
      <c r="U62" s="23"/>
      <c r="V62" s="23"/>
    </row>
    <row r="63" spans="4:22" s="19" customFormat="1">
      <c r="D63" s="38"/>
      <c r="F63" s="20"/>
      <c r="R63" s="23"/>
      <c r="S63" s="23"/>
      <c r="T63" s="23"/>
      <c r="U63" s="23"/>
      <c r="V63" s="23"/>
    </row>
    <row r="64" spans="4:22" s="19" customFormat="1">
      <c r="D64" s="38" t="s">
        <v>21</v>
      </c>
      <c r="E64" s="65" t="s">
        <v>98</v>
      </c>
      <c r="F64" s="20"/>
      <c r="G64" s="41" t="b">
        <f>AMP6.NonDel.Flag.2</f>
        <v>1</v>
      </c>
      <c r="R64" s="23"/>
      <c r="S64" s="23"/>
      <c r="T64" s="23"/>
      <c r="U64" s="23"/>
      <c r="V64" s="23"/>
    </row>
    <row r="65" spans="1:24" s="19" customFormat="1">
      <c r="D65" s="38" t="s">
        <v>21</v>
      </c>
      <c r="E65" s="65" t="s">
        <v>117</v>
      </c>
      <c r="F65" s="20"/>
      <c r="L65" s="41" t="b">
        <f>AND(NonDel.Flag.2,+DeliveryPC.2,$G$64)</f>
        <v>0</v>
      </c>
      <c r="M65" s="41" t="b">
        <f>AND(NonDel.Flag.2,+DeliveryPC.2,$G$64)</f>
        <v>0</v>
      </c>
      <c r="N65" s="41" t="b">
        <f>AND(NonDel.Flag.2,+DeliveryPC.2,$G$64)</f>
        <v>0</v>
      </c>
      <c r="O65" s="41" t="b">
        <f>AND(NonDel.Flag.2,+DeliveryPC.2,$G$64)</f>
        <v>0</v>
      </c>
      <c r="P65" s="41" t="b">
        <f>AND(NonDel.Flag.2,+DeliveryPC.2,$G$64)</f>
        <v>0</v>
      </c>
      <c r="R65" s="23"/>
      <c r="S65" s="23"/>
      <c r="T65" s="23"/>
      <c r="U65" s="23"/>
      <c r="V65" s="23"/>
    </row>
    <row r="66" spans="1:24" s="19" customFormat="1">
      <c r="D66" s="59" t="s">
        <v>20</v>
      </c>
      <c r="E66" s="65" t="s">
        <v>43</v>
      </c>
      <c r="F66" s="20"/>
      <c r="L66" s="84">
        <f>L65*NonDel.Penalty.2*$G$37</f>
        <v>0</v>
      </c>
      <c r="M66" s="84">
        <f>M65*NonDel.Penalty.2*$G$37</f>
        <v>0</v>
      </c>
      <c r="N66" s="84">
        <f>N65*NonDel.Penalty.2*$G$37</f>
        <v>0</v>
      </c>
      <c r="O66" s="84">
        <f>O65*NonDel.Penalty.2*$G$37</f>
        <v>0</v>
      </c>
      <c r="P66" s="84">
        <f>P65*NonDel.Penalty.2*$G$37</f>
        <v>0</v>
      </c>
      <c r="R66" s="23"/>
      <c r="S66" s="23"/>
      <c r="T66" s="23"/>
      <c r="U66" s="23"/>
      <c r="V66" s="23"/>
    </row>
    <row r="67" spans="1:24" s="19" customFormat="1">
      <c r="D67" s="38"/>
      <c r="F67" s="20"/>
      <c r="L67" s="23"/>
      <c r="M67" s="23"/>
      <c r="N67" s="23"/>
      <c r="O67" s="23"/>
      <c r="P67" s="23"/>
      <c r="R67" s="23"/>
      <c r="S67" s="23"/>
      <c r="T67" s="23"/>
      <c r="U67" s="23"/>
      <c r="V67" s="23"/>
    </row>
    <row r="68" spans="1:24" s="19" customFormat="1">
      <c r="D68" s="59" t="s">
        <v>20</v>
      </c>
      <c r="E68" s="33" t="s">
        <v>119</v>
      </c>
      <c r="F68" s="182"/>
      <c r="G68" s="38"/>
      <c r="H68" s="38"/>
      <c r="L68" s="84">
        <f>IF($G$64, L66+L62*NOT(DelayNonDel.Flag.2),L62)</f>
        <v>0</v>
      </c>
      <c r="M68" s="84">
        <f>IF($G$64, M66+M62*NOT(DelayNonDel.Flag.2),M62)</f>
        <v>0</v>
      </c>
      <c r="N68" s="84">
        <f>IF($G$64, N66+N62*NOT(DelayNonDel.Flag.2),N62)</f>
        <v>0</v>
      </c>
      <c r="O68" s="84">
        <f>IF($G$64, O66+O62*NOT(DelayNonDel.Flag.2),O62)</f>
        <v>0</v>
      </c>
      <c r="P68" s="84">
        <f>IF($G$64, P66+P62*NOT(DelayNonDel.Flag.2),P62)</f>
        <v>0</v>
      </c>
      <c r="R68" s="23"/>
      <c r="S68" s="23"/>
      <c r="T68" s="23"/>
      <c r="U68" s="23"/>
      <c r="V68" s="23"/>
    </row>
    <row r="69" spans="1:24" s="19" customFormat="1">
      <c r="D69" s="38"/>
      <c r="E69" s="38"/>
      <c r="F69" s="182"/>
      <c r="G69" s="38"/>
      <c r="H69" s="38"/>
      <c r="R69" s="23"/>
      <c r="S69" s="23"/>
      <c r="T69" s="23"/>
      <c r="U69" s="23"/>
      <c r="V69" s="23"/>
    </row>
    <row r="70" spans="1:24" s="19" customFormat="1">
      <c r="D70" s="59" t="s">
        <v>20</v>
      </c>
      <c r="E70" s="80" t="s">
        <v>36</v>
      </c>
      <c r="F70" s="20"/>
      <c r="L70" s="23">
        <f>L54-L68</f>
        <v>0</v>
      </c>
      <c r="M70" s="23">
        <f>M54-M68</f>
        <v>0</v>
      </c>
      <c r="N70" s="23">
        <f>N54-N68</f>
        <v>0</v>
      </c>
      <c r="O70" s="23">
        <f>O54-O68</f>
        <v>0</v>
      </c>
      <c r="P70" s="23">
        <f>P54-P68</f>
        <v>0</v>
      </c>
      <c r="R70" s="23"/>
      <c r="S70" s="23"/>
      <c r="T70" s="23"/>
      <c r="U70" s="23"/>
      <c r="V70" s="87" t="str">
        <f>"Net.Reward.DelPC."&amp;$A$4</f>
        <v>Net.Reward.DelPC.2</v>
      </c>
    </row>
    <row r="71" spans="1:24" s="19" customFormat="1">
      <c r="D71" s="38"/>
      <c r="F71" s="20"/>
      <c r="L71" s="23"/>
      <c r="M71" s="23"/>
      <c r="N71" s="23"/>
      <c r="O71" s="23"/>
      <c r="P71" s="23"/>
      <c r="R71" s="23"/>
      <c r="S71" s="23"/>
      <c r="T71" s="23"/>
      <c r="U71" s="23"/>
      <c r="V71" s="23"/>
    </row>
    <row r="72" spans="1:24" s="13" customFormat="1" ht="15">
      <c r="A72" s="10"/>
      <c r="B72" s="14"/>
      <c r="C72" s="14"/>
      <c r="D72" s="12"/>
      <c r="E72" s="11" t="s">
        <v>122</v>
      </c>
      <c r="F72" s="191"/>
      <c r="G72" s="12"/>
      <c r="H72" s="12"/>
      <c r="I72" s="12"/>
      <c r="J72" s="12"/>
      <c r="K72" s="12"/>
      <c r="L72" s="12"/>
      <c r="M72" s="12"/>
      <c r="N72" s="12"/>
      <c r="O72" s="12"/>
      <c r="P72" s="12"/>
      <c r="Q72" s="12"/>
      <c r="R72" s="12"/>
      <c r="S72" s="12"/>
      <c r="T72" s="12"/>
      <c r="U72" s="12"/>
      <c r="V72" s="12"/>
      <c r="W72" s="12"/>
      <c r="X72" s="12"/>
    </row>
    <row r="73" spans="1:24" s="19" customFormat="1">
      <c r="D73" s="38"/>
      <c r="F73" s="20"/>
      <c r="L73" s="23"/>
      <c r="M73" s="23"/>
      <c r="N73" s="23"/>
      <c r="O73" s="23"/>
      <c r="P73" s="23"/>
      <c r="R73" s="23"/>
      <c r="S73" s="23"/>
      <c r="T73" s="23"/>
      <c r="U73" s="23"/>
      <c r="V73" s="23"/>
    </row>
    <row r="74" spans="1:24" s="19" customFormat="1">
      <c r="D74" s="38"/>
      <c r="E74" s="19" t="s">
        <v>242</v>
      </c>
      <c r="F74" s="20"/>
      <c r="G74" s="41" t="b">
        <f>Bespoke.Flag.2</f>
        <v>0</v>
      </c>
      <c r="L74" s="23"/>
      <c r="M74" s="23"/>
      <c r="N74" s="23"/>
      <c r="O74" s="23"/>
      <c r="P74" s="23"/>
      <c r="R74" s="23"/>
      <c r="S74" s="23"/>
      <c r="T74" s="23"/>
      <c r="U74" s="23"/>
      <c r="V74" s="23"/>
    </row>
    <row r="75" spans="1:24" s="19" customFormat="1">
      <c r="D75" s="38"/>
      <c r="F75" s="20"/>
      <c r="L75" s="23"/>
      <c r="M75" s="23"/>
      <c r="N75" s="23"/>
      <c r="O75" s="23"/>
      <c r="P75" s="23"/>
      <c r="R75" s="23"/>
      <c r="S75" s="23"/>
      <c r="T75" s="23"/>
      <c r="U75" s="23"/>
      <c r="V75" s="23"/>
    </row>
    <row r="76" spans="1:24" s="19" customFormat="1">
      <c r="D76" s="38"/>
      <c r="E76" s="16" t="s">
        <v>51</v>
      </c>
      <c r="F76" s="20"/>
      <c r="L76" s="23"/>
      <c r="M76" s="23"/>
      <c r="N76" s="23"/>
      <c r="O76" s="23"/>
      <c r="P76" s="23"/>
      <c r="R76" s="23"/>
      <c r="S76" s="23"/>
      <c r="T76" s="23"/>
      <c r="U76" s="23"/>
      <c r="V76" s="23"/>
    </row>
    <row r="77" spans="1:24" s="19" customFormat="1">
      <c r="B77" s="9">
        <v>1</v>
      </c>
      <c r="D77" s="38" t="s">
        <v>21</v>
      </c>
      <c r="E77" s="65" t="s">
        <v>124</v>
      </c>
      <c r="F77" s="20"/>
      <c r="L77" s="41" t="b">
        <f>INDEX(Performance.List,$B$77,)=Bespoke.Performance.2</f>
        <v>0</v>
      </c>
      <c r="M77" s="41" t="b">
        <f>INDEX(Performance.List,$B$77,)=Bespoke.Performance.2</f>
        <v>0</v>
      </c>
      <c r="N77" s="41" t="b">
        <f>INDEX(Performance.List,$B$77,)=Bespoke.Performance.2</f>
        <v>0</v>
      </c>
      <c r="O77" s="41" t="b">
        <f>INDEX(Performance.List,$B$77,)=Bespoke.Performance.2</f>
        <v>0</v>
      </c>
      <c r="P77" s="41" t="b">
        <f>INDEX(Performance.List,$B$77,)=Bespoke.Performance.2</f>
        <v>0</v>
      </c>
      <c r="R77" s="23"/>
      <c r="S77" s="23"/>
      <c r="T77" s="23"/>
      <c r="U77" s="23"/>
      <c r="V77" s="23"/>
    </row>
    <row r="78" spans="1:24" s="19" customFormat="1">
      <c r="D78" s="38"/>
      <c r="E78" s="86"/>
      <c r="F78" s="20"/>
      <c r="L78" s="23"/>
      <c r="M78" s="23"/>
      <c r="N78" s="23"/>
      <c r="O78" s="23"/>
      <c r="P78" s="23"/>
      <c r="R78" s="23"/>
      <c r="S78" s="23"/>
      <c r="T78" s="23"/>
      <c r="U78" s="23"/>
      <c r="V78" s="23"/>
    </row>
    <row r="79" spans="1:24" s="19" customFormat="1">
      <c r="D79" s="59" t="s">
        <v>20</v>
      </c>
      <c r="E79" s="33" t="s">
        <v>10</v>
      </c>
      <c r="F79" s="20"/>
      <c r="L79" s="23">
        <f>L77*Bespoke.Pass.2*$G$74</f>
        <v>0</v>
      </c>
      <c r="M79" s="23">
        <f>M77*Bespoke.Pass.2*$G$74</f>
        <v>0</v>
      </c>
      <c r="N79" s="23">
        <f>N77*Bespoke.Pass.2*$G$74</f>
        <v>0</v>
      </c>
      <c r="O79" s="23">
        <f>O77*Bespoke.Pass.2*$G$74</f>
        <v>0</v>
      </c>
      <c r="P79" s="23">
        <f>P77*Bespoke.Pass.2*$G$74</f>
        <v>0</v>
      </c>
      <c r="R79" s="23"/>
      <c r="S79" s="23"/>
      <c r="T79" s="23"/>
      <c r="U79" s="23"/>
      <c r="V79" s="23"/>
    </row>
    <row r="80" spans="1:24" s="19" customFormat="1">
      <c r="D80" s="38"/>
      <c r="F80" s="20"/>
      <c r="L80" s="23"/>
      <c r="M80" s="23"/>
      <c r="N80" s="23"/>
      <c r="O80" s="23"/>
      <c r="P80" s="23"/>
      <c r="R80" s="23"/>
      <c r="S80" s="23"/>
      <c r="T80" s="23"/>
      <c r="U80" s="23"/>
      <c r="V80" s="23"/>
    </row>
    <row r="81" spans="1:24" s="19" customFormat="1">
      <c r="D81" s="38"/>
      <c r="E81" s="16" t="s">
        <v>38</v>
      </c>
      <c r="F81" s="20"/>
      <c r="L81" s="23"/>
      <c r="M81" s="23"/>
      <c r="N81" s="23"/>
      <c r="O81" s="23"/>
      <c r="P81" s="23"/>
      <c r="R81" s="23"/>
      <c r="S81" s="23"/>
      <c r="T81" s="23"/>
      <c r="U81" s="23"/>
      <c r="V81" s="23"/>
    </row>
    <row r="82" spans="1:24" s="19" customFormat="1">
      <c r="B82" s="9">
        <v>2</v>
      </c>
      <c r="D82" s="38" t="s">
        <v>21</v>
      </c>
      <c r="E82" s="65" t="s">
        <v>125</v>
      </c>
      <c r="F82" s="20"/>
      <c r="L82" s="41" t="b">
        <f>INDEX(Performance.List,$B$82,)=Bespoke.Performance.2</f>
        <v>0</v>
      </c>
      <c r="M82" s="41" t="b">
        <f>INDEX(Performance.List,$B$82,)=Bespoke.Performance.2</f>
        <v>0</v>
      </c>
      <c r="N82" s="41" t="b">
        <f>INDEX(Performance.List,$B$82,)=Bespoke.Performance.2</f>
        <v>0</v>
      </c>
      <c r="O82" s="41" t="b">
        <f>INDEX(Performance.List,$B$82,)=Bespoke.Performance.2</f>
        <v>0</v>
      </c>
      <c r="P82" s="41" t="b">
        <f>INDEX(Performance.List,$B$82,)=Bespoke.Performance.2</f>
        <v>0</v>
      </c>
      <c r="R82" s="23"/>
      <c r="S82" s="23"/>
      <c r="T82" s="23"/>
      <c r="U82" s="23"/>
      <c r="V82" s="23"/>
    </row>
    <row r="83" spans="1:24" s="19" customFormat="1">
      <c r="D83" s="38"/>
      <c r="E83" s="86"/>
      <c r="F83" s="20"/>
      <c r="L83" s="23"/>
      <c r="M83" s="23"/>
      <c r="N83" s="23"/>
      <c r="O83" s="23"/>
      <c r="P83" s="23"/>
      <c r="R83" s="23"/>
      <c r="S83" s="23"/>
      <c r="T83" s="23"/>
      <c r="U83" s="23"/>
      <c r="V83" s="23"/>
    </row>
    <row r="84" spans="1:24" s="19" customFormat="1">
      <c r="D84" s="59" t="s">
        <v>20</v>
      </c>
      <c r="E84" s="33" t="s">
        <v>9</v>
      </c>
      <c r="F84" s="20"/>
      <c r="L84" s="23">
        <f>L82*Bespoke.Fail.2*$G$74</f>
        <v>0</v>
      </c>
      <c r="M84" s="23">
        <f>M82*Bespoke.Fail.2*$G$74</f>
        <v>0</v>
      </c>
      <c r="N84" s="23">
        <f>N82*Bespoke.Fail.2*$G$74</f>
        <v>0</v>
      </c>
      <c r="O84" s="23">
        <f>O82*Bespoke.Fail.2*$G$74</f>
        <v>0</v>
      </c>
      <c r="P84" s="23">
        <f>P82*Bespoke.Fail.2*$G$74</f>
        <v>0</v>
      </c>
      <c r="R84" s="23"/>
      <c r="S84" s="23"/>
      <c r="T84" s="23"/>
      <c r="U84" s="23"/>
      <c r="V84" s="23"/>
    </row>
    <row r="85" spans="1:24" s="19" customFormat="1">
      <c r="D85" s="38"/>
      <c r="F85" s="20"/>
      <c r="L85" s="23"/>
      <c r="M85" s="23"/>
      <c r="N85" s="23"/>
      <c r="O85" s="23"/>
      <c r="P85" s="23"/>
      <c r="R85" s="23"/>
      <c r="S85" s="23"/>
      <c r="T85" s="23"/>
      <c r="U85" s="23"/>
      <c r="V85" s="23"/>
    </row>
    <row r="86" spans="1:24" s="19" customFormat="1">
      <c r="D86" s="59" t="s">
        <v>20</v>
      </c>
      <c r="E86" s="80" t="s">
        <v>36</v>
      </c>
      <c r="F86" s="20"/>
      <c r="L86" s="23">
        <f>L79-L84</f>
        <v>0</v>
      </c>
      <c r="M86" s="23">
        <f t="shared" ref="M86:P86" si="2">M79-M84</f>
        <v>0</v>
      </c>
      <c r="N86" s="23">
        <f t="shared" si="2"/>
        <v>0</v>
      </c>
      <c r="O86" s="23">
        <f t="shared" si="2"/>
        <v>0</v>
      </c>
      <c r="P86" s="23">
        <f t="shared" si="2"/>
        <v>0</v>
      </c>
      <c r="R86" s="23"/>
      <c r="S86" s="23"/>
      <c r="T86" s="23"/>
      <c r="U86" s="23"/>
      <c r="V86" s="87" t="str">
        <f>"Net.Reward.BespokePC."&amp;$A$4</f>
        <v>Net.Reward.BespokePC.2</v>
      </c>
    </row>
    <row r="87" spans="1:24" s="19" customFormat="1" ht="13.5" thickBot="1">
      <c r="D87" s="38"/>
      <c r="F87" s="20"/>
      <c r="L87" s="23"/>
      <c r="M87" s="23"/>
      <c r="N87" s="23"/>
      <c r="O87" s="23"/>
      <c r="P87" s="23"/>
      <c r="Q87" s="23"/>
      <c r="R87" s="23"/>
      <c r="S87" s="23"/>
      <c r="T87" s="23"/>
      <c r="U87" s="23"/>
    </row>
    <row r="88" spans="1:24" ht="13.5" thickBot="1">
      <c r="A88" s="21" t="s">
        <v>35</v>
      </c>
      <c r="B88" s="22"/>
      <c r="C88" s="22"/>
      <c r="D88" s="22"/>
      <c r="E88" s="22"/>
      <c r="F88" s="195"/>
      <c r="G88" s="22"/>
      <c r="H88" s="22"/>
      <c r="I88" s="22"/>
      <c r="J88" s="22"/>
      <c r="K88" s="22"/>
      <c r="L88" s="22"/>
      <c r="M88" s="22"/>
      <c r="N88" s="22"/>
      <c r="O88" s="22"/>
      <c r="P88" s="22"/>
      <c r="Q88" s="22"/>
      <c r="R88" s="22"/>
      <c r="S88" s="22"/>
      <c r="T88" s="22"/>
      <c r="U88" s="22"/>
      <c r="V88" s="22"/>
      <c r="W88" s="22"/>
      <c r="X88" s="22"/>
    </row>
    <row r="89" spans="1:24"/>
    <row r="90" spans="1:24" hidden="1"/>
    <row r="91" spans="1:24" hidden="1"/>
    <row r="92" spans="1:24" hidden="1"/>
    <row r="93" spans="1:24" hidden="1"/>
    <row r="94" spans="1:24" hidden="1"/>
    <row r="95" spans="1:24" hidden="1"/>
    <row r="96" spans="1:24"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sheetData>
  <conditionalFormatting sqref="L58:P61">
    <cfRule type="cellIs" dxfId="24" priority="36" operator="equal">
      <formula>TRUE</formula>
    </cfRule>
  </conditionalFormatting>
  <conditionalFormatting sqref="L40:P40">
    <cfRule type="cellIs" dxfId="23" priority="26" operator="equal">
      <formula>TRUE</formula>
    </cfRule>
  </conditionalFormatting>
  <conditionalFormatting sqref="L51:P51">
    <cfRule type="cellIs" dxfId="22" priority="25" operator="equal">
      <formula>TRUE</formula>
    </cfRule>
  </conditionalFormatting>
  <conditionalFormatting sqref="L57:P57">
    <cfRule type="cellIs" dxfId="21" priority="23" operator="equal">
      <formula>TRUE</formula>
    </cfRule>
  </conditionalFormatting>
  <conditionalFormatting sqref="L65:P65">
    <cfRule type="cellIs" dxfId="20" priority="22" operator="equal">
      <formula>TRUE</formula>
    </cfRule>
  </conditionalFormatting>
  <conditionalFormatting sqref="G50">
    <cfRule type="cellIs" dxfId="19" priority="24" operator="equal">
      <formula>TRUE</formula>
    </cfRule>
  </conditionalFormatting>
  <conditionalFormatting sqref="G57">
    <cfRule type="cellIs" dxfId="18" priority="19" operator="equal">
      <formula>TRUE</formula>
    </cfRule>
  </conditionalFormatting>
  <conditionalFormatting sqref="G64">
    <cfRule type="cellIs" dxfId="17" priority="21" operator="equal">
      <formula>TRUE</formula>
    </cfRule>
  </conditionalFormatting>
  <conditionalFormatting sqref="G40">
    <cfRule type="cellIs" dxfId="16" priority="20" operator="equal">
      <formula>TRUE</formula>
    </cfRule>
  </conditionalFormatting>
  <conditionalFormatting sqref="L77:P77">
    <cfRule type="cellIs" dxfId="15" priority="18" operator="equal">
      <formula>TRUE</formula>
    </cfRule>
  </conditionalFormatting>
  <conditionalFormatting sqref="L82:P82">
    <cfRule type="cellIs" dxfId="14" priority="17" operator="equal">
      <formula>TRUE</formula>
    </cfRule>
  </conditionalFormatting>
  <conditionalFormatting sqref="G13">
    <cfRule type="cellIs" dxfId="13" priority="16" operator="equal">
      <formula>TRUE</formula>
    </cfRule>
  </conditionalFormatting>
  <conditionalFormatting sqref="G17">
    <cfRule type="cellIs" dxfId="12" priority="7" operator="equal">
      <formula>TRUE</formula>
    </cfRule>
  </conditionalFormatting>
  <conditionalFormatting sqref="G21">
    <cfRule type="cellIs" dxfId="11" priority="6" operator="equal">
      <formula>TRUE</formula>
    </cfRule>
  </conditionalFormatting>
  <conditionalFormatting sqref="G26">
    <cfRule type="cellIs" dxfId="10" priority="5" operator="equal">
      <formula>TRUE</formula>
    </cfRule>
  </conditionalFormatting>
  <conditionalFormatting sqref="G30:G32">
    <cfRule type="cellIs" dxfId="9" priority="4" operator="equal">
      <formula>TRUE</formula>
    </cfRule>
  </conditionalFormatting>
  <conditionalFormatting sqref="G74">
    <cfRule type="cellIs" dxfId="8" priority="3" operator="equal">
      <formula>TRUE</formula>
    </cfRule>
  </conditionalFormatting>
  <conditionalFormatting sqref="G10">
    <cfRule type="cellIs" dxfId="7" priority="2" operator="equal">
      <formula>TRUE</formula>
    </cfRule>
  </conditionalFormatting>
  <conditionalFormatting sqref="G37">
    <cfRule type="cellIs" dxfId="6" priority="1" operator="equal">
      <formula>TRUE</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A1:X15"/>
  <sheetViews>
    <sheetView showGridLines="0" showRowColHeaders="0" zoomScale="80" zoomScaleNormal="80" workbookViewId="0"/>
  </sheetViews>
  <sheetFormatPr defaultColWidth="0" defaultRowHeight="12.75" customHeight="1" zeroHeight="1"/>
  <cols>
    <col min="1" max="2" width="8" style="62" customWidth="1"/>
    <col min="3" max="3" width="8" style="62"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61"/>
    </row>
    <row r="2" spans="1:24" ht="15">
      <c r="A2" s="63"/>
      <c r="B2" s="63"/>
      <c r="C2" s="63"/>
      <c r="D2" s="2"/>
      <c r="E2" s="2"/>
      <c r="F2" s="19"/>
      <c r="G2" s="19"/>
      <c r="H2" s="2"/>
      <c r="I2" s="2"/>
      <c r="J2" s="2"/>
      <c r="K2" s="2"/>
      <c r="L2" s="2"/>
      <c r="M2" s="2"/>
      <c r="N2" s="2"/>
      <c r="O2" s="19"/>
      <c r="P2" s="19"/>
      <c r="Q2" s="2"/>
      <c r="R2" s="2"/>
      <c r="S2" s="2"/>
      <c r="T2" s="2"/>
      <c r="U2" s="2"/>
      <c r="V2" s="2"/>
      <c r="W2" s="2"/>
      <c r="X2" s="2"/>
    </row>
    <row r="3" spans="1:24" ht="15" hidden="1">
      <c r="A3" s="63"/>
      <c r="B3" s="63"/>
      <c r="C3" s="63"/>
      <c r="D3" s="2"/>
      <c r="E3" s="2"/>
      <c r="F3" s="19"/>
      <c r="G3" s="19"/>
      <c r="H3" s="2"/>
      <c r="I3" s="2"/>
      <c r="J3" s="2"/>
      <c r="K3" s="2"/>
      <c r="L3" s="2"/>
      <c r="M3" s="2"/>
      <c r="N3" s="2"/>
      <c r="O3" s="19"/>
      <c r="P3" s="19"/>
      <c r="Q3" s="2"/>
      <c r="R3" s="2"/>
      <c r="S3" s="2"/>
      <c r="T3" s="2"/>
      <c r="U3" s="2"/>
      <c r="V3" s="2"/>
      <c r="W3" s="2"/>
      <c r="X3" s="2"/>
    </row>
    <row r="4" spans="1:24" ht="15" hidden="1">
      <c r="A4" s="63"/>
      <c r="B4" s="63"/>
      <c r="C4" s="63"/>
      <c r="D4" s="2"/>
      <c r="E4" s="2"/>
      <c r="F4" s="19"/>
      <c r="G4" s="19"/>
      <c r="H4" s="2"/>
      <c r="I4" s="2"/>
      <c r="J4" s="2"/>
      <c r="K4" s="2"/>
      <c r="L4" s="2"/>
      <c r="M4" s="2"/>
      <c r="N4" s="2"/>
      <c r="O4" s="19"/>
      <c r="P4" s="19"/>
      <c r="Q4" s="2"/>
      <c r="R4" s="2"/>
      <c r="S4" s="2"/>
      <c r="T4" s="2"/>
      <c r="U4" s="2"/>
      <c r="V4" s="2"/>
      <c r="W4" s="2"/>
      <c r="X4" s="2"/>
    </row>
    <row r="5" spans="1:24" ht="15" hidden="1">
      <c r="A5" s="63"/>
      <c r="B5" s="63"/>
      <c r="C5" s="63"/>
      <c r="D5" s="2"/>
      <c r="E5" s="2"/>
      <c r="F5" s="19"/>
      <c r="G5" s="19"/>
      <c r="H5" s="2"/>
      <c r="I5" s="2"/>
      <c r="J5" s="2"/>
      <c r="K5" s="2"/>
      <c r="L5" s="2"/>
      <c r="M5" s="2"/>
      <c r="N5" s="2"/>
      <c r="O5" s="19"/>
      <c r="P5" s="19"/>
      <c r="Q5" s="2"/>
      <c r="R5" s="2"/>
      <c r="S5" s="2"/>
      <c r="T5" s="2"/>
      <c r="U5" s="2"/>
      <c r="V5" s="2"/>
      <c r="W5" s="2"/>
      <c r="X5" s="2"/>
    </row>
    <row r="6" spans="1:24" ht="15" hidden="1">
      <c r="A6" s="63"/>
      <c r="B6" s="63"/>
      <c r="C6" s="63"/>
      <c r="D6" s="2"/>
      <c r="E6" s="2"/>
      <c r="F6" s="19"/>
      <c r="G6" s="19"/>
      <c r="H6" s="2"/>
      <c r="I6" s="2"/>
      <c r="J6" s="2"/>
      <c r="K6" s="2"/>
      <c r="L6" s="2"/>
      <c r="M6" s="2"/>
      <c r="N6" s="2"/>
      <c r="O6" s="19"/>
      <c r="P6" s="19"/>
      <c r="Q6" s="2"/>
      <c r="R6" s="2"/>
      <c r="S6" s="2"/>
      <c r="T6" s="2"/>
      <c r="U6" s="2"/>
      <c r="V6" s="2"/>
      <c r="W6" s="2"/>
      <c r="X6" s="2"/>
    </row>
    <row r="7" spans="1:24" ht="15" hidden="1">
      <c r="A7" s="63"/>
      <c r="B7" s="63"/>
      <c r="C7" s="63"/>
      <c r="D7" s="2"/>
      <c r="E7" s="2"/>
      <c r="F7" s="19"/>
      <c r="G7" s="19"/>
      <c r="H7" s="2"/>
      <c r="I7" s="2"/>
      <c r="J7" s="2"/>
      <c r="K7" s="2"/>
      <c r="L7" s="2"/>
      <c r="M7" s="2"/>
      <c r="N7" s="2"/>
      <c r="O7" s="19"/>
      <c r="P7" s="19"/>
      <c r="Q7" s="2"/>
      <c r="R7" s="2"/>
      <c r="S7" s="2"/>
      <c r="T7" s="2"/>
      <c r="U7" s="2"/>
      <c r="V7" s="2"/>
      <c r="W7" s="2"/>
      <c r="X7" s="2"/>
    </row>
    <row r="8" spans="1:24" ht="15" hidden="1">
      <c r="A8" s="63"/>
      <c r="B8" s="63"/>
      <c r="C8" s="63"/>
      <c r="D8" s="2"/>
      <c r="E8" s="2"/>
      <c r="F8" s="19"/>
      <c r="G8" s="19"/>
      <c r="H8" s="2"/>
      <c r="I8" s="2"/>
      <c r="J8" s="2"/>
      <c r="K8" s="2"/>
      <c r="L8" s="2"/>
      <c r="M8" s="2"/>
      <c r="N8" s="2"/>
      <c r="O8" s="19"/>
      <c r="P8" s="19"/>
      <c r="Q8" s="2"/>
      <c r="R8" s="2"/>
      <c r="S8" s="2"/>
      <c r="T8" s="2"/>
      <c r="U8" s="2"/>
      <c r="V8" s="2"/>
      <c r="W8" s="2"/>
      <c r="X8" s="2"/>
    </row>
    <row r="9" spans="1:24" ht="15" hidden="1">
      <c r="A9" s="63"/>
      <c r="B9" s="63"/>
      <c r="C9" s="63"/>
      <c r="D9" s="2"/>
      <c r="E9" s="2"/>
      <c r="F9" s="19"/>
      <c r="G9" s="19"/>
      <c r="H9" s="2"/>
      <c r="I9" s="2"/>
      <c r="J9" s="2"/>
      <c r="K9" s="2"/>
      <c r="L9" s="2"/>
      <c r="M9" s="2"/>
      <c r="N9" s="2"/>
      <c r="O9" s="19"/>
      <c r="P9" s="19"/>
      <c r="Q9" s="2"/>
      <c r="R9" s="2"/>
      <c r="S9" s="2"/>
      <c r="T9" s="2"/>
      <c r="U9" s="2"/>
      <c r="V9" s="2"/>
      <c r="W9" s="2"/>
      <c r="X9" s="2"/>
    </row>
    <row r="10" spans="1:24" ht="15" hidden="1">
      <c r="A10" s="63"/>
      <c r="B10" s="63"/>
      <c r="C10" s="63"/>
      <c r="D10" s="2"/>
      <c r="E10" s="2"/>
      <c r="F10" s="19"/>
      <c r="G10" s="19"/>
      <c r="H10" s="2"/>
      <c r="I10" s="2"/>
      <c r="J10" s="2"/>
      <c r="K10" s="2"/>
      <c r="L10" s="2"/>
      <c r="M10" s="2"/>
      <c r="N10" s="2"/>
      <c r="O10" s="19"/>
      <c r="P10" s="19"/>
      <c r="Q10" s="2"/>
      <c r="R10" s="2"/>
      <c r="S10" s="2"/>
      <c r="T10" s="2"/>
      <c r="U10" s="2"/>
      <c r="V10" s="2"/>
      <c r="W10" s="2"/>
      <c r="X10" s="2"/>
    </row>
    <row r="11" spans="1:24" ht="15" hidden="1">
      <c r="A11" s="63"/>
      <c r="B11" s="63"/>
      <c r="C11" s="63"/>
      <c r="D11" s="2"/>
      <c r="E11" s="2"/>
      <c r="F11" s="19"/>
      <c r="G11" s="19"/>
      <c r="H11" s="2"/>
      <c r="I11" s="2"/>
      <c r="J11" s="2"/>
      <c r="K11" s="2"/>
      <c r="L11" s="2"/>
      <c r="M11" s="2"/>
      <c r="N11" s="2"/>
      <c r="O11" s="19"/>
      <c r="P11" s="19"/>
      <c r="Q11" s="2"/>
      <c r="R11" s="2"/>
      <c r="S11" s="2"/>
      <c r="T11" s="2"/>
      <c r="U11" s="2"/>
      <c r="V11" s="2"/>
      <c r="W11" s="2"/>
      <c r="X11" s="2"/>
    </row>
    <row r="12" spans="1:24" ht="15" hidden="1">
      <c r="A12" s="63"/>
      <c r="B12" s="63"/>
      <c r="C12" s="63"/>
      <c r="D12" s="2"/>
      <c r="E12" s="2"/>
      <c r="F12" s="19"/>
      <c r="G12" s="19"/>
      <c r="H12" s="2"/>
      <c r="I12" s="2"/>
      <c r="J12" s="2"/>
      <c r="K12" s="2"/>
      <c r="L12" s="2"/>
      <c r="M12" s="2"/>
      <c r="N12" s="2"/>
      <c r="O12" s="19"/>
      <c r="P12" s="19"/>
      <c r="Q12" s="2"/>
      <c r="R12" s="2"/>
      <c r="S12" s="2"/>
      <c r="T12" s="2"/>
      <c r="U12" s="2"/>
      <c r="V12" s="2"/>
      <c r="W12" s="2"/>
      <c r="X12" s="2"/>
    </row>
    <row r="13" spans="1:24" ht="15" hidden="1">
      <c r="A13" s="63"/>
      <c r="B13" s="63"/>
      <c r="C13" s="63"/>
      <c r="D13" s="2"/>
      <c r="E13" s="2"/>
      <c r="F13" s="19"/>
      <c r="G13" s="19"/>
      <c r="H13" s="2"/>
      <c r="I13" s="2"/>
      <c r="J13" s="2"/>
      <c r="K13" s="2"/>
      <c r="L13" s="2"/>
      <c r="M13" s="2"/>
      <c r="N13" s="2"/>
      <c r="O13" s="19"/>
      <c r="P13" s="19"/>
      <c r="Q13" s="2"/>
      <c r="R13" s="2"/>
      <c r="S13" s="2"/>
      <c r="T13" s="2"/>
      <c r="U13" s="2"/>
      <c r="V13" s="2"/>
      <c r="W13" s="2"/>
      <c r="X13" s="2"/>
    </row>
    <row r="14" spans="1:24" ht="15" hidden="1">
      <c r="A14" s="63"/>
      <c r="B14" s="63"/>
      <c r="C14" s="63"/>
      <c r="D14" s="2"/>
      <c r="E14" s="2"/>
      <c r="F14" s="19"/>
      <c r="G14" s="19"/>
      <c r="H14" s="2"/>
      <c r="I14" s="2"/>
      <c r="J14" s="2"/>
      <c r="K14" s="2"/>
      <c r="L14" s="2"/>
      <c r="M14" s="2"/>
      <c r="N14" s="2"/>
      <c r="O14" s="19"/>
      <c r="P14" s="19"/>
      <c r="Q14" s="2"/>
      <c r="R14" s="2"/>
      <c r="S14" s="2"/>
      <c r="T14" s="2"/>
      <c r="U14" s="2"/>
      <c r="V14" s="2"/>
      <c r="W14" s="2"/>
      <c r="X14" s="2"/>
    </row>
    <row r="15" spans="1:24" ht="15" hidden="1">
      <c r="A15" s="63"/>
      <c r="B15" s="63"/>
      <c r="C15" s="63"/>
      <c r="D15" s="2"/>
      <c r="E15" s="2"/>
      <c r="F15" s="19"/>
      <c r="G15" s="19"/>
      <c r="H15" s="2"/>
      <c r="I15" s="2"/>
      <c r="J15" s="2"/>
      <c r="K15" s="2"/>
      <c r="L15" s="2"/>
      <c r="M15" s="2"/>
      <c r="N15" s="2"/>
      <c r="O15" s="19"/>
      <c r="P15" s="19"/>
      <c r="Q15" s="2"/>
      <c r="R15" s="2"/>
      <c r="S15" s="2"/>
      <c r="T15" s="2"/>
      <c r="U15" s="2"/>
      <c r="V15" s="2"/>
      <c r="W15" s="2"/>
      <c r="X15"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07"/>
  <sheetViews>
    <sheetView showGridLines="0" zoomScale="80" zoomScaleNormal="80" workbookViewId="0">
      <pane xSplit="8" ySplit="7" topLeftCell="I8" activePane="bottomRight" state="frozen"/>
      <selection pane="topRight" activeCell="I1" sqref="I1"/>
      <selection pane="bottomLeft" activeCell="A8" sqref="A8"/>
      <selection pane="bottomRight" activeCell="I8" sqref="I8"/>
    </sheetView>
  </sheetViews>
  <sheetFormatPr defaultColWidth="0" defaultRowHeight="12.75" zeroHeight="1"/>
  <cols>
    <col min="1" max="3" width="2.7109375" customWidth="1"/>
    <col min="4" max="4" width="9.140625" customWidth="1"/>
    <col min="5" max="5" width="67.5703125" customWidth="1"/>
    <col min="6" max="6" width="15.42578125" style="176" bestFit="1" customWidth="1"/>
    <col min="7" max="7" width="10.85546875" customWidth="1"/>
    <col min="8" max="8" width="2.7109375" customWidth="1"/>
    <col min="9" max="21" width="10.5703125" customWidth="1"/>
    <col min="22" max="22" width="17.42578125" bestFit="1" customWidth="1"/>
    <col min="23" max="23" width="2.7109375" customWidth="1"/>
    <col min="24" max="16384" width="9.140625" hidden="1"/>
  </cols>
  <sheetData>
    <row r="1" spans="1:23" s="2" customFormat="1" ht="33.75">
      <c r="A1" s="31"/>
      <c r="B1" s="31"/>
      <c r="C1" s="31"/>
      <c r="D1" s="31" t="s">
        <v>175</v>
      </c>
      <c r="E1" s="31"/>
      <c r="F1" s="190"/>
      <c r="G1" s="31"/>
      <c r="H1" s="31"/>
      <c r="I1" s="31"/>
      <c r="J1" s="31"/>
      <c r="K1" s="31"/>
      <c r="L1" s="31"/>
      <c r="M1" s="31"/>
      <c r="N1" s="31"/>
      <c r="O1" s="31"/>
      <c r="P1" s="31"/>
      <c r="Q1" s="31"/>
      <c r="R1" s="31"/>
      <c r="S1" s="31"/>
      <c r="T1" s="31"/>
      <c r="U1" s="31"/>
      <c r="V1" s="31"/>
      <c r="W1" s="31"/>
    </row>
    <row r="2" spans="1:23" s="2" customFormat="1" ht="15">
      <c r="F2" s="20"/>
      <c r="G2" s="19"/>
      <c r="O2" s="19"/>
      <c r="P2" s="19"/>
    </row>
    <row r="3" spans="1:23" s="19" customFormat="1">
      <c r="E3" s="19" t="s">
        <v>17</v>
      </c>
      <c r="F3" s="20"/>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26"/>
    </row>
    <row r="4" spans="1:23" s="19" customFormat="1">
      <c r="F4" s="20"/>
      <c r="V4" s="26"/>
    </row>
    <row r="5" spans="1:23" s="19" customFormat="1">
      <c r="E5" s="30" t="s">
        <v>34</v>
      </c>
      <c r="F5" s="20"/>
      <c r="I5" s="29">
        <f t="shared" ref="I5:U5" si="1">Calendar.Years</f>
        <v>2012</v>
      </c>
      <c r="J5" s="29">
        <f t="shared" si="1"/>
        <v>2013</v>
      </c>
      <c r="K5" s="29">
        <f t="shared" si="1"/>
        <v>2014</v>
      </c>
      <c r="L5" s="29">
        <f t="shared" si="1"/>
        <v>2015</v>
      </c>
      <c r="M5" s="29">
        <f t="shared" si="1"/>
        <v>2016</v>
      </c>
      <c r="N5" s="29">
        <f t="shared" si="1"/>
        <v>2017</v>
      </c>
      <c r="O5" s="29">
        <f t="shared" si="1"/>
        <v>2018</v>
      </c>
      <c r="P5" s="29">
        <f t="shared" si="1"/>
        <v>2019</v>
      </c>
      <c r="Q5" s="29">
        <f t="shared" si="1"/>
        <v>2020</v>
      </c>
      <c r="R5" s="29">
        <f t="shared" si="1"/>
        <v>2021</v>
      </c>
      <c r="S5" s="29">
        <f t="shared" si="1"/>
        <v>2022</v>
      </c>
      <c r="T5" s="29">
        <f t="shared" si="1"/>
        <v>2023</v>
      </c>
      <c r="U5" s="29">
        <f t="shared" si="1"/>
        <v>2024</v>
      </c>
      <c r="V5" s="26"/>
    </row>
    <row r="6" spans="1:23" s="19" customFormat="1">
      <c r="E6" s="19" t="s">
        <v>18</v>
      </c>
      <c r="F6" s="20"/>
      <c r="K6" s="8"/>
      <c r="L6" s="9">
        <v>1</v>
      </c>
      <c r="M6" s="9">
        <v>2</v>
      </c>
      <c r="N6" s="9">
        <v>3</v>
      </c>
      <c r="O6" s="9">
        <v>4</v>
      </c>
      <c r="P6" s="9">
        <v>5</v>
      </c>
      <c r="Q6" s="9">
        <v>6</v>
      </c>
      <c r="R6" s="9">
        <v>7</v>
      </c>
      <c r="S6" s="9">
        <v>8</v>
      </c>
      <c r="T6" s="9">
        <v>9</v>
      </c>
      <c r="U6" s="9">
        <v>10</v>
      </c>
    </row>
    <row r="7" spans="1:23"/>
    <row r="8" spans="1:23" s="13" customFormat="1" ht="15">
      <c r="A8" s="10"/>
      <c r="B8" s="14"/>
      <c r="C8" s="14"/>
      <c r="D8" s="12"/>
      <c r="E8" s="11" t="s">
        <v>178</v>
      </c>
      <c r="F8" s="191"/>
      <c r="G8" s="12"/>
      <c r="H8" s="12"/>
      <c r="I8" s="12"/>
      <c r="J8" s="12"/>
      <c r="K8" s="12"/>
      <c r="L8" s="173"/>
      <c r="M8" s="173"/>
      <c r="N8" s="173"/>
      <c r="O8" s="173"/>
      <c r="P8" s="173"/>
      <c r="Q8" s="12"/>
      <c r="R8" s="12"/>
      <c r="S8" s="12"/>
      <c r="T8" s="12"/>
      <c r="U8" s="12"/>
      <c r="V8" s="12"/>
      <c r="W8" s="12"/>
    </row>
    <row r="9" spans="1:23">
      <c r="L9" s="174"/>
      <c r="M9" s="174"/>
      <c r="N9" s="174"/>
      <c r="O9" s="174"/>
      <c r="P9" s="174"/>
    </row>
    <row r="10" spans="1:23">
      <c r="E10" s="176" t="s">
        <v>177</v>
      </c>
      <c r="L10" s="174"/>
      <c r="M10" s="174"/>
      <c r="N10" s="174"/>
      <c r="O10" s="174"/>
      <c r="P10" s="174"/>
    </row>
    <row r="11" spans="1:23" s="19" customFormat="1">
      <c r="D11" s="38"/>
      <c r="F11" s="20"/>
      <c r="L11" s="23"/>
      <c r="M11" s="23"/>
      <c r="N11" s="23"/>
      <c r="O11" s="23"/>
      <c r="P11" s="23"/>
    </row>
    <row r="12" spans="1:23" s="19" customFormat="1">
      <c r="B12" s="9">
        <v>1</v>
      </c>
      <c r="D12" s="43" t="s">
        <v>21</v>
      </c>
      <c r="E12" s="36" t="s">
        <v>172</v>
      </c>
      <c r="F12" s="20"/>
      <c r="G12" s="41" t="b">
        <f>$B$12=Crystallisation.1</f>
        <v>0</v>
      </c>
      <c r="L12" s="23"/>
      <c r="M12" s="23"/>
      <c r="N12" s="23"/>
      <c r="O12" s="23"/>
      <c r="P12" s="23"/>
    </row>
    <row r="13" spans="1:23" s="19" customFormat="1">
      <c r="D13" s="43" t="s">
        <v>21</v>
      </c>
      <c r="E13" s="36" t="s">
        <v>173</v>
      </c>
      <c r="F13" s="20"/>
      <c r="G13" s="41" t="b">
        <f>$B$12=Crystallisation.2</f>
        <v>0</v>
      </c>
      <c r="L13" s="23"/>
      <c r="M13" s="23"/>
      <c r="N13" s="23"/>
      <c r="O13" s="23"/>
      <c r="P13" s="23"/>
    </row>
    <row r="14" spans="1:23" s="19" customFormat="1">
      <c r="D14" s="38"/>
      <c r="F14" s="20"/>
      <c r="L14" s="23"/>
      <c r="M14" s="23"/>
      <c r="N14" s="23"/>
      <c r="O14" s="23"/>
      <c r="P14" s="23"/>
    </row>
    <row r="15" spans="1:23" s="19" customFormat="1">
      <c r="D15" s="38"/>
      <c r="E15" s="16" t="s">
        <v>176</v>
      </c>
      <c r="F15" s="20"/>
      <c r="L15" s="23"/>
      <c r="M15" s="23"/>
      <c r="N15" s="23"/>
      <c r="O15" s="23"/>
      <c r="P15" s="23"/>
    </row>
    <row r="16" spans="1:23" s="19" customFormat="1">
      <c r="D16" s="59" t="s">
        <v>20</v>
      </c>
      <c r="E16" s="93" t="s">
        <v>157</v>
      </c>
      <c r="F16" s="20"/>
      <c r="G16" s="23"/>
      <c r="L16" s="42">
        <f>$G$12*IF(Incentive.Type.1=0,0,CHOOSE(Incentive.Type.1,Net.Reward.NumPC.1,Net.Reward.DelPC.1,Net.Reward.BespokePC.1))</f>
        <v>0</v>
      </c>
      <c r="M16" s="42">
        <f>$G$12*IF(Incentive.Type.1=0,0,CHOOSE(Incentive.Type.1,Net.Reward.NumPC.1,Net.Reward.DelPC.1,Net.Reward.BespokePC.1))</f>
        <v>0</v>
      </c>
      <c r="N16" s="42">
        <f>$G$12*IF(Incentive.Type.1=0,0,CHOOSE(Incentive.Type.1,Net.Reward.NumPC.1,Net.Reward.DelPC.1,Net.Reward.BespokePC.1))</f>
        <v>0</v>
      </c>
      <c r="O16" s="42">
        <f>$G$12*IF(Incentive.Type.1=0,0,CHOOSE(Incentive.Type.1,Net.Reward.NumPC.1,Net.Reward.DelPC.1,Net.Reward.BespokePC.1))</f>
        <v>0</v>
      </c>
      <c r="P16" s="42">
        <f>$G$12*IF(Incentive.Type.1=0,0,CHOOSE(Incentive.Type.1,Net.Reward.NumPC.1,Net.Reward.DelPC.1,Net.Reward.BespokePC.1))</f>
        <v>0</v>
      </c>
    </row>
    <row r="17" spans="1:23" s="19" customFormat="1">
      <c r="D17" s="59" t="s">
        <v>20</v>
      </c>
      <c r="E17" s="93" t="s">
        <v>158</v>
      </c>
      <c r="F17" s="20"/>
      <c r="G17" s="23"/>
      <c r="L17" s="42">
        <f>$G$13*IF(Incentive.Type.2=0,0,CHOOSE(Incentive.Type.2,Net.Reward.NumPC.2,Net.Reward.DelPC.2,Net.Reward.BespokePC.2))</f>
        <v>0</v>
      </c>
      <c r="M17" s="42">
        <f>$G$13*IF(Incentive.Type.2=0,0,CHOOSE(Incentive.Type.2,Net.Reward.NumPC.2,Net.Reward.DelPC.2,Net.Reward.BespokePC.2))</f>
        <v>0</v>
      </c>
      <c r="N17" s="42">
        <f>$G$13*IF(Incentive.Type.2=0,0,CHOOSE(Incentive.Type.2,Net.Reward.NumPC.2,Net.Reward.DelPC.2,Net.Reward.BespokePC.2))</f>
        <v>0</v>
      </c>
      <c r="O17" s="42">
        <f>$G$13*IF(Incentive.Type.2=0,0,CHOOSE(Incentive.Type.2,Net.Reward.NumPC.2,Net.Reward.DelPC.2,Net.Reward.BespokePC.2))</f>
        <v>0</v>
      </c>
      <c r="P17" s="42">
        <f>$G$13*IF(Incentive.Type.2=0,0,CHOOSE(Incentive.Type.2,Net.Reward.NumPC.2,Net.Reward.DelPC.2,Net.Reward.BespokePC.2))</f>
        <v>0</v>
      </c>
    </row>
    <row r="18" spans="1:23" s="19" customFormat="1">
      <c r="D18" s="38"/>
      <c r="E18" s="36"/>
      <c r="F18" s="20"/>
      <c r="L18" s="23"/>
      <c r="M18" s="23"/>
      <c r="N18" s="23"/>
      <c r="O18" s="23"/>
      <c r="P18" s="23"/>
    </row>
    <row r="19" spans="1:23" s="19" customFormat="1">
      <c r="D19" s="43" t="s">
        <v>21</v>
      </c>
      <c r="E19" s="36" t="s">
        <v>237</v>
      </c>
      <c r="F19" s="20"/>
      <c r="G19" s="41" t="b">
        <f>IF(ODI.AggCap.Flag.1&lt;&gt;"",ODI.AggCap.Flag.1,FALSE)</f>
        <v>0</v>
      </c>
      <c r="L19" s="23"/>
      <c r="M19" s="23"/>
      <c r="N19" s="23"/>
      <c r="O19" s="23"/>
      <c r="P19" s="23"/>
    </row>
    <row r="20" spans="1:23" s="19" customFormat="1">
      <c r="D20" s="43" t="s">
        <v>21</v>
      </c>
      <c r="E20" s="36" t="s">
        <v>238</v>
      </c>
      <c r="F20" s="20"/>
      <c r="G20" s="41" t="b">
        <f>IF(ODI.AggCap.Flag.2&lt;&gt;"",ODI.AggCap.Flag.2,FALSE)</f>
        <v>0</v>
      </c>
      <c r="L20" s="23"/>
      <c r="M20" s="23"/>
      <c r="N20" s="23"/>
      <c r="O20" s="23"/>
      <c r="P20" s="23"/>
    </row>
    <row r="21" spans="1:23" s="19" customFormat="1">
      <c r="D21" s="38"/>
      <c r="E21" s="36"/>
      <c r="F21" s="20"/>
      <c r="L21" s="23"/>
      <c r="M21" s="23"/>
      <c r="N21" s="23"/>
      <c r="O21" s="23"/>
      <c r="P21" s="23"/>
    </row>
    <row r="22" spans="1:23" s="19" customFormat="1" ht="15">
      <c r="A22" s="14"/>
      <c r="B22" s="14"/>
      <c r="C22" s="14"/>
      <c r="D22" s="12"/>
      <c r="E22" s="11" t="s">
        <v>223</v>
      </c>
      <c r="F22" s="191"/>
      <c r="G22" s="12"/>
      <c r="H22" s="12"/>
      <c r="I22" s="12"/>
      <c r="J22" s="12"/>
      <c r="K22" s="12"/>
      <c r="L22" s="173"/>
      <c r="M22" s="173"/>
      <c r="N22" s="173"/>
      <c r="O22" s="173"/>
      <c r="P22" s="173"/>
      <c r="Q22" s="12"/>
      <c r="R22" s="12"/>
      <c r="S22" s="12"/>
      <c r="T22" s="12"/>
      <c r="U22" s="12"/>
      <c r="V22" s="12"/>
      <c r="W22" s="12"/>
    </row>
    <row r="23" spans="1:23">
      <c r="K23" s="94"/>
      <c r="L23" s="203"/>
      <c r="M23" s="174"/>
      <c r="N23" s="174"/>
      <c r="O23" s="174"/>
      <c r="P23" s="174"/>
    </row>
    <row r="24" spans="1:23" s="19" customFormat="1">
      <c r="D24" s="59" t="s">
        <v>20</v>
      </c>
      <c r="E24" s="93" t="s">
        <v>157</v>
      </c>
      <c r="F24" s="20" t="s">
        <v>46</v>
      </c>
      <c r="G24" s="23">
        <f>SUM(L24:P24)</f>
        <v>0</v>
      </c>
      <c r="K24" s="101">
        <v>0</v>
      </c>
      <c r="L24" s="42">
        <f>NOT($G19)*L16</f>
        <v>0</v>
      </c>
      <c r="M24" s="42">
        <f t="shared" ref="M24:P25" si="2">NOT($G19)*M16</f>
        <v>0</v>
      </c>
      <c r="N24" s="42">
        <f t="shared" si="2"/>
        <v>0</v>
      </c>
      <c r="O24" s="42">
        <f t="shared" si="2"/>
        <v>0</v>
      </c>
      <c r="P24" s="42">
        <f t="shared" si="2"/>
        <v>0</v>
      </c>
    </row>
    <row r="25" spans="1:23" s="19" customFormat="1">
      <c r="D25" s="59" t="s">
        <v>20</v>
      </c>
      <c r="E25" s="93" t="s">
        <v>158</v>
      </c>
      <c r="F25" s="20" t="s">
        <v>46</v>
      </c>
      <c r="G25" s="23">
        <f>SUM(L25:P25)</f>
        <v>0</v>
      </c>
      <c r="K25" s="101">
        <v>0</v>
      </c>
      <c r="L25" s="42">
        <f>NOT($G20)*L17</f>
        <v>0</v>
      </c>
      <c r="M25" s="42">
        <f t="shared" si="2"/>
        <v>0</v>
      </c>
      <c r="N25" s="42">
        <f t="shared" si="2"/>
        <v>0</v>
      </c>
      <c r="O25" s="42">
        <f t="shared" si="2"/>
        <v>0</v>
      </c>
      <c r="P25" s="42">
        <f t="shared" si="2"/>
        <v>0</v>
      </c>
    </row>
    <row r="26" spans="1:23" s="19" customFormat="1">
      <c r="D26" s="59"/>
      <c r="E26" s="93"/>
      <c r="F26" s="20"/>
      <c r="L26" s="42"/>
      <c r="M26" s="42"/>
      <c r="N26" s="42"/>
      <c r="O26" s="42"/>
      <c r="P26" s="42"/>
    </row>
    <row r="27" spans="1:23" s="19" customFormat="1" ht="12.75" customHeight="1">
      <c r="D27" s="38"/>
      <c r="E27" s="16" t="s">
        <v>159</v>
      </c>
      <c r="F27" s="206"/>
      <c r="G27" s="15"/>
      <c r="H27" s="15"/>
      <c r="I27" s="15"/>
      <c r="J27" s="15"/>
      <c r="K27" s="15"/>
      <c r="L27" s="74"/>
      <c r="M27" s="74"/>
      <c r="N27" s="74"/>
      <c r="O27" s="74"/>
      <c r="P27" s="74"/>
      <c r="Q27" s="15"/>
      <c r="R27" s="15"/>
      <c r="S27" s="15"/>
      <c r="T27" s="15"/>
      <c r="U27" s="15"/>
    </row>
    <row r="28" spans="1:23" s="19" customFormat="1" ht="12.75" customHeight="1">
      <c r="D28" s="59" t="s">
        <v>20</v>
      </c>
      <c r="E28" s="93" t="s">
        <v>152</v>
      </c>
      <c r="F28" s="20" t="s">
        <v>46</v>
      </c>
      <c r="G28" s="42">
        <f>SUMIF(G24:G25,"&gt;0")</f>
        <v>0</v>
      </c>
      <c r="H28" s="15"/>
      <c r="I28" s="15"/>
      <c r="J28" s="15"/>
      <c r="K28" s="15"/>
      <c r="L28" s="74"/>
      <c r="M28" s="74"/>
      <c r="N28" s="74"/>
      <c r="O28" s="74"/>
      <c r="P28" s="74"/>
      <c r="Q28" s="15"/>
      <c r="R28" s="15"/>
      <c r="S28" s="15"/>
      <c r="T28" s="15"/>
      <c r="U28" s="15"/>
    </row>
    <row r="29" spans="1:23" s="19" customFormat="1" ht="12.75" customHeight="1">
      <c r="D29" s="59" t="s">
        <v>20</v>
      </c>
      <c r="E29" s="93" t="s">
        <v>153</v>
      </c>
      <c r="F29" s="20" t="s">
        <v>46</v>
      </c>
      <c r="G29" s="23">
        <f>SUMIF(G24:G25,"&lt;0")</f>
        <v>0</v>
      </c>
      <c r="H29" s="15"/>
      <c r="I29" s="15"/>
      <c r="J29" s="15"/>
      <c r="K29" s="15"/>
      <c r="L29" s="74"/>
      <c r="M29" s="74"/>
      <c r="N29" s="74"/>
      <c r="O29" s="74"/>
      <c r="P29" s="74"/>
      <c r="Q29" s="15"/>
      <c r="R29" s="15"/>
      <c r="S29" s="15"/>
      <c r="T29" s="15"/>
      <c r="U29" s="15"/>
    </row>
    <row r="30" spans="1:23" s="19" customFormat="1" ht="12.75" customHeight="1">
      <c r="D30" s="38"/>
      <c r="F30" s="206"/>
      <c r="G30" s="15"/>
      <c r="H30" s="15"/>
      <c r="I30" s="15"/>
      <c r="J30" s="15"/>
      <c r="K30" s="15"/>
      <c r="L30" s="74"/>
      <c r="M30" s="74"/>
      <c r="N30" s="74"/>
      <c r="O30" s="74"/>
      <c r="P30" s="74"/>
      <c r="Q30" s="15"/>
      <c r="R30" s="15"/>
      <c r="S30" s="15"/>
      <c r="T30" s="15"/>
      <c r="U30" s="15"/>
    </row>
    <row r="31" spans="1:23" s="19" customFormat="1" ht="12.75" customHeight="1">
      <c r="D31" s="38"/>
      <c r="E31" s="16" t="s">
        <v>316</v>
      </c>
      <c r="F31" s="20"/>
      <c r="J31" s="15"/>
      <c r="K31" s="15"/>
      <c r="L31" s="74"/>
      <c r="M31" s="74"/>
      <c r="N31" s="74"/>
      <c r="O31" s="74"/>
      <c r="P31" s="74"/>
      <c r="Q31" s="15"/>
      <c r="R31" s="15"/>
      <c r="S31" s="15"/>
      <c r="T31" s="15"/>
      <c r="U31" s="15"/>
    </row>
    <row r="32" spans="1:23" s="19" customFormat="1" ht="12.75" customHeight="1">
      <c r="D32" s="59" t="s">
        <v>20</v>
      </c>
      <c r="E32" s="93" t="s">
        <v>155</v>
      </c>
      <c r="F32" s="20" t="s">
        <v>46</v>
      </c>
      <c r="G32" s="42">
        <f>IF(G28&gt;Aggregate.Limit,Aggregate.Limit,G28)</f>
        <v>0</v>
      </c>
      <c r="H32" s="26" t="s">
        <v>224</v>
      </c>
      <c r="J32" s="15"/>
      <c r="K32" s="15"/>
      <c r="L32" s="74"/>
      <c r="M32" s="74"/>
      <c r="N32" s="74"/>
      <c r="O32" s="74"/>
      <c r="P32" s="74"/>
      <c r="Q32" s="15"/>
      <c r="R32" s="15"/>
      <c r="S32" s="15"/>
      <c r="T32" s="15"/>
      <c r="U32" s="15"/>
    </row>
    <row r="33" spans="1:23" s="19" customFormat="1" ht="12.75" customHeight="1">
      <c r="D33" s="59" t="s">
        <v>20</v>
      </c>
      <c r="E33" s="93" t="s">
        <v>318</v>
      </c>
      <c r="F33" s="20" t="s">
        <v>46</v>
      </c>
      <c r="G33" s="42">
        <f>IF(ABS(G29)&gt;Aggregate.Limit,0-Aggregate.Limit,G29)</f>
        <v>0</v>
      </c>
      <c r="H33" s="26" t="s">
        <v>225</v>
      </c>
      <c r="J33" s="15"/>
      <c r="K33" s="15"/>
      <c r="L33" s="74"/>
      <c r="M33" s="74"/>
      <c r="N33" s="74"/>
      <c r="O33" s="74"/>
      <c r="P33" s="74"/>
      <c r="Q33" s="15"/>
      <c r="R33" s="15"/>
      <c r="S33" s="15"/>
      <c r="T33" s="15"/>
      <c r="U33" s="15"/>
    </row>
    <row r="34" spans="1:23" s="19" customFormat="1" ht="12.75" customHeight="1">
      <c r="J34" s="15"/>
      <c r="K34" s="15"/>
      <c r="L34" s="74"/>
      <c r="M34" s="74"/>
      <c r="N34" s="74"/>
      <c r="O34" s="74"/>
      <c r="P34" s="74"/>
      <c r="Q34" s="15"/>
      <c r="R34" s="15"/>
      <c r="S34" s="15"/>
      <c r="T34" s="15"/>
      <c r="U34" s="15"/>
    </row>
    <row r="35" spans="1:23" s="19" customFormat="1" ht="12.75" customHeight="1">
      <c r="B35" s="36"/>
      <c r="D35" s="38"/>
      <c r="E35" s="16" t="s">
        <v>319</v>
      </c>
      <c r="F35" s="206"/>
      <c r="G35" s="15"/>
      <c r="H35" s="15"/>
      <c r="I35" s="15"/>
      <c r="J35" s="15"/>
      <c r="K35" s="15"/>
      <c r="L35" s="15"/>
      <c r="M35" s="15"/>
      <c r="N35" s="15"/>
      <c r="O35" s="15"/>
      <c r="P35" s="15"/>
      <c r="Q35" s="15"/>
      <c r="R35" s="15"/>
      <c r="S35" s="15"/>
      <c r="T35" s="15"/>
      <c r="U35" s="15"/>
      <c r="V35" s="15"/>
      <c r="W35" s="15"/>
    </row>
    <row r="36" spans="1:23" s="19" customFormat="1" ht="12.75" customHeight="1">
      <c r="D36" s="59" t="s">
        <v>20</v>
      </c>
      <c r="E36" s="93" t="s">
        <v>320</v>
      </c>
      <c r="F36" s="20" t="s">
        <v>46</v>
      </c>
      <c r="L36" s="101">
        <v>0</v>
      </c>
      <c r="M36" s="101">
        <v>0</v>
      </c>
      <c r="N36" s="101">
        <v>0</v>
      </c>
      <c r="O36" s="101">
        <v>0</v>
      </c>
      <c r="P36" s="42">
        <f>IF(G28&gt;Aggregate.Limit,G28-Aggregate.Limit,0)</f>
        <v>0</v>
      </c>
    </row>
    <row r="37" spans="1:23" s="19" customFormat="1" ht="12.75" customHeight="1">
      <c r="D37" s="59" t="s">
        <v>20</v>
      </c>
      <c r="E37" s="93" t="s">
        <v>321</v>
      </c>
      <c r="F37" s="20" t="s">
        <v>46</v>
      </c>
      <c r="L37" s="101">
        <v>0</v>
      </c>
      <c r="M37" s="101">
        <v>0</v>
      </c>
      <c r="N37" s="101">
        <v>0</v>
      </c>
      <c r="O37" s="101">
        <v>0</v>
      </c>
      <c r="P37" s="42">
        <f>IF(ABS(G29)&gt;Aggregate.Limit,0-Aggregate.Limit-G29,0)</f>
        <v>0</v>
      </c>
    </row>
    <row r="38" spans="1:23" s="19" customFormat="1" ht="12.75" customHeight="1">
      <c r="B38" s="36"/>
      <c r="D38" s="43"/>
      <c r="E38" s="93"/>
      <c r="F38" s="20"/>
      <c r="I38" s="36"/>
      <c r="J38" s="36"/>
    </row>
    <row r="39" spans="1:23" s="19" customFormat="1" ht="12.75" customHeight="1">
      <c r="D39" s="43"/>
      <c r="E39" s="80" t="s">
        <v>209</v>
      </c>
      <c r="F39" s="20" t="s">
        <v>46</v>
      </c>
      <c r="G39" s="23">
        <f>SUM(L39:P39)</f>
        <v>0</v>
      </c>
      <c r="I39" s="36"/>
      <c r="J39" s="36"/>
      <c r="L39" s="23">
        <f>L24+L25-L36+L37</f>
        <v>0</v>
      </c>
      <c r="M39" s="23">
        <f t="shared" ref="M39:P39" si="3">M24+M25-M36+M37</f>
        <v>0</v>
      </c>
      <c r="N39" s="23">
        <f t="shared" si="3"/>
        <v>0</v>
      </c>
      <c r="O39" s="23">
        <f t="shared" si="3"/>
        <v>0</v>
      </c>
      <c r="P39" s="23">
        <f t="shared" si="3"/>
        <v>0</v>
      </c>
    </row>
    <row r="40" spans="1:23" s="19" customFormat="1" ht="12.75" customHeight="1">
      <c r="B40" s="36"/>
      <c r="D40" s="43"/>
      <c r="E40" s="93"/>
      <c r="F40" s="20"/>
      <c r="I40" s="36"/>
      <c r="J40" s="36"/>
    </row>
    <row r="41" spans="1:23" s="19" customFormat="1" ht="15">
      <c r="A41" s="14"/>
      <c r="B41" s="14"/>
      <c r="C41" s="14"/>
      <c r="D41" s="12"/>
      <c r="E41" s="11" t="s">
        <v>222</v>
      </c>
      <c r="F41" s="191"/>
      <c r="G41" s="12"/>
      <c r="H41" s="12"/>
      <c r="I41" s="12"/>
      <c r="J41" s="12"/>
      <c r="K41" s="12"/>
      <c r="L41" s="173"/>
      <c r="M41" s="173"/>
      <c r="N41" s="173"/>
      <c r="O41" s="173"/>
      <c r="P41" s="173"/>
      <c r="Q41" s="12"/>
      <c r="R41" s="12"/>
      <c r="S41" s="12"/>
      <c r="T41" s="12"/>
      <c r="U41" s="12"/>
      <c r="V41" s="12"/>
      <c r="W41" s="12"/>
    </row>
    <row r="42" spans="1:23" s="19" customFormat="1" ht="15">
      <c r="D42" s="38"/>
      <c r="E42" s="99"/>
      <c r="F42" s="20"/>
      <c r="L42" s="23"/>
      <c r="M42" s="23"/>
      <c r="N42" s="23"/>
      <c r="O42" s="23"/>
      <c r="P42" s="23"/>
    </row>
    <row r="43" spans="1:23" s="19" customFormat="1">
      <c r="D43" s="59" t="s">
        <v>20</v>
      </c>
      <c r="E43" s="93" t="s">
        <v>157</v>
      </c>
      <c r="F43" s="20" t="s">
        <v>46</v>
      </c>
      <c r="L43" s="42">
        <f t="shared" ref="L43:P44" si="4">$G19*L16</f>
        <v>0</v>
      </c>
      <c r="M43" s="42">
        <f t="shared" si="4"/>
        <v>0</v>
      </c>
      <c r="N43" s="42">
        <f t="shared" si="4"/>
        <v>0</v>
      </c>
      <c r="O43" s="42">
        <f t="shared" si="4"/>
        <v>0</v>
      </c>
      <c r="P43" s="42">
        <f t="shared" si="4"/>
        <v>0</v>
      </c>
    </row>
    <row r="44" spans="1:23" s="19" customFormat="1">
      <c r="D44" s="59" t="s">
        <v>20</v>
      </c>
      <c r="E44" s="93" t="s">
        <v>158</v>
      </c>
      <c r="F44" s="20" t="s">
        <v>46</v>
      </c>
      <c r="L44" s="42">
        <f t="shared" si="4"/>
        <v>0</v>
      </c>
      <c r="M44" s="42">
        <f t="shared" si="4"/>
        <v>0</v>
      </c>
      <c r="N44" s="42">
        <f t="shared" si="4"/>
        <v>0</v>
      </c>
      <c r="O44" s="42">
        <f t="shared" si="4"/>
        <v>0</v>
      </c>
      <c r="P44" s="42">
        <f t="shared" si="4"/>
        <v>0</v>
      </c>
    </row>
    <row r="45" spans="1:23" s="19" customFormat="1">
      <c r="D45" s="38"/>
      <c r="E45" s="16"/>
      <c r="F45" s="20"/>
      <c r="L45" s="23"/>
      <c r="M45" s="23"/>
      <c r="N45" s="23"/>
      <c r="O45" s="23"/>
      <c r="P45" s="23"/>
    </row>
    <row r="46" spans="1:23" s="19" customFormat="1">
      <c r="D46" s="38"/>
      <c r="E46" s="16" t="s">
        <v>221</v>
      </c>
      <c r="F46" s="20"/>
      <c r="L46" s="23"/>
      <c r="M46" s="23"/>
      <c r="N46" s="23"/>
      <c r="O46" s="23"/>
      <c r="P46" s="23"/>
    </row>
    <row r="47" spans="1:23" s="19" customFormat="1">
      <c r="D47" s="59" t="s">
        <v>20</v>
      </c>
      <c r="E47" s="93" t="s">
        <v>152</v>
      </c>
      <c r="F47" s="20" t="s">
        <v>46</v>
      </c>
      <c r="G47" s="23">
        <f>SUM(L47:P47)</f>
        <v>0</v>
      </c>
      <c r="H47" s="26" t="s">
        <v>226</v>
      </c>
      <c r="L47" s="42">
        <f>SUMIF(L$43:L$44,"&gt;0")</f>
        <v>0</v>
      </c>
      <c r="M47" s="42">
        <f t="shared" ref="M47:P47" si="5">SUMIF(M$43:M$44,"&gt;0")</f>
        <v>0</v>
      </c>
      <c r="N47" s="42">
        <f t="shared" si="5"/>
        <v>0</v>
      </c>
      <c r="O47" s="42">
        <f t="shared" si="5"/>
        <v>0</v>
      </c>
      <c r="P47" s="42">
        <f t="shared" si="5"/>
        <v>0</v>
      </c>
    </row>
    <row r="48" spans="1:23" s="19" customFormat="1">
      <c r="D48" s="59" t="s">
        <v>20</v>
      </c>
      <c r="E48" s="93" t="s">
        <v>153</v>
      </c>
      <c r="F48" s="20" t="s">
        <v>46</v>
      </c>
      <c r="G48" s="23">
        <f>SUM(L48:P48)</f>
        <v>0</v>
      </c>
      <c r="H48" s="26" t="s">
        <v>227</v>
      </c>
      <c r="L48" s="42">
        <f>SUMIF(L$43:L$44,"&lt;0")</f>
        <v>0</v>
      </c>
      <c r="M48" s="42">
        <f t="shared" ref="M48:P48" si="6">SUMIF(M$43:M$44,"&lt;0")</f>
        <v>0</v>
      </c>
      <c r="N48" s="42">
        <f t="shared" si="6"/>
        <v>0</v>
      </c>
      <c r="O48" s="42">
        <f t="shared" si="6"/>
        <v>0</v>
      </c>
      <c r="P48" s="42">
        <f t="shared" si="6"/>
        <v>0</v>
      </c>
    </row>
    <row r="49" spans="1:23" s="19" customFormat="1">
      <c r="D49" s="38"/>
      <c r="E49" s="16"/>
      <c r="F49" s="20"/>
      <c r="L49" s="23"/>
      <c r="M49" s="23"/>
      <c r="N49" s="23"/>
      <c r="O49" s="23"/>
      <c r="P49" s="23"/>
    </row>
    <row r="50" spans="1:23" s="19" customFormat="1" ht="15">
      <c r="A50" s="14"/>
      <c r="B50" s="14"/>
      <c r="C50" s="14"/>
      <c r="D50" s="12"/>
      <c r="E50" s="11" t="s">
        <v>243</v>
      </c>
      <c r="F50" s="191"/>
      <c r="G50" s="12"/>
      <c r="H50" s="12"/>
      <c r="I50" s="12"/>
      <c r="J50" s="12"/>
      <c r="K50" s="12"/>
      <c r="L50" s="173"/>
      <c r="M50" s="173"/>
      <c r="N50" s="173"/>
      <c r="O50" s="173"/>
      <c r="P50" s="173"/>
      <c r="Q50" s="12"/>
      <c r="R50" s="12"/>
      <c r="S50" s="12"/>
      <c r="T50" s="12"/>
      <c r="U50" s="12"/>
      <c r="V50" s="12"/>
      <c r="W50" s="12"/>
    </row>
    <row r="51" spans="1:23" s="19" customFormat="1">
      <c r="D51" s="38"/>
      <c r="E51" s="16"/>
      <c r="F51" s="20"/>
      <c r="L51" s="23"/>
      <c r="M51" s="23"/>
      <c r="N51" s="23"/>
      <c r="O51" s="23"/>
      <c r="P51" s="23"/>
    </row>
    <row r="52" spans="1:23" s="19" customFormat="1">
      <c r="D52" s="38"/>
      <c r="E52" s="16" t="s">
        <v>250</v>
      </c>
      <c r="F52" s="20"/>
      <c r="L52" s="23"/>
      <c r="M52" s="23"/>
      <c r="N52" s="23"/>
      <c r="O52" s="23"/>
      <c r="P52" s="23"/>
    </row>
    <row r="53" spans="1:23" s="82" customFormat="1">
      <c r="D53" s="228" t="s">
        <v>20</v>
      </c>
      <c r="E53" s="229" t="s">
        <v>209</v>
      </c>
      <c r="F53" s="230" t="s">
        <v>46</v>
      </c>
      <c r="L53" s="42">
        <f>L39+L47+L48</f>
        <v>0</v>
      </c>
      <c r="M53" s="42">
        <f>M39+M47+M48</f>
        <v>0</v>
      </c>
      <c r="N53" s="42">
        <f>N39+N47+N48</f>
        <v>0</v>
      </c>
      <c r="O53" s="42">
        <f>O39+O47+O48</f>
        <v>0</v>
      </c>
      <c r="P53" s="42">
        <f>P39+P47+P48</f>
        <v>0</v>
      </c>
      <c r="V53" s="231" t="s">
        <v>244</v>
      </c>
    </row>
    <row r="54" spans="1:23" s="82" customFormat="1" ht="13.5" thickBot="1">
      <c r="D54" s="224"/>
      <c r="E54" s="78"/>
      <c r="F54" s="230"/>
      <c r="L54" s="42"/>
      <c r="M54" s="42"/>
      <c r="N54" s="42"/>
      <c r="O54" s="42"/>
      <c r="P54" s="42"/>
    </row>
    <row r="55" spans="1:23" ht="13.5" thickBot="1">
      <c r="A55" s="21" t="s">
        <v>35</v>
      </c>
      <c r="B55" s="22"/>
      <c r="C55" s="22"/>
      <c r="D55" s="22"/>
      <c r="E55" s="22"/>
      <c r="F55" s="195"/>
      <c r="G55" s="22"/>
      <c r="H55" s="22"/>
      <c r="I55" s="22"/>
      <c r="J55" s="22"/>
      <c r="K55" s="22"/>
      <c r="L55" s="22"/>
      <c r="M55" s="22"/>
      <c r="N55" s="22"/>
      <c r="O55" s="22"/>
      <c r="P55" s="22"/>
      <c r="Q55" s="22"/>
      <c r="R55" s="22"/>
      <c r="S55" s="22"/>
      <c r="T55" s="22"/>
      <c r="U55" s="22"/>
      <c r="V55" s="22"/>
      <c r="W55" s="22"/>
    </row>
    <row r="56" spans="1:23"/>
    <row r="57" spans="1:23" hidden="1"/>
    <row r="58" spans="1:23" hidden="1"/>
    <row r="59" spans="1:23" hidden="1"/>
    <row r="60" spans="1:23" hidden="1"/>
    <row r="61" spans="1:23" hidden="1"/>
    <row r="62" spans="1:23" hidden="1"/>
    <row r="63" spans="1:23" hidden="1"/>
    <row r="64" spans="1:23"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row r="206"/>
    <row r="207"/>
  </sheetData>
  <conditionalFormatting sqref="G12:G13">
    <cfRule type="cellIs" dxfId="5" priority="5" operator="equal">
      <formula>TRUE</formula>
    </cfRule>
  </conditionalFormatting>
  <conditionalFormatting sqref="G19:G20">
    <cfRule type="cellIs" dxfId="4" priority="2" operator="equal">
      <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148</vt:i4>
      </vt:variant>
    </vt:vector>
  </HeadingPairs>
  <TitlesOfParts>
    <vt:vector size="164" baseType="lpstr">
      <vt:lpstr>Inputs &gt;</vt:lpstr>
      <vt:lpstr>General inputs</vt:lpstr>
      <vt:lpstr>Inputs - ODI 1</vt:lpstr>
      <vt:lpstr>Inputs - ODI 2</vt:lpstr>
      <vt:lpstr>Calcs &gt;</vt:lpstr>
      <vt:lpstr>Calcs - ODI 1</vt:lpstr>
      <vt:lpstr>Calcs - ODI 2</vt:lpstr>
      <vt:lpstr>Aggregation &gt;</vt:lpstr>
      <vt:lpstr>In period ODIs</vt:lpstr>
      <vt:lpstr>End of period ODIs</vt:lpstr>
      <vt:lpstr>Output &gt;</vt:lpstr>
      <vt:lpstr>ODI adjustments</vt:lpstr>
      <vt:lpstr>Other &gt;</vt:lpstr>
      <vt:lpstr>Lists</vt:lpstr>
      <vt:lpstr>RPI</vt:lpstr>
      <vt:lpstr>Agg caps &amp; collars</vt:lpstr>
      <vt:lpstr>Aggregate.Flag</vt:lpstr>
      <vt:lpstr>Aggregate.Limit</vt:lpstr>
      <vt:lpstr>Aggregate.Limit.Override</vt:lpstr>
      <vt:lpstr>AMP.Years</vt:lpstr>
      <vt:lpstr>AMP6.NonDel.Flag.1</vt:lpstr>
      <vt:lpstr>AMP6.NonDel.Flag.2</vt:lpstr>
      <vt:lpstr>Applied.Adjustment</vt:lpstr>
      <vt:lpstr>Average.RCV</vt:lpstr>
      <vt:lpstr>Bespoke.Fail.1</vt:lpstr>
      <vt:lpstr>Bespoke.Fail.2</vt:lpstr>
      <vt:lpstr>Bespoke.Flag.1</vt:lpstr>
      <vt:lpstr>Bespoke.Flag.2</vt:lpstr>
      <vt:lpstr>Bespoke.Pass.1</vt:lpstr>
      <vt:lpstr>Bespoke.Pass.2</vt:lpstr>
      <vt:lpstr>Bespoke.Performance.1</vt:lpstr>
      <vt:lpstr>Bespoke.Performance.2</vt:lpstr>
      <vt:lpstr>Calendar.Years</vt:lpstr>
      <vt:lpstr>Capped.Penalty.Inperiod</vt:lpstr>
      <vt:lpstr>Capped.Reward.Inperiod</vt:lpstr>
      <vt:lpstr>Company.Type</vt:lpstr>
      <vt:lpstr>Company.Type.List</vt:lpstr>
      <vt:lpstr>Crystallisation.1</vt:lpstr>
      <vt:lpstr>Crystallisation.2</vt:lpstr>
      <vt:lpstr>Crystallisation.List</vt:lpstr>
      <vt:lpstr>Delay.Flag.1</vt:lpstr>
      <vt:lpstr>Delay.Flag.2</vt:lpstr>
      <vt:lpstr>Delay.Penalty.1</vt:lpstr>
      <vt:lpstr>Delay.Penalty.2</vt:lpstr>
      <vt:lpstr>DelayNonDel.Flag.1</vt:lpstr>
      <vt:lpstr>DelayNonDel.Flag.2</vt:lpstr>
      <vt:lpstr>Delivery.Flag.1</vt:lpstr>
      <vt:lpstr>Delivery.Flag.2</vt:lpstr>
      <vt:lpstr>Delivery.Performance.1</vt:lpstr>
      <vt:lpstr>Delivery.Performance.2</vt:lpstr>
      <vt:lpstr>DeliveryCap.1</vt:lpstr>
      <vt:lpstr>DeliveryCap.2</vt:lpstr>
      <vt:lpstr>DeliveryCap.Flag.1</vt:lpstr>
      <vt:lpstr>DeliveryCap.Flag.2</vt:lpstr>
      <vt:lpstr>DeliveryCollar.1</vt:lpstr>
      <vt:lpstr>DeliveryCollar.2</vt:lpstr>
      <vt:lpstr>DeliveryCollar.Flag.1</vt:lpstr>
      <vt:lpstr>DeliveryCollar.Flag.2</vt:lpstr>
      <vt:lpstr>DeliveryDefined.Flag.1</vt:lpstr>
      <vt:lpstr>DeliveryDefined.Flag.2</vt:lpstr>
      <vt:lpstr>DeliveryPC.1</vt:lpstr>
      <vt:lpstr>DeliveryPC.2</vt:lpstr>
      <vt:lpstr>DeliveryYear.List</vt:lpstr>
      <vt:lpstr>EarlyDel.Flag.1</vt:lpstr>
      <vt:lpstr>EarlyDel.Flag.2</vt:lpstr>
      <vt:lpstr>EarlyDel.Reward.1</vt:lpstr>
      <vt:lpstr>EarlyDel.Reward.2</vt:lpstr>
      <vt:lpstr>EarlyOnTimeDel.Flag.1</vt:lpstr>
      <vt:lpstr>EarlyOnTimeDel.Flag.2</vt:lpstr>
      <vt:lpstr>Incentive.Type.1</vt:lpstr>
      <vt:lpstr>Incentive.Type.2</vt:lpstr>
      <vt:lpstr>Indexation.Average</vt:lpstr>
      <vt:lpstr>Indexation.Average.Override</vt:lpstr>
      <vt:lpstr>Indexation.Check</vt:lpstr>
      <vt:lpstr>Indexation.November</vt:lpstr>
      <vt:lpstr>Indexation.November.Override</vt:lpstr>
      <vt:lpstr>Inflation.Yearly.Average</vt:lpstr>
      <vt:lpstr>Net.Adj.Inperiod</vt:lpstr>
      <vt:lpstr>Net.Debt</vt:lpstr>
      <vt:lpstr>Net.Reward.BespokePC.1</vt:lpstr>
      <vt:lpstr>Net.Reward.BespokePC.2</vt:lpstr>
      <vt:lpstr>Net.Reward.DelPC.1</vt:lpstr>
      <vt:lpstr>Net.Reward.DelPC.2</vt:lpstr>
      <vt:lpstr>Net.Reward.NumPC.1</vt:lpstr>
      <vt:lpstr>Net.Reward.NumPC.2</vt:lpstr>
      <vt:lpstr>NetPenalty.Applied.1</vt:lpstr>
      <vt:lpstr>NetPenalty.Applied.2</vt:lpstr>
      <vt:lpstr>NetReward.Applied.1</vt:lpstr>
      <vt:lpstr>NetReward.Applied.2</vt:lpstr>
      <vt:lpstr>NonDel.Flag.1</vt:lpstr>
      <vt:lpstr>NonDel.Flag.2</vt:lpstr>
      <vt:lpstr>NonDel.Penalty.1</vt:lpstr>
      <vt:lpstr>NonDel.Penalty.2</vt:lpstr>
      <vt:lpstr>Numeric.Flag.1</vt:lpstr>
      <vt:lpstr>Numeric.Flag.2</vt:lpstr>
      <vt:lpstr>ODI.AggCap.Flag.1</vt:lpstr>
      <vt:lpstr>ODI.AggCap.Flag.2</vt:lpstr>
      <vt:lpstr>ODI.Type.List</vt:lpstr>
      <vt:lpstr>OnTimeDel.Flag.1</vt:lpstr>
      <vt:lpstr>OnTimeDel.Flag.2</vt:lpstr>
      <vt:lpstr>OnTimeDel.Reward.1</vt:lpstr>
      <vt:lpstr>OnTimeDel.Reward.2</vt:lpstr>
      <vt:lpstr>PC.1</vt:lpstr>
      <vt:lpstr>PC.2</vt:lpstr>
      <vt:lpstr>Penalty.Collar.1</vt:lpstr>
      <vt:lpstr>Penalty.Collar.2</vt:lpstr>
      <vt:lpstr>Penalty.Deadband.1</vt:lpstr>
      <vt:lpstr>Penalty.Deadband.2</vt:lpstr>
      <vt:lpstr>Penalty.Limits.Flag.1</vt:lpstr>
      <vt:lpstr>Penalty.Limits.Flag.2</vt:lpstr>
      <vt:lpstr>Penalty1.Lower.1</vt:lpstr>
      <vt:lpstr>Penalty1.Lower.2</vt:lpstr>
      <vt:lpstr>Penalty1.Rate.1</vt:lpstr>
      <vt:lpstr>Penalty1.Rate.2</vt:lpstr>
      <vt:lpstr>Penalty1.Upper.1</vt:lpstr>
      <vt:lpstr>Penalty1.Upper.2</vt:lpstr>
      <vt:lpstr>Penalty1.Year.Flag.1</vt:lpstr>
      <vt:lpstr>Penalty1.Year.Flag.2</vt:lpstr>
      <vt:lpstr>Penalty1.Year.Flag2</vt:lpstr>
      <vt:lpstr>Penalty2.Lower.1</vt:lpstr>
      <vt:lpstr>Penalty2.Lower.2</vt:lpstr>
      <vt:lpstr>Penalty2.Rate.1</vt:lpstr>
      <vt:lpstr>Penalty2.Rate.2</vt:lpstr>
      <vt:lpstr>Penalty2.Upper.1</vt:lpstr>
      <vt:lpstr>Penalty2.Upper.2</vt:lpstr>
      <vt:lpstr>Penalty2.Year.Flag.1</vt:lpstr>
      <vt:lpstr>Penalty2.Year.Flag.2</vt:lpstr>
      <vt:lpstr>Penalty2.Year.Flag1</vt:lpstr>
      <vt:lpstr>Penalty2.Year.Flag2</vt:lpstr>
      <vt:lpstr>Performance.1</vt:lpstr>
      <vt:lpstr>Performance.2</vt:lpstr>
      <vt:lpstr>Performance.List</vt:lpstr>
      <vt:lpstr>RPI!Print_Area</vt:lpstr>
      <vt:lpstr>Regulated.Equity</vt:lpstr>
      <vt:lpstr>Reward.Cap.1</vt:lpstr>
      <vt:lpstr>Reward.Cap.2</vt:lpstr>
      <vt:lpstr>Reward.Deadband.1</vt:lpstr>
      <vt:lpstr>Reward.Deadband.2</vt:lpstr>
      <vt:lpstr>Reward.Limits.Flag.1</vt:lpstr>
      <vt:lpstr>Reward.Limits.Flag.2</vt:lpstr>
      <vt:lpstr>Reward.Orientation.1</vt:lpstr>
      <vt:lpstr>Reward.Orientation.2</vt:lpstr>
      <vt:lpstr>Reward.RCV.Out</vt:lpstr>
      <vt:lpstr>Reward.Rev.Out</vt:lpstr>
      <vt:lpstr>Reward1.Lower.1</vt:lpstr>
      <vt:lpstr>Reward1.Lower.2</vt:lpstr>
      <vt:lpstr>Reward1.Rate.1</vt:lpstr>
      <vt:lpstr>Reward1.Rate.2</vt:lpstr>
      <vt:lpstr>Reward1.Upper.1</vt:lpstr>
      <vt:lpstr>Reward1.Upper.2</vt:lpstr>
      <vt:lpstr>Reward1.Year.Flag.1</vt:lpstr>
      <vt:lpstr>Reward1.Year.Flag.2</vt:lpstr>
      <vt:lpstr>Reward2.Lower.1</vt:lpstr>
      <vt:lpstr>Reward2.Lower.2</vt:lpstr>
      <vt:lpstr>Reward2.Rate.1</vt:lpstr>
      <vt:lpstr>Reward2.Rate.2</vt:lpstr>
      <vt:lpstr>Reward2.Upper.1</vt:lpstr>
      <vt:lpstr>Reward2.Upper.2</vt:lpstr>
      <vt:lpstr>Reward2.Year.Flag.1</vt:lpstr>
      <vt:lpstr>Reward2.Year.Flag.2</vt:lpstr>
      <vt:lpstr>Rounding.Num.1</vt:lpstr>
      <vt:lpstr>Rounding.Num.2</vt:lpstr>
      <vt:lpstr>Uncapped.Penalty.Inperiod</vt:lpstr>
      <vt:lpstr>Uncapped.Reward.Inperiod</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Crane</dc:creator>
  <cp:lastModifiedBy>Robert Thorp</cp:lastModifiedBy>
  <cp:lastPrinted>2015-02-04T18:19:40Z</cp:lastPrinted>
  <dcterms:created xsi:type="dcterms:W3CDTF">2015-02-03T17:19:53Z</dcterms:created>
  <dcterms:modified xsi:type="dcterms:W3CDTF">2015-07-22T13:04:04Z</dcterms:modified>
</cp:coreProperties>
</file>