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1760"/>
  </bookViews>
  <sheets>
    <sheet name="Cover" sheetId="14" r:id="rId1"/>
    <sheet name="Summary" sheetId="10" r:id="rId2"/>
    <sheet name="Scenarios &gt;&gt;" sheetId="17" r:id="rId3"/>
    <sheet name="Baseline" sheetId="1" r:id="rId4"/>
    <sheet name="base+" sheetId="4" r:id="rId5"/>
    <sheet name="base-" sheetId="5" r:id="rId6"/>
    <sheet name="adj+" sheetId="6" r:id="rId7"/>
    <sheet name="adj-" sheetId="7" r:id="rId8"/>
    <sheet name="Input data &gt;&gt;" sheetId="16" r:id="rId9"/>
    <sheet name="Econometric models" sheetId="9" r:id="rId10"/>
    <sheet name="UC models" sheetId="13" r:id="rId11"/>
    <sheet name="Actuals and unmodelled" sheetId="15" r:id="rId12"/>
  </sheets>
  <definedNames>
    <definedName name="Baseyear">#REF!</definedName>
    <definedName name="CoName">#REF!</definedName>
    <definedName name="IDoK_submissions_for_claim_under_RCC4">#REF!</definedName>
  </definedNames>
  <calcPr calcId="145621"/>
</workbook>
</file>

<file path=xl/calcChain.xml><?xml version="1.0" encoding="utf-8"?>
<calcChain xmlns="http://schemas.openxmlformats.org/spreadsheetml/2006/main">
  <c r="C24" i="4" l="1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48" i="6"/>
  <c r="S47" i="6"/>
  <c r="S46" i="6"/>
  <c r="S45" i="6"/>
  <c r="S44" i="6"/>
  <c r="S43" i="6"/>
  <c r="S42" i="6"/>
  <c r="S41" i="6"/>
  <c r="S40" i="6"/>
  <c r="S39" i="6"/>
  <c r="S38" i="6"/>
  <c r="S37" i="6"/>
  <c r="S36" i="6"/>
  <c r="S35" i="6"/>
  <c r="S34" i="6"/>
  <c r="S33" i="6"/>
  <c r="S32" i="6"/>
  <c r="S31" i="6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48" i="7"/>
  <c r="S47" i="7"/>
  <c r="S46" i="7"/>
  <c r="S45" i="7"/>
  <c r="S44" i="7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K48" i="7" l="1"/>
  <c r="J48" i="7"/>
  <c r="G48" i="7"/>
  <c r="F48" i="7"/>
  <c r="D48" i="7"/>
  <c r="K47" i="7"/>
  <c r="J47" i="7"/>
  <c r="G47" i="7"/>
  <c r="F47" i="7"/>
  <c r="D47" i="7"/>
  <c r="E47" i="7" s="1"/>
  <c r="K46" i="7"/>
  <c r="J46" i="7"/>
  <c r="L46" i="7" s="1"/>
  <c r="G46" i="7"/>
  <c r="F46" i="7"/>
  <c r="D46" i="7"/>
  <c r="E46" i="7" s="1"/>
  <c r="K45" i="7"/>
  <c r="L45" i="7" s="1"/>
  <c r="J45" i="7"/>
  <c r="G45" i="7"/>
  <c r="F45" i="7"/>
  <c r="D45" i="7"/>
  <c r="E45" i="7" s="1"/>
  <c r="K44" i="7"/>
  <c r="J44" i="7"/>
  <c r="G44" i="7"/>
  <c r="F44" i="7"/>
  <c r="D44" i="7"/>
  <c r="K43" i="7"/>
  <c r="J43" i="7"/>
  <c r="G43" i="7"/>
  <c r="F43" i="7"/>
  <c r="D43" i="7"/>
  <c r="E43" i="7" s="1"/>
  <c r="K42" i="7"/>
  <c r="J42" i="7"/>
  <c r="L42" i="7" s="1"/>
  <c r="G42" i="7"/>
  <c r="F42" i="7"/>
  <c r="D42" i="7"/>
  <c r="K41" i="7"/>
  <c r="L41" i="7" s="1"/>
  <c r="J41" i="7"/>
  <c r="G41" i="7"/>
  <c r="F41" i="7"/>
  <c r="D41" i="7"/>
  <c r="E41" i="7" s="1"/>
  <c r="K40" i="7"/>
  <c r="J40" i="7"/>
  <c r="G40" i="7"/>
  <c r="F40" i="7"/>
  <c r="D40" i="7"/>
  <c r="K39" i="7"/>
  <c r="J39" i="7"/>
  <c r="G39" i="7"/>
  <c r="F39" i="7"/>
  <c r="D39" i="7"/>
  <c r="E39" i="7" s="1"/>
  <c r="K38" i="7"/>
  <c r="J38" i="7"/>
  <c r="L38" i="7" s="1"/>
  <c r="G38" i="7"/>
  <c r="F38" i="7"/>
  <c r="D38" i="7"/>
  <c r="E38" i="7" s="1"/>
  <c r="K37" i="7"/>
  <c r="L37" i="7" s="1"/>
  <c r="J37" i="7"/>
  <c r="G37" i="7"/>
  <c r="F37" i="7"/>
  <c r="D37" i="7"/>
  <c r="E37" i="7" s="1"/>
  <c r="K36" i="7"/>
  <c r="J36" i="7"/>
  <c r="G36" i="7"/>
  <c r="F36" i="7"/>
  <c r="D36" i="7"/>
  <c r="K35" i="7"/>
  <c r="J35" i="7"/>
  <c r="G35" i="7"/>
  <c r="F35" i="7"/>
  <c r="D35" i="7"/>
  <c r="E35" i="7" s="1"/>
  <c r="K34" i="7"/>
  <c r="J34" i="7"/>
  <c r="L34" i="7" s="1"/>
  <c r="G34" i="7"/>
  <c r="F34" i="7"/>
  <c r="D34" i="7"/>
  <c r="E34" i="7" s="1"/>
  <c r="K33" i="7"/>
  <c r="L33" i="7" s="1"/>
  <c r="J33" i="7"/>
  <c r="G33" i="7"/>
  <c r="F33" i="7"/>
  <c r="D33" i="7"/>
  <c r="E33" i="7" s="1"/>
  <c r="K32" i="7"/>
  <c r="J32" i="7"/>
  <c r="G32" i="7"/>
  <c r="F32" i="7"/>
  <c r="D32" i="7"/>
  <c r="K31" i="7"/>
  <c r="J31" i="7"/>
  <c r="G31" i="7"/>
  <c r="F31" i="7"/>
  <c r="D31" i="7"/>
  <c r="E31" i="7" s="1"/>
  <c r="K48" i="6"/>
  <c r="J48" i="6"/>
  <c r="G48" i="6"/>
  <c r="F48" i="6"/>
  <c r="D48" i="6"/>
  <c r="E48" i="6" s="1"/>
  <c r="K47" i="6"/>
  <c r="J47" i="6"/>
  <c r="G47" i="6"/>
  <c r="F47" i="6"/>
  <c r="D47" i="6"/>
  <c r="E47" i="6" s="1"/>
  <c r="K46" i="6"/>
  <c r="J46" i="6"/>
  <c r="G46" i="6"/>
  <c r="F46" i="6"/>
  <c r="D46" i="6"/>
  <c r="K45" i="6"/>
  <c r="J45" i="6"/>
  <c r="G45" i="6"/>
  <c r="F45" i="6"/>
  <c r="D45" i="6"/>
  <c r="E45" i="6" s="1"/>
  <c r="K44" i="6"/>
  <c r="J44" i="6"/>
  <c r="G44" i="6"/>
  <c r="F44" i="6"/>
  <c r="D44" i="6"/>
  <c r="E44" i="6" s="1"/>
  <c r="K43" i="6"/>
  <c r="J43" i="6"/>
  <c r="G43" i="6"/>
  <c r="F43" i="6"/>
  <c r="D43" i="6"/>
  <c r="E43" i="6" s="1"/>
  <c r="K42" i="6"/>
  <c r="J42" i="6"/>
  <c r="G42" i="6"/>
  <c r="F42" i="6"/>
  <c r="D42" i="6"/>
  <c r="E42" i="6" s="1"/>
  <c r="K41" i="6"/>
  <c r="J41" i="6"/>
  <c r="G41" i="6"/>
  <c r="F41" i="6"/>
  <c r="D41" i="6"/>
  <c r="E41" i="6" s="1"/>
  <c r="K40" i="6"/>
  <c r="J40" i="6"/>
  <c r="G40" i="6"/>
  <c r="F40" i="6"/>
  <c r="D40" i="6"/>
  <c r="E40" i="6" s="1"/>
  <c r="K39" i="6"/>
  <c r="J39" i="6"/>
  <c r="G39" i="6"/>
  <c r="F39" i="6"/>
  <c r="D39" i="6"/>
  <c r="E39" i="6" s="1"/>
  <c r="K38" i="6"/>
  <c r="J38" i="6"/>
  <c r="G38" i="6"/>
  <c r="F38" i="6"/>
  <c r="D38" i="6"/>
  <c r="K37" i="6"/>
  <c r="J37" i="6"/>
  <c r="G37" i="6"/>
  <c r="F37" i="6"/>
  <c r="D37" i="6"/>
  <c r="E37" i="6" s="1"/>
  <c r="K36" i="6"/>
  <c r="J36" i="6"/>
  <c r="G36" i="6"/>
  <c r="F36" i="6"/>
  <c r="D36" i="6"/>
  <c r="K35" i="6"/>
  <c r="J35" i="6"/>
  <c r="G35" i="6"/>
  <c r="F35" i="6"/>
  <c r="D35" i="6"/>
  <c r="E35" i="6" s="1"/>
  <c r="K34" i="6"/>
  <c r="J34" i="6"/>
  <c r="G34" i="6"/>
  <c r="F34" i="6"/>
  <c r="D34" i="6"/>
  <c r="E34" i="6" s="1"/>
  <c r="K33" i="6"/>
  <c r="J33" i="6"/>
  <c r="G33" i="6"/>
  <c r="F33" i="6"/>
  <c r="D33" i="6"/>
  <c r="E33" i="6" s="1"/>
  <c r="K32" i="6"/>
  <c r="J32" i="6"/>
  <c r="G32" i="6"/>
  <c r="F32" i="6"/>
  <c r="D32" i="6"/>
  <c r="E32" i="6" s="1"/>
  <c r="K31" i="6"/>
  <c r="J31" i="6"/>
  <c r="G31" i="6"/>
  <c r="F31" i="6"/>
  <c r="D31" i="6"/>
  <c r="E31" i="6" s="1"/>
  <c r="K48" i="5"/>
  <c r="J48" i="5"/>
  <c r="G48" i="5"/>
  <c r="F48" i="5"/>
  <c r="D48" i="5"/>
  <c r="K47" i="5"/>
  <c r="J47" i="5"/>
  <c r="G47" i="5"/>
  <c r="F47" i="5"/>
  <c r="D47" i="5"/>
  <c r="E47" i="5" s="1"/>
  <c r="K46" i="5"/>
  <c r="J46" i="5"/>
  <c r="G46" i="5"/>
  <c r="F46" i="5"/>
  <c r="D46" i="5"/>
  <c r="E46" i="5" s="1"/>
  <c r="K45" i="5"/>
  <c r="J45" i="5"/>
  <c r="G45" i="5"/>
  <c r="F45" i="5"/>
  <c r="D45" i="5"/>
  <c r="E45" i="5" s="1"/>
  <c r="K44" i="5"/>
  <c r="J44" i="5"/>
  <c r="G44" i="5"/>
  <c r="F44" i="5"/>
  <c r="D44" i="5"/>
  <c r="K43" i="5"/>
  <c r="J43" i="5"/>
  <c r="G43" i="5"/>
  <c r="F43" i="5"/>
  <c r="D43" i="5"/>
  <c r="K42" i="5"/>
  <c r="J42" i="5"/>
  <c r="G42" i="5"/>
  <c r="F42" i="5"/>
  <c r="D42" i="5"/>
  <c r="E42" i="5" s="1"/>
  <c r="K41" i="5"/>
  <c r="J41" i="5"/>
  <c r="G41" i="5"/>
  <c r="F41" i="5"/>
  <c r="D41" i="5"/>
  <c r="E41" i="5" s="1"/>
  <c r="K40" i="5"/>
  <c r="J40" i="5"/>
  <c r="G40" i="5"/>
  <c r="F40" i="5"/>
  <c r="D40" i="5"/>
  <c r="K39" i="5"/>
  <c r="J39" i="5"/>
  <c r="G39" i="5"/>
  <c r="F39" i="5"/>
  <c r="D39" i="5"/>
  <c r="E39" i="5" s="1"/>
  <c r="K38" i="5"/>
  <c r="J38" i="5"/>
  <c r="G38" i="5"/>
  <c r="F38" i="5"/>
  <c r="D38" i="5"/>
  <c r="E38" i="5" s="1"/>
  <c r="K37" i="5"/>
  <c r="J37" i="5"/>
  <c r="G37" i="5"/>
  <c r="F37" i="5"/>
  <c r="D37" i="5"/>
  <c r="E37" i="5" s="1"/>
  <c r="K36" i="5"/>
  <c r="J36" i="5"/>
  <c r="G36" i="5"/>
  <c r="F36" i="5"/>
  <c r="D36" i="5"/>
  <c r="K35" i="5"/>
  <c r="J35" i="5"/>
  <c r="G35" i="5"/>
  <c r="F35" i="5"/>
  <c r="D35" i="5"/>
  <c r="E35" i="5" s="1"/>
  <c r="K34" i="5"/>
  <c r="J34" i="5"/>
  <c r="G34" i="5"/>
  <c r="F34" i="5"/>
  <c r="D34" i="5"/>
  <c r="E34" i="5" s="1"/>
  <c r="K33" i="5"/>
  <c r="J33" i="5"/>
  <c r="G33" i="5"/>
  <c r="F33" i="5"/>
  <c r="D33" i="5"/>
  <c r="E33" i="5" s="1"/>
  <c r="K32" i="5"/>
  <c r="J32" i="5"/>
  <c r="G32" i="5"/>
  <c r="F32" i="5"/>
  <c r="D32" i="5"/>
  <c r="K31" i="5"/>
  <c r="J31" i="5"/>
  <c r="G31" i="5"/>
  <c r="F31" i="5"/>
  <c r="D31" i="5"/>
  <c r="E31" i="5" s="1"/>
  <c r="P48" i="7"/>
  <c r="O48" i="7"/>
  <c r="N48" i="7"/>
  <c r="P47" i="7"/>
  <c r="O47" i="7"/>
  <c r="N47" i="7"/>
  <c r="P46" i="7"/>
  <c r="O46" i="7"/>
  <c r="N46" i="7"/>
  <c r="P45" i="7"/>
  <c r="O45" i="7"/>
  <c r="N45" i="7"/>
  <c r="P44" i="7"/>
  <c r="O44" i="7"/>
  <c r="N44" i="7"/>
  <c r="P43" i="7"/>
  <c r="O43" i="7"/>
  <c r="N43" i="7"/>
  <c r="Q43" i="7" s="1"/>
  <c r="P42" i="7"/>
  <c r="O42" i="7"/>
  <c r="N42" i="7"/>
  <c r="P41" i="7"/>
  <c r="O41" i="7"/>
  <c r="N41" i="7"/>
  <c r="P40" i="7"/>
  <c r="O40" i="7"/>
  <c r="N40" i="7"/>
  <c r="P39" i="7"/>
  <c r="O39" i="7"/>
  <c r="N39" i="7"/>
  <c r="Q39" i="7" s="1"/>
  <c r="P38" i="7"/>
  <c r="O38" i="7"/>
  <c r="N38" i="7"/>
  <c r="P37" i="7"/>
  <c r="O37" i="7"/>
  <c r="N37" i="7"/>
  <c r="P36" i="7"/>
  <c r="O36" i="7"/>
  <c r="N36" i="7"/>
  <c r="P35" i="7"/>
  <c r="O35" i="7"/>
  <c r="N35" i="7"/>
  <c r="Q35" i="7" s="1"/>
  <c r="P34" i="7"/>
  <c r="O34" i="7"/>
  <c r="N34" i="7"/>
  <c r="P33" i="7"/>
  <c r="O33" i="7"/>
  <c r="N33" i="7"/>
  <c r="P32" i="7"/>
  <c r="O32" i="7"/>
  <c r="N32" i="7"/>
  <c r="P31" i="7"/>
  <c r="O31" i="7"/>
  <c r="N31" i="7"/>
  <c r="Q31" i="7" s="1"/>
  <c r="P48" i="6"/>
  <c r="O48" i="6"/>
  <c r="N48" i="6"/>
  <c r="P47" i="6"/>
  <c r="O47" i="6"/>
  <c r="N47" i="6"/>
  <c r="P46" i="6"/>
  <c r="O46" i="6"/>
  <c r="N46" i="6"/>
  <c r="P45" i="6"/>
  <c r="O45" i="6"/>
  <c r="N45" i="6"/>
  <c r="Q45" i="6" s="1"/>
  <c r="P44" i="6"/>
  <c r="O44" i="6"/>
  <c r="N44" i="6"/>
  <c r="P43" i="6"/>
  <c r="O43" i="6"/>
  <c r="N43" i="6"/>
  <c r="P42" i="6"/>
  <c r="O42" i="6"/>
  <c r="N42" i="6"/>
  <c r="P41" i="6"/>
  <c r="O41" i="6"/>
  <c r="N41" i="6"/>
  <c r="Q41" i="6" s="1"/>
  <c r="P40" i="6"/>
  <c r="O40" i="6"/>
  <c r="N40" i="6"/>
  <c r="P39" i="6"/>
  <c r="O39" i="6"/>
  <c r="N39" i="6"/>
  <c r="P38" i="6"/>
  <c r="O38" i="6"/>
  <c r="N38" i="6"/>
  <c r="P37" i="6"/>
  <c r="O37" i="6"/>
  <c r="N37" i="6"/>
  <c r="Q37" i="6" s="1"/>
  <c r="P36" i="6"/>
  <c r="O36" i="6"/>
  <c r="N36" i="6"/>
  <c r="P35" i="6"/>
  <c r="O35" i="6"/>
  <c r="N35" i="6"/>
  <c r="P34" i="6"/>
  <c r="O34" i="6"/>
  <c r="N34" i="6"/>
  <c r="P33" i="6"/>
  <c r="O33" i="6"/>
  <c r="N33" i="6"/>
  <c r="Q33" i="6" s="1"/>
  <c r="P32" i="6"/>
  <c r="O32" i="6"/>
  <c r="N32" i="6"/>
  <c r="P31" i="6"/>
  <c r="O31" i="6"/>
  <c r="N31" i="6"/>
  <c r="P48" i="5"/>
  <c r="O48" i="5"/>
  <c r="N48" i="5"/>
  <c r="P47" i="5"/>
  <c r="O47" i="5"/>
  <c r="N47" i="5"/>
  <c r="P46" i="5"/>
  <c r="O46" i="5"/>
  <c r="N46" i="5"/>
  <c r="P45" i="5"/>
  <c r="O45" i="5"/>
  <c r="N45" i="5"/>
  <c r="P44" i="5"/>
  <c r="O44" i="5"/>
  <c r="N44" i="5"/>
  <c r="P43" i="5"/>
  <c r="O43" i="5"/>
  <c r="N43" i="5"/>
  <c r="P42" i="5"/>
  <c r="O42" i="5"/>
  <c r="N42" i="5"/>
  <c r="P41" i="5"/>
  <c r="O41" i="5"/>
  <c r="N41" i="5"/>
  <c r="P40" i="5"/>
  <c r="O40" i="5"/>
  <c r="N40" i="5"/>
  <c r="P39" i="5"/>
  <c r="O39" i="5"/>
  <c r="N39" i="5"/>
  <c r="P38" i="5"/>
  <c r="O38" i="5"/>
  <c r="N38" i="5"/>
  <c r="P37" i="5"/>
  <c r="O37" i="5"/>
  <c r="N37" i="5"/>
  <c r="P36" i="5"/>
  <c r="O36" i="5"/>
  <c r="N36" i="5"/>
  <c r="P35" i="5"/>
  <c r="O35" i="5"/>
  <c r="N35" i="5"/>
  <c r="P34" i="5"/>
  <c r="O34" i="5"/>
  <c r="N34" i="5"/>
  <c r="P33" i="5"/>
  <c r="O33" i="5"/>
  <c r="N33" i="5"/>
  <c r="P32" i="5"/>
  <c r="O32" i="5"/>
  <c r="N32" i="5"/>
  <c r="P31" i="5"/>
  <c r="O31" i="5"/>
  <c r="N31" i="5"/>
  <c r="P48" i="4"/>
  <c r="O48" i="4"/>
  <c r="N48" i="4"/>
  <c r="P47" i="4"/>
  <c r="O47" i="4"/>
  <c r="N47" i="4"/>
  <c r="P46" i="4"/>
  <c r="O46" i="4"/>
  <c r="N46" i="4"/>
  <c r="P45" i="4"/>
  <c r="O45" i="4"/>
  <c r="N45" i="4"/>
  <c r="Q45" i="4" s="1"/>
  <c r="P44" i="4"/>
  <c r="O44" i="4"/>
  <c r="N44" i="4"/>
  <c r="P43" i="4"/>
  <c r="O43" i="4"/>
  <c r="N43" i="4"/>
  <c r="P42" i="4"/>
  <c r="O42" i="4"/>
  <c r="N42" i="4"/>
  <c r="P41" i="4"/>
  <c r="O41" i="4"/>
  <c r="N41" i="4"/>
  <c r="Q41" i="4" s="1"/>
  <c r="P40" i="4"/>
  <c r="O40" i="4"/>
  <c r="N40" i="4"/>
  <c r="P39" i="4"/>
  <c r="O39" i="4"/>
  <c r="N39" i="4"/>
  <c r="P38" i="4"/>
  <c r="O38" i="4"/>
  <c r="N38" i="4"/>
  <c r="P37" i="4"/>
  <c r="O37" i="4"/>
  <c r="N37" i="4"/>
  <c r="Q37" i="4" s="1"/>
  <c r="P36" i="4"/>
  <c r="O36" i="4"/>
  <c r="N36" i="4"/>
  <c r="P35" i="4"/>
  <c r="O35" i="4"/>
  <c r="N35" i="4"/>
  <c r="P34" i="4"/>
  <c r="O34" i="4"/>
  <c r="N34" i="4"/>
  <c r="P33" i="4"/>
  <c r="O33" i="4"/>
  <c r="N33" i="4"/>
  <c r="Q33" i="4" s="1"/>
  <c r="P32" i="4"/>
  <c r="O32" i="4"/>
  <c r="N32" i="4"/>
  <c r="P31" i="4"/>
  <c r="O31" i="4"/>
  <c r="N31" i="4"/>
  <c r="K48" i="4"/>
  <c r="J48" i="4"/>
  <c r="G48" i="4"/>
  <c r="F48" i="4"/>
  <c r="D48" i="4"/>
  <c r="E48" i="4" s="1"/>
  <c r="K47" i="4"/>
  <c r="J47" i="4"/>
  <c r="G47" i="4"/>
  <c r="F47" i="4"/>
  <c r="D47" i="4"/>
  <c r="E47" i="4" s="1"/>
  <c r="K46" i="4"/>
  <c r="J46" i="4"/>
  <c r="G46" i="4"/>
  <c r="F46" i="4"/>
  <c r="D46" i="4"/>
  <c r="K45" i="4"/>
  <c r="J45" i="4"/>
  <c r="G45" i="4"/>
  <c r="F45" i="4"/>
  <c r="D45" i="4"/>
  <c r="E45" i="4" s="1"/>
  <c r="K44" i="4"/>
  <c r="J44" i="4"/>
  <c r="G44" i="4"/>
  <c r="F44" i="4"/>
  <c r="D44" i="4"/>
  <c r="E44" i="4" s="1"/>
  <c r="K43" i="4"/>
  <c r="J43" i="4"/>
  <c r="G43" i="4"/>
  <c r="F43" i="4"/>
  <c r="D43" i="4"/>
  <c r="E43" i="4" s="1"/>
  <c r="K42" i="4"/>
  <c r="J42" i="4"/>
  <c r="G42" i="4"/>
  <c r="F42" i="4"/>
  <c r="D42" i="4"/>
  <c r="K41" i="4"/>
  <c r="J41" i="4"/>
  <c r="G41" i="4"/>
  <c r="F41" i="4"/>
  <c r="D41" i="4"/>
  <c r="E41" i="4" s="1"/>
  <c r="K40" i="4"/>
  <c r="J40" i="4"/>
  <c r="G40" i="4"/>
  <c r="F40" i="4"/>
  <c r="D40" i="4"/>
  <c r="E40" i="4" s="1"/>
  <c r="K39" i="4"/>
  <c r="J39" i="4"/>
  <c r="G39" i="4"/>
  <c r="F39" i="4"/>
  <c r="D39" i="4"/>
  <c r="E39" i="4" s="1"/>
  <c r="K38" i="4"/>
  <c r="J38" i="4"/>
  <c r="G38" i="4"/>
  <c r="F38" i="4"/>
  <c r="D38" i="4"/>
  <c r="K37" i="4"/>
  <c r="J37" i="4"/>
  <c r="G37" i="4"/>
  <c r="F37" i="4"/>
  <c r="D37" i="4"/>
  <c r="E37" i="4" s="1"/>
  <c r="K36" i="4"/>
  <c r="J36" i="4"/>
  <c r="G36" i="4"/>
  <c r="F36" i="4"/>
  <c r="D36" i="4"/>
  <c r="E36" i="4" s="1"/>
  <c r="K35" i="4"/>
  <c r="J35" i="4"/>
  <c r="G35" i="4"/>
  <c r="F35" i="4"/>
  <c r="D35" i="4"/>
  <c r="E35" i="4" s="1"/>
  <c r="K34" i="4"/>
  <c r="J34" i="4"/>
  <c r="G34" i="4"/>
  <c r="F34" i="4"/>
  <c r="D34" i="4"/>
  <c r="K33" i="4"/>
  <c r="J33" i="4"/>
  <c r="G33" i="4"/>
  <c r="F33" i="4"/>
  <c r="D33" i="4"/>
  <c r="E33" i="4" s="1"/>
  <c r="K32" i="4"/>
  <c r="J32" i="4"/>
  <c r="G32" i="4"/>
  <c r="F32" i="4"/>
  <c r="D32" i="4"/>
  <c r="E32" i="4" s="1"/>
  <c r="K31" i="4"/>
  <c r="J31" i="4"/>
  <c r="G31" i="4"/>
  <c r="F31" i="4"/>
  <c r="D31" i="4"/>
  <c r="E31" i="4" s="1"/>
  <c r="K49" i="7"/>
  <c r="G49" i="7"/>
  <c r="D49" i="7"/>
  <c r="L48" i="7"/>
  <c r="E48" i="7"/>
  <c r="E44" i="7"/>
  <c r="E42" i="7"/>
  <c r="E40" i="7"/>
  <c r="E36" i="7"/>
  <c r="E32" i="7"/>
  <c r="C25" i="7"/>
  <c r="K49" i="6"/>
  <c r="G49" i="6"/>
  <c r="D49" i="6"/>
  <c r="E46" i="6"/>
  <c r="E38" i="6"/>
  <c r="E36" i="6"/>
  <c r="C25" i="6"/>
  <c r="K49" i="5"/>
  <c r="G49" i="5"/>
  <c r="D49" i="5"/>
  <c r="E48" i="5"/>
  <c r="E44" i="5"/>
  <c r="E43" i="5"/>
  <c r="E40" i="5"/>
  <c r="E36" i="5"/>
  <c r="E32" i="5"/>
  <c r="C25" i="5"/>
  <c r="K49" i="4"/>
  <c r="G49" i="4"/>
  <c r="D49" i="4"/>
  <c r="E46" i="4"/>
  <c r="E42" i="4"/>
  <c r="E38" i="4"/>
  <c r="E34" i="4"/>
  <c r="C25" i="4"/>
  <c r="C25" i="1"/>
  <c r="P48" i="1"/>
  <c r="O48" i="1"/>
  <c r="N48" i="1"/>
  <c r="P47" i="1"/>
  <c r="O47" i="1"/>
  <c r="N47" i="1"/>
  <c r="P46" i="1"/>
  <c r="O46" i="1"/>
  <c r="N46" i="1"/>
  <c r="P45" i="1"/>
  <c r="O45" i="1"/>
  <c r="N45" i="1"/>
  <c r="P44" i="1"/>
  <c r="O44" i="1"/>
  <c r="N44" i="1"/>
  <c r="P43" i="1"/>
  <c r="O43" i="1"/>
  <c r="N43" i="1"/>
  <c r="P42" i="1"/>
  <c r="O42" i="1"/>
  <c r="N42" i="1"/>
  <c r="P41" i="1"/>
  <c r="O41" i="1"/>
  <c r="N41" i="1"/>
  <c r="P40" i="1"/>
  <c r="O40" i="1"/>
  <c r="N40" i="1"/>
  <c r="P39" i="1"/>
  <c r="O39" i="1"/>
  <c r="N39" i="1"/>
  <c r="P38" i="1"/>
  <c r="O38" i="1"/>
  <c r="N38" i="1"/>
  <c r="P37" i="1"/>
  <c r="O37" i="1"/>
  <c r="N37" i="1"/>
  <c r="P36" i="1"/>
  <c r="O36" i="1"/>
  <c r="N36" i="1"/>
  <c r="P35" i="1"/>
  <c r="O35" i="1"/>
  <c r="N35" i="1"/>
  <c r="P34" i="1"/>
  <c r="O34" i="1"/>
  <c r="N34" i="1"/>
  <c r="P33" i="1"/>
  <c r="O33" i="1"/>
  <c r="N33" i="1"/>
  <c r="P32" i="1"/>
  <c r="O32" i="1"/>
  <c r="N32" i="1"/>
  <c r="P31" i="1"/>
  <c r="O31" i="1"/>
  <c r="N31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Q47" i="7" l="1"/>
  <c r="H39" i="5"/>
  <c r="L32" i="5"/>
  <c r="Q38" i="4"/>
  <c r="Q47" i="4"/>
  <c r="Q32" i="5"/>
  <c r="U32" i="5" s="1"/>
  <c r="D8" i="5" s="1"/>
  <c r="E8" i="5" s="1"/>
  <c r="Q36" i="5"/>
  <c r="Q44" i="5"/>
  <c r="Q48" i="5"/>
  <c r="Q35" i="6"/>
  <c r="Q38" i="6"/>
  <c r="Q39" i="6"/>
  <c r="Q42" i="6"/>
  <c r="Q38" i="7"/>
  <c r="U38" i="7" s="1"/>
  <c r="Q31" i="4"/>
  <c r="Q34" i="4"/>
  <c r="Q39" i="4"/>
  <c r="Q42" i="4"/>
  <c r="Q43" i="4"/>
  <c r="Q46" i="4"/>
  <c r="Q40" i="5"/>
  <c r="Q31" i="6"/>
  <c r="Q34" i="6"/>
  <c r="Q43" i="6"/>
  <c r="Q46" i="6"/>
  <c r="Q34" i="7"/>
  <c r="U34" i="7" s="1"/>
  <c r="Q32" i="4"/>
  <c r="Q36" i="4"/>
  <c r="Q40" i="4"/>
  <c r="Q44" i="4"/>
  <c r="Q48" i="4"/>
  <c r="Q32" i="6"/>
  <c r="Q36" i="6"/>
  <c r="Q40" i="6"/>
  <c r="Q44" i="6"/>
  <c r="Q48" i="6"/>
  <c r="Q42" i="7"/>
  <c r="U42" i="7" s="1"/>
  <c r="Q46" i="7"/>
  <c r="U46" i="7" s="1"/>
  <c r="Q47" i="6"/>
  <c r="Q35" i="4"/>
  <c r="Q31" i="5"/>
  <c r="Q33" i="5"/>
  <c r="Q34" i="5"/>
  <c r="Q35" i="5"/>
  <c r="Q37" i="5"/>
  <c r="Q38" i="5"/>
  <c r="Q39" i="5"/>
  <c r="Q41" i="5"/>
  <c r="Q42" i="5"/>
  <c r="Q43" i="5"/>
  <c r="Q45" i="5"/>
  <c r="Q46" i="5"/>
  <c r="Q47" i="5"/>
  <c r="Q33" i="7"/>
  <c r="U33" i="7" s="1"/>
  <c r="Q37" i="7"/>
  <c r="U37" i="7" s="1"/>
  <c r="Q41" i="7"/>
  <c r="U41" i="7" s="1"/>
  <c r="Q45" i="7"/>
  <c r="U45" i="7" s="1"/>
  <c r="Q32" i="7"/>
  <c r="Q36" i="7"/>
  <c r="Q40" i="7"/>
  <c r="Q44" i="7"/>
  <c r="Q48" i="7"/>
  <c r="U48" i="7" s="1"/>
  <c r="H34" i="4"/>
  <c r="H42" i="4"/>
  <c r="H46" i="4"/>
  <c r="L32" i="7"/>
  <c r="U32" i="7" s="1"/>
  <c r="L36" i="7"/>
  <c r="L40" i="7"/>
  <c r="U40" i="7" s="1"/>
  <c r="L44" i="7"/>
  <c r="U44" i="7" s="1"/>
  <c r="L38" i="4"/>
  <c r="L31" i="7"/>
  <c r="U31" i="7" s="1"/>
  <c r="L39" i="7"/>
  <c r="U39" i="7" s="1"/>
  <c r="L43" i="7"/>
  <c r="U43" i="7" s="1"/>
  <c r="H43" i="4"/>
  <c r="L31" i="5"/>
  <c r="L32" i="6"/>
  <c r="U32" i="6" s="1"/>
  <c r="H35" i="7"/>
  <c r="H31" i="4"/>
  <c r="H32" i="4"/>
  <c r="H36" i="4"/>
  <c r="H40" i="4"/>
  <c r="H41" i="4"/>
  <c r="L39" i="4"/>
  <c r="L35" i="7"/>
  <c r="U35" i="7" s="1"/>
  <c r="L33" i="5"/>
  <c r="L34" i="5"/>
  <c r="L37" i="5"/>
  <c r="L38" i="5"/>
  <c r="L41" i="5"/>
  <c r="L42" i="5"/>
  <c r="L45" i="5"/>
  <c r="L46" i="5"/>
  <c r="U46" i="5" s="1"/>
  <c r="H34" i="6"/>
  <c r="H46" i="6"/>
  <c r="H35" i="5"/>
  <c r="L35" i="5"/>
  <c r="U35" i="5" s="1"/>
  <c r="L36" i="5"/>
  <c r="L39" i="5"/>
  <c r="L40" i="5"/>
  <c r="L44" i="5"/>
  <c r="U44" i="5" s="1"/>
  <c r="L48" i="5"/>
  <c r="U48" i="5" s="1"/>
  <c r="L31" i="4"/>
  <c r="H33" i="4"/>
  <c r="L41" i="6"/>
  <c r="U41" i="6" s="1"/>
  <c r="H44" i="5"/>
  <c r="L36" i="4"/>
  <c r="L48" i="4"/>
  <c r="U48" i="4" s="1"/>
  <c r="H48" i="5"/>
  <c r="L36" i="6"/>
  <c r="U36" i="6" s="1"/>
  <c r="L40" i="6"/>
  <c r="U40" i="6" s="1"/>
  <c r="L44" i="6"/>
  <c r="U44" i="6" s="1"/>
  <c r="L48" i="6"/>
  <c r="U48" i="6" s="1"/>
  <c r="H45" i="6"/>
  <c r="H38" i="5"/>
  <c r="L33" i="6"/>
  <c r="U33" i="6" s="1"/>
  <c r="L34" i="6"/>
  <c r="U34" i="6" s="1"/>
  <c r="L37" i="6"/>
  <c r="U37" i="6" s="1"/>
  <c r="L38" i="6"/>
  <c r="L42" i="6"/>
  <c r="L45" i="6"/>
  <c r="U45" i="6" s="1"/>
  <c r="L46" i="6"/>
  <c r="U46" i="6" s="1"/>
  <c r="L37" i="4"/>
  <c r="U37" i="4" s="1"/>
  <c r="L44" i="4"/>
  <c r="L32" i="4"/>
  <c r="U32" i="4" s="1"/>
  <c r="L35" i="4"/>
  <c r="L40" i="4"/>
  <c r="L43" i="4"/>
  <c r="U43" i="4" s="1"/>
  <c r="L47" i="4"/>
  <c r="U47" i="4" s="1"/>
  <c r="H38" i="6"/>
  <c r="H47" i="4"/>
  <c r="L39" i="6"/>
  <c r="H37" i="7"/>
  <c r="L33" i="4"/>
  <c r="U33" i="4" s="1"/>
  <c r="L34" i="4"/>
  <c r="L41" i="4"/>
  <c r="U41" i="4" s="1"/>
  <c r="L42" i="4"/>
  <c r="L45" i="4"/>
  <c r="U45" i="4" s="1"/>
  <c r="L46" i="4"/>
  <c r="H34" i="5"/>
  <c r="H42" i="5"/>
  <c r="H46" i="5"/>
  <c r="H32" i="6"/>
  <c r="L47" i="6"/>
  <c r="U47" i="6" s="1"/>
  <c r="L47" i="7"/>
  <c r="U47" i="7" s="1"/>
  <c r="H33" i="6"/>
  <c r="H37" i="6"/>
  <c r="H42" i="6"/>
  <c r="H47" i="6"/>
  <c r="H32" i="7"/>
  <c r="H34" i="7"/>
  <c r="H45" i="7"/>
  <c r="H37" i="4"/>
  <c r="H38" i="4"/>
  <c r="H31" i="5"/>
  <c r="H32" i="5"/>
  <c r="H36" i="5"/>
  <c r="H40" i="5"/>
  <c r="H43" i="5"/>
  <c r="H47" i="5"/>
  <c r="H36" i="7"/>
  <c r="H39" i="7"/>
  <c r="H40" i="7"/>
  <c r="H43" i="7"/>
  <c r="H44" i="7"/>
  <c r="H47" i="7"/>
  <c r="H48" i="7"/>
  <c r="H39" i="6"/>
  <c r="H33" i="5"/>
  <c r="H37" i="5"/>
  <c r="H41" i="5"/>
  <c r="L43" i="5"/>
  <c r="L47" i="5"/>
  <c r="H39" i="4"/>
  <c r="H44" i="4"/>
  <c r="H48" i="4"/>
  <c r="H36" i="6"/>
  <c r="H40" i="6"/>
  <c r="H43" i="6"/>
  <c r="H44" i="6"/>
  <c r="H48" i="6"/>
  <c r="H33" i="7"/>
  <c r="H38" i="7"/>
  <c r="H42" i="7"/>
  <c r="H46" i="7"/>
  <c r="H35" i="4"/>
  <c r="H41" i="7"/>
  <c r="L31" i="6"/>
  <c r="L35" i="6"/>
  <c r="H41" i="6"/>
  <c r="L43" i="6"/>
  <c r="H35" i="6"/>
  <c r="H45" i="4"/>
  <c r="H31" i="7"/>
  <c r="H31" i="6"/>
  <c r="H45" i="5"/>
  <c r="U35" i="6" l="1"/>
  <c r="D11" i="6" s="1"/>
  <c r="G11" i="6" s="1"/>
  <c r="U42" i="4"/>
  <c r="D18" i="4" s="1"/>
  <c r="G18" i="4" s="1"/>
  <c r="U31" i="6"/>
  <c r="D7" i="6" s="1"/>
  <c r="G7" i="6" s="1"/>
  <c r="U42" i="6"/>
  <c r="D18" i="6" s="1"/>
  <c r="E18" i="6" s="1"/>
  <c r="U40" i="5"/>
  <c r="D16" i="5" s="1"/>
  <c r="G16" i="5" s="1"/>
  <c r="U39" i="4"/>
  <c r="D8" i="4"/>
  <c r="E8" i="4" s="1"/>
  <c r="U39" i="6"/>
  <c r="D15" i="6" s="1"/>
  <c r="G15" i="6" s="1"/>
  <c r="U46" i="4"/>
  <c r="D22" i="4" s="1"/>
  <c r="E22" i="4" s="1"/>
  <c r="U34" i="4"/>
  <c r="D10" i="4" s="1"/>
  <c r="E10" i="4" s="1"/>
  <c r="U38" i="6"/>
  <c r="U31" i="4"/>
  <c r="D7" i="4" s="1"/>
  <c r="G7" i="4" s="1"/>
  <c r="U38" i="4"/>
  <c r="D14" i="4" s="1"/>
  <c r="E14" i="4" s="1"/>
  <c r="U43" i="5"/>
  <c r="D19" i="5" s="1"/>
  <c r="G19" i="5" s="1"/>
  <c r="U36" i="7"/>
  <c r="D12" i="7" s="1"/>
  <c r="E12" i="7" s="1"/>
  <c r="U45" i="5"/>
  <c r="D21" i="5" s="1"/>
  <c r="E21" i="5" s="1"/>
  <c r="U43" i="6"/>
  <c r="D19" i="6" s="1"/>
  <c r="E19" i="6" s="1"/>
  <c r="U36" i="5"/>
  <c r="D12" i="5" s="1"/>
  <c r="E12" i="5" s="1"/>
  <c r="D21" i="7"/>
  <c r="G21" i="7" s="1"/>
  <c r="U37" i="5"/>
  <c r="D13" i="5" s="1"/>
  <c r="E13" i="5" s="1"/>
  <c r="U31" i="5"/>
  <c r="D7" i="5" s="1"/>
  <c r="G7" i="5" s="1"/>
  <c r="U47" i="5"/>
  <c r="D23" i="5" s="1"/>
  <c r="E23" i="5" s="1"/>
  <c r="U40" i="4"/>
  <c r="D16" i="4" s="1"/>
  <c r="E16" i="4" s="1"/>
  <c r="U36" i="4"/>
  <c r="D12" i="4" s="1"/>
  <c r="E12" i="4" s="1"/>
  <c r="U42" i="5"/>
  <c r="D18" i="5" s="1"/>
  <c r="E18" i="5" s="1"/>
  <c r="U44" i="4"/>
  <c r="D20" i="4" s="1"/>
  <c r="U35" i="4"/>
  <c r="D11" i="4" s="1"/>
  <c r="G11" i="4" s="1"/>
  <c r="U38" i="5"/>
  <c r="D14" i="5" s="1"/>
  <c r="G14" i="5" s="1"/>
  <c r="U39" i="5"/>
  <c r="D15" i="5" s="1"/>
  <c r="E15" i="5" s="1"/>
  <c r="U34" i="5"/>
  <c r="D10" i="5" s="1"/>
  <c r="E10" i="5" s="1"/>
  <c r="U41" i="5"/>
  <c r="D17" i="5" s="1"/>
  <c r="E17" i="5" s="1"/>
  <c r="U33" i="5"/>
  <c r="D9" i="5" s="1"/>
  <c r="G9" i="5" s="1"/>
  <c r="D11" i="5"/>
  <c r="G11" i="5" s="1"/>
  <c r="D23" i="4"/>
  <c r="E23" i="4" s="1"/>
  <c r="D8" i="6"/>
  <c r="E8" i="6" s="1"/>
  <c r="D13" i="6"/>
  <c r="G13" i="6" s="1"/>
  <c r="D24" i="7"/>
  <c r="G24" i="7" s="1"/>
  <c r="D19" i="4"/>
  <c r="E19" i="4" s="1"/>
  <c r="D15" i="7"/>
  <c r="G15" i="7" s="1"/>
  <c r="D14" i="6"/>
  <c r="E14" i="6" s="1"/>
  <c r="D24" i="4"/>
  <c r="G24" i="4" s="1"/>
  <c r="D15" i="4"/>
  <c r="E15" i="4" s="1"/>
  <c r="D21" i="6"/>
  <c r="G21" i="6" s="1"/>
  <c r="D10" i="6"/>
  <c r="E10" i="6" s="1"/>
  <c r="D17" i="6"/>
  <c r="G17" i="6" s="1"/>
  <c r="D20" i="5"/>
  <c r="G20" i="5" s="1"/>
  <c r="D11" i="7"/>
  <c r="E11" i="7" s="1"/>
  <c r="D13" i="7"/>
  <c r="G13" i="7" s="1"/>
  <c r="D22" i="6"/>
  <c r="E22" i="6" s="1"/>
  <c r="D17" i="4"/>
  <c r="G17" i="4" s="1"/>
  <c r="D18" i="7"/>
  <c r="E18" i="7" s="1"/>
  <c r="D13" i="4"/>
  <c r="G13" i="4" s="1"/>
  <c r="D9" i="4"/>
  <c r="E9" i="4" s="1"/>
  <c r="D22" i="7"/>
  <c r="G22" i="7" s="1"/>
  <c r="D24" i="5"/>
  <c r="E24" i="5" s="1"/>
  <c r="D19" i="7"/>
  <c r="E19" i="7" s="1"/>
  <c r="D20" i="6"/>
  <c r="G20" i="6" s="1"/>
  <c r="D12" i="6"/>
  <c r="E12" i="6" s="1"/>
  <c r="D20" i="7"/>
  <c r="E20" i="7" s="1"/>
  <c r="D9" i="6"/>
  <c r="E9" i="6" s="1"/>
  <c r="D23" i="7"/>
  <c r="G23" i="7" s="1"/>
  <c r="D16" i="6"/>
  <c r="E16" i="6" s="1"/>
  <c r="D9" i="7"/>
  <c r="E9" i="7" s="1"/>
  <c r="D23" i="6"/>
  <c r="G23" i="6" s="1"/>
  <c r="D22" i="5"/>
  <c r="E22" i="5" s="1"/>
  <c r="D8" i="7"/>
  <c r="E8" i="7" s="1"/>
  <c r="D14" i="7"/>
  <c r="G14" i="7" s="1"/>
  <c r="D7" i="7"/>
  <c r="G7" i="7" s="1"/>
  <c r="D24" i="6"/>
  <c r="D10" i="7"/>
  <c r="G8" i="5"/>
  <c r="D17" i="7"/>
  <c r="G17" i="7" s="1"/>
  <c r="D16" i="7"/>
  <c r="D21" i="4"/>
  <c r="G21" i="4" s="1"/>
  <c r="E7" i="4"/>
  <c r="E18" i="4" l="1"/>
  <c r="G8" i="4"/>
  <c r="E21" i="7"/>
  <c r="G23" i="5"/>
  <c r="G10" i="4"/>
  <c r="E11" i="6"/>
  <c r="G19" i="6"/>
  <c r="G22" i="4"/>
  <c r="E20" i="4"/>
  <c r="G20" i="4"/>
  <c r="E21" i="4"/>
  <c r="G23" i="4"/>
  <c r="G8" i="6"/>
  <c r="G15" i="5"/>
  <c r="E24" i="7"/>
  <c r="G16" i="4"/>
  <c r="E11" i="5"/>
  <c r="E17" i="6"/>
  <c r="G19" i="4"/>
  <c r="G22" i="5"/>
  <c r="E16" i="5"/>
  <c r="G15" i="4"/>
  <c r="E14" i="5"/>
  <c r="G12" i="5"/>
  <c r="E9" i="5"/>
  <c r="G22" i="6"/>
  <c r="G18" i="7"/>
  <c r="G18" i="5"/>
  <c r="E13" i="6"/>
  <c r="E11" i="4"/>
  <c r="E24" i="4"/>
  <c r="E7" i="5"/>
  <c r="G14" i="4"/>
  <c r="G11" i="7"/>
  <c r="G12" i="4"/>
  <c r="E17" i="4"/>
  <c r="E20" i="6"/>
  <c r="E19" i="5"/>
  <c r="G14" i="6"/>
  <c r="G12" i="7"/>
  <c r="E20" i="5"/>
  <c r="G9" i="4"/>
  <c r="G9" i="6"/>
  <c r="E15" i="7"/>
  <c r="G17" i="5"/>
  <c r="G10" i="5"/>
  <c r="G10" i="6"/>
  <c r="E15" i="6"/>
  <c r="E21" i="6"/>
  <c r="E13" i="7"/>
  <c r="E23" i="6"/>
  <c r="G19" i="7"/>
  <c r="G18" i="6"/>
  <c r="G12" i="6"/>
  <c r="D25" i="4"/>
  <c r="E22" i="7"/>
  <c r="G8" i="7"/>
  <c r="G13" i="5"/>
  <c r="E14" i="7"/>
  <c r="E13" i="4"/>
  <c r="G20" i="7"/>
  <c r="G24" i="5"/>
  <c r="G9" i="7"/>
  <c r="G21" i="5"/>
  <c r="G16" i="6"/>
  <c r="D25" i="6"/>
  <c r="E23" i="7"/>
  <c r="D25" i="7"/>
  <c r="E17" i="7"/>
  <c r="D25" i="5"/>
  <c r="E7" i="6"/>
  <c r="E7" i="7"/>
  <c r="E16" i="7"/>
  <c r="G16" i="7"/>
  <c r="E10" i="7"/>
  <c r="G10" i="7"/>
  <c r="E24" i="6"/>
  <c r="G24" i="6"/>
  <c r="E25" i="4" l="1"/>
  <c r="E25" i="5"/>
  <c r="E25" i="6"/>
  <c r="E25" i="7"/>
  <c r="G111" i="9"/>
  <c r="F111" i="9"/>
  <c r="E111" i="9"/>
  <c r="D111" i="9"/>
  <c r="E46" i="1" l="1"/>
  <c r="E31" i="1"/>
  <c r="E38" i="1"/>
  <c r="E39" i="1"/>
  <c r="E34" i="1"/>
  <c r="E42" i="1"/>
  <c r="E47" i="1"/>
  <c r="E45" i="1"/>
  <c r="E41" i="1"/>
  <c r="E37" i="1"/>
  <c r="E33" i="1"/>
  <c r="E48" i="1"/>
  <c r="E44" i="1"/>
  <c r="E40" i="1"/>
  <c r="E36" i="1"/>
  <c r="E32" i="1"/>
  <c r="E35" i="1"/>
  <c r="E43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K49" i="1"/>
  <c r="G49" i="1"/>
  <c r="D49" i="1"/>
  <c r="L47" i="1" l="1"/>
  <c r="U47" i="1" s="1"/>
  <c r="H45" i="1"/>
  <c r="L37" i="1"/>
  <c r="U37" i="1" s="1"/>
  <c r="L45" i="1"/>
  <c r="U45" i="1" s="1"/>
  <c r="H31" i="1"/>
  <c r="H46" i="1"/>
  <c r="H34" i="1"/>
  <c r="L32" i="1"/>
  <c r="U32" i="1" s="1"/>
  <c r="L40" i="1"/>
  <c r="U40" i="1" s="1"/>
  <c r="L48" i="1"/>
  <c r="U48" i="1" s="1"/>
  <c r="H38" i="1"/>
  <c r="L33" i="1"/>
  <c r="U33" i="1" s="1"/>
  <c r="L41" i="1"/>
  <c r="U41" i="1" s="1"/>
  <c r="H42" i="1"/>
  <c r="L36" i="1"/>
  <c r="U36" i="1" s="1"/>
  <c r="L44" i="1"/>
  <c r="U44" i="1" s="1"/>
  <c r="H39" i="1"/>
  <c r="H32" i="1"/>
  <c r="H36" i="1"/>
  <c r="H40" i="1"/>
  <c r="H44" i="1"/>
  <c r="H48" i="1"/>
  <c r="L34" i="1"/>
  <c r="U34" i="1" s="1"/>
  <c r="D10" i="1" s="1"/>
  <c r="E10" i="1" s="1"/>
  <c r="L38" i="1"/>
  <c r="U38" i="1" s="1"/>
  <c r="L42" i="1"/>
  <c r="U42" i="1" s="1"/>
  <c r="L46" i="1"/>
  <c r="U46" i="1" s="1"/>
  <c r="D22" i="1" s="1"/>
  <c r="E22" i="1" s="1"/>
  <c r="H35" i="1"/>
  <c r="H43" i="1"/>
  <c r="H47" i="1"/>
  <c r="H33" i="1"/>
  <c r="H37" i="1"/>
  <c r="H41" i="1"/>
  <c r="L31" i="1"/>
  <c r="U31" i="1" s="1"/>
  <c r="L35" i="1"/>
  <c r="U35" i="1" s="1"/>
  <c r="L39" i="1"/>
  <c r="U39" i="1" s="1"/>
  <c r="L43" i="1"/>
  <c r="U43" i="1" s="1"/>
  <c r="D19" i="1" s="1"/>
  <c r="E19" i="1" s="1"/>
  <c r="D7" i="1" l="1"/>
  <c r="E7" i="1" s="1"/>
  <c r="D21" i="1"/>
  <c r="E21" i="1" s="1"/>
  <c r="D11" i="1"/>
  <c r="E11" i="1" s="1"/>
  <c r="D14" i="1"/>
  <c r="E14" i="1" s="1"/>
  <c r="D17" i="1"/>
  <c r="E17" i="1" s="1"/>
  <c r="D16" i="1"/>
  <c r="E16" i="1" s="1"/>
  <c r="D13" i="1"/>
  <c r="D24" i="1"/>
  <c r="E24" i="1" s="1"/>
  <c r="D18" i="1"/>
  <c r="E18" i="1" s="1"/>
  <c r="D20" i="1"/>
  <c r="E20" i="1" s="1"/>
  <c r="D9" i="1"/>
  <c r="E9" i="1" s="1"/>
  <c r="D8" i="1"/>
  <c r="E8" i="1" s="1"/>
  <c r="D15" i="1"/>
  <c r="E15" i="1" s="1"/>
  <c r="D12" i="1"/>
  <c r="E12" i="1" s="1"/>
  <c r="D23" i="1"/>
  <c r="E23" i="1" s="1"/>
  <c r="G19" i="1"/>
  <c r="G13" i="1" l="1"/>
  <c r="E13" i="1"/>
  <c r="G21" i="1"/>
  <c r="D25" i="1"/>
  <c r="G23" i="1"/>
  <c r="G11" i="1"/>
  <c r="G16" i="1"/>
  <c r="G12" i="1"/>
  <c r="G14" i="1"/>
  <c r="G15" i="1"/>
  <c r="G20" i="1"/>
  <c r="G24" i="1"/>
  <c r="G8" i="1"/>
  <c r="G10" i="1"/>
  <c r="G9" i="1"/>
  <c r="G18" i="1"/>
  <c r="G22" i="1"/>
  <c r="G17" i="1"/>
  <c r="G7" i="1"/>
  <c r="E25" i="1" l="1"/>
  <c r="C11" i="10" s="1"/>
  <c r="C16" i="10"/>
  <c r="C15" i="10"/>
  <c r="C12" i="10"/>
  <c r="C13" i="10"/>
  <c r="D13" i="10" l="1"/>
  <c r="D12" i="10"/>
  <c r="D15" i="10"/>
  <c r="D16" i="10"/>
  <c r="D17" i="10" s="1"/>
  <c r="D14" i="10" l="1"/>
  <c r="D18" i="10" l="1"/>
  <c r="D21" i="10" l="1"/>
  <c r="C7" i="10" s="1"/>
  <c r="D20" i="10"/>
  <c r="C6" i="10" s="1"/>
  <c r="D19" i="10"/>
</calcChain>
</file>

<file path=xl/sharedStrings.xml><?xml version="1.0" encoding="utf-8"?>
<sst xmlns="http://schemas.openxmlformats.org/spreadsheetml/2006/main" count="751" uniqueCount="120">
  <si>
    <t>Modelled costs</t>
  </si>
  <si>
    <t>Econometric models - Refined base</t>
  </si>
  <si>
    <t>Unit cost models</t>
  </si>
  <si>
    <t>Un-modelled</t>
  </si>
  <si>
    <t>Bottom up</t>
  </si>
  <si>
    <t>Full totex (RE)</t>
  </si>
  <si>
    <t>Full totex (OLS)</t>
  </si>
  <si>
    <t>Totex top-down (Full)</t>
  </si>
  <si>
    <t>Refined totex (RE)</t>
  </si>
  <si>
    <t>Refined totex (OLS)</t>
  </si>
  <si>
    <t>Totex top-down (Refined)</t>
  </si>
  <si>
    <t>Refined base totex (RE)</t>
  </si>
  <si>
    <t>Refined base totex (OLS)</t>
  </si>
  <si>
    <t>Refined base totex</t>
  </si>
  <si>
    <t>Water enhancements to SDB</t>
  </si>
  <si>
    <t>Water lead</t>
  </si>
  <si>
    <t>Water new development</t>
  </si>
  <si>
    <t>Total unit costs</t>
  </si>
  <si>
    <t>ANH</t>
  </si>
  <si>
    <t>WSH</t>
  </si>
  <si>
    <t>NES</t>
  </si>
  <si>
    <t>SVT</t>
  </si>
  <si>
    <t>SWT</t>
  </si>
  <si>
    <t>SRN</t>
  </si>
  <si>
    <t>TMS</t>
  </si>
  <si>
    <t>NWT</t>
  </si>
  <si>
    <t>WSX</t>
  </si>
  <si>
    <t>YKY</t>
  </si>
  <si>
    <t>AFW</t>
  </si>
  <si>
    <t>BRL</t>
  </si>
  <si>
    <t>DVW</t>
  </si>
  <si>
    <t>PRT</t>
  </si>
  <si>
    <t>SBW</t>
  </si>
  <si>
    <t>SEW</t>
  </si>
  <si>
    <t>SSC</t>
  </si>
  <si>
    <t>SES</t>
  </si>
  <si>
    <t>Model</t>
  </si>
  <si>
    <t>Years covered</t>
  </si>
  <si>
    <t>Number of years</t>
  </si>
  <si>
    <t>Econometric</t>
  </si>
  <si>
    <t>1. Totex</t>
  </si>
  <si>
    <t>2008-09 to 2012-13</t>
  </si>
  <si>
    <t>2. Botex</t>
  </si>
  <si>
    <t>Unit cost</t>
  </si>
  <si>
    <t>1. water enhancements to SDB</t>
  </si>
  <si>
    <t>2010-11 to 2014-15</t>
  </si>
  <si>
    <t>2. water new development</t>
  </si>
  <si>
    <t>3. water lead</t>
  </si>
  <si>
    <t>Unmodelled</t>
  </si>
  <si>
    <t>Totex - modelled (post triangulation)</t>
  </si>
  <si>
    <t>Efficiency score</t>
  </si>
  <si>
    <t>Baseline</t>
  </si>
  <si>
    <t>Deviation from baseline</t>
  </si>
  <si>
    <t>+1 se</t>
  </si>
  <si>
    <t>-1 se</t>
  </si>
  <si>
    <t>+1 se (adj)</t>
  </si>
  <si>
    <t>-1 se (adj)</t>
  </si>
  <si>
    <t>Mean deviation</t>
  </si>
  <si>
    <t>% increase in mean deviation</t>
  </si>
  <si>
    <t>Efficiency to average</t>
  </si>
  <si>
    <t>+1 se (adjusted)</t>
  </si>
  <si>
    <t>-1 se (adjusted)</t>
  </si>
  <si>
    <t>Annual increase in mean deviation</t>
  </si>
  <si>
    <t>Total</t>
  </si>
  <si>
    <t>Results from Stata (post application of alpha factor)</t>
  </si>
  <si>
    <t>High level check</t>
  </si>
  <si>
    <t>Summary Results - Precision 'General' Approach</t>
  </si>
  <si>
    <t>5 year (non-discounted) increase in mean deviation</t>
  </si>
  <si>
    <t>This worksheet summarises the results of perturbing the model forecasts by the standard error.</t>
  </si>
  <si>
    <t>It then calculates the impact on the width of the error band.</t>
  </si>
  <si>
    <t>Ofwat has also published a statement of methods on the approach to assessing impacts in the case of a merger. That document can be used as a guide to our approach.</t>
  </si>
  <si>
    <t>Legend</t>
  </si>
  <si>
    <t>Input cells</t>
  </si>
  <si>
    <t>Copied cells</t>
  </si>
  <si>
    <t>Calculation cells</t>
  </si>
  <si>
    <t>Text cells</t>
  </si>
  <si>
    <t>Summary table</t>
  </si>
  <si>
    <t>This worksheet shows the calculation for triangulated totex under the baseline scenario (i.e. no perturbation by standard error)</t>
  </si>
  <si>
    <t>General approach (confidence interval) - Baseline</t>
  </si>
  <si>
    <t>N/A</t>
  </si>
  <si>
    <t>Econometric models - Totex (per annum)</t>
  </si>
  <si>
    <t>Weights (per model)</t>
  </si>
  <si>
    <t>Weights (per track)</t>
  </si>
  <si>
    <t>General approach (confidence interval) - Baseline + one standard error</t>
  </si>
  <si>
    <t>+ 1 se</t>
  </si>
  <si>
    <t>+ 1 se (17 companies)</t>
  </si>
  <si>
    <t>-1 se (17 companies)</t>
  </si>
  <si>
    <t>5 year prediction - Totex OLS full</t>
  </si>
  <si>
    <t>5 year prediction - Totex OLS refined</t>
  </si>
  <si>
    <t>5 year prediction - Totex RE refined</t>
  </si>
  <si>
    <t>5 year prediction - Base RE refined</t>
  </si>
  <si>
    <t>Econometric model predictions</t>
  </si>
  <si>
    <t>Unit cost results model predictions</t>
  </si>
  <si>
    <t>Results hard pasted from UC workbook</t>
  </si>
  <si>
    <t>5 year prediction - ND</t>
  </si>
  <si>
    <t>5 year prediction - SDB</t>
  </si>
  <si>
    <t>5 year prediction - Lead</t>
  </si>
  <si>
    <t>Totex actuals and unmodelled costs</t>
  </si>
  <si>
    <t>This worksheet has inputs for company totex and unmodelled costs over the modelling period (average per annum)</t>
  </si>
  <si>
    <t>General approach (confidence interval) - Baseline - one standard error</t>
  </si>
  <si>
    <t>General approach (confidence interval) - Baseline + one standard error (17 companies)</t>
  </si>
  <si>
    <t>This worksheet shows the calculation for triangulated totex when forecasts are perturbed by plus one standard error, adjusted for 17 companies</t>
  </si>
  <si>
    <t>This worksheet shows the calculation for triangulated totex when forecasts are perturbed by minus one standard error</t>
  </si>
  <si>
    <t>This worksheet shows the calculation for triangulated totex when forecasts are perturbed by plus one standard error</t>
  </si>
  <si>
    <t>General approach (confidence interval) - Baseline - one standard error (17 companies)</t>
  </si>
  <si>
    <t>This worksheet shows the calculation for triangulated totex when forecasts are perturbed by minus one standard error, adjusted for 17 companies</t>
  </si>
  <si>
    <t>Inefficiency to average line</t>
  </si>
  <si>
    <t>Percentage impact on precision
(% increase in mean deviation)</t>
  </si>
  <si>
    <t>Percentage impact on precision
(increase in mean deviation as % of average inefficiency)</t>
  </si>
  <si>
    <t>Increase in mean deviation (as % of average inefficiency)</t>
  </si>
  <si>
    <t>Totex - actuals (including unmodelled)</t>
  </si>
  <si>
    <t>Un-modelled only</t>
  </si>
  <si>
    <t>These results were obtained by adjusting forecast costs by plus/minus one standard error. The standard error was obtained using the 'predict, stdp' command in Stata.</t>
  </si>
  <si>
    <t>The degrees of freedom for standard errors were adjusted for one less company (5 fewer observations) for the post-merger scenario.</t>
  </si>
  <si>
    <t>The results were obtained by calculating the standard error of model predictions in a similar way to using the 'predict, stdp' command in Stata.</t>
  </si>
  <si>
    <t>The degrees of freedom for standard errors were adjusted for one less company (1 fewer observation) for the post-merger scenario.</t>
  </si>
  <si>
    <t>Precision - General approach</t>
  </si>
  <si>
    <t>This workbook contains the 'General approach' used by Ofwat in the assessment of precision impacts for the loss of a comparator in the South West Water/Bournemouth Water merger.</t>
  </si>
  <si>
    <t>Average annual £m</t>
  </si>
  <si>
    <t>Totex - actuals (average annual £m)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</si>
</sst>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_-* #,##0.0_-;\-* #,##0.0_-;_-* &quot;-&quot;??_-;_-@_-"/>
    <numFmt numFmtId="165" formatCode="0.0"/>
    <numFmt numFmtId="166" formatCode="0.00000"/>
    <numFmt numFmtId="167" formatCode="0.0%"/>
    <numFmt numFmtId="168" formatCode="_(* #,##0.0_);_(* \(#,##0.0\);_(* &quot;-&quot;??_);_(@_)"/>
    <numFmt numFmtId="169" formatCode="#,##0_);\(#,##0\);&quot;-  &quot;;&quot; &quot;@"/>
    <numFmt numFmtId="170" formatCode="dd\ mmm\ yyyy_);;&quot;-  &quot;;&quot; &quot;@&quot; &quot;"/>
    <numFmt numFmtId="171" formatCode="dd\ mmm\ yy_);;&quot;-  &quot;;&quot; &quot;@&quot; &quot;"/>
    <numFmt numFmtId="172" formatCode="#,##0.0000_);\(#,##0.0000\);&quot;-  &quot;;&quot; &quot;@&quot; &quot;"/>
    <numFmt numFmtId="173" formatCode="#,##0.000"/>
  </numFmts>
  <fonts count="32" x14ac:knownFonts="1"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Gill Sans MT"/>
      <family val="2"/>
    </font>
    <font>
      <sz val="10"/>
      <color theme="1"/>
      <name val="Gill Sans MT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i/>
      <sz val="11"/>
      <color theme="0" tint="-0.499984740745262"/>
      <name val="Arial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color rgb="FF00B050"/>
      <name val="Arial"/>
      <family val="2"/>
    </font>
    <font>
      <sz val="9"/>
      <color theme="1"/>
      <name val="Arial"/>
      <family val="2"/>
    </font>
    <font>
      <sz val="10"/>
      <color rgb="FF0078C9"/>
      <name val="Franklin Gothic Demi"/>
      <family val="2"/>
    </font>
    <font>
      <sz val="15"/>
      <color theme="0"/>
      <name val="Franklin Gothic Demi"/>
      <family val="2"/>
    </font>
    <font>
      <sz val="11"/>
      <color theme="0"/>
      <name val="Franklin Gothic Demi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10"/>
      <color rgb="FF0078C9"/>
      <name val="Arial"/>
      <family val="2"/>
    </font>
    <font>
      <b/>
      <sz val="10"/>
      <color rgb="FF0078C9"/>
      <name val="Franklin Gothic Book"/>
      <family val="2"/>
    </font>
    <font>
      <sz val="9"/>
      <color theme="0" tint="-0.499984740745262"/>
      <name val="Arial"/>
      <family val="2"/>
    </font>
    <font>
      <i/>
      <sz val="11"/>
      <name val="Arial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0078C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medium">
        <color rgb="FF857362"/>
      </top>
      <bottom style="thin">
        <color rgb="FF857362"/>
      </bottom>
      <diagonal/>
    </border>
    <border>
      <left style="thin">
        <color rgb="FF857362"/>
      </left>
      <right style="medium">
        <color rgb="FF857362"/>
      </right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n">
        <color rgb="FF857362"/>
      </left>
      <right style="medium">
        <color rgb="FF857362"/>
      </right>
      <top style="thin">
        <color rgb="FF857362"/>
      </top>
      <bottom style="thin">
        <color rgb="FF857362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 style="medium">
        <color rgb="FF857362"/>
      </right>
      <top style="thin">
        <color rgb="FF857362"/>
      </top>
      <bottom style="thin">
        <color rgb="FF857362"/>
      </bottom>
      <diagonal/>
    </border>
    <border>
      <left style="medium">
        <color rgb="FF857362"/>
      </left>
      <right style="medium">
        <color rgb="FF857362"/>
      </right>
      <top style="thin">
        <color rgb="FF857362"/>
      </top>
      <bottom style="medium">
        <color rgb="FF857362"/>
      </bottom>
      <diagonal/>
    </border>
    <border>
      <left style="medium">
        <color rgb="FF857362"/>
      </left>
      <right style="thin">
        <color rgb="FF857362"/>
      </right>
      <top style="thin">
        <color rgb="FF857362"/>
      </top>
      <bottom style="medium">
        <color rgb="FF85736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medium">
        <color rgb="FF857362"/>
      </bottom>
      <diagonal/>
    </border>
    <border>
      <left style="thin">
        <color rgb="FF857362"/>
      </left>
      <right style="medium">
        <color rgb="FF857362"/>
      </right>
      <top style="thin">
        <color rgb="FF857362"/>
      </top>
      <bottom style="medium">
        <color rgb="FF857362"/>
      </bottom>
      <diagonal/>
    </border>
    <border>
      <left style="medium">
        <color rgb="FF857362"/>
      </left>
      <right/>
      <top style="medium">
        <color rgb="FF857362"/>
      </top>
      <bottom/>
      <diagonal/>
    </border>
    <border>
      <left style="medium">
        <color rgb="FF857362"/>
      </left>
      <right/>
      <top style="thin">
        <color rgb="FF857362"/>
      </top>
      <bottom style="thin">
        <color rgb="FF857362"/>
      </bottom>
      <diagonal/>
    </border>
    <border>
      <left style="medium">
        <color rgb="FF857362"/>
      </left>
      <right/>
      <top style="thin">
        <color rgb="FF857362"/>
      </top>
      <bottom style="medium">
        <color rgb="FF857362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/>
      <diagonal/>
    </border>
    <border>
      <left style="medium">
        <color rgb="FF857362"/>
      </left>
      <right style="medium">
        <color rgb="FF857362"/>
      </right>
      <top/>
      <bottom style="thin">
        <color rgb="FF857362"/>
      </bottom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/>
      <diagonal/>
    </border>
    <border>
      <left style="thin">
        <color rgb="FF857362"/>
      </left>
      <right/>
      <top style="medium">
        <color rgb="FF857362"/>
      </top>
      <bottom/>
      <diagonal/>
    </border>
    <border>
      <left/>
      <right/>
      <top style="medium">
        <color rgb="FF857362"/>
      </top>
      <bottom/>
      <diagonal/>
    </border>
    <border>
      <left/>
      <right style="medium">
        <color rgb="FF857362"/>
      </right>
      <top style="medium">
        <color rgb="FF857362"/>
      </top>
      <bottom/>
      <diagonal/>
    </border>
  </borders>
  <cellStyleXfs count="3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7" fillId="0" borderId="0"/>
    <xf numFmtId="0" fontId="3" fillId="0" borderId="0"/>
    <xf numFmtId="43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1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168" fontId="3" fillId="14" borderId="0" applyNumberFormat="0" applyFont="0" applyBorder="0" applyAlignment="0" applyProtection="0"/>
    <xf numFmtId="0" fontId="3" fillId="15" borderId="0" applyNumberFormat="0" applyFont="0" applyBorder="0" applyAlignment="0" applyProtection="0"/>
    <xf numFmtId="169" fontId="17" fillId="0" borderId="0" applyNumberFormat="0" applyProtection="0">
      <alignment vertical="top"/>
    </xf>
    <xf numFmtId="169" fontId="18" fillId="0" borderId="0" applyNumberFormat="0" applyProtection="0">
      <alignment vertical="top"/>
    </xf>
    <xf numFmtId="169" fontId="7" fillId="16" borderId="0" applyNumberFormat="0" applyProtection="0">
      <alignment vertical="top"/>
    </xf>
    <xf numFmtId="9" fontId="3" fillId="0" borderId="0" applyFont="0" applyFill="0" applyBorder="0" applyAlignment="0" applyProtection="0"/>
    <xf numFmtId="0" fontId="19" fillId="0" borderId="0" applyNumberFormat="0" applyFill="0" applyBorder="0" applyProtection="0">
      <alignment vertical="top"/>
    </xf>
    <xf numFmtId="170" fontId="7" fillId="0" borderId="0" applyFont="0" applyFill="0" applyBorder="0" applyProtection="0">
      <alignment vertical="top"/>
    </xf>
    <xf numFmtId="171" fontId="7" fillId="0" borderId="0" applyFont="0" applyFill="0" applyBorder="0" applyProtection="0">
      <alignment vertical="top"/>
    </xf>
    <xf numFmtId="172" fontId="7" fillId="0" borderId="0" applyFont="0" applyFill="0" applyBorder="0" applyProtection="0">
      <alignment vertical="top"/>
    </xf>
    <xf numFmtId="0" fontId="13" fillId="0" borderId="0"/>
    <xf numFmtId="0" fontId="14" fillId="0" borderId="0"/>
    <xf numFmtId="0" fontId="15" fillId="0" borderId="0"/>
    <xf numFmtId="171" fontId="8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7" fillId="0" borderId="0" applyNumberFormat="0" applyFill="0" applyBorder="0" applyProtection="0">
      <alignment horizontal="right" vertical="top"/>
    </xf>
    <xf numFmtId="0" fontId="2" fillId="0" borderId="0"/>
  </cellStyleXfs>
  <cellXfs count="132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164" fontId="3" fillId="0" borderId="0" xfId="0" applyNumberFormat="1" applyFont="1"/>
    <xf numFmtId="165" fontId="3" fillId="0" borderId="0" xfId="0" applyNumberFormat="1" applyFont="1"/>
    <xf numFmtId="0" fontId="5" fillId="3" borderId="1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0" borderId="1" xfId="0" applyFont="1" applyBorder="1"/>
    <xf numFmtId="0" fontId="3" fillId="0" borderId="2" xfId="0" applyFont="1" applyBorder="1" applyAlignment="1">
      <alignment wrapText="1"/>
    </xf>
    <xf numFmtId="0" fontId="6" fillId="0" borderId="2" xfId="0" applyFont="1" applyBorder="1"/>
    <xf numFmtId="0" fontId="6" fillId="0" borderId="3" xfId="0" applyFont="1" applyBorder="1"/>
    <xf numFmtId="166" fontId="3" fillId="0" borderId="0" xfId="0" applyNumberFormat="1" applyFont="1" applyAlignment="1">
      <alignment wrapText="1"/>
    </xf>
    <xf numFmtId="0" fontId="6" fillId="0" borderId="1" xfId="0" applyFont="1" applyBorder="1"/>
    <xf numFmtId="0" fontId="6" fillId="0" borderId="3" xfId="0" applyFont="1" applyBorder="1" applyAlignment="1">
      <alignment horizontal="center"/>
    </xf>
    <xf numFmtId="0" fontId="1" fillId="0" borderId="0" xfId="2"/>
    <xf numFmtId="43" fontId="0" fillId="0" borderId="0" xfId="0" applyNumberFormat="1"/>
    <xf numFmtId="164" fontId="0" fillId="0" borderId="0" xfId="0" applyNumberFormat="1"/>
    <xf numFmtId="0" fontId="8" fillId="0" borderId="0" xfId="3" applyFont="1"/>
    <xf numFmtId="0" fontId="7" fillId="0" borderId="0" xfId="3"/>
    <xf numFmtId="0" fontId="7" fillId="0" borderId="0" xfId="3" applyAlignment="1"/>
    <xf numFmtId="165" fontId="7" fillId="0" borderId="0" xfId="3" applyNumberFormat="1"/>
    <xf numFmtId="43" fontId="7" fillId="0" borderId="0" xfId="3" applyNumberFormat="1"/>
    <xf numFmtId="0" fontId="7" fillId="0" borderId="0" xfId="3" applyFont="1"/>
    <xf numFmtId="0" fontId="22" fillId="19" borderId="0" xfId="33" applyFont="1" applyFill="1" applyBorder="1" applyAlignment="1">
      <alignment vertical="center"/>
    </xf>
    <xf numFmtId="0" fontId="22" fillId="19" borderId="0" xfId="33" applyFont="1" applyFill="1" applyBorder="1" applyAlignment="1">
      <alignment horizontal="right" vertical="center"/>
    </xf>
    <xf numFmtId="0" fontId="22" fillId="19" borderId="0" xfId="33" applyFont="1" applyFill="1" applyBorder="1" applyAlignment="1">
      <alignment horizontal="left" vertical="center"/>
    </xf>
    <xf numFmtId="0" fontId="23" fillId="19" borderId="0" xfId="33" applyFont="1" applyFill="1" applyBorder="1" applyAlignment="1">
      <alignment horizontal="left" vertical="center"/>
    </xf>
    <xf numFmtId="0" fontId="20" fillId="0" borderId="0" xfId="33" applyFont="1" applyBorder="1" applyAlignment="1">
      <alignment vertical="center"/>
    </xf>
    <xf numFmtId="0" fontId="25" fillId="23" borderId="0" xfId="33" applyFont="1" applyFill="1" applyBorder="1" applyAlignment="1">
      <alignment vertical="center"/>
    </xf>
    <xf numFmtId="4" fontId="20" fillId="22" borderId="19" xfId="33" applyNumberFormat="1" applyFont="1" applyFill="1" applyBorder="1" applyAlignment="1">
      <alignment horizontal="right" vertical="center"/>
    </xf>
    <xf numFmtId="167" fontId="20" fillId="22" borderId="13" xfId="33" applyNumberFormat="1" applyFont="1" applyFill="1" applyBorder="1" applyAlignment="1">
      <alignment horizontal="right" vertical="center"/>
    </xf>
    <xf numFmtId="4" fontId="20" fillId="22" borderId="13" xfId="33" applyNumberFormat="1" applyFont="1" applyFill="1" applyBorder="1" applyAlignment="1">
      <alignment horizontal="right" vertical="center"/>
    </xf>
    <xf numFmtId="4" fontId="20" fillId="21" borderId="13" xfId="33" applyNumberFormat="1" applyFont="1" applyFill="1" applyBorder="1" applyAlignment="1">
      <alignment horizontal="right" vertical="center"/>
    </xf>
    <xf numFmtId="4" fontId="20" fillId="21" borderId="12" xfId="33" applyNumberFormat="1" applyFont="1" applyFill="1" applyBorder="1" applyAlignment="1">
      <alignment horizontal="right" vertical="center"/>
    </xf>
    <xf numFmtId="0" fontId="0" fillId="0" borderId="0" xfId="0" applyFill="1"/>
    <xf numFmtId="0" fontId="22" fillId="0" borderId="0" xfId="33" applyFont="1" applyFill="1" applyBorder="1" applyAlignment="1">
      <alignment vertical="center"/>
    </xf>
    <xf numFmtId="0" fontId="22" fillId="0" borderId="0" xfId="33" applyFont="1" applyFill="1" applyBorder="1" applyAlignment="1">
      <alignment horizontal="right" vertical="center"/>
    </xf>
    <xf numFmtId="0" fontId="22" fillId="0" borderId="0" xfId="33" applyFont="1" applyFill="1" applyBorder="1" applyAlignment="1">
      <alignment horizontal="left" vertical="center"/>
    </xf>
    <xf numFmtId="0" fontId="23" fillId="0" borderId="0" xfId="33" applyFont="1" applyFill="1" applyBorder="1" applyAlignment="1">
      <alignment horizontal="left" vertical="center"/>
    </xf>
    <xf numFmtId="0" fontId="3" fillId="21" borderId="15" xfId="33" applyFont="1" applyFill="1" applyBorder="1" applyAlignment="1">
      <alignment vertical="center"/>
    </xf>
    <xf numFmtId="0" fontId="3" fillId="22" borderId="15" xfId="33" applyFont="1" applyFill="1" applyBorder="1" applyAlignment="1">
      <alignment vertical="center"/>
    </xf>
    <xf numFmtId="0" fontId="20" fillId="0" borderId="16" xfId="33" applyFont="1" applyBorder="1" applyAlignment="1">
      <alignment vertical="center"/>
    </xf>
    <xf numFmtId="0" fontId="3" fillId="20" borderId="24" xfId="33" applyFont="1" applyFill="1" applyBorder="1" applyAlignment="1">
      <alignment vertical="center"/>
    </xf>
    <xf numFmtId="0" fontId="9" fillId="0" borderId="7" xfId="0" applyFont="1" applyBorder="1"/>
    <xf numFmtId="0" fontId="1" fillId="0" borderId="0" xfId="2" applyFill="1"/>
    <xf numFmtId="4" fontId="20" fillId="21" borderId="4" xfId="33" applyNumberFormat="1" applyFont="1" applyFill="1" applyBorder="1" applyAlignment="1">
      <alignment horizontal="right" vertical="center"/>
    </xf>
    <xf numFmtId="0" fontId="3" fillId="0" borderId="12" xfId="0" applyFont="1" applyBorder="1"/>
    <xf numFmtId="4" fontId="20" fillId="21" borderId="17" xfId="33" applyNumberFormat="1" applyFont="1" applyFill="1" applyBorder="1" applyAlignment="1">
      <alignment horizontal="right" vertical="center"/>
    </xf>
    <xf numFmtId="4" fontId="20" fillId="21" borderId="18" xfId="33" applyNumberFormat="1" applyFont="1" applyFill="1" applyBorder="1" applyAlignment="1">
      <alignment horizontal="right" vertical="center"/>
    </xf>
    <xf numFmtId="0" fontId="3" fillId="0" borderId="21" xfId="0" applyFont="1" applyBorder="1"/>
    <xf numFmtId="0" fontId="3" fillId="0" borderId="22" xfId="0" applyFont="1" applyBorder="1"/>
    <xf numFmtId="9" fontId="20" fillId="20" borderId="9" xfId="33" applyNumberFormat="1" applyFont="1" applyFill="1" applyBorder="1" applyAlignment="1">
      <alignment vertical="center"/>
    </xf>
    <xf numFmtId="9" fontId="20" fillId="20" borderId="10" xfId="33" applyNumberFormat="1" applyFont="1" applyFill="1" applyBorder="1" applyAlignment="1">
      <alignment vertical="center"/>
    </xf>
    <xf numFmtId="9" fontId="20" fillId="20" borderId="19" xfId="33" applyNumberFormat="1" applyFont="1" applyFill="1" applyBorder="1" applyAlignment="1">
      <alignment vertical="center"/>
    </xf>
    <xf numFmtId="9" fontId="20" fillId="4" borderId="17" xfId="33" applyNumberFormat="1" applyFont="1" applyFill="1" applyBorder="1" applyAlignment="1">
      <alignment vertical="center"/>
    </xf>
    <xf numFmtId="9" fontId="20" fillId="4" borderId="18" xfId="33" applyNumberFormat="1" applyFont="1" applyFill="1" applyBorder="1" applyAlignment="1">
      <alignment vertical="center"/>
    </xf>
    <xf numFmtId="9" fontId="20" fillId="4" borderId="11" xfId="33" applyNumberFormat="1" applyFont="1" applyFill="1" applyBorder="1" applyAlignment="1">
      <alignment vertical="center"/>
    </xf>
    <xf numFmtId="4" fontId="20" fillId="22" borderId="15" xfId="33" applyNumberFormat="1" applyFont="1" applyFill="1" applyBorder="1" applyAlignment="1">
      <alignment horizontal="right" vertical="center"/>
    </xf>
    <xf numFmtId="4" fontId="20" fillId="22" borderId="16" xfId="33" applyNumberFormat="1" applyFont="1" applyFill="1" applyBorder="1" applyAlignment="1">
      <alignment horizontal="right" vertical="center"/>
    </xf>
    <xf numFmtId="164" fontId="3" fillId="22" borderId="4" xfId="0" applyNumberFormat="1" applyFont="1" applyFill="1" applyBorder="1" applyAlignment="1">
      <alignment wrapText="1"/>
    </xf>
    <xf numFmtId="164" fontId="3" fillId="22" borderId="13" xfId="0" applyNumberFormat="1" applyFont="1" applyFill="1" applyBorder="1" applyAlignment="1">
      <alignment wrapText="1"/>
    </xf>
    <xf numFmtId="164" fontId="3" fillId="22" borderId="19" xfId="0" applyNumberFormat="1" applyFont="1" applyFill="1" applyBorder="1" applyAlignment="1">
      <alignment wrapText="1"/>
    </xf>
    <xf numFmtId="0" fontId="3" fillId="0" borderId="8" xfId="0" applyFont="1" applyFill="1" applyBorder="1"/>
    <xf numFmtId="164" fontId="4" fillId="22" borderId="5" xfId="0" applyNumberFormat="1" applyFont="1" applyFill="1" applyBorder="1" applyAlignment="1">
      <alignment wrapText="1"/>
    </xf>
    <xf numFmtId="164" fontId="4" fillId="22" borderId="5" xfId="0" applyNumberFormat="1" applyFont="1" applyFill="1" applyBorder="1"/>
    <xf numFmtId="43" fontId="4" fillId="22" borderId="6" xfId="0" applyNumberFormat="1" applyFont="1" applyFill="1" applyBorder="1"/>
    <xf numFmtId="9" fontId="24" fillId="20" borderId="25" xfId="0" applyNumberFormat="1" applyFont="1" applyFill="1" applyBorder="1" applyAlignment="1">
      <alignment wrapText="1"/>
    </xf>
    <xf numFmtId="9" fontId="24" fillId="20" borderId="26" xfId="0" applyNumberFormat="1" applyFont="1" applyFill="1" applyBorder="1" applyAlignment="1">
      <alignment wrapText="1"/>
    </xf>
    <xf numFmtId="0" fontId="28" fillId="2" borderId="23" xfId="0" applyFont="1" applyFill="1" applyBorder="1" applyAlignment="1">
      <alignment wrapText="1"/>
    </xf>
    <xf numFmtId="9" fontId="20" fillId="4" borderId="13" xfId="33" applyNumberFormat="1" applyFont="1" applyFill="1" applyBorder="1" applyAlignment="1">
      <alignment vertical="center"/>
    </xf>
    <xf numFmtId="9" fontId="20" fillId="4" borderId="8" xfId="33" applyNumberFormat="1" applyFont="1" applyFill="1" applyBorder="1" applyAlignment="1">
      <alignment vertical="center"/>
    </xf>
    <xf numFmtId="9" fontId="20" fillId="4" borderId="5" xfId="33" applyNumberFormat="1" applyFont="1" applyFill="1" applyBorder="1" applyAlignment="1">
      <alignment vertical="center"/>
    </xf>
    <xf numFmtId="9" fontId="20" fillId="4" borderId="19" xfId="33" applyNumberFormat="1" applyFont="1" applyFill="1" applyBorder="1" applyAlignment="1">
      <alignment vertical="center"/>
    </xf>
    <xf numFmtId="9" fontId="20" fillId="4" borderId="14" xfId="33" applyNumberFormat="1" applyFont="1" applyFill="1" applyBorder="1" applyAlignment="1">
      <alignment vertical="center"/>
    </xf>
    <xf numFmtId="9" fontId="20" fillId="20" borderId="16" xfId="33" applyNumberFormat="1" applyFont="1" applyFill="1" applyBorder="1" applyAlignment="1">
      <alignment vertical="center"/>
    </xf>
    <xf numFmtId="165" fontId="0" fillId="20" borderId="4" xfId="0" applyNumberFormat="1" applyFill="1" applyBorder="1"/>
    <xf numFmtId="165" fontId="0" fillId="20" borderId="13" xfId="0" applyNumberFormat="1" applyFill="1" applyBorder="1"/>
    <xf numFmtId="165" fontId="0" fillId="20" borderId="18" xfId="0" applyNumberFormat="1" applyFill="1" applyBorder="1"/>
    <xf numFmtId="165" fontId="0" fillId="20" borderId="19" xfId="0" applyNumberFormat="1" applyFill="1" applyBorder="1"/>
    <xf numFmtId="0" fontId="10" fillId="22" borderId="4" xfId="2" applyFont="1" applyFill="1" applyBorder="1"/>
    <xf numFmtId="0" fontId="29" fillId="0" borderId="4" xfId="2" applyFont="1" applyBorder="1"/>
    <xf numFmtId="164" fontId="3" fillId="20" borderId="13" xfId="0" applyNumberFormat="1" applyFont="1" applyFill="1" applyBorder="1" applyAlignment="1">
      <alignment wrapText="1"/>
    </xf>
    <xf numFmtId="164" fontId="3" fillId="20" borderId="19" xfId="0" applyNumberFormat="1" applyFont="1" applyFill="1" applyBorder="1" applyAlignment="1">
      <alignment wrapText="1"/>
    </xf>
    <xf numFmtId="164" fontId="3" fillId="21" borderId="4" xfId="0" applyNumberFormat="1" applyFont="1" applyFill="1" applyBorder="1" applyAlignment="1">
      <alignment wrapText="1"/>
    </xf>
    <xf numFmtId="164" fontId="3" fillId="21" borderId="15" xfId="0" applyNumberFormat="1" applyFont="1" applyFill="1" applyBorder="1" applyAlignment="1">
      <alignment wrapText="1"/>
    </xf>
    <xf numFmtId="164" fontId="3" fillId="21" borderId="16" xfId="0" applyNumberFormat="1" applyFont="1" applyFill="1" applyBorder="1" applyAlignment="1">
      <alignment wrapText="1"/>
    </xf>
    <xf numFmtId="43" fontId="3" fillId="22" borderId="15" xfId="1" applyNumberFormat="1" applyFont="1" applyFill="1" applyBorder="1" applyAlignment="1">
      <alignment wrapText="1"/>
    </xf>
    <xf numFmtId="43" fontId="4" fillId="22" borderId="7" xfId="1" applyNumberFormat="1" applyFont="1" applyFill="1" applyBorder="1" applyAlignment="1">
      <alignment wrapText="1"/>
    </xf>
    <xf numFmtId="0" fontId="31" fillId="0" borderId="0" xfId="2" applyFont="1"/>
    <xf numFmtId="0" fontId="3" fillId="0" borderId="0" xfId="33" applyFont="1" applyBorder="1" applyAlignment="1">
      <alignment vertical="center"/>
    </xf>
    <xf numFmtId="0" fontId="31" fillId="0" borderId="0" xfId="2" applyFont="1" applyAlignment="1">
      <alignment wrapText="1"/>
    </xf>
    <xf numFmtId="167" fontId="20" fillId="22" borderId="19" xfId="33" applyNumberFormat="1" applyFont="1" applyFill="1" applyBorder="1" applyAlignment="1">
      <alignment horizontal="right" vertical="center"/>
    </xf>
    <xf numFmtId="0" fontId="20" fillId="0" borderId="9" xfId="33" applyFont="1" applyBorder="1" applyAlignment="1">
      <alignment horizontal="center" vertical="center" wrapText="1"/>
    </xf>
    <xf numFmtId="167" fontId="30" fillId="21" borderId="11" xfId="33" applyNumberFormat="1" applyFont="1" applyFill="1" applyBorder="1" applyAlignment="1">
      <alignment horizontal="right" vertical="center"/>
    </xf>
    <xf numFmtId="0" fontId="20" fillId="0" borderId="17" xfId="33" applyFont="1" applyBorder="1" applyAlignment="1">
      <alignment horizontal="center" vertical="center" wrapText="1"/>
    </xf>
    <xf numFmtId="167" fontId="30" fillId="21" borderId="19" xfId="33" applyNumberFormat="1" applyFont="1" applyFill="1" applyBorder="1" applyAlignment="1">
      <alignment horizontal="right" vertical="center"/>
    </xf>
    <xf numFmtId="0" fontId="20" fillId="0" borderId="12" xfId="33" applyFont="1" applyBorder="1" applyAlignment="1">
      <alignment horizontal="center" vertical="center" wrapText="1"/>
    </xf>
    <xf numFmtId="173" fontId="20" fillId="21" borderId="13" xfId="33" applyNumberFormat="1" applyFont="1" applyFill="1" applyBorder="1" applyAlignment="1">
      <alignment horizontal="right" vertical="center"/>
    </xf>
    <xf numFmtId="173" fontId="20" fillId="21" borderId="4" xfId="33" applyNumberFormat="1" applyFont="1" applyFill="1" applyBorder="1" applyAlignment="1">
      <alignment horizontal="right" vertical="center"/>
    </xf>
    <xf numFmtId="173" fontId="20" fillId="22" borderId="4" xfId="33" applyNumberFormat="1" applyFont="1" applyFill="1" applyBorder="1" applyAlignment="1">
      <alignment horizontal="right" vertical="center"/>
    </xf>
    <xf numFmtId="173" fontId="20" fillId="22" borderId="18" xfId="33" applyNumberFormat="1" applyFont="1" applyFill="1" applyBorder="1" applyAlignment="1">
      <alignment horizontal="right" vertical="center"/>
    </xf>
    <xf numFmtId="0" fontId="21" fillId="18" borderId="20" xfId="33" applyFont="1" applyFill="1" applyBorder="1" applyAlignment="1">
      <alignment vertical="center" wrapText="1"/>
    </xf>
    <xf numFmtId="0" fontId="21" fillId="18" borderId="27" xfId="33" applyFont="1" applyFill="1" applyBorder="1" applyAlignment="1">
      <alignment vertical="center" wrapText="1"/>
    </xf>
    <xf numFmtId="0" fontId="21" fillId="18" borderId="28" xfId="33" applyFont="1" applyFill="1" applyBorder="1" applyAlignment="1">
      <alignment vertical="center" wrapText="1"/>
    </xf>
    <xf numFmtId="0" fontId="21" fillId="18" borderId="12" xfId="33" applyFont="1" applyFill="1" applyBorder="1" applyAlignment="1">
      <alignment vertical="center" wrapText="1"/>
    </xf>
    <xf numFmtId="0" fontId="21" fillId="18" borderId="4" xfId="33" applyFont="1" applyFill="1" applyBorder="1" applyAlignment="1">
      <alignment horizontal="center" vertical="center" wrapText="1"/>
    </xf>
    <xf numFmtId="0" fontId="21" fillId="18" borderId="13" xfId="33" applyFont="1" applyFill="1" applyBorder="1" applyAlignment="1">
      <alignment horizontal="center" vertical="center" wrapText="1"/>
    </xf>
    <xf numFmtId="0" fontId="26" fillId="18" borderId="9" xfId="0" applyFont="1" applyFill="1" applyBorder="1" applyAlignment="1">
      <alignment horizontal="center" vertical="center" wrapText="1"/>
    </xf>
    <xf numFmtId="0" fontId="26" fillId="18" borderId="10" xfId="0" applyFont="1" applyFill="1" applyBorder="1" applyAlignment="1">
      <alignment horizontal="center" vertical="center" wrapText="1"/>
    </xf>
    <xf numFmtId="0" fontId="26" fillId="18" borderId="11" xfId="0" applyFont="1" applyFill="1" applyBorder="1" applyAlignment="1">
      <alignment horizontal="center" vertical="center" wrapText="1"/>
    </xf>
    <xf numFmtId="0" fontId="3" fillId="0" borderId="17" xfId="0" applyFont="1" applyBorder="1"/>
    <xf numFmtId="164" fontId="3" fillId="21" borderId="18" xfId="0" applyNumberFormat="1" applyFont="1" applyFill="1" applyBorder="1" applyAlignment="1">
      <alignment wrapText="1"/>
    </xf>
    <xf numFmtId="164" fontId="3" fillId="22" borderId="18" xfId="0" applyNumberFormat="1" applyFont="1" applyFill="1" applyBorder="1" applyAlignment="1">
      <alignment wrapText="1"/>
    </xf>
    <xf numFmtId="0" fontId="26" fillId="18" borderId="14" xfId="0" applyFont="1" applyFill="1" applyBorder="1" applyAlignment="1">
      <alignment horizontal="center" vertical="center" wrapText="1"/>
    </xf>
    <xf numFmtId="43" fontId="3" fillId="22" borderId="16" xfId="1" applyNumberFormat="1" applyFont="1" applyFill="1" applyBorder="1" applyAlignment="1">
      <alignment wrapText="1"/>
    </xf>
    <xf numFmtId="0" fontId="27" fillId="18" borderId="9" xfId="0" applyFont="1" applyFill="1" applyBorder="1" applyAlignment="1">
      <alignment horizontal="centerContinuous" vertical="center"/>
    </xf>
    <xf numFmtId="0" fontId="27" fillId="18" borderId="10" xfId="0" applyFont="1" applyFill="1" applyBorder="1" applyAlignment="1">
      <alignment horizontal="centerContinuous" vertical="center"/>
    </xf>
    <xf numFmtId="0" fontId="27" fillId="18" borderId="11" xfId="0" applyFont="1" applyFill="1" applyBorder="1" applyAlignment="1">
      <alignment horizontal="centerContinuous" vertical="center"/>
    </xf>
    <xf numFmtId="0" fontId="26" fillId="18" borderId="12" xfId="0" applyFont="1" applyFill="1" applyBorder="1" applyAlignment="1">
      <alignment horizontal="center" vertical="center" wrapText="1"/>
    </xf>
    <xf numFmtId="0" fontId="26" fillId="18" borderId="4" xfId="0" applyFont="1" applyFill="1" applyBorder="1" applyAlignment="1">
      <alignment horizontal="center" vertical="center" wrapText="1"/>
    </xf>
    <xf numFmtId="0" fontId="26" fillId="18" borderId="13" xfId="0" applyFont="1" applyFill="1" applyBorder="1" applyAlignment="1">
      <alignment horizontal="center" vertical="center" wrapText="1"/>
    </xf>
    <xf numFmtId="4" fontId="20" fillId="22" borderId="4" xfId="33" applyNumberFormat="1" applyFont="1" applyFill="1" applyBorder="1" applyAlignment="1">
      <alignment horizontal="right" vertical="center"/>
    </xf>
    <xf numFmtId="4" fontId="20" fillId="22" borderId="18" xfId="33" applyNumberFormat="1" applyFont="1" applyFill="1" applyBorder="1" applyAlignment="1">
      <alignment horizontal="right" vertical="center"/>
    </xf>
    <xf numFmtId="0" fontId="27" fillId="18" borderId="9" xfId="0" applyFont="1" applyFill="1" applyBorder="1" applyAlignment="1">
      <alignment horizontal="centerContinuous" vertical="center" wrapText="1"/>
    </xf>
    <xf numFmtId="0" fontId="27" fillId="18" borderId="11" xfId="0" applyFont="1" applyFill="1" applyBorder="1" applyAlignment="1">
      <alignment horizontal="centerContinuous" vertical="center" wrapText="1"/>
    </xf>
    <xf numFmtId="0" fontId="26" fillId="18" borderId="15" xfId="0" applyFont="1" applyFill="1" applyBorder="1" applyAlignment="1">
      <alignment horizontal="center" vertical="center" wrapText="1"/>
    </xf>
    <xf numFmtId="0" fontId="1" fillId="0" borderId="12" xfId="2" applyBorder="1"/>
    <xf numFmtId="0" fontId="1" fillId="0" borderId="17" xfId="2" applyBorder="1"/>
    <xf numFmtId="164" fontId="3" fillId="20" borderId="4" xfId="0" applyNumberFormat="1" applyFont="1" applyFill="1" applyBorder="1" applyAlignment="1">
      <alignment wrapText="1"/>
    </xf>
    <xf numFmtId="164" fontId="3" fillId="20" borderId="18" xfId="0" applyNumberFormat="1" applyFont="1" applyFill="1" applyBorder="1" applyAlignment="1">
      <alignment wrapText="1"/>
    </xf>
  </cellXfs>
  <cellStyles count="34">
    <cellStyle name="Column 1" xfId="30"/>
    <cellStyle name="Column 2 + 3" xfId="31"/>
    <cellStyle name="Column 4" xfId="32"/>
    <cellStyle name="Comma" xfId="1" builtinId="3"/>
    <cellStyle name="Comma 2" xfId="5"/>
    <cellStyle name="Counterflow" xfId="18"/>
    <cellStyle name="DateLong" xfId="24"/>
    <cellStyle name="DateShort" xfId="25"/>
    <cellStyle name="Documentation" xfId="23"/>
    <cellStyle name="Export" xfId="20"/>
    <cellStyle name="Factor" xfId="26"/>
    <cellStyle name="Hard coded" xfId="21"/>
    <cellStyle name="Import" xfId="19"/>
    <cellStyle name="Level 1 Heading" xfId="27"/>
    <cellStyle name="Level 2 Heading" xfId="28"/>
    <cellStyle name="Level 3 Heading" xfId="29"/>
    <cellStyle name="Normal" xfId="0" builtinId="0"/>
    <cellStyle name="Normal 2" xfId="2"/>
    <cellStyle name="Normal 2 2" xfId="3"/>
    <cellStyle name="Normal 3" xfId="33"/>
    <cellStyle name="Normal 4" xfId="4"/>
    <cellStyle name="Pantone 130C" xfId="11"/>
    <cellStyle name="Pantone 179C" xfId="16"/>
    <cellStyle name="Pantone 232C" xfId="15"/>
    <cellStyle name="Pantone 2745C" xfId="14"/>
    <cellStyle name="Pantone 279C" xfId="9"/>
    <cellStyle name="Pantone 281C" xfId="8"/>
    <cellStyle name="Pantone 451C" xfId="10"/>
    <cellStyle name="Pantone 583C" xfId="13"/>
    <cellStyle name="Pantone 633C" xfId="12"/>
    <cellStyle name="Percent [0]" xfId="22"/>
    <cellStyle name="Percent 2" xfId="6"/>
    <cellStyle name="Warning Text 2" xfId="7"/>
    <cellStyle name="WIP" xfId="17"/>
  </cellStyles>
  <dxfs count="1">
    <dxf>
      <font>
        <strike val="0"/>
        <color theme="0"/>
      </font>
      <fill>
        <patternFill>
          <bgColor rgb="FFFE4819"/>
        </patternFill>
      </fill>
    </dxf>
  </dxfs>
  <tableStyles count="0" defaultTableStyle="TableStyleMedium2" defaultPivotStyle="PivotStyleLight16"/>
  <colors>
    <mruColors>
      <color rgb="FFF2BFE0"/>
      <color rgb="FFF4AA00"/>
      <color rgb="FFCA0083"/>
      <color rgb="FF857362"/>
      <color rgb="FF0078C9"/>
      <color rgb="FF003479"/>
      <color rgb="FFFE4819"/>
      <color rgb="FFBFDDF1"/>
      <color rgb="FFFCEAB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wat">
  <a:themeElements>
    <a:clrScheme name="Ofwa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2664"/>
      </a:accent1>
      <a:accent2>
        <a:srgbClr val="4B92DB"/>
      </a:accent2>
      <a:accent3>
        <a:srgbClr val="F0AB00"/>
      </a:accent3>
      <a:accent4>
        <a:srgbClr val="007EA3"/>
      </a:accent4>
      <a:accent5>
        <a:srgbClr val="A8B400"/>
      </a:accent5>
      <a:accent6>
        <a:srgbClr val="EA3BAE"/>
      </a:accent6>
      <a:hlink>
        <a:srgbClr val="4B92DB"/>
      </a:hlink>
      <a:folHlink>
        <a:srgbClr val="240078"/>
      </a:folHlink>
    </a:clrScheme>
    <a:fontScheme name="Ofwat">
      <a:majorFont>
        <a:latin typeface="Arial Rounded MT Bold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8C9"/>
  </sheetPr>
  <dimension ref="B1:O10"/>
  <sheetViews>
    <sheetView showGridLines="0" tabSelected="1" zoomScaleNormal="100" workbookViewId="0"/>
  </sheetViews>
  <sheetFormatPr defaultRowHeight="14.25" x14ac:dyDescent="0.2"/>
  <cols>
    <col min="1" max="1" width="1.375" customWidth="1"/>
    <col min="2" max="2" width="20.75" bestFit="1" customWidth="1"/>
    <col min="3" max="3" width="14.75" customWidth="1"/>
    <col min="4" max="4" width="12" customWidth="1"/>
    <col min="5" max="5" width="15.625" bestFit="1" customWidth="1"/>
    <col min="6" max="6" width="19.75" bestFit="1" customWidth="1"/>
  </cols>
  <sheetData>
    <row r="1" spans="2:15" ht="20.25" x14ac:dyDescent="0.2">
      <c r="B1" s="25" t="s">
        <v>116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27"/>
      <c r="O1" s="28"/>
    </row>
    <row r="3" spans="2:15" x14ac:dyDescent="0.2">
      <c r="B3" t="s">
        <v>117</v>
      </c>
    </row>
    <row r="4" spans="2:15" x14ac:dyDescent="0.2">
      <c r="B4" t="s">
        <v>70</v>
      </c>
    </row>
    <row r="5" spans="2:15" ht="15" thickBot="1" x14ac:dyDescent="0.25"/>
    <row r="6" spans="2:15" ht="15.75" thickBot="1" x14ac:dyDescent="0.3">
      <c r="B6" s="45" t="s">
        <v>71</v>
      </c>
    </row>
    <row r="7" spans="2:15" x14ac:dyDescent="0.2">
      <c r="B7" s="44" t="s">
        <v>72</v>
      </c>
    </row>
    <row r="8" spans="2:15" x14ac:dyDescent="0.2">
      <c r="B8" s="41" t="s">
        <v>73</v>
      </c>
    </row>
    <row r="9" spans="2:15" x14ac:dyDescent="0.2">
      <c r="B9" s="42" t="s">
        <v>74</v>
      </c>
    </row>
    <row r="10" spans="2:15" ht="15" thickBot="1" x14ac:dyDescent="0.25">
      <c r="B10" s="43" t="s">
        <v>75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A0083"/>
  </sheetPr>
  <dimension ref="B1:N111"/>
  <sheetViews>
    <sheetView showGridLines="0" zoomScale="68" zoomScaleNormal="68" workbookViewId="0">
      <selection activeCell="B14" sqref="B14"/>
    </sheetView>
  </sheetViews>
  <sheetFormatPr defaultRowHeight="14.25" x14ac:dyDescent="0.2"/>
  <cols>
    <col min="1" max="1" width="1.375" style="16" customWidth="1"/>
    <col min="2" max="2" width="20.75" style="16" bestFit="1" customWidth="1"/>
    <col min="3" max="8" width="12" style="16" customWidth="1"/>
    <col min="9" max="9" width="2.5" style="16" customWidth="1"/>
    <col min="10" max="12" width="12" style="16" customWidth="1"/>
    <col min="13" max="13" width="2.5" style="16" customWidth="1"/>
    <col min="14" max="17" width="12" style="16" customWidth="1"/>
    <col min="18" max="18" width="2.5" style="16" customWidth="1"/>
    <col min="19" max="19" width="12" style="16" customWidth="1"/>
    <col min="20" max="20" width="2.5" style="16" customWidth="1"/>
    <col min="21" max="21" width="12" style="16" customWidth="1"/>
    <col min="22" max="16384" width="9" style="16"/>
  </cols>
  <sheetData>
    <row r="1" spans="2:14" customFormat="1" ht="20.25" x14ac:dyDescent="0.2">
      <c r="B1" s="25" t="s">
        <v>91</v>
      </c>
      <c r="C1" s="25"/>
      <c r="D1" s="25"/>
      <c r="E1" s="25"/>
      <c r="F1" s="25"/>
      <c r="G1" s="25"/>
      <c r="H1" s="25"/>
      <c r="I1" s="25"/>
      <c r="J1" s="25"/>
      <c r="K1" s="25"/>
      <c r="L1" s="26"/>
      <c r="M1" s="27"/>
      <c r="N1" s="28"/>
    </row>
    <row r="2" spans="2:14" s="90" customFormat="1" ht="12.75" x14ac:dyDescent="0.2">
      <c r="B2" s="90" t="s">
        <v>64</v>
      </c>
      <c r="J2" s="91"/>
    </row>
    <row r="3" spans="2:14" s="90" customFormat="1" ht="12.75" x14ac:dyDescent="0.2">
      <c r="B3" s="90" t="s">
        <v>112</v>
      </c>
      <c r="J3" s="91"/>
    </row>
    <row r="4" spans="2:14" s="90" customFormat="1" ht="12.75" x14ac:dyDescent="0.2">
      <c r="B4" s="90" t="s">
        <v>113</v>
      </c>
      <c r="J4" s="91"/>
    </row>
    <row r="5" spans="2:14" s="90" customFormat="1" ht="13.5" thickBot="1" x14ac:dyDescent="0.25">
      <c r="B5" s="92"/>
    </row>
    <row r="6" spans="2:14" x14ac:dyDescent="0.2">
      <c r="B6" s="109"/>
      <c r="C6" s="118" t="s">
        <v>87</v>
      </c>
      <c r="D6" s="118"/>
      <c r="E6" s="118"/>
      <c r="F6" s="118"/>
      <c r="G6" s="119"/>
    </row>
    <row r="7" spans="2:14" ht="25.5" x14ac:dyDescent="0.2">
      <c r="B7" s="120"/>
      <c r="C7" s="121" t="s">
        <v>51</v>
      </c>
      <c r="D7" s="121" t="s">
        <v>84</v>
      </c>
      <c r="E7" s="121" t="s">
        <v>54</v>
      </c>
      <c r="F7" s="121" t="s">
        <v>85</v>
      </c>
      <c r="G7" s="122" t="s">
        <v>86</v>
      </c>
    </row>
    <row r="8" spans="2:14" x14ac:dyDescent="0.2">
      <c r="B8" s="128" t="s">
        <v>18</v>
      </c>
      <c r="C8" s="77">
        <v>1446.7</v>
      </c>
      <c r="D8" s="77">
        <v>1503.2850000000001</v>
      </c>
      <c r="E8" s="77">
        <v>1392.258</v>
      </c>
      <c r="F8" s="77">
        <v>1505.722</v>
      </c>
      <c r="G8" s="78">
        <v>1390.0060000000001</v>
      </c>
      <c r="H8"/>
    </row>
    <row r="9" spans="2:14" x14ac:dyDescent="0.2">
      <c r="B9" s="128" t="s">
        <v>19</v>
      </c>
      <c r="C9" s="77">
        <v>1274.7529999999999</v>
      </c>
      <c r="D9" s="77">
        <v>1322.8689999999999</v>
      </c>
      <c r="E9" s="77">
        <v>1228.3969999999999</v>
      </c>
      <c r="F9" s="77">
        <v>1324.94</v>
      </c>
      <c r="G9" s="78">
        <v>1226.4780000000001</v>
      </c>
      <c r="H9"/>
    </row>
    <row r="10" spans="2:14" x14ac:dyDescent="0.2">
      <c r="B10" s="128" t="s">
        <v>20</v>
      </c>
      <c r="C10" s="77">
        <v>1356.664</v>
      </c>
      <c r="D10" s="77">
        <v>1407.6880000000001</v>
      </c>
      <c r="E10" s="77">
        <v>1307.5719999999999</v>
      </c>
      <c r="F10" s="77">
        <v>1409.885</v>
      </c>
      <c r="G10" s="78">
        <v>1305.5409999999999</v>
      </c>
      <c r="H10"/>
    </row>
    <row r="11" spans="2:14" x14ac:dyDescent="0.2">
      <c r="B11" s="128" t="s">
        <v>21</v>
      </c>
      <c r="C11" s="77">
        <v>2466</v>
      </c>
      <c r="D11" s="77">
        <v>2548.5889999999999</v>
      </c>
      <c r="E11" s="77">
        <v>2386.1439999999998</v>
      </c>
      <c r="F11" s="77">
        <v>2552.136</v>
      </c>
      <c r="G11" s="78">
        <v>2382.8319999999999</v>
      </c>
      <c r="H11"/>
    </row>
    <row r="12" spans="2:14" x14ac:dyDescent="0.2">
      <c r="B12" s="128" t="s">
        <v>22</v>
      </c>
      <c r="C12" s="77">
        <v>789.08109999999999</v>
      </c>
      <c r="D12" s="77">
        <v>820.36509999999998</v>
      </c>
      <c r="E12" s="77">
        <v>759.00639999999999</v>
      </c>
      <c r="F12" s="77">
        <v>821.71310000000005</v>
      </c>
      <c r="G12" s="78">
        <v>757.76279999999997</v>
      </c>
      <c r="H12"/>
    </row>
    <row r="13" spans="2:14" x14ac:dyDescent="0.2">
      <c r="B13" s="128" t="s">
        <v>23</v>
      </c>
      <c r="C13" s="77">
        <v>676.73820000000001</v>
      </c>
      <c r="D13" s="77">
        <v>708.66660000000002</v>
      </c>
      <c r="E13" s="77">
        <v>646.25199999999995</v>
      </c>
      <c r="F13" s="77">
        <v>710.04719999999998</v>
      </c>
      <c r="G13" s="78">
        <v>644.99580000000003</v>
      </c>
      <c r="H13"/>
    </row>
    <row r="14" spans="2:14" x14ac:dyDescent="0.2">
      <c r="B14" s="128" t="s">
        <v>24</v>
      </c>
      <c r="C14" s="77">
        <v>3785.442</v>
      </c>
      <c r="D14" s="77">
        <v>3945.5120000000002</v>
      </c>
      <c r="E14" s="77">
        <v>3631.9009999999998</v>
      </c>
      <c r="F14" s="77">
        <v>3952.4169999999999</v>
      </c>
      <c r="G14" s="78">
        <v>3625.5590000000002</v>
      </c>
      <c r="H14"/>
    </row>
    <row r="15" spans="2:14" x14ac:dyDescent="0.2">
      <c r="B15" s="128" t="s">
        <v>25</v>
      </c>
      <c r="C15" s="77">
        <v>2111.3519999999999</v>
      </c>
      <c r="D15" s="77">
        <v>2188.9810000000002</v>
      </c>
      <c r="E15" s="77">
        <v>2036.5050000000001</v>
      </c>
      <c r="F15" s="77">
        <v>2192.3209999999999</v>
      </c>
      <c r="G15" s="78">
        <v>2033.405</v>
      </c>
      <c r="H15"/>
    </row>
    <row r="16" spans="2:14" x14ac:dyDescent="0.2">
      <c r="B16" s="128" t="s">
        <v>26</v>
      </c>
      <c r="C16" s="77">
        <v>506.53230000000002</v>
      </c>
      <c r="D16" s="77">
        <v>528.38810000000001</v>
      </c>
      <c r="E16" s="77">
        <v>485.58600000000001</v>
      </c>
      <c r="F16" s="77">
        <v>529.33119999999997</v>
      </c>
      <c r="G16" s="78">
        <v>484.72120000000001</v>
      </c>
      <c r="H16"/>
    </row>
    <row r="17" spans="2:8" x14ac:dyDescent="0.2">
      <c r="B17" s="128" t="s">
        <v>27</v>
      </c>
      <c r="C17" s="77">
        <v>1394.1289999999999</v>
      </c>
      <c r="D17" s="77">
        <v>1445.9090000000001</v>
      </c>
      <c r="E17" s="77">
        <v>1344.2270000000001</v>
      </c>
      <c r="F17" s="77">
        <v>1448.1369999999999</v>
      </c>
      <c r="G17" s="78">
        <v>1342.1610000000001</v>
      </c>
      <c r="H17"/>
    </row>
    <row r="18" spans="2:8" x14ac:dyDescent="0.2">
      <c r="B18" s="128" t="s">
        <v>28</v>
      </c>
      <c r="C18" s="77">
        <v>921.06349999999998</v>
      </c>
      <c r="D18" s="77">
        <v>956.84529999999995</v>
      </c>
      <c r="E18" s="77">
        <v>886.62490000000003</v>
      </c>
      <c r="F18" s="77">
        <v>958.38599999999997</v>
      </c>
      <c r="G18" s="78">
        <v>885.2</v>
      </c>
      <c r="H18"/>
    </row>
    <row r="19" spans="2:8" x14ac:dyDescent="0.2">
      <c r="B19" s="128" t="s">
        <v>29</v>
      </c>
      <c r="C19" s="77">
        <v>354.0652</v>
      </c>
      <c r="D19" s="77">
        <v>367.21100000000001</v>
      </c>
      <c r="E19" s="77">
        <v>341.39170000000001</v>
      </c>
      <c r="F19" s="77">
        <v>367.77659999999997</v>
      </c>
      <c r="G19" s="78">
        <v>340.86680000000001</v>
      </c>
      <c r="H19"/>
    </row>
    <row r="20" spans="2:8" x14ac:dyDescent="0.2">
      <c r="B20" s="128" t="s">
        <v>30</v>
      </c>
      <c r="C20" s="77">
        <v>76.359939999999995</v>
      </c>
      <c r="D20" s="77">
        <v>79.659189999999995</v>
      </c>
      <c r="E20" s="77">
        <v>73.198059999999998</v>
      </c>
      <c r="F20" s="77">
        <v>79.801569999999998</v>
      </c>
      <c r="G20" s="78">
        <v>73.067530000000005</v>
      </c>
      <c r="H20"/>
    </row>
    <row r="21" spans="2:8" x14ac:dyDescent="0.2">
      <c r="B21" s="128" t="s">
        <v>31</v>
      </c>
      <c r="C21" s="77">
        <v>135.09030000000001</v>
      </c>
      <c r="D21" s="77">
        <v>140.68899999999999</v>
      </c>
      <c r="E21" s="77">
        <v>129.71789999999999</v>
      </c>
      <c r="F21" s="77">
        <v>140.93049999999999</v>
      </c>
      <c r="G21" s="78">
        <v>129.49590000000001</v>
      </c>
      <c r="H21"/>
    </row>
    <row r="22" spans="2:8" x14ac:dyDescent="0.2">
      <c r="B22" s="128" t="s">
        <v>32</v>
      </c>
      <c r="C22" s="77">
        <v>121.9616</v>
      </c>
      <c r="D22" s="77">
        <v>126.9759</v>
      </c>
      <c r="E22" s="77">
        <v>117.146</v>
      </c>
      <c r="F22" s="77">
        <v>127.19199999999999</v>
      </c>
      <c r="G22" s="78">
        <v>116.947</v>
      </c>
      <c r="H22"/>
    </row>
    <row r="23" spans="2:8" x14ac:dyDescent="0.2">
      <c r="B23" s="128" t="s">
        <v>33</v>
      </c>
      <c r="C23" s="77">
        <v>656.42769999999996</v>
      </c>
      <c r="D23" s="77">
        <v>685.10339999999997</v>
      </c>
      <c r="E23" s="77">
        <v>628.96360000000004</v>
      </c>
      <c r="F23" s="77">
        <v>686.34130000000005</v>
      </c>
      <c r="G23" s="78">
        <v>627.83019999999999</v>
      </c>
      <c r="H23"/>
    </row>
    <row r="24" spans="2:8" x14ac:dyDescent="0.2">
      <c r="B24" s="128" t="s">
        <v>34</v>
      </c>
      <c r="C24" s="77">
        <v>356.96249999999998</v>
      </c>
      <c r="D24" s="77">
        <v>372.69029999999998</v>
      </c>
      <c r="E24" s="77">
        <v>341.90519999999998</v>
      </c>
      <c r="F24" s="77">
        <v>373.36939999999998</v>
      </c>
      <c r="G24" s="78">
        <v>341.28390000000002</v>
      </c>
      <c r="H24"/>
    </row>
    <row r="25" spans="2:8" ht="15" thickBot="1" x14ac:dyDescent="0.25">
      <c r="B25" s="129" t="s">
        <v>35</v>
      </c>
      <c r="C25" s="79">
        <v>203.06010000000001</v>
      </c>
      <c r="D25" s="79">
        <v>211.46440000000001</v>
      </c>
      <c r="E25" s="79">
        <v>194.99090000000001</v>
      </c>
      <c r="F25" s="79">
        <v>211.82669999999999</v>
      </c>
      <c r="G25" s="80">
        <v>194.6574</v>
      </c>
      <c r="H25"/>
    </row>
    <row r="26" spans="2:8" ht="15" thickBot="1" x14ac:dyDescent="0.25">
      <c r="C26"/>
      <c r="D26"/>
      <c r="E26"/>
      <c r="F26"/>
      <c r="G26"/>
      <c r="H26"/>
    </row>
    <row r="27" spans="2:8" x14ac:dyDescent="0.2">
      <c r="B27" s="109"/>
      <c r="C27" s="118" t="s">
        <v>88</v>
      </c>
      <c r="D27" s="118"/>
      <c r="E27" s="118"/>
      <c r="F27" s="118"/>
      <c r="G27" s="119"/>
      <c r="H27"/>
    </row>
    <row r="28" spans="2:8" ht="25.5" x14ac:dyDescent="0.2">
      <c r="B28" s="120"/>
      <c r="C28" s="121" t="s">
        <v>51</v>
      </c>
      <c r="D28" s="121" t="s">
        <v>84</v>
      </c>
      <c r="E28" s="121" t="s">
        <v>54</v>
      </c>
      <c r="F28" s="121" t="s">
        <v>85</v>
      </c>
      <c r="G28" s="122" t="s">
        <v>86</v>
      </c>
      <c r="H28"/>
    </row>
    <row r="29" spans="2:8" x14ac:dyDescent="0.2">
      <c r="B29" s="128" t="s">
        <v>18</v>
      </c>
      <c r="C29" s="77">
        <v>1568.789</v>
      </c>
      <c r="D29" s="77">
        <v>1629.6310000000001</v>
      </c>
      <c r="E29" s="77">
        <v>1510.2249999999999</v>
      </c>
      <c r="F29" s="77">
        <v>1631.721</v>
      </c>
      <c r="G29" s="78">
        <v>1508.2909999999999</v>
      </c>
      <c r="H29"/>
    </row>
    <row r="30" spans="2:8" x14ac:dyDescent="0.2">
      <c r="B30" s="128" t="s">
        <v>19</v>
      </c>
      <c r="C30" s="77">
        <v>1234.623</v>
      </c>
      <c r="D30" s="77">
        <v>1285.3489999999999</v>
      </c>
      <c r="E30" s="77">
        <v>1185.9100000000001</v>
      </c>
      <c r="F30" s="77">
        <v>1287.0940000000001</v>
      </c>
      <c r="G30" s="78">
        <v>1184.3040000000001</v>
      </c>
      <c r="H30"/>
    </row>
    <row r="31" spans="2:8" x14ac:dyDescent="0.2">
      <c r="B31" s="128" t="s">
        <v>20</v>
      </c>
      <c r="C31" s="77">
        <v>1304.3330000000001</v>
      </c>
      <c r="D31" s="77">
        <v>1337.134</v>
      </c>
      <c r="E31" s="77">
        <v>1272.347</v>
      </c>
      <c r="F31" s="77">
        <v>1338.2529999999999</v>
      </c>
      <c r="G31" s="78">
        <v>1271.2840000000001</v>
      </c>
      <c r="H31"/>
    </row>
    <row r="32" spans="2:8" x14ac:dyDescent="0.2">
      <c r="B32" s="128" t="s">
        <v>21</v>
      </c>
      <c r="C32" s="77">
        <v>2418.489</v>
      </c>
      <c r="D32" s="77">
        <v>2507.837</v>
      </c>
      <c r="E32" s="77">
        <v>2332.3380000000002</v>
      </c>
      <c r="F32" s="77">
        <v>2510.904</v>
      </c>
      <c r="G32" s="78">
        <v>2329.491</v>
      </c>
      <c r="H32"/>
    </row>
    <row r="33" spans="2:8" x14ac:dyDescent="0.2">
      <c r="B33" s="128" t="s">
        <v>22</v>
      </c>
      <c r="C33" s="77">
        <v>784.09500000000003</v>
      </c>
      <c r="D33" s="77">
        <v>817.55880000000002</v>
      </c>
      <c r="E33" s="77">
        <v>752.01949999999999</v>
      </c>
      <c r="F33" s="77">
        <v>818.71079999999995</v>
      </c>
      <c r="G33" s="78">
        <v>750.96259999999995</v>
      </c>
      <c r="H33"/>
    </row>
    <row r="34" spans="2:8" x14ac:dyDescent="0.2">
      <c r="B34" s="128" t="s">
        <v>23</v>
      </c>
      <c r="C34" s="77">
        <v>683.28229999999996</v>
      </c>
      <c r="D34" s="77">
        <v>713.6345</v>
      </c>
      <c r="E34" s="77">
        <v>654.26570000000004</v>
      </c>
      <c r="F34" s="77">
        <v>714.68079999999998</v>
      </c>
      <c r="G34" s="78">
        <v>653.31089999999995</v>
      </c>
      <c r="H34"/>
    </row>
    <row r="35" spans="2:8" x14ac:dyDescent="0.2">
      <c r="B35" s="128" t="s">
        <v>24</v>
      </c>
      <c r="C35" s="77">
        <v>3732.2489999999998</v>
      </c>
      <c r="D35" s="77">
        <v>3931.19</v>
      </c>
      <c r="E35" s="77">
        <v>3543.4119999999998</v>
      </c>
      <c r="F35" s="77">
        <v>3938.0729999999999</v>
      </c>
      <c r="G35" s="78">
        <v>3537.2220000000002</v>
      </c>
      <c r="H35"/>
    </row>
    <row r="36" spans="2:8" x14ac:dyDescent="0.2">
      <c r="B36" s="128" t="s">
        <v>25</v>
      </c>
      <c r="C36" s="77">
        <v>2074.9760000000001</v>
      </c>
      <c r="D36" s="77">
        <v>2151.9349999999999</v>
      </c>
      <c r="E36" s="77">
        <v>2000.7840000000001</v>
      </c>
      <c r="F36" s="77">
        <v>2154.576</v>
      </c>
      <c r="G36" s="78">
        <v>1998.3320000000001</v>
      </c>
      <c r="H36"/>
    </row>
    <row r="37" spans="2:8" x14ac:dyDescent="0.2">
      <c r="B37" s="128" t="s">
        <v>26</v>
      </c>
      <c r="C37" s="77">
        <v>513.58630000000005</v>
      </c>
      <c r="D37" s="77">
        <v>541.41899999999998</v>
      </c>
      <c r="E37" s="77">
        <v>487.20519999999999</v>
      </c>
      <c r="F37" s="77">
        <v>542.38260000000002</v>
      </c>
      <c r="G37" s="78">
        <v>486.34109999999998</v>
      </c>
      <c r="H37"/>
    </row>
    <row r="38" spans="2:8" x14ac:dyDescent="0.2">
      <c r="B38" s="128" t="s">
        <v>27</v>
      </c>
      <c r="C38" s="77">
        <v>1490.73</v>
      </c>
      <c r="D38" s="77">
        <v>1534.9739999999999</v>
      </c>
      <c r="E38" s="77">
        <v>1447.778</v>
      </c>
      <c r="F38" s="77">
        <v>1536.4870000000001</v>
      </c>
      <c r="G38" s="78">
        <v>1446.3530000000001</v>
      </c>
      <c r="H38"/>
    </row>
    <row r="39" spans="2:8" x14ac:dyDescent="0.2">
      <c r="B39" s="128" t="s">
        <v>28</v>
      </c>
      <c r="C39" s="77">
        <v>1086.463</v>
      </c>
      <c r="D39" s="77">
        <v>1121.7650000000001</v>
      </c>
      <c r="E39" s="77">
        <v>1052.2750000000001</v>
      </c>
      <c r="F39" s="77">
        <v>1122.9739999999999</v>
      </c>
      <c r="G39" s="78">
        <v>1051.143</v>
      </c>
      <c r="H39"/>
    </row>
    <row r="40" spans="2:8" x14ac:dyDescent="0.2">
      <c r="B40" s="128" t="s">
        <v>29</v>
      </c>
      <c r="C40" s="77">
        <v>301.77229999999997</v>
      </c>
      <c r="D40" s="77">
        <v>312.25889999999998</v>
      </c>
      <c r="E40" s="77">
        <v>291.63929999999999</v>
      </c>
      <c r="F40" s="77">
        <v>312.61829999999998</v>
      </c>
      <c r="G40" s="78">
        <v>291.30410000000001</v>
      </c>
      <c r="H40"/>
    </row>
    <row r="41" spans="2:8" x14ac:dyDescent="0.2">
      <c r="B41" s="128" t="s">
        <v>30</v>
      </c>
      <c r="C41" s="77">
        <v>82.504130000000004</v>
      </c>
      <c r="D41" s="77">
        <v>86.747150000000005</v>
      </c>
      <c r="E41" s="77">
        <v>78.468779999999995</v>
      </c>
      <c r="F41" s="77">
        <v>86.893799999999999</v>
      </c>
      <c r="G41" s="78">
        <v>78.336359999999999</v>
      </c>
      <c r="H41"/>
    </row>
    <row r="42" spans="2:8" x14ac:dyDescent="0.2">
      <c r="B42" s="128" t="s">
        <v>31</v>
      </c>
      <c r="C42" s="77">
        <v>146.29349999999999</v>
      </c>
      <c r="D42" s="77">
        <v>152.96369999999999</v>
      </c>
      <c r="E42" s="77">
        <v>139.9143</v>
      </c>
      <c r="F42" s="77">
        <v>153.1936</v>
      </c>
      <c r="G42" s="78">
        <v>139.70439999999999</v>
      </c>
      <c r="H42"/>
    </row>
    <row r="43" spans="2:8" x14ac:dyDescent="0.2">
      <c r="B43" s="128" t="s">
        <v>32</v>
      </c>
      <c r="C43" s="77">
        <v>125.6756</v>
      </c>
      <c r="D43" s="77">
        <v>131.7159</v>
      </c>
      <c r="E43" s="77">
        <v>119.91370000000001</v>
      </c>
      <c r="F43" s="77">
        <v>131.92429999999999</v>
      </c>
      <c r="G43" s="78">
        <v>119.7243</v>
      </c>
      <c r="H43"/>
    </row>
    <row r="44" spans="2:8" x14ac:dyDescent="0.2">
      <c r="B44" s="128" t="s">
        <v>33</v>
      </c>
      <c r="C44" s="77">
        <v>720.46190000000001</v>
      </c>
      <c r="D44" s="77">
        <v>748.19119999999998</v>
      </c>
      <c r="E44" s="77">
        <v>693.77189999999996</v>
      </c>
      <c r="F44" s="77">
        <v>749.14369999999997</v>
      </c>
      <c r="G44" s="78">
        <v>692.89059999999995</v>
      </c>
      <c r="H44"/>
    </row>
    <row r="45" spans="2:8" x14ac:dyDescent="0.2">
      <c r="B45" s="128" t="s">
        <v>34</v>
      </c>
      <c r="C45" s="77">
        <v>394.9357</v>
      </c>
      <c r="D45" s="77">
        <v>408.90589999999997</v>
      </c>
      <c r="E45" s="77">
        <v>381.4461</v>
      </c>
      <c r="F45" s="77">
        <v>409.38499999999999</v>
      </c>
      <c r="G45" s="78">
        <v>380.99990000000003</v>
      </c>
      <c r="H45"/>
    </row>
    <row r="46" spans="2:8" ht="15" thickBot="1" x14ac:dyDescent="0.25">
      <c r="B46" s="129" t="s">
        <v>35</v>
      </c>
      <c r="C46" s="79">
        <v>180.69380000000001</v>
      </c>
      <c r="D46" s="79">
        <v>188.1174</v>
      </c>
      <c r="E46" s="79">
        <v>173.56450000000001</v>
      </c>
      <c r="F46" s="79">
        <v>188.37270000000001</v>
      </c>
      <c r="G46" s="80">
        <v>173.32939999999999</v>
      </c>
      <c r="H46"/>
    </row>
    <row r="47" spans="2:8" ht="15" thickBot="1" x14ac:dyDescent="0.25">
      <c r="C47"/>
      <c r="D47"/>
      <c r="E47"/>
      <c r="F47"/>
      <c r="G47"/>
      <c r="H47"/>
    </row>
    <row r="48" spans="2:8" x14ac:dyDescent="0.2">
      <c r="B48" s="109"/>
      <c r="C48" s="118" t="s">
        <v>89</v>
      </c>
      <c r="D48" s="118"/>
      <c r="E48" s="118"/>
      <c r="F48" s="118"/>
      <c r="G48" s="119"/>
      <c r="H48"/>
    </row>
    <row r="49" spans="2:8" ht="25.5" x14ac:dyDescent="0.2">
      <c r="B49" s="120"/>
      <c r="C49" s="121" t="s">
        <v>51</v>
      </c>
      <c r="D49" s="121" t="s">
        <v>84</v>
      </c>
      <c r="E49" s="121" t="s">
        <v>54</v>
      </c>
      <c r="F49" s="121" t="s">
        <v>85</v>
      </c>
      <c r="G49" s="122" t="s">
        <v>86</v>
      </c>
      <c r="H49"/>
    </row>
    <row r="50" spans="2:8" x14ac:dyDescent="0.2">
      <c r="B50" s="128" t="s">
        <v>18</v>
      </c>
      <c r="C50" s="77">
        <v>1603.4490000000001</v>
      </c>
      <c r="D50" s="77">
        <v>1707.7329999999999</v>
      </c>
      <c r="E50" s="77">
        <v>1505.5340000000001</v>
      </c>
      <c r="F50" s="77">
        <v>1711.462</v>
      </c>
      <c r="G50" s="78">
        <v>1502.2550000000001</v>
      </c>
      <c r="H50"/>
    </row>
    <row r="51" spans="2:8" x14ac:dyDescent="0.2">
      <c r="B51" s="128" t="s">
        <v>19</v>
      </c>
      <c r="C51" s="77">
        <v>1186.1289999999999</v>
      </c>
      <c r="D51" s="77">
        <v>1264.0329999999999</v>
      </c>
      <c r="E51" s="77">
        <v>1113.029</v>
      </c>
      <c r="F51" s="77">
        <v>1266.819</v>
      </c>
      <c r="G51" s="78">
        <v>1110.5809999999999</v>
      </c>
      <c r="H51"/>
    </row>
    <row r="52" spans="2:8" x14ac:dyDescent="0.2">
      <c r="B52" s="128" t="s">
        <v>20</v>
      </c>
      <c r="C52" s="77">
        <v>1309.1089999999999</v>
      </c>
      <c r="D52" s="77">
        <v>1362.492</v>
      </c>
      <c r="E52" s="77">
        <v>1257.819</v>
      </c>
      <c r="F52" s="77">
        <v>1364.3779999999999</v>
      </c>
      <c r="G52" s="78">
        <v>1256.0809999999999</v>
      </c>
      <c r="H52"/>
    </row>
    <row r="53" spans="2:8" x14ac:dyDescent="0.2">
      <c r="B53" s="128" t="s">
        <v>21</v>
      </c>
      <c r="C53" s="77">
        <v>2414.9969999999998</v>
      </c>
      <c r="D53" s="77">
        <v>2565.502</v>
      </c>
      <c r="E53" s="77">
        <v>2273.3240000000001</v>
      </c>
      <c r="F53" s="77">
        <v>2570.8760000000002</v>
      </c>
      <c r="G53" s="78">
        <v>2268.5720000000001</v>
      </c>
      <c r="H53"/>
    </row>
    <row r="54" spans="2:8" x14ac:dyDescent="0.2">
      <c r="B54" s="128" t="s">
        <v>22</v>
      </c>
      <c r="C54" s="77">
        <v>763.99379999999996</v>
      </c>
      <c r="D54" s="77">
        <v>810.98789999999997</v>
      </c>
      <c r="E54" s="77">
        <v>719.72360000000003</v>
      </c>
      <c r="F54" s="77">
        <v>812.66520000000003</v>
      </c>
      <c r="G54" s="78">
        <v>718.23820000000001</v>
      </c>
      <c r="H54"/>
    </row>
    <row r="55" spans="2:8" x14ac:dyDescent="0.2">
      <c r="B55" s="128" t="s">
        <v>23</v>
      </c>
      <c r="C55" s="77">
        <v>711.27290000000005</v>
      </c>
      <c r="D55" s="77">
        <v>748.55100000000004</v>
      </c>
      <c r="E55" s="77">
        <v>675.86320000000001</v>
      </c>
      <c r="F55" s="77">
        <v>749.87599999999998</v>
      </c>
      <c r="G55" s="78">
        <v>674.66989999999998</v>
      </c>
      <c r="H55"/>
    </row>
    <row r="56" spans="2:8" x14ac:dyDescent="0.2">
      <c r="B56" s="128" t="s">
        <v>24</v>
      </c>
      <c r="C56" s="77">
        <v>3704.94</v>
      </c>
      <c r="D56" s="77">
        <v>4071.2959999999998</v>
      </c>
      <c r="E56" s="77">
        <v>3371.578</v>
      </c>
      <c r="F56" s="77">
        <v>4084.607</v>
      </c>
      <c r="G56" s="78">
        <v>3360.5929999999998</v>
      </c>
      <c r="H56"/>
    </row>
    <row r="57" spans="2:8" x14ac:dyDescent="0.2">
      <c r="B57" s="128" t="s">
        <v>25</v>
      </c>
      <c r="C57" s="77">
        <v>2129.7040000000002</v>
      </c>
      <c r="D57" s="77">
        <v>2248.395</v>
      </c>
      <c r="E57" s="77">
        <v>2017.279</v>
      </c>
      <c r="F57" s="77">
        <v>2252.62</v>
      </c>
      <c r="G57" s="78">
        <v>2013.4960000000001</v>
      </c>
      <c r="H57"/>
    </row>
    <row r="58" spans="2:8" x14ac:dyDescent="0.2">
      <c r="B58" s="128" t="s">
        <v>26</v>
      </c>
      <c r="C58" s="77">
        <v>539.68809999999996</v>
      </c>
      <c r="D58" s="77">
        <v>583.53089999999997</v>
      </c>
      <c r="E58" s="77">
        <v>499.16309999999999</v>
      </c>
      <c r="F58" s="77">
        <v>585.11109999999996</v>
      </c>
      <c r="G58" s="78">
        <v>497.81670000000003</v>
      </c>
      <c r="H58"/>
    </row>
    <row r="59" spans="2:8" x14ac:dyDescent="0.2">
      <c r="B59" s="128" t="s">
        <v>27</v>
      </c>
      <c r="C59" s="77">
        <v>1493.758</v>
      </c>
      <c r="D59" s="77">
        <v>1556.604</v>
      </c>
      <c r="E59" s="77">
        <v>1433.45</v>
      </c>
      <c r="F59" s="77">
        <v>1558.826</v>
      </c>
      <c r="G59" s="78">
        <v>1431.4059999999999</v>
      </c>
      <c r="H59"/>
    </row>
    <row r="60" spans="2:8" x14ac:dyDescent="0.2">
      <c r="B60" s="128" t="s">
        <v>28</v>
      </c>
      <c r="C60" s="77">
        <v>1060.8889999999999</v>
      </c>
      <c r="D60" s="77">
        <v>1112.914</v>
      </c>
      <c r="E60" s="77">
        <v>1011.298</v>
      </c>
      <c r="F60" s="77">
        <v>1114.759</v>
      </c>
      <c r="G60" s="78">
        <v>1009.623</v>
      </c>
      <c r="H60"/>
    </row>
    <row r="61" spans="2:8" x14ac:dyDescent="0.2">
      <c r="B61" s="128" t="s">
        <v>29</v>
      </c>
      <c r="C61" s="77">
        <v>296.45569999999998</v>
      </c>
      <c r="D61" s="77">
        <v>313.11739999999998</v>
      </c>
      <c r="E61" s="77">
        <v>280.68079999999998</v>
      </c>
      <c r="F61" s="77">
        <v>313.7106</v>
      </c>
      <c r="G61" s="78">
        <v>280.15010000000001</v>
      </c>
      <c r="H61"/>
    </row>
    <row r="62" spans="2:8" x14ac:dyDescent="0.2">
      <c r="B62" s="128" t="s">
        <v>30</v>
      </c>
      <c r="C62" s="77">
        <v>82.751589999999993</v>
      </c>
      <c r="D62" s="77">
        <v>90.745469999999997</v>
      </c>
      <c r="E62" s="77">
        <v>75.462000000000003</v>
      </c>
      <c r="F62" s="77">
        <v>91.035570000000007</v>
      </c>
      <c r="G62" s="78">
        <v>75.221530000000001</v>
      </c>
      <c r="H62"/>
    </row>
    <row r="63" spans="2:8" x14ac:dyDescent="0.2">
      <c r="B63" s="128" t="s">
        <v>31</v>
      </c>
      <c r="C63" s="77">
        <v>148.18360000000001</v>
      </c>
      <c r="D63" s="77">
        <v>160.4102</v>
      </c>
      <c r="E63" s="77">
        <v>136.88939999999999</v>
      </c>
      <c r="F63" s="77">
        <v>160.851</v>
      </c>
      <c r="G63" s="78">
        <v>136.51429999999999</v>
      </c>
      <c r="H63"/>
    </row>
    <row r="64" spans="2:8" x14ac:dyDescent="0.2">
      <c r="B64" s="128" t="s">
        <v>32</v>
      </c>
      <c r="C64" s="77">
        <v>126.2574</v>
      </c>
      <c r="D64" s="77">
        <v>136.0926</v>
      </c>
      <c r="E64" s="77">
        <v>117.13330000000001</v>
      </c>
      <c r="F64" s="77">
        <v>136.44640000000001</v>
      </c>
      <c r="G64" s="78">
        <v>116.8296</v>
      </c>
      <c r="H64"/>
    </row>
    <row r="65" spans="2:8" x14ac:dyDescent="0.2">
      <c r="B65" s="128" t="s">
        <v>33</v>
      </c>
      <c r="C65" s="77">
        <v>730.31489999999997</v>
      </c>
      <c r="D65" s="77">
        <v>771.82249999999999</v>
      </c>
      <c r="E65" s="77">
        <v>691.04079999999999</v>
      </c>
      <c r="F65" s="77">
        <v>773.30070000000001</v>
      </c>
      <c r="G65" s="78">
        <v>689.71990000000005</v>
      </c>
      <c r="H65"/>
    </row>
    <row r="66" spans="2:8" x14ac:dyDescent="0.2">
      <c r="B66" s="128" t="s">
        <v>34</v>
      </c>
      <c r="C66" s="77">
        <v>387.99619999999999</v>
      </c>
      <c r="D66" s="77">
        <v>411.65530000000001</v>
      </c>
      <c r="E66" s="77">
        <v>365.69799999999998</v>
      </c>
      <c r="F66" s="77">
        <v>412.49959999999999</v>
      </c>
      <c r="G66" s="78">
        <v>364.94959999999998</v>
      </c>
      <c r="H66"/>
    </row>
    <row r="67" spans="2:8" ht="15" thickBot="1" x14ac:dyDescent="0.25">
      <c r="B67" s="129" t="s">
        <v>35</v>
      </c>
      <c r="C67" s="79">
        <v>180.12190000000001</v>
      </c>
      <c r="D67" s="79">
        <v>192.16890000000001</v>
      </c>
      <c r="E67" s="79">
        <v>168.83099999999999</v>
      </c>
      <c r="F67" s="79">
        <v>192.6</v>
      </c>
      <c r="G67" s="80">
        <v>168.45320000000001</v>
      </c>
      <c r="H67"/>
    </row>
    <row r="68" spans="2:8" ht="15" thickBot="1" x14ac:dyDescent="0.25">
      <c r="C68"/>
      <c r="D68"/>
      <c r="E68"/>
      <c r="F68"/>
      <c r="G68"/>
      <c r="H68"/>
    </row>
    <row r="69" spans="2:8" x14ac:dyDescent="0.2">
      <c r="B69" s="109"/>
      <c r="C69" s="118" t="s">
        <v>88</v>
      </c>
      <c r="D69" s="118"/>
      <c r="E69" s="118"/>
      <c r="F69" s="118"/>
      <c r="G69" s="119"/>
      <c r="H69"/>
    </row>
    <row r="70" spans="2:8" ht="25.5" x14ac:dyDescent="0.2">
      <c r="B70" s="120"/>
      <c r="C70" s="121" t="s">
        <v>51</v>
      </c>
      <c r="D70" s="121" t="s">
        <v>84</v>
      </c>
      <c r="E70" s="121" t="s">
        <v>54</v>
      </c>
      <c r="F70" s="121" t="s">
        <v>85</v>
      </c>
      <c r="G70" s="122" t="s">
        <v>86</v>
      </c>
      <c r="H70"/>
    </row>
    <row r="71" spans="2:8" x14ac:dyDescent="0.2">
      <c r="B71" s="128" t="s">
        <v>18</v>
      </c>
      <c r="C71" s="77">
        <v>1115.212</v>
      </c>
      <c r="D71" s="77">
        <v>1158.3009999999999</v>
      </c>
      <c r="E71" s="77">
        <v>1073.731</v>
      </c>
      <c r="F71" s="77">
        <v>1159.78</v>
      </c>
      <c r="G71" s="78">
        <v>1072.3610000000001</v>
      </c>
      <c r="H71"/>
    </row>
    <row r="72" spans="2:8" x14ac:dyDescent="0.2">
      <c r="B72" s="128" t="s">
        <v>19</v>
      </c>
      <c r="C72" s="77">
        <v>855.51139999999998</v>
      </c>
      <c r="D72" s="77">
        <v>890.55100000000004</v>
      </c>
      <c r="E72" s="77">
        <v>821.85839999999996</v>
      </c>
      <c r="F72" s="77">
        <v>891.75599999999997</v>
      </c>
      <c r="G72" s="78">
        <v>820.74839999999995</v>
      </c>
      <c r="H72"/>
    </row>
    <row r="73" spans="2:8" x14ac:dyDescent="0.2">
      <c r="B73" s="128" t="s">
        <v>20</v>
      </c>
      <c r="C73" s="77">
        <v>1020.235</v>
      </c>
      <c r="D73" s="77">
        <v>1045.8320000000001</v>
      </c>
      <c r="E73" s="77">
        <v>995.27200000000005</v>
      </c>
      <c r="F73" s="77">
        <v>1046.7049999999999</v>
      </c>
      <c r="G73" s="78">
        <v>994.44209999999998</v>
      </c>
      <c r="H73"/>
    </row>
    <row r="74" spans="2:8" x14ac:dyDescent="0.2">
      <c r="B74" s="128" t="s">
        <v>21</v>
      </c>
      <c r="C74" s="77">
        <v>1947.2270000000001</v>
      </c>
      <c r="D74" s="77">
        <v>2019.07</v>
      </c>
      <c r="E74" s="77">
        <v>1877.952</v>
      </c>
      <c r="F74" s="77">
        <v>2021.5350000000001</v>
      </c>
      <c r="G74" s="78">
        <v>1875.662</v>
      </c>
      <c r="H74"/>
    </row>
    <row r="75" spans="2:8" x14ac:dyDescent="0.2">
      <c r="B75" s="128" t="s">
        <v>22</v>
      </c>
      <c r="C75" s="77">
        <v>516.1617</v>
      </c>
      <c r="D75" s="77">
        <v>538.12210000000005</v>
      </c>
      <c r="E75" s="77">
        <v>495.1096</v>
      </c>
      <c r="F75" s="77">
        <v>538.87789999999995</v>
      </c>
      <c r="G75" s="78">
        <v>494.416</v>
      </c>
      <c r="H75"/>
    </row>
    <row r="76" spans="2:8" x14ac:dyDescent="0.2">
      <c r="B76" s="128" t="s">
        <v>23</v>
      </c>
      <c r="C76" s="77">
        <v>509.89699999999999</v>
      </c>
      <c r="D76" s="77">
        <v>532.38509999999997</v>
      </c>
      <c r="E76" s="77">
        <v>488.39210000000003</v>
      </c>
      <c r="F76" s="77">
        <v>533.16020000000003</v>
      </c>
      <c r="G76" s="78">
        <v>487.68430000000001</v>
      </c>
      <c r="H76"/>
    </row>
    <row r="77" spans="2:8" x14ac:dyDescent="0.2">
      <c r="B77" s="128" t="s">
        <v>24</v>
      </c>
      <c r="C77" s="77">
        <v>2238.2849999999999</v>
      </c>
      <c r="D77" s="77">
        <v>2357.41</v>
      </c>
      <c r="E77" s="77">
        <v>2125.203</v>
      </c>
      <c r="F77" s="77">
        <v>2361.5309999999999</v>
      </c>
      <c r="G77" s="78">
        <v>2121.4960000000001</v>
      </c>
      <c r="H77"/>
    </row>
    <row r="78" spans="2:8" x14ac:dyDescent="0.2">
      <c r="B78" s="128" t="s">
        <v>25</v>
      </c>
      <c r="C78" s="77">
        <v>1566.8969999999999</v>
      </c>
      <c r="D78" s="77">
        <v>1624.933</v>
      </c>
      <c r="E78" s="77">
        <v>1510.9449999999999</v>
      </c>
      <c r="F78" s="77">
        <v>1626.924</v>
      </c>
      <c r="G78" s="78">
        <v>1509.096</v>
      </c>
      <c r="H78"/>
    </row>
    <row r="79" spans="2:8" x14ac:dyDescent="0.2">
      <c r="B79" s="128" t="s">
        <v>26</v>
      </c>
      <c r="C79" s="77">
        <v>393.9402</v>
      </c>
      <c r="D79" s="77">
        <v>415.34210000000002</v>
      </c>
      <c r="E79" s="77">
        <v>373.65620000000001</v>
      </c>
      <c r="F79" s="77">
        <v>416.08319999999998</v>
      </c>
      <c r="G79" s="78">
        <v>372.99169999999998</v>
      </c>
      <c r="H79"/>
    </row>
    <row r="80" spans="2:8" x14ac:dyDescent="0.2">
      <c r="B80" s="128" t="s">
        <v>27</v>
      </c>
      <c r="C80" s="77">
        <v>1164.471</v>
      </c>
      <c r="D80" s="77">
        <v>1198.9169999999999</v>
      </c>
      <c r="E80" s="77">
        <v>1131.028</v>
      </c>
      <c r="F80" s="77">
        <v>1200.095</v>
      </c>
      <c r="G80" s="78">
        <v>1129.9179999999999</v>
      </c>
      <c r="H80"/>
    </row>
    <row r="81" spans="2:8" x14ac:dyDescent="0.2">
      <c r="B81" s="128" t="s">
        <v>28</v>
      </c>
      <c r="C81" s="77">
        <v>860.97900000000004</v>
      </c>
      <c r="D81" s="77">
        <v>888.87080000000003</v>
      </c>
      <c r="E81" s="77">
        <v>833.96519999999998</v>
      </c>
      <c r="F81" s="77">
        <v>889.82579999999996</v>
      </c>
      <c r="G81" s="78">
        <v>833.07039999999995</v>
      </c>
      <c r="H81"/>
    </row>
    <row r="82" spans="2:8" x14ac:dyDescent="0.2">
      <c r="B82" s="128" t="s">
        <v>29</v>
      </c>
      <c r="C82" s="77">
        <v>264.13060000000002</v>
      </c>
      <c r="D82" s="77">
        <v>273.28089999999997</v>
      </c>
      <c r="E82" s="77">
        <v>255.28800000000001</v>
      </c>
      <c r="F82" s="77">
        <v>273.59449999999998</v>
      </c>
      <c r="G82" s="78">
        <v>254.99539999999999</v>
      </c>
      <c r="H82"/>
    </row>
    <row r="83" spans="2:8" x14ac:dyDescent="0.2">
      <c r="B83" s="128" t="s">
        <v>30</v>
      </c>
      <c r="C83" s="77">
        <v>74.704179999999994</v>
      </c>
      <c r="D83" s="77">
        <v>78.535349999999994</v>
      </c>
      <c r="E83" s="77">
        <v>71.060040000000001</v>
      </c>
      <c r="F83" s="77">
        <v>78.667739999999995</v>
      </c>
      <c r="G83" s="78">
        <v>70.940470000000005</v>
      </c>
      <c r="H83"/>
    </row>
    <row r="84" spans="2:8" x14ac:dyDescent="0.2">
      <c r="B84" s="128" t="s">
        <v>31</v>
      </c>
      <c r="C84" s="77">
        <v>124.5128</v>
      </c>
      <c r="D84" s="77">
        <v>130.1788</v>
      </c>
      <c r="E84" s="77">
        <v>119.09350000000001</v>
      </c>
      <c r="F84" s="77">
        <v>130.374</v>
      </c>
      <c r="G84" s="78">
        <v>118.9152</v>
      </c>
      <c r="H84"/>
    </row>
    <row r="85" spans="2:8" x14ac:dyDescent="0.2">
      <c r="B85" s="128" t="s">
        <v>32</v>
      </c>
      <c r="C85" s="77">
        <v>103.801</v>
      </c>
      <c r="D85" s="77">
        <v>108.774</v>
      </c>
      <c r="E85" s="77">
        <v>99.0565</v>
      </c>
      <c r="F85" s="77">
        <v>108.9456</v>
      </c>
      <c r="G85" s="78">
        <v>98.900559999999999</v>
      </c>
      <c r="H85"/>
    </row>
    <row r="86" spans="2:8" x14ac:dyDescent="0.2">
      <c r="B86" s="128" t="s">
        <v>33</v>
      </c>
      <c r="C86" s="77">
        <v>547.52329999999995</v>
      </c>
      <c r="D86" s="77">
        <v>568.50350000000003</v>
      </c>
      <c r="E86" s="77">
        <v>527.32619999999997</v>
      </c>
      <c r="F86" s="77">
        <v>569.22410000000002</v>
      </c>
      <c r="G86" s="78">
        <v>526.65920000000006</v>
      </c>
      <c r="H86"/>
    </row>
    <row r="87" spans="2:8" x14ac:dyDescent="0.2">
      <c r="B87" s="128" t="s">
        <v>34</v>
      </c>
      <c r="C87" s="77">
        <v>338.64350000000002</v>
      </c>
      <c r="D87" s="77">
        <v>350.58760000000001</v>
      </c>
      <c r="E87" s="77">
        <v>327.10910000000001</v>
      </c>
      <c r="F87" s="77">
        <v>350.9973</v>
      </c>
      <c r="G87" s="78">
        <v>326.72750000000002</v>
      </c>
      <c r="H87"/>
    </row>
    <row r="88" spans="2:8" ht="15" thickBot="1" x14ac:dyDescent="0.25">
      <c r="B88" s="129" t="s">
        <v>35</v>
      </c>
      <c r="C88" s="79">
        <v>158.13550000000001</v>
      </c>
      <c r="D88" s="79">
        <v>164.60769999999999</v>
      </c>
      <c r="E88" s="79">
        <v>151.91890000000001</v>
      </c>
      <c r="F88" s="79">
        <v>164.83029999999999</v>
      </c>
      <c r="G88" s="80">
        <v>151.71379999999999</v>
      </c>
      <c r="H88"/>
    </row>
    <row r="89" spans="2:8" ht="15" thickBot="1" x14ac:dyDescent="0.25">
      <c r="C89"/>
      <c r="D89"/>
      <c r="E89"/>
      <c r="F89"/>
      <c r="G89"/>
      <c r="H89"/>
    </row>
    <row r="90" spans="2:8" x14ac:dyDescent="0.2">
      <c r="B90" s="109"/>
      <c r="C90" s="118" t="s">
        <v>90</v>
      </c>
      <c r="D90" s="118"/>
      <c r="E90" s="118"/>
      <c r="F90" s="118"/>
      <c r="G90" s="119"/>
      <c r="H90"/>
    </row>
    <row r="91" spans="2:8" ht="25.5" x14ac:dyDescent="0.2">
      <c r="B91" s="120"/>
      <c r="C91" s="121" t="s">
        <v>51</v>
      </c>
      <c r="D91" s="121" t="s">
        <v>84</v>
      </c>
      <c r="E91" s="121" t="s">
        <v>54</v>
      </c>
      <c r="F91" s="121" t="s">
        <v>85</v>
      </c>
      <c r="G91" s="122" t="s">
        <v>86</v>
      </c>
      <c r="H91"/>
    </row>
    <row r="92" spans="2:8" x14ac:dyDescent="0.2">
      <c r="B92" s="128" t="s">
        <v>18</v>
      </c>
      <c r="C92" s="77">
        <v>1153.6579999999999</v>
      </c>
      <c r="D92" s="77">
        <v>1233.213</v>
      </c>
      <c r="E92" s="77">
        <v>1079.2360000000001</v>
      </c>
      <c r="F92" s="77">
        <v>1236.0630000000001</v>
      </c>
      <c r="G92" s="78">
        <v>1076.7470000000001</v>
      </c>
      <c r="H92"/>
    </row>
    <row r="93" spans="2:8" x14ac:dyDescent="0.2">
      <c r="B93" s="128" t="s">
        <v>19</v>
      </c>
      <c r="C93" s="77">
        <v>807.25379999999996</v>
      </c>
      <c r="D93" s="77">
        <v>863.07370000000003</v>
      </c>
      <c r="E93" s="77">
        <v>755.04549999999995</v>
      </c>
      <c r="F93" s="77">
        <v>865.07339999999999</v>
      </c>
      <c r="G93" s="78">
        <v>753.30020000000002</v>
      </c>
      <c r="H93"/>
    </row>
    <row r="94" spans="2:8" x14ac:dyDescent="0.2">
      <c r="B94" s="128" t="s">
        <v>20</v>
      </c>
      <c r="C94" s="77">
        <v>1014.744</v>
      </c>
      <c r="D94" s="77">
        <v>1058.588</v>
      </c>
      <c r="E94" s="77">
        <v>972.71600000000001</v>
      </c>
      <c r="F94" s="77">
        <v>1060.1389999999999</v>
      </c>
      <c r="G94" s="78">
        <v>971.29280000000006</v>
      </c>
      <c r="H94"/>
    </row>
    <row r="95" spans="2:8" x14ac:dyDescent="0.2">
      <c r="B95" s="128" t="s">
        <v>21</v>
      </c>
      <c r="C95" s="77">
        <v>1870.5170000000001</v>
      </c>
      <c r="D95" s="77">
        <v>1993.5909999999999</v>
      </c>
      <c r="E95" s="77">
        <v>1755.0429999999999</v>
      </c>
      <c r="F95" s="77">
        <v>1997.9929999999999</v>
      </c>
      <c r="G95" s="78">
        <v>1751.1759999999999</v>
      </c>
      <c r="H95"/>
    </row>
    <row r="96" spans="2:8" x14ac:dyDescent="0.2">
      <c r="B96" s="128" t="s">
        <v>22</v>
      </c>
      <c r="C96" s="77">
        <v>513.84770000000003</v>
      </c>
      <c r="D96" s="77">
        <v>546.63210000000004</v>
      </c>
      <c r="E96" s="77">
        <v>483.02980000000002</v>
      </c>
      <c r="F96" s="77">
        <v>547.80359999999996</v>
      </c>
      <c r="G96" s="78">
        <v>481.99689999999998</v>
      </c>
      <c r="H96"/>
    </row>
    <row r="97" spans="2:8" x14ac:dyDescent="0.2">
      <c r="B97" s="128" t="s">
        <v>23</v>
      </c>
      <c r="C97" s="77">
        <v>552.78160000000003</v>
      </c>
      <c r="D97" s="77">
        <v>582.53819999999996</v>
      </c>
      <c r="E97" s="77">
        <v>524.5521</v>
      </c>
      <c r="F97" s="77">
        <v>583.59640000000002</v>
      </c>
      <c r="G97" s="78">
        <v>523.60140000000001</v>
      </c>
      <c r="H97"/>
    </row>
    <row r="98" spans="2:8" x14ac:dyDescent="0.2">
      <c r="B98" s="128" t="s">
        <v>24</v>
      </c>
      <c r="C98" s="77">
        <v>2284.0390000000002</v>
      </c>
      <c r="D98" s="77">
        <v>2524.9960000000001</v>
      </c>
      <c r="E98" s="77">
        <v>2066.0940000000001</v>
      </c>
      <c r="F98" s="77">
        <v>2533.7759999999998</v>
      </c>
      <c r="G98" s="78">
        <v>2058.9349999999999</v>
      </c>
      <c r="H98"/>
    </row>
    <row r="99" spans="2:8" x14ac:dyDescent="0.2">
      <c r="B99" s="128" t="s">
        <v>25</v>
      </c>
      <c r="C99" s="77">
        <v>1620.58</v>
      </c>
      <c r="D99" s="77">
        <v>1715.8979999999999</v>
      </c>
      <c r="E99" s="77">
        <v>1530.557</v>
      </c>
      <c r="F99" s="77">
        <v>1719.296</v>
      </c>
      <c r="G99" s="78">
        <v>1527.5319999999999</v>
      </c>
      <c r="H99"/>
    </row>
    <row r="100" spans="2:8" x14ac:dyDescent="0.2">
      <c r="B100" s="128" t="s">
        <v>26</v>
      </c>
      <c r="C100" s="77">
        <v>395.41559999999998</v>
      </c>
      <c r="D100" s="77">
        <v>428.40519999999998</v>
      </c>
      <c r="E100" s="77">
        <v>364.9787</v>
      </c>
      <c r="F100" s="77">
        <v>429.59530000000001</v>
      </c>
      <c r="G100" s="78">
        <v>363.96850000000001</v>
      </c>
      <c r="H100"/>
    </row>
    <row r="101" spans="2:8" x14ac:dyDescent="0.2">
      <c r="B101" s="128" t="s">
        <v>27</v>
      </c>
      <c r="C101" s="77">
        <v>1143.6289999999999</v>
      </c>
      <c r="D101" s="77">
        <v>1194.0260000000001</v>
      </c>
      <c r="E101" s="77">
        <v>1095.3589999999999</v>
      </c>
      <c r="F101" s="77">
        <v>1195.81</v>
      </c>
      <c r="G101" s="78">
        <v>1093.7249999999999</v>
      </c>
      <c r="H101"/>
    </row>
    <row r="102" spans="2:8" x14ac:dyDescent="0.2">
      <c r="B102" s="128" t="s">
        <v>28</v>
      </c>
      <c r="C102" s="77">
        <v>814.93309999999997</v>
      </c>
      <c r="D102" s="77">
        <v>856.79880000000003</v>
      </c>
      <c r="E102" s="77">
        <v>775.11429999999996</v>
      </c>
      <c r="F102" s="77">
        <v>858.28579999999999</v>
      </c>
      <c r="G102" s="78">
        <v>773.77149999999995</v>
      </c>
      <c r="H102"/>
    </row>
    <row r="103" spans="2:8" x14ac:dyDescent="0.2">
      <c r="B103" s="128" t="s">
        <v>29</v>
      </c>
      <c r="C103" s="77">
        <v>257.27539999999999</v>
      </c>
      <c r="D103" s="77">
        <v>272.5804</v>
      </c>
      <c r="E103" s="77">
        <v>242.82980000000001</v>
      </c>
      <c r="F103" s="77">
        <v>273.12610000000001</v>
      </c>
      <c r="G103" s="78">
        <v>242.34460000000001</v>
      </c>
      <c r="H103"/>
    </row>
    <row r="104" spans="2:8" x14ac:dyDescent="0.2">
      <c r="B104" s="128" t="s">
        <v>30</v>
      </c>
      <c r="C104" s="77">
        <v>77.195880000000002</v>
      </c>
      <c r="D104" s="77">
        <v>85.188599999999994</v>
      </c>
      <c r="E104" s="77">
        <v>69.953140000000005</v>
      </c>
      <c r="F104" s="77">
        <v>85.479600000000005</v>
      </c>
      <c r="G104" s="78">
        <v>69.715010000000007</v>
      </c>
      <c r="H104"/>
    </row>
    <row r="105" spans="2:8" x14ac:dyDescent="0.2">
      <c r="B105" s="128" t="s">
        <v>31</v>
      </c>
      <c r="C105" s="77">
        <v>124.7961</v>
      </c>
      <c r="D105" s="77">
        <v>135.7653</v>
      </c>
      <c r="E105" s="77">
        <v>114.7135</v>
      </c>
      <c r="F105" s="77">
        <v>136.1618</v>
      </c>
      <c r="G105" s="78">
        <v>114.3796</v>
      </c>
      <c r="H105"/>
    </row>
    <row r="106" spans="2:8" x14ac:dyDescent="0.2">
      <c r="B106" s="128" t="s">
        <v>32</v>
      </c>
      <c r="C106" s="77">
        <v>102.5607</v>
      </c>
      <c r="D106" s="77">
        <v>110.8687</v>
      </c>
      <c r="E106" s="77">
        <v>94.875489999999999</v>
      </c>
      <c r="F106" s="77">
        <v>111.16800000000001</v>
      </c>
      <c r="G106" s="78">
        <v>94.620059999999995</v>
      </c>
      <c r="H106"/>
    </row>
    <row r="107" spans="2:8" x14ac:dyDescent="0.2">
      <c r="B107" s="128" t="s">
        <v>33</v>
      </c>
      <c r="C107" s="77">
        <v>562.58489999999995</v>
      </c>
      <c r="D107" s="77">
        <v>595.87570000000005</v>
      </c>
      <c r="E107" s="77">
        <v>531.15470000000005</v>
      </c>
      <c r="F107" s="77">
        <v>597.06259999999997</v>
      </c>
      <c r="G107" s="78">
        <v>530.09879999999998</v>
      </c>
      <c r="H107"/>
    </row>
    <row r="108" spans="2:8" x14ac:dyDescent="0.2">
      <c r="B108" s="128" t="s">
        <v>34</v>
      </c>
      <c r="C108" s="77">
        <v>327.19740000000002</v>
      </c>
      <c r="D108" s="77">
        <v>348.33</v>
      </c>
      <c r="E108" s="77">
        <v>307.34789999999998</v>
      </c>
      <c r="F108" s="77">
        <v>349.08539999999999</v>
      </c>
      <c r="G108" s="78">
        <v>306.68290000000002</v>
      </c>
      <c r="H108"/>
    </row>
    <row r="109" spans="2:8" ht="15" thickBot="1" x14ac:dyDescent="0.25">
      <c r="B109" s="129" t="s">
        <v>35</v>
      </c>
      <c r="C109" s="79">
        <v>153.13210000000001</v>
      </c>
      <c r="D109" s="79">
        <v>163.8835</v>
      </c>
      <c r="E109" s="79">
        <v>143.0866</v>
      </c>
      <c r="F109" s="79">
        <v>164.2689</v>
      </c>
      <c r="G109" s="80">
        <v>142.751</v>
      </c>
      <c r="H109"/>
    </row>
    <row r="111" spans="2:8" x14ac:dyDescent="0.2">
      <c r="B111" s="82" t="s">
        <v>65</v>
      </c>
      <c r="C111" s="81"/>
      <c r="D111" s="81" t="b">
        <f>SUM(D92:D109)&gt;SUM($C92:$C109)</f>
        <v>1</v>
      </c>
      <c r="E111" s="81" t="b">
        <f>SUM(E92:E109)&lt;SUM($C92:$C109)</f>
        <v>1</v>
      </c>
      <c r="F111" s="81" t="b">
        <f>SUM(F92:F109)&gt;SUM($C92:$C109)</f>
        <v>1</v>
      </c>
      <c r="G111" s="81" t="b">
        <f>SUM(G92:G109)&lt;SUM($C92:$C109)</f>
        <v>1</v>
      </c>
    </row>
  </sheetData>
  <conditionalFormatting sqref="C111:G111">
    <cfRule type="containsText" dxfId="0" priority="1" operator="containsText" text="FALSE">
      <formula>NOT(ISERROR(SEARCH("FALSE",C111)))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A0083"/>
  </sheetPr>
  <dimension ref="A1:N69"/>
  <sheetViews>
    <sheetView showGridLines="0" zoomScale="73" zoomScaleNormal="73" workbookViewId="0"/>
  </sheetViews>
  <sheetFormatPr defaultRowHeight="12.75" x14ac:dyDescent="0.2"/>
  <cols>
    <col min="1" max="1" width="1.375" style="20" customWidth="1"/>
    <col min="2" max="2" width="20.75" style="20" bestFit="1" customWidth="1"/>
    <col min="3" max="8" width="12" style="20" customWidth="1"/>
    <col min="9" max="9" width="2.5" style="20" customWidth="1"/>
    <col min="10" max="12" width="12" style="20" customWidth="1"/>
    <col min="13" max="13" width="2.5" style="20" customWidth="1"/>
    <col min="14" max="17" width="12" style="20" customWidth="1"/>
    <col min="18" max="18" width="2.5" style="20" customWidth="1"/>
    <col min="19" max="19" width="12" style="20" customWidth="1"/>
    <col min="20" max="20" width="2.5" style="20" customWidth="1"/>
    <col min="21" max="21" width="12" style="20" customWidth="1"/>
    <col min="22" max="16384" width="9" style="20"/>
  </cols>
  <sheetData>
    <row r="1" spans="1:14" customFormat="1" ht="20.25" x14ac:dyDescent="0.2">
      <c r="B1" s="25" t="s">
        <v>92</v>
      </c>
      <c r="C1" s="25"/>
      <c r="D1" s="25"/>
      <c r="E1" s="25"/>
      <c r="F1" s="25"/>
      <c r="G1" s="25"/>
      <c r="H1" s="25"/>
      <c r="I1" s="25"/>
      <c r="J1" s="25"/>
      <c r="K1" s="25"/>
      <c r="L1" s="26"/>
      <c r="M1" s="27"/>
      <c r="N1" s="28"/>
    </row>
    <row r="2" spans="1:14" x14ac:dyDescent="0.2">
      <c r="B2" s="24" t="s">
        <v>93</v>
      </c>
      <c r="J2" s="29"/>
    </row>
    <row r="3" spans="1:14" x14ac:dyDescent="0.2">
      <c r="B3" s="24" t="s">
        <v>114</v>
      </c>
      <c r="J3" s="29"/>
    </row>
    <row r="4" spans="1:14" x14ac:dyDescent="0.2">
      <c r="B4" s="90" t="s">
        <v>115</v>
      </c>
      <c r="J4" s="29"/>
    </row>
    <row r="5" spans="1:14" ht="13.5" thickBot="1" x14ac:dyDescent="0.25"/>
    <row r="6" spans="1:14" ht="13.5" x14ac:dyDescent="0.2">
      <c r="A6" s="19"/>
      <c r="B6" s="109"/>
      <c r="C6" s="118" t="s">
        <v>94</v>
      </c>
      <c r="D6" s="118"/>
      <c r="E6" s="118"/>
      <c r="F6" s="118"/>
      <c r="G6" s="119"/>
      <c r="I6" s="21"/>
    </row>
    <row r="7" spans="1:14" ht="25.5" x14ac:dyDescent="0.2">
      <c r="B7" s="120"/>
      <c r="C7" s="121" t="s">
        <v>51</v>
      </c>
      <c r="D7" s="121" t="s">
        <v>84</v>
      </c>
      <c r="E7" s="121" t="s">
        <v>54</v>
      </c>
      <c r="F7" s="121" t="s">
        <v>85</v>
      </c>
      <c r="G7" s="122" t="s">
        <v>86</v>
      </c>
    </row>
    <row r="8" spans="1:14" ht="14.25" x14ac:dyDescent="0.2">
      <c r="B8" s="128" t="s">
        <v>18</v>
      </c>
      <c r="C8" s="77">
        <v>76.537723446733537</v>
      </c>
      <c r="D8" s="77">
        <v>81.635688489280838</v>
      </c>
      <c r="E8" s="77">
        <v>71.946137216331337</v>
      </c>
      <c r="F8" s="77">
        <v>81.812401244630379</v>
      </c>
      <c r="G8" s="78">
        <v>71.803256479476886</v>
      </c>
      <c r="I8" s="23"/>
    </row>
    <row r="9" spans="1:14" ht="14.25" x14ac:dyDescent="0.2">
      <c r="B9" s="128" t="s">
        <v>19</v>
      </c>
      <c r="C9" s="77">
        <v>29.356935194755494</v>
      </c>
      <c r="D9" s="77">
        <v>31.232393057632468</v>
      </c>
      <c r="E9" s="77">
        <v>27.569568263992153</v>
      </c>
      <c r="F9" s="77">
        <v>31.295503114475931</v>
      </c>
      <c r="G9" s="78">
        <v>27.512336945265673</v>
      </c>
      <c r="I9" s="23"/>
    </row>
    <row r="10" spans="1:14" ht="14.25" x14ac:dyDescent="0.2">
      <c r="B10" s="128" t="s">
        <v>20</v>
      </c>
      <c r="C10" s="77">
        <v>39.68719824342449</v>
      </c>
      <c r="D10" s="77">
        <v>41.956738610395973</v>
      </c>
      <c r="E10" s="77">
        <v>37.556404471181374</v>
      </c>
      <c r="F10" s="77">
        <v>42.03370862514172</v>
      </c>
      <c r="G10" s="78">
        <v>37.48869519450642</v>
      </c>
      <c r="I10" s="23"/>
    </row>
    <row r="11" spans="1:14" ht="14.25" x14ac:dyDescent="0.2">
      <c r="B11" s="128" t="s">
        <v>21</v>
      </c>
      <c r="C11" s="77">
        <v>89.479993667525633</v>
      </c>
      <c r="D11" s="77">
        <v>95.941732537471097</v>
      </c>
      <c r="E11" s="77">
        <v>83.724051986334104</v>
      </c>
      <c r="F11" s="77">
        <v>96.167039505246038</v>
      </c>
      <c r="G11" s="78">
        <v>83.545918901663725</v>
      </c>
      <c r="I11" s="23"/>
    </row>
    <row r="12" spans="1:14" ht="14.25" x14ac:dyDescent="0.2">
      <c r="B12" s="128" t="s">
        <v>22</v>
      </c>
      <c r="C12" s="77">
        <v>26.635873751510218</v>
      </c>
      <c r="D12" s="77">
        <v>28.520732267644107</v>
      </c>
      <c r="E12" s="77">
        <v>24.828986166041659</v>
      </c>
      <c r="F12" s="77">
        <v>28.583965200799181</v>
      </c>
      <c r="G12" s="78">
        <v>24.770956485972604</v>
      </c>
      <c r="I12" s="23"/>
    </row>
    <row r="13" spans="1:14" ht="14.25" x14ac:dyDescent="0.2">
      <c r="B13" s="128" t="s">
        <v>23</v>
      </c>
      <c r="C13" s="77">
        <v>29.279143299309766</v>
      </c>
      <c r="D13" s="77">
        <v>31.227088220944403</v>
      </c>
      <c r="E13" s="77">
        <v>27.417680424584098</v>
      </c>
      <c r="F13" s="77">
        <v>31.292545387375093</v>
      </c>
      <c r="G13" s="78">
        <v>27.357994537589079</v>
      </c>
      <c r="I13" s="23"/>
    </row>
    <row r="14" spans="1:14" ht="14.25" x14ac:dyDescent="0.2">
      <c r="B14" s="128" t="s">
        <v>24</v>
      </c>
      <c r="C14" s="77">
        <v>121.14461713950257</v>
      </c>
      <c r="D14" s="77">
        <v>130.70899999591364</v>
      </c>
      <c r="E14" s="77">
        <v>112.73147188371655</v>
      </c>
      <c r="F14" s="77">
        <v>131.04473416054543</v>
      </c>
      <c r="G14" s="78">
        <v>112.47272124655046</v>
      </c>
      <c r="I14" s="23"/>
    </row>
    <row r="15" spans="1:14" ht="14.25" x14ac:dyDescent="0.2">
      <c r="B15" s="128" t="s">
        <v>25</v>
      </c>
      <c r="C15" s="77">
        <v>64.54243210183661</v>
      </c>
      <c r="D15" s="77">
        <v>68.531609571395336</v>
      </c>
      <c r="E15" s="77">
        <v>60.910303080631657</v>
      </c>
      <c r="F15" s="77">
        <v>68.669094845894051</v>
      </c>
      <c r="G15" s="78">
        <v>60.796664754544487</v>
      </c>
      <c r="I15" s="23"/>
    </row>
    <row r="16" spans="1:14" ht="14.25" x14ac:dyDescent="0.2">
      <c r="B16" s="128" t="s">
        <v>26</v>
      </c>
      <c r="C16" s="77">
        <v>24.607192330549275</v>
      </c>
      <c r="D16" s="77">
        <v>26.473645511622671</v>
      </c>
      <c r="E16" s="77">
        <v>22.813144446366707</v>
      </c>
      <c r="F16" s="77">
        <v>26.53617382511181</v>
      </c>
      <c r="G16" s="78">
        <v>22.755447994733466</v>
      </c>
      <c r="I16" s="23"/>
    </row>
    <row r="17" spans="1:9" ht="14.25" x14ac:dyDescent="0.2">
      <c r="B17" s="128" t="s">
        <v>27</v>
      </c>
      <c r="C17" s="77">
        <v>60.803858458801997</v>
      </c>
      <c r="D17" s="77">
        <v>64.482674540904512</v>
      </c>
      <c r="E17" s="77">
        <v>57.442557043870565</v>
      </c>
      <c r="F17" s="77">
        <v>64.609228950138117</v>
      </c>
      <c r="G17" s="78">
        <v>57.337207086708105</v>
      </c>
      <c r="I17" s="23"/>
    </row>
    <row r="18" spans="1:9" ht="14.25" x14ac:dyDescent="0.2">
      <c r="B18" s="128" t="s">
        <v>29</v>
      </c>
      <c r="C18" s="77">
        <v>16.671108004642907</v>
      </c>
      <c r="D18" s="77">
        <v>18.487188404383954</v>
      </c>
      <c r="E18" s="77">
        <v>14.913369304912626</v>
      </c>
      <c r="F18" s="77">
        <v>18.547815204271373</v>
      </c>
      <c r="G18" s="78">
        <v>14.856636532087734</v>
      </c>
      <c r="I18" s="23"/>
    </row>
    <row r="19" spans="1:9" ht="14.25" x14ac:dyDescent="0.2">
      <c r="B19" s="128" t="s">
        <v>34</v>
      </c>
      <c r="C19" s="77">
        <v>15.828335452835205</v>
      </c>
      <c r="D19" s="77">
        <v>17.565086824828338</v>
      </c>
      <c r="E19" s="77">
        <v>14.147257427186261</v>
      </c>
      <c r="F19" s="77">
        <v>17.62306334572142</v>
      </c>
      <c r="G19" s="78">
        <v>14.09299685397437</v>
      </c>
      <c r="I19" s="23"/>
    </row>
    <row r="20" spans="1:9" ht="14.25" x14ac:dyDescent="0.2">
      <c r="B20" s="128" t="s">
        <v>30</v>
      </c>
      <c r="C20" s="77">
        <v>1.0496664026464939</v>
      </c>
      <c r="D20" s="77">
        <v>2.7883600470968637</v>
      </c>
      <c r="E20" s="77">
        <v>-0.64623835099452753</v>
      </c>
      <c r="F20" s="77">
        <v>2.8462353876734778</v>
      </c>
      <c r="G20" s="78">
        <v>-0.70124562064390839</v>
      </c>
      <c r="I20" s="23"/>
    </row>
    <row r="21" spans="1:9" ht="14.25" x14ac:dyDescent="0.2">
      <c r="B21" s="128" t="s">
        <v>31</v>
      </c>
      <c r="C21" s="77">
        <v>5.0481420507681101</v>
      </c>
      <c r="D21" s="77">
        <v>6.8826082509139077</v>
      </c>
      <c r="E21" s="77">
        <v>3.2654269316979452</v>
      </c>
      <c r="F21" s="77">
        <v>6.9437585573732505</v>
      </c>
      <c r="G21" s="78">
        <v>3.2077365606461319</v>
      </c>
      <c r="I21" s="23"/>
    </row>
    <row r="22" spans="1:9" ht="14.25" x14ac:dyDescent="0.2">
      <c r="B22" s="128" t="s">
        <v>32</v>
      </c>
      <c r="C22" s="77">
        <v>3.2669675217715008</v>
      </c>
      <c r="D22" s="77">
        <v>5.1337825417044236</v>
      </c>
      <c r="E22" s="77">
        <v>1.4508292698639373</v>
      </c>
      <c r="F22" s="77">
        <v>5.1959891370503035</v>
      </c>
      <c r="G22" s="78">
        <v>1.3920136416264288</v>
      </c>
      <c r="I22" s="23"/>
    </row>
    <row r="23" spans="1:9" ht="14.25" x14ac:dyDescent="0.2">
      <c r="B23" s="128" t="s">
        <v>33</v>
      </c>
      <c r="C23" s="77">
        <v>36.209433756800628</v>
      </c>
      <c r="D23" s="77">
        <v>38.364469718560102</v>
      </c>
      <c r="E23" s="77">
        <v>34.169934761206413</v>
      </c>
      <c r="F23" s="77">
        <v>38.43725277477175</v>
      </c>
      <c r="G23" s="78">
        <v>34.104862532570991</v>
      </c>
      <c r="I23" s="23"/>
    </row>
    <row r="24" spans="1:9" ht="14.25" x14ac:dyDescent="0.2">
      <c r="B24" s="128" t="s">
        <v>35</v>
      </c>
      <c r="C24" s="77">
        <v>6.7063935106510852</v>
      </c>
      <c r="D24" s="77">
        <v>8.6270839732209481</v>
      </c>
      <c r="E24" s="77">
        <v>4.8407951037157977</v>
      </c>
      <c r="F24" s="77">
        <v>8.691116255118434</v>
      </c>
      <c r="G24" s="78">
        <v>4.7804445630050383</v>
      </c>
      <c r="I24" s="23"/>
    </row>
    <row r="25" spans="1:9" ht="15" thickBot="1" x14ac:dyDescent="0.25">
      <c r="B25" s="129" t="s">
        <v>28</v>
      </c>
      <c r="C25" s="79">
        <v>55.145839993002852</v>
      </c>
      <c r="D25" s="79">
        <v>58.320210198409889</v>
      </c>
      <c r="E25" s="79">
        <v>52.214037871195153</v>
      </c>
      <c r="F25" s="79">
        <v>58.428794372171517</v>
      </c>
      <c r="G25" s="80">
        <v>52.121648785720517</v>
      </c>
      <c r="I25" s="23"/>
    </row>
    <row r="26" spans="1:9" x14ac:dyDescent="0.2">
      <c r="C26" s="22"/>
      <c r="D26" s="23"/>
      <c r="E26" s="23"/>
    </row>
    <row r="27" spans="1:9" ht="13.5" thickBot="1" x14ac:dyDescent="0.25"/>
    <row r="28" spans="1:9" ht="13.5" x14ac:dyDescent="0.2">
      <c r="A28" s="19"/>
      <c r="B28" s="109"/>
      <c r="C28" s="118" t="s">
        <v>95</v>
      </c>
      <c r="D28" s="118"/>
      <c r="E28" s="118"/>
      <c r="F28" s="118"/>
      <c r="G28" s="119"/>
    </row>
    <row r="29" spans="1:9" x14ac:dyDescent="0.2">
      <c r="B29" s="120"/>
      <c r="C29" s="121" t="s">
        <v>51</v>
      </c>
      <c r="D29" s="121" t="s">
        <v>53</v>
      </c>
      <c r="E29" s="121" t="s">
        <v>54</v>
      </c>
      <c r="F29" s="121" t="s">
        <v>55</v>
      </c>
      <c r="G29" s="122" t="s">
        <v>56</v>
      </c>
    </row>
    <row r="30" spans="1:9" ht="14.25" x14ac:dyDescent="0.2">
      <c r="B30" s="128" t="s">
        <v>18</v>
      </c>
      <c r="C30" s="77">
        <v>158.72481241468915</v>
      </c>
      <c r="D30" s="77">
        <v>169.12268714178208</v>
      </c>
      <c r="E30" s="77">
        <v>149.39073340905853</v>
      </c>
      <c r="F30" s="77">
        <v>169.56698929398556</v>
      </c>
      <c r="G30" s="78">
        <v>149.04342420575387</v>
      </c>
    </row>
    <row r="31" spans="1:9" ht="14.25" x14ac:dyDescent="0.2">
      <c r="B31" s="128" t="s">
        <v>19</v>
      </c>
      <c r="C31" s="77">
        <v>45.674411658195282</v>
      </c>
      <c r="D31" s="77">
        <v>50.377843919434611</v>
      </c>
      <c r="E31" s="77">
        <v>41.227755024740809</v>
      </c>
      <c r="F31" s="77">
        <v>50.561044757208066</v>
      </c>
      <c r="G31" s="78">
        <v>41.067941267163214</v>
      </c>
    </row>
    <row r="32" spans="1:9" ht="14.25" x14ac:dyDescent="0.2">
      <c r="B32" s="128" t="s">
        <v>20</v>
      </c>
      <c r="C32" s="77">
        <v>237.89522648982131</v>
      </c>
      <c r="D32" s="77">
        <v>253.46667553318827</v>
      </c>
      <c r="E32" s="77">
        <v>223.89117257986106</v>
      </c>
      <c r="F32" s="77">
        <v>254.12513756614896</v>
      </c>
      <c r="G32" s="78">
        <v>223.3756609877542</v>
      </c>
    </row>
    <row r="33" spans="2:7" ht="14.25" x14ac:dyDescent="0.2">
      <c r="B33" s="128" t="s">
        <v>21</v>
      </c>
      <c r="C33" s="77">
        <v>129.23821778282473</v>
      </c>
      <c r="D33" s="77">
        <v>137.83557323918902</v>
      </c>
      <c r="E33" s="77">
        <v>121.50597696535154</v>
      </c>
      <c r="F33" s="77">
        <v>138.20304863277585</v>
      </c>
      <c r="G33" s="78">
        <v>121.21736693731727</v>
      </c>
    </row>
    <row r="34" spans="2:7" ht="14.25" x14ac:dyDescent="0.2">
      <c r="B34" s="128" t="s">
        <v>22</v>
      </c>
      <c r="C34" s="77">
        <v>29.061436220215107</v>
      </c>
      <c r="D34" s="77">
        <v>33.292423902558269</v>
      </c>
      <c r="E34" s="77">
        <v>24.953630965335151</v>
      </c>
      <c r="F34" s="77">
        <v>33.446827545125828</v>
      </c>
      <c r="G34" s="78">
        <v>24.810440813857387</v>
      </c>
    </row>
    <row r="35" spans="2:7" ht="14.25" x14ac:dyDescent="0.2">
      <c r="B35" s="128" t="s">
        <v>23</v>
      </c>
      <c r="C35" s="77">
        <v>239.77703053580896</v>
      </c>
      <c r="D35" s="77">
        <v>255.46008711738634</v>
      </c>
      <c r="E35" s="77">
        <v>225.6797825990545</v>
      </c>
      <c r="F35" s="77">
        <v>256.12452501268621</v>
      </c>
      <c r="G35" s="78">
        <v>225.15996874454385</v>
      </c>
    </row>
    <row r="36" spans="2:7" ht="14.25" x14ac:dyDescent="0.2">
      <c r="B36" s="128" t="s">
        <v>24</v>
      </c>
      <c r="C36" s="77">
        <v>171.22697581419118</v>
      </c>
      <c r="D36" s="77">
        <v>182.46853494014363</v>
      </c>
      <c r="E36" s="77">
        <v>161.13348416748946</v>
      </c>
      <c r="F36" s="77">
        <v>182.94915330330173</v>
      </c>
      <c r="G36" s="78">
        <v>160.75753835603328</v>
      </c>
    </row>
    <row r="37" spans="2:7" ht="14.25" x14ac:dyDescent="0.2">
      <c r="B37" s="128" t="s">
        <v>25</v>
      </c>
      <c r="C37" s="77">
        <v>31.362344078535518</v>
      </c>
      <c r="D37" s="77">
        <v>35.493002452146982</v>
      </c>
      <c r="E37" s="77">
        <v>27.378913018612923</v>
      </c>
      <c r="F37" s="77">
        <v>35.646430135321559</v>
      </c>
      <c r="G37" s="78">
        <v>27.238889774912181</v>
      </c>
    </row>
    <row r="38" spans="2:7" ht="14.25" x14ac:dyDescent="0.2">
      <c r="B38" s="128" t="s">
        <v>26</v>
      </c>
      <c r="C38" s="77">
        <v>0</v>
      </c>
      <c r="D38" s="77">
        <v>0</v>
      </c>
      <c r="E38" s="77">
        <v>0</v>
      </c>
      <c r="F38" s="77">
        <v>0</v>
      </c>
      <c r="G38" s="78">
        <v>0</v>
      </c>
    </row>
    <row r="39" spans="2:7" ht="14.25" x14ac:dyDescent="0.2">
      <c r="B39" s="128" t="s">
        <v>27</v>
      </c>
      <c r="C39" s="77">
        <v>0</v>
      </c>
      <c r="D39" s="77">
        <v>0</v>
      </c>
      <c r="E39" s="77">
        <v>0</v>
      </c>
      <c r="F39" s="77">
        <v>0</v>
      </c>
      <c r="G39" s="78">
        <v>0</v>
      </c>
    </row>
    <row r="40" spans="2:7" ht="14.25" x14ac:dyDescent="0.2">
      <c r="B40" s="128" t="s">
        <v>29</v>
      </c>
      <c r="C40" s="77">
        <v>41.437651268140208</v>
      </c>
      <c r="D40" s="77">
        <v>46.138495250960752</v>
      </c>
      <c r="E40" s="77">
        <v>36.95594619249804</v>
      </c>
      <c r="F40" s="77">
        <v>46.318080510213953</v>
      </c>
      <c r="G40" s="78">
        <v>36.796317158176151</v>
      </c>
    </row>
    <row r="41" spans="2:7" ht="14.25" x14ac:dyDescent="0.2">
      <c r="B41" s="128" t="s">
        <v>34</v>
      </c>
      <c r="C41" s="77">
        <v>37.848480891966084</v>
      </c>
      <c r="D41" s="77">
        <v>42.28646268851346</v>
      </c>
      <c r="E41" s="77">
        <v>33.606000877848572</v>
      </c>
      <c r="F41" s="77">
        <v>42.454922084307015</v>
      </c>
      <c r="G41" s="78">
        <v>33.455344267887291</v>
      </c>
    </row>
    <row r="42" spans="2:7" ht="14.25" x14ac:dyDescent="0.2">
      <c r="B42" s="128" t="s">
        <v>30</v>
      </c>
      <c r="C42" s="77">
        <v>0</v>
      </c>
      <c r="D42" s="77">
        <v>0</v>
      </c>
      <c r="E42" s="77">
        <v>0</v>
      </c>
      <c r="F42" s="77">
        <v>0</v>
      </c>
      <c r="G42" s="78">
        <v>0</v>
      </c>
    </row>
    <row r="43" spans="2:7" ht="14.25" x14ac:dyDescent="0.2">
      <c r="B43" s="128" t="s">
        <v>31</v>
      </c>
      <c r="C43" s="77">
        <v>0</v>
      </c>
      <c r="D43" s="77">
        <v>0</v>
      </c>
      <c r="E43" s="77">
        <v>0</v>
      </c>
      <c r="F43" s="77">
        <v>0</v>
      </c>
      <c r="G43" s="78">
        <v>0</v>
      </c>
    </row>
    <row r="44" spans="2:7" ht="14.25" x14ac:dyDescent="0.2">
      <c r="B44" s="128" t="s">
        <v>32</v>
      </c>
      <c r="C44" s="77">
        <v>53.592021538505193</v>
      </c>
      <c r="D44" s="77">
        <v>58.729114741691774</v>
      </c>
      <c r="E44" s="77">
        <v>48.768124095030444</v>
      </c>
      <c r="F44" s="77">
        <v>58.932213419974943</v>
      </c>
      <c r="G44" s="78">
        <v>48.593554341131025</v>
      </c>
    </row>
    <row r="45" spans="2:7" ht="14.25" x14ac:dyDescent="0.2">
      <c r="B45" s="128" t="s">
        <v>33</v>
      </c>
      <c r="C45" s="77">
        <v>78.010439346351589</v>
      </c>
      <c r="D45" s="77">
        <v>84.104595136330673</v>
      </c>
      <c r="E45" s="77">
        <v>72.413504507671732</v>
      </c>
      <c r="F45" s="77">
        <v>84.356569582342104</v>
      </c>
      <c r="G45" s="78">
        <v>72.206837073911373</v>
      </c>
    </row>
    <row r="46" spans="2:7" ht="14.25" x14ac:dyDescent="0.2">
      <c r="B46" s="128" t="s">
        <v>35</v>
      </c>
      <c r="C46" s="77">
        <v>54.199100647970639</v>
      </c>
      <c r="D46" s="77">
        <v>59.485409800243559</v>
      </c>
      <c r="E46" s="77">
        <v>49.226717349076445</v>
      </c>
      <c r="F46" s="77">
        <v>59.693644917920892</v>
      </c>
      <c r="G46" s="78">
        <v>49.047076899848626</v>
      </c>
    </row>
    <row r="47" spans="2:7" ht="15" thickBot="1" x14ac:dyDescent="0.25">
      <c r="B47" s="129" t="s">
        <v>28</v>
      </c>
      <c r="C47" s="79">
        <v>12.918572432046018</v>
      </c>
      <c r="D47" s="79">
        <v>16.5079493303076</v>
      </c>
      <c r="E47" s="79">
        <v>9.329722991862706</v>
      </c>
      <c r="F47" s="79">
        <v>16.626157729176217</v>
      </c>
      <c r="G47" s="80">
        <v>9.211562544453411</v>
      </c>
    </row>
    <row r="49" spans="1:7" ht="13.5" thickBot="1" x14ac:dyDescent="0.25"/>
    <row r="50" spans="1:7" ht="13.5" x14ac:dyDescent="0.2">
      <c r="A50" s="19"/>
      <c r="B50" s="109"/>
      <c r="C50" s="118" t="s">
        <v>96</v>
      </c>
      <c r="D50" s="118"/>
      <c r="E50" s="118"/>
      <c r="F50" s="118"/>
      <c r="G50" s="119"/>
    </row>
    <row r="51" spans="1:7" x14ac:dyDescent="0.2">
      <c r="B51" s="120"/>
      <c r="C51" s="121" t="s">
        <v>51</v>
      </c>
      <c r="D51" s="121" t="s">
        <v>53</v>
      </c>
      <c r="E51" s="121" t="s">
        <v>54</v>
      </c>
      <c r="F51" s="121" t="s">
        <v>55</v>
      </c>
      <c r="G51" s="122" t="s">
        <v>56</v>
      </c>
    </row>
    <row r="52" spans="1:7" ht="14.25" x14ac:dyDescent="0.2">
      <c r="B52" s="128" t="s">
        <v>18</v>
      </c>
      <c r="C52" s="77">
        <v>5.9805411020662085</v>
      </c>
      <c r="D52" s="77">
        <v>6.5661762781304018</v>
      </c>
      <c r="E52" s="77">
        <v>5.5103306791691313</v>
      </c>
      <c r="F52" s="77">
        <v>6.6041888647072735</v>
      </c>
      <c r="G52" s="78">
        <v>5.4868583902158115</v>
      </c>
    </row>
    <row r="53" spans="1:7" ht="14.25" x14ac:dyDescent="0.2">
      <c r="B53" s="128" t="s">
        <v>19</v>
      </c>
      <c r="C53" s="77">
        <v>0</v>
      </c>
      <c r="D53" s="77">
        <v>0</v>
      </c>
      <c r="E53" s="77">
        <v>0</v>
      </c>
      <c r="F53" s="77">
        <v>0</v>
      </c>
      <c r="G53" s="78">
        <v>0</v>
      </c>
    </row>
    <row r="54" spans="1:7" ht="14.25" x14ac:dyDescent="0.2">
      <c r="B54" s="128" t="s">
        <v>20</v>
      </c>
      <c r="C54" s="77">
        <v>9.6450006947554296</v>
      </c>
      <c r="D54" s="77">
        <v>10.586467536910178</v>
      </c>
      <c r="E54" s="77">
        <v>8.9316913463065859</v>
      </c>
      <c r="F54" s="77">
        <v>10.650538790823918</v>
      </c>
      <c r="G54" s="78">
        <v>8.8964363993486959</v>
      </c>
    </row>
    <row r="55" spans="1:7" ht="14.25" x14ac:dyDescent="0.2">
      <c r="B55" s="128" t="s">
        <v>21</v>
      </c>
      <c r="C55" s="77">
        <v>2.0762509262794673</v>
      </c>
      <c r="D55" s="77">
        <v>2.358457815848948</v>
      </c>
      <c r="E55" s="77">
        <v>1.8246982865294685</v>
      </c>
      <c r="F55" s="77">
        <v>2.374564800484495</v>
      </c>
      <c r="G55" s="78">
        <v>1.8124422541668266</v>
      </c>
    </row>
    <row r="56" spans="1:7" ht="14.25" x14ac:dyDescent="0.2">
      <c r="B56" s="128" t="s">
        <v>22</v>
      </c>
      <c r="C56" s="77">
        <v>0.22045392816222101</v>
      </c>
      <c r="D56" s="77">
        <v>0.40501858847858913</v>
      </c>
      <c r="E56" s="77">
        <v>4.7884898951390961E-2</v>
      </c>
      <c r="F56" s="77">
        <v>0.41427325497889445</v>
      </c>
      <c r="G56" s="78">
        <v>4.0159879122560277E-2</v>
      </c>
    </row>
    <row r="57" spans="1:7" ht="14.25" x14ac:dyDescent="0.2">
      <c r="B57" s="128" t="s">
        <v>23</v>
      </c>
      <c r="C57" s="77">
        <v>0.15513729460145487</v>
      </c>
      <c r="D57" s="77">
        <v>0.30871481709064724</v>
      </c>
      <c r="E57" s="77">
        <v>1.559772112262426E-3</v>
      </c>
      <c r="F57" s="77">
        <v>0.31554378533586736</v>
      </c>
      <c r="G57" s="78">
        <v>-5.2691961329576452E-3</v>
      </c>
    </row>
    <row r="58" spans="1:7" ht="14.25" x14ac:dyDescent="0.2">
      <c r="B58" s="128" t="s">
        <v>24</v>
      </c>
      <c r="C58" s="77">
        <v>23.026814582580535</v>
      </c>
      <c r="D58" s="77">
        <v>25.469895337670266</v>
      </c>
      <c r="E58" s="77">
        <v>21.321868903548165</v>
      </c>
      <c r="F58" s="77">
        <v>25.644881464427279</v>
      </c>
      <c r="G58" s="78">
        <v>21.240654921954668</v>
      </c>
    </row>
    <row r="59" spans="1:7" ht="14.25" x14ac:dyDescent="0.2">
      <c r="B59" s="128" t="s">
        <v>25</v>
      </c>
      <c r="C59" s="77">
        <v>8.1010999873374416</v>
      </c>
      <c r="D59" s="77">
        <v>8.8867562329796517</v>
      </c>
      <c r="E59" s="77">
        <v>7.4935642129155813</v>
      </c>
      <c r="F59" s="77">
        <v>8.9394119319500902</v>
      </c>
      <c r="G59" s="78">
        <v>7.4633820977698555</v>
      </c>
    </row>
    <row r="60" spans="1:7" ht="14.25" x14ac:dyDescent="0.2">
      <c r="B60" s="128" t="s">
        <v>26</v>
      </c>
      <c r="C60" s="77">
        <v>1.1481901853467982</v>
      </c>
      <c r="D60" s="77">
        <v>1.3909126892995263</v>
      </c>
      <c r="E60" s="77">
        <v>0.92598863790423147</v>
      </c>
      <c r="F60" s="77">
        <v>1.4040179625548215</v>
      </c>
      <c r="G60" s="78">
        <v>0.91546280468459007</v>
      </c>
    </row>
    <row r="61" spans="1:7" ht="14.25" x14ac:dyDescent="0.2">
      <c r="B61" s="128" t="s">
        <v>27</v>
      </c>
      <c r="C61" s="77">
        <v>28.713865350791963</v>
      </c>
      <c r="D61" s="77">
        <v>31.893251202194378</v>
      </c>
      <c r="E61" s="77">
        <v>26.568665660869346</v>
      </c>
      <c r="F61" s="77">
        <v>32.125270961903105</v>
      </c>
      <c r="G61" s="78">
        <v>26.468451822111625</v>
      </c>
    </row>
    <row r="62" spans="1:7" ht="14.25" x14ac:dyDescent="0.2">
      <c r="B62" s="128" t="s">
        <v>29</v>
      </c>
      <c r="C62" s="77">
        <v>0.33086047206057367</v>
      </c>
      <c r="D62" s="77">
        <v>0.52834520396060825</v>
      </c>
      <c r="E62" s="77">
        <v>0.14757791855057278</v>
      </c>
      <c r="F62" s="77">
        <v>0.53843996675543659</v>
      </c>
      <c r="G62" s="78">
        <v>0.13928269649101879</v>
      </c>
    </row>
    <row r="63" spans="1:7" ht="14.25" x14ac:dyDescent="0.2">
      <c r="B63" s="128" t="s">
        <v>34</v>
      </c>
      <c r="C63" s="77">
        <v>0.13533689868605903</v>
      </c>
      <c r="D63" s="77">
        <v>0.29924390116481348</v>
      </c>
      <c r="E63" s="77">
        <v>-2.0778971635488162E-2</v>
      </c>
      <c r="F63" s="77">
        <v>0.30718079689717953</v>
      </c>
      <c r="G63" s="78">
        <v>-2.77067470047083E-2</v>
      </c>
    </row>
    <row r="64" spans="1:7" ht="14.25" x14ac:dyDescent="0.2">
      <c r="B64" s="128" t="s">
        <v>30</v>
      </c>
      <c r="C64" s="77">
        <v>0</v>
      </c>
      <c r="D64" s="77">
        <v>0</v>
      </c>
      <c r="E64" s="77">
        <v>0</v>
      </c>
      <c r="F64" s="77">
        <v>0</v>
      </c>
      <c r="G64" s="78">
        <v>0</v>
      </c>
    </row>
    <row r="65" spans="2:7" ht="14.25" x14ac:dyDescent="0.2">
      <c r="B65" s="128" t="s">
        <v>31</v>
      </c>
      <c r="C65" s="77">
        <v>0.11218073179986368</v>
      </c>
      <c r="D65" s="77">
        <v>0.26405981020709307</v>
      </c>
      <c r="E65" s="77">
        <v>-3.9698346607365674E-2</v>
      </c>
      <c r="F65" s="77">
        <v>0.27081325554691649</v>
      </c>
      <c r="G65" s="78">
        <v>-4.6451791947189069E-2</v>
      </c>
    </row>
    <row r="66" spans="2:7" ht="14.25" x14ac:dyDescent="0.2">
      <c r="B66" s="128" t="s">
        <v>32</v>
      </c>
      <c r="C66" s="77">
        <v>0</v>
      </c>
      <c r="D66" s="77">
        <v>0</v>
      </c>
      <c r="E66" s="77">
        <v>0</v>
      </c>
      <c r="F66" s="77">
        <v>0</v>
      </c>
      <c r="G66" s="78">
        <v>0</v>
      </c>
    </row>
    <row r="67" spans="2:7" ht="14.25" x14ac:dyDescent="0.2">
      <c r="B67" s="128" t="s">
        <v>33</v>
      </c>
      <c r="C67" s="77">
        <v>0</v>
      </c>
      <c r="D67" s="77">
        <v>0</v>
      </c>
      <c r="E67" s="77">
        <v>0</v>
      </c>
      <c r="F67" s="77">
        <v>0</v>
      </c>
      <c r="G67" s="78">
        <v>0</v>
      </c>
    </row>
    <row r="68" spans="2:7" ht="14.25" x14ac:dyDescent="0.2">
      <c r="B68" s="128" t="s">
        <v>35</v>
      </c>
      <c r="C68" s="77">
        <v>0.36672716140219075</v>
      </c>
      <c r="D68" s="77">
        <v>0.57329757769529188</v>
      </c>
      <c r="E68" s="77">
        <v>0.17517306052458925</v>
      </c>
      <c r="F68" s="77">
        <v>0.58388647411850247</v>
      </c>
      <c r="G68" s="78">
        <v>0.16648535021132266</v>
      </c>
    </row>
    <row r="69" spans="2:7" ht="15" thickBot="1" x14ac:dyDescent="0.25">
      <c r="B69" s="129" t="s">
        <v>28</v>
      </c>
      <c r="C69" s="79">
        <v>0.11671170746358163</v>
      </c>
      <c r="D69" s="79">
        <v>0.27350173891334439</v>
      </c>
      <c r="E69" s="79">
        <v>-4.007832398618117E-2</v>
      </c>
      <c r="F69" s="79">
        <v>0.28047355437555072</v>
      </c>
      <c r="G69" s="80">
        <v>-4.7050139448387471E-2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A0083"/>
  </sheetPr>
  <dimension ref="B1:N23"/>
  <sheetViews>
    <sheetView showGridLines="0" zoomScale="73" zoomScaleNormal="73" workbookViewId="0">
      <selection activeCell="E6" sqref="E6"/>
    </sheetView>
  </sheetViews>
  <sheetFormatPr defaultRowHeight="14.25" x14ac:dyDescent="0.2"/>
  <cols>
    <col min="1" max="1" width="1.375" customWidth="1"/>
    <col min="2" max="2" width="20.75" bestFit="1" customWidth="1"/>
    <col min="3" max="3" width="20.25" customWidth="1"/>
    <col min="4" max="8" width="12" customWidth="1"/>
    <col min="9" max="9" width="2.5" customWidth="1"/>
    <col min="10" max="12" width="12" customWidth="1"/>
    <col min="13" max="13" width="2.5" customWidth="1"/>
    <col min="14" max="17" width="12" customWidth="1"/>
    <col min="18" max="18" width="2.5" customWidth="1"/>
    <col min="19" max="19" width="12" customWidth="1"/>
    <col min="20" max="20" width="2.5" customWidth="1"/>
    <col min="21" max="21" width="12" customWidth="1"/>
  </cols>
  <sheetData>
    <row r="1" spans="2:14" ht="20.25" x14ac:dyDescent="0.2">
      <c r="B1" s="25" t="s">
        <v>97</v>
      </c>
      <c r="C1" s="25"/>
      <c r="D1" s="25"/>
      <c r="E1" s="25"/>
      <c r="F1" s="25"/>
      <c r="G1" s="25"/>
      <c r="H1" s="25"/>
      <c r="I1" s="25"/>
      <c r="J1" s="25"/>
      <c r="K1" s="25"/>
      <c r="L1" s="26"/>
      <c r="M1" s="27"/>
      <c r="N1" s="28"/>
    </row>
    <row r="2" spans="2:14" s="20" customFormat="1" ht="12.75" x14ac:dyDescent="0.2">
      <c r="B2" s="24" t="s">
        <v>98</v>
      </c>
      <c r="J2" s="29"/>
    </row>
    <row r="3" spans="2:14" s="20" customFormat="1" ht="13.5" thickBot="1" x14ac:dyDescent="0.25"/>
    <row r="4" spans="2:14" x14ac:dyDescent="0.2">
      <c r="B4" s="109"/>
      <c r="C4" s="118" t="s">
        <v>118</v>
      </c>
      <c r="D4" s="119"/>
    </row>
    <row r="5" spans="2:14" ht="44.25" customHeight="1" x14ac:dyDescent="0.2">
      <c r="B5" s="120"/>
      <c r="C5" s="121" t="s">
        <v>110</v>
      </c>
      <c r="D5" s="122" t="s">
        <v>111</v>
      </c>
    </row>
    <row r="6" spans="2:14" x14ac:dyDescent="0.2">
      <c r="B6" s="48" t="s">
        <v>18</v>
      </c>
      <c r="C6" s="130">
        <v>299.50447674109319</v>
      </c>
      <c r="D6" s="83">
        <v>21.7874091119177</v>
      </c>
    </row>
    <row r="7" spans="2:14" x14ac:dyDescent="0.2">
      <c r="B7" s="48" t="s">
        <v>19</v>
      </c>
      <c r="C7" s="130">
        <v>256.45900400700691</v>
      </c>
      <c r="D7" s="83">
        <v>22.962570888320133</v>
      </c>
    </row>
    <row r="8" spans="2:14" x14ac:dyDescent="0.2">
      <c r="B8" s="48" t="s">
        <v>20</v>
      </c>
      <c r="C8" s="130">
        <v>248.78087730407066</v>
      </c>
      <c r="D8" s="83">
        <v>6.4232086862719147</v>
      </c>
    </row>
    <row r="9" spans="2:14" x14ac:dyDescent="0.2">
      <c r="B9" s="48" t="s">
        <v>21</v>
      </c>
      <c r="C9" s="130">
        <v>460.31409692571941</v>
      </c>
      <c r="D9" s="83">
        <v>40.525902147388514</v>
      </c>
    </row>
    <row r="10" spans="2:14" x14ac:dyDescent="0.2">
      <c r="B10" s="48" t="s">
        <v>22</v>
      </c>
      <c r="C10" s="130">
        <v>122.92562284369383</v>
      </c>
      <c r="D10" s="83">
        <v>9.5340229064502342</v>
      </c>
    </row>
    <row r="11" spans="2:14" x14ac:dyDescent="0.2">
      <c r="B11" s="48" t="s">
        <v>23</v>
      </c>
      <c r="C11" s="130">
        <v>150.27023224455382</v>
      </c>
      <c r="D11" s="83">
        <v>8.316174991477272</v>
      </c>
    </row>
    <row r="12" spans="2:14" x14ac:dyDescent="0.2">
      <c r="B12" s="48" t="s">
        <v>24</v>
      </c>
      <c r="C12" s="130">
        <v>642.07282396680955</v>
      </c>
      <c r="D12" s="83">
        <v>24.825922518780473</v>
      </c>
    </row>
    <row r="13" spans="2:14" x14ac:dyDescent="0.2">
      <c r="B13" s="48" t="s">
        <v>25</v>
      </c>
      <c r="C13" s="130">
        <v>428.51939516860182</v>
      </c>
      <c r="D13" s="83">
        <v>64.225571755508525</v>
      </c>
    </row>
    <row r="14" spans="2:14" x14ac:dyDescent="0.2">
      <c r="B14" s="48" t="s">
        <v>26</v>
      </c>
      <c r="C14" s="130">
        <v>103.19810338694435</v>
      </c>
      <c r="D14" s="83">
        <v>16.840724605271284</v>
      </c>
    </row>
    <row r="15" spans="2:14" x14ac:dyDescent="0.2">
      <c r="B15" s="48" t="s">
        <v>27</v>
      </c>
      <c r="C15" s="130">
        <v>269.59350092579319</v>
      </c>
      <c r="D15" s="83">
        <v>14.965437003650942</v>
      </c>
    </row>
    <row r="16" spans="2:14" x14ac:dyDescent="0.2">
      <c r="B16" s="48" t="s">
        <v>28</v>
      </c>
      <c r="C16" s="130">
        <v>188.3814893434668</v>
      </c>
      <c r="D16" s="83">
        <v>0.97779098346265947</v>
      </c>
    </row>
    <row r="17" spans="2:4" x14ac:dyDescent="0.2">
      <c r="B17" s="48" t="s">
        <v>29</v>
      </c>
      <c r="C17" s="130">
        <v>83.509154781814743</v>
      </c>
      <c r="D17" s="83">
        <v>10.15684549883043</v>
      </c>
    </row>
    <row r="18" spans="2:4" x14ac:dyDescent="0.2">
      <c r="B18" s="48" t="s">
        <v>30</v>
      </c>
      <c r="C18" s="130">
        <v>15.386596043227918</v>
      </c>
      <c r="D18" s="83">
        <v>0.88373661294964168</v>
      </c>
    </row>
    <row r="19" spans="2:4" x14ac:dyDescent="0.2">
      <c r="B19" s="48" t="s">
        <v>31</v>
      </c>
      <c r="C19" s="130">
        <v>25.275437630520553</v>
      </c>
      <c r="D19" s="83">
        <v>0.444653133336676</v>
      </c>
    </row>
    <row r="20" spans="2:4" x14ac:dyDescent="0.2">
      <c r="B20" s="48" t="s">
        <v>32</v>
      </c>
      <c r="C20" s="130">
        <v>23.087649891918904</v>
      </c>
      <c r="D20" s="83">
        <v>0.57069238715308557</v>
      </c>
    </row>
    <row r="21" spans="2:4" x14ac:dyDescent="0.2">
      <c r="B21" s="48" t="s">
        <v>33</v>
      </c>
      <c r="C21" s="130">
        <v>128.56502518005942</v>
      </c>
      <c r="D21" s="83">
        <v>6.2973624728779338</v>
      </c>
    </row>
    <row r="22" spans="2:4" x14ac:dyDescent="0.2">
      <c r="B22" s="48" t="s">
        <v>34</v>
      </c>
      <c r="C22" s="130">
        <v>73.981398480475391</v>
      </c>
      <c r="D22" s="83">
        <v>8.7557463223094683</v>
      </c>
    </row>
    <row r="23" spans="2:4" ht="15" thickBot="1" x14ac:dyDescent="0.25">
      <c r="B23" s="112" t="s">
        <v>35</v>
      </c>
      <c r="C23" s="131">
        <v>42.474457888840497</v>
      </c>
      <c r="D23" s="84">
        <v>3.0160283076089032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8C9"/>
  </sheetPr>
  <dimension ref="B1:N21"/>
  <sheetViews>
    <sheetView showGridLines="0" zoomScale="75" zoomScaleNormal="75" workbookViewId="0">
      <selection activeCell="B4" sqref="B4"/>
    </sheetView>
  </sheetViews>
  <sheetFormatPr defaultRowHeight="14.25" x14ac:dyDescent="0.2"/>
  <cols>
    <col min="1" max="1" width="1.375" customWidth="1"/>
    <col min="2" max="2" width="22.375" customWidth="1"/>
    <col min="3" max="3" width="14.75" customWidth="1"/>
    <col min="4" max="4" width="12" customWidth="1"/>
    <col min="5" max="5" width="15.625" bestFit="1" customWidth="1"/>
  </cols>
  <sheetData>
    <row r="1" spans="2:14" ht="20.25" x14ac:dyDescent="0.2">
      <c r="B1" s="25" t="s">
        <v>66</v>
      </c>
      <c r="C1" s="25"/>
      <c r="D1" s="25"/>
      <c r="E1" s="25"/>
      <c r="F1" s="25"/>
      <c r="G1" s="25"/>
      <c r="H1" s="25"/>
      <c r="I1" s="25"/>
      <c r="J1" s="25"/>
      <c r="K1" s="25"/>
      <c r="L1" s="26"/>
      <c r="M1" s="27"/>
      <c r="N1" s="28"/>
    </row>
    <row r="3" spans="2:14" x14ac:dyDescent="0.2">
      <c r="B3" t="s">
        <v>68</v>
      </c>
    </row>
    <row r="4" spans="2:14" x14ac:dyDescent="0.2">
      <c r="B4" t="s">
        <v>69</v>
      </c>
    </row>
    <row r="5" spans="2:14" ht="15" thickBot="1" x14ac:dyDescent="0.25"/>
    <row r="6" spans="2:14" ht="36.75" customHeight="1" x14ac:dyDescent="0.2">
      <c r="B6" s="94" t="s">
        <v>107</v>
      </c>
      <c r="C6" s="95">
        <f>D20</f>
        <v>3.674140631597806E-2</v>
      </c>
    </row>
    <row r="7" spans="2:14" ht="48.75" thickBot="1" x14ac:dyDescent="0.25">
      <c r="B7" s="96" t="s">
        <v>108</v>
      </c>
      <c r="C7" s="97">
        <f>$D$21</f>
        <v>7.5103561354645978E-2</v>
      </c>
    </row>
    <row r="8" spans="2:14" ht="15" thickBot="1" x14ac:dyDescent="0.25"/>
    <row r="9" spans="2:14" x14ac:dyDescent="0.2">
      <c r="B9" s="103" t="s">
        <v>76</v>
      </c>
      <c r="C9" s="104"/>
      <c r="D9" s="105"/>
    </row>
    <row r="10" spans="2:14" ht="27" x14ac:dyDescent="0.2">
      <c r="B10" s="106"/>
      <c r="C10" s="107" t="s">
        <v>106</v>
      </c>
      <c r="D10" s="108" t="s">
        <v>52</v>
      </c>
    </row>
    <row r="11" spans="2:14" x14ac:dyDescent="0.2">
      <c r="B11" s="98" t="s">
        <v>51</v>
      </c>
      <c r="C11" s="47">
        <f>-Baseline!E25</f>
        <v>-83.581605787884797</v>
      </c>
      <c r="D11" s="99"/>
      <c r="G11" s="18"/>
    </row>
    <row r="12" spans="2:14" x14ac:dyDescent="0.2">
      <c r="B12" s="98" t="s">
        <v>53</v>
      </c>
      <c r="C12" s="47">
        <f>-'base+'!E25</f>
        <v>-259.15463880235637</v>
      </c>
      <c r="D12" s="34">
        <f>C12 - $C$11</f>
        <v>-175.57303301447158</v>
      </c>
      <c r="G12" s="18"/>
    </row>
    <row r="13" spans="2:14" x14ac:dyDescent="0.2">
      <c r="B13" s="98" t="s">
        <v>54</v>
      </c>
      <c r="C13" s="47">
        <f>-'base-'!E25</f>
        <v>82.54574165806082</v>
      </c>
      <c r="D13" s="34">
        <f>C13 - $C$11</f>
        <v>166.12734744594562</v>
      </c>
      <c r="G13" s="18"/>
    </row>
    <row r="14" spans="2:14" x14ac:dyDescent="0.2">
      <c r="B14" s="98" t="s">
        <v>57</v>
      </c>
      <c r="C14" s="100"/>
      <c r="D14" s="34">
        <f>AVERAGE(ABS(D13), ABS(D12))</f>
        <v>170.8501902302086</v>
      </c>
      <c r="G14" s="18"/>
    </row>
    <row r="15" spans="2:14" x14ac:dyDescent="0.2">
      <c r="B15" s="98" t="s">
        <v>60</v>
      </c>
      <c r="C15" s="47">
        <f>-'adj+'!E25</f>
        <v>-265.78731570649757</v>
      </c>
      <c r="D15" s="33">
        <f>C15 - $C$11</f>
        <v>-182.20570991861277</v>
      </c>
      <c r="G15" s="18"/>
    </row>
    <row r="16" spans="2:14" x14ac:dyDescent="0.2">
      <c r="B16" s="98" t="s">
        <v>61</v>
      </c>
      <c r="C16" s="47">
        <f>-'adj-'!E25</f>
        <v>88.467617270740107</v>
      </c>
      <c r="D16" s="33">
        <f>C16 - $C$11</f>
        <v>172.0492230586249</v>
      </c>
      <c r="G16" s="18"/>
    </row>
    <row r="17" spans="2:7" x14ac:dyDescent="0.2">
      <c r="B17" s="98" t="s">
        <v>57</v>
      </c>
      <c r="C17" s="101"/>
      <c r="D17" s="33">
        <f>AVERAGE(ABS(D16), ABS(D15))</f>
        <v>177.12746648861884</v>
      </c>
      <c r="G17" s="18"/>
    </row>
    <row r="18" spans="2:7" ht="24" x14ac:dyDescent="0.2">
      <c r="B18" s="98" t="s">
        <v>62</v>
      </c>
      <c r="C18" s="101"/>
      <c r="D18" s="33">
        <f>D17-D14</f>
        <v>6.2772762584102395</v>
      </c>
      <c r="E18" s="17"/>
    </row>
    <row r="19" spans="2:7" ht="24" x14ac:dyDescent="0.2">
      <c r="B19" s="98" t="s">
        <v>67</v>
      </c>
      <c r="C19" s="101"/>
      <c r="D19" s="33">
        <f>D18*5</f>
        <v>31.386381292051198</v>
      </c>
      <c r="E19" s="17"/>
    </row>
    <row r="20" spans="2:7" x14ac:dyDescent="0.2">
      <c r="B20" s="98" t="s">
        <v>58</v>
      </c>
      <c r="C20" s="101"/>
      <c r="D20" s="32">
        <f>D18/D14</f>
        <v>3.674140631597806E-2</v>
      </c>
      <c r="G20" s="18"/>
    </row>
    <row r="21" spans="2:7" ht="24.75" thickBot="1" x14ac:dyDescent="0.25">
      <c r="B21" s="96" t="s">
        <v>109</v>
      </c>
      <c r="C21" s="102"/>
      <c r="D21" s="93">
        <f>-D18/C11</f>
        <v>7.5103561354645978E-2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479"/>
  </sheetPr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4AA00"/>
  </sheetPr>
  <dimension ref="A1:Y63"/>
  <sheetViews>
    <sheetView showGridLines="0" zoomScale="71" zoomScaleNormal="71" workbookViewId="0">
      <selection activeCell="C4" sqref="C4"/>
    </sheetView>
  </sheetViews>
  <sheetFormatPr defaultRowHeight="14.25" x14ac:dyDescent="0.2"/>
  <cols>
    <col min="1" max="1" width="1.375" customWidth="1"/>
    <col min="2" max="2" width="20.75" bestFit="1" customWidth="1"/>
    <col min="3" max="8" width="12" customWidth="1"/>
    <col min="9" max="9" width="2.5" customWidth="1"/>
    <col min="10" max="12" width="12" customWidth="1"/>
    <col min="13" max="13" width="2.5" customWidth="1"/>
    <col min="14" max="17" width="12" customWidth="1"/>
    <col min="18" max="18" width="2.5" customWidth="1"/>
    <col min="19" max="19" width="12" customWidth="1"/>
    <col min="20" max="20" width="2.5" customWidth="1"/>
    <col min="21" max="21" width="12" customWidth="1"/>
  </cols>
  <sheetData>
    <row r="1" spans="1:14" ht="20.25" x14ac:dyDescent="0.2">
      <c r="B1" s="25" t="s">
        <v>78</v>
      </c>
      <c r="C1" s="25"/>
      <c r="D1" s="25"/>
      <c r="E1" s="25"/>
      <c r="F1" s="25"/>
      <c r="G1" s="25"/>
      <c r="H1" s="25"/>
      <c r="I1" s="25"/>
      <c r="J1" s="25"/>
      <c r="K1" s="25"/>
      <c r="L1" s="26"/>
      <c r="M1" s="27"/>
      <c r="N1" s="28"/>
    </row>
    <row r="2" spans="1:14" s="36" customFormat="1" ht="20.25" x14ac:dyDescent="0.2">
      <c r="B2" t="s">
        <v>77</v>
      </c>
      <c r="C2" s="37"/>
      <c r="D2" s="37"/>
      <c r="E2" s="37"/>
      <c r="F2" s="37"/>
      <c r="G2" s="37"/>
      <c r="H2" s="37"/>
      <c r="I2" s="37"/>
      <c r="J2" s="37"/>
      <c r="K2" s="37"/>
      <c r="L2" s="38"/>
      <c r="M2" s="39"/>
      <c r="N2" s="40"/>
    </row>
    <row r="3" spans="1:14" s="36" customFormat="1" ht="15" customHeight="1" x14ac:dyDescent="0.2"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  <c r="M3" s="39"/>
      <c r="N3" s="40"/>
    </row>
    <row r="4" spans="1:14" s="30" customFormat="1" ht="12.75" x14ac:dyDescent="0.2">
      <c r="A4" s="1"/>
      <c r="B4" s="30" t="s">
        <v>0</v>
      </c>
    </row>
    <row r="5" spans="1:14" ht="15" thickBot="1" x14ac:dyDescent="0.25">
      <c r="B5" s="46"/>
    </row>
    <row r="6" spans="1:14" ht="51" x14ac:dyDescent="0.2">
      <c r="B6" s="109"/>
      <c r="C6" s="110" t="s">
        <v>119</v>
      </c>
      <c r="D6" s="110" t="s">
        <v>49</v>
      </c>
      <c r="E6" s="111" t="s">
        <v>59</v>
      </c>
      <c r="G6" s="115" t="s">
        <v>50</v>
      </c>
      <c r="J6" s="29"/>
    </row>
    <row r="7" spans="1:14" x14ac:dyDescent="0.2">
      <c r="B7" s="48" t="s">
        <v>18</v>
      </c>
      <c r="C7" s="85">
        <f>'Actuals and unmodelled'!C6</f>
        <v>299.50447674109319</v>
      </c>
      <c r="D7" s="61">
        <f t="shared" ref="D7:D24" si="0">U31 * $U$50 + E31 * $E$50 + H31*$H$50</f>
        <v>301.16227483487154</v>
      </c>
      <c r="E7" s="62">
        <f t="shared" ref="E7:E24" si="1">D7-C7</f>
        <v>1.6577980937783536</v>
      </c>
      <c r="G7" s="88">
        <f t="shared" ref="G7:G24" si="2">C7/D7</f>
        <v>0.99449533280791114</v>
      </c>
    </row>
    <row r="8" spans="1:14" x14ac:dyDescent="0.2">
      <c r="B8" s="48" t="s">
        <v>19</v>
      </c>
      <c r="C8" s="85">
        <f>'Actuals and unmodelled'!C7</f>
        <v>256.45900400700691</v>
      </c>
      <c r="D8" s="61">
        <f t="shared" si="0"/>
        <v>233.75705341963652</v>
      </c>
      <c r="E8" s="62">
        <f t="shared" si="1"/>
        <v>-22.701950587370391</v>
      </c>
      <c r="G8" s="88">
        <f t="shared" si="2"/>
        <v>1.097117713691472</v>
      </c>
    </row>
    <row r="9" spans="1:14" x14ac:dyDescent="0.2">
      <c r="B9" s="48" t="s">
        <v>20</v>
      </c>
      <c r="C9" s="85">
        <f>'Actuals and unmodelled'!C8</f>
        <v>248.78087730407066</v>
      </c>
      <c r="D9" s="61">
        <f t="shared" si="0"/>
        <v>266.68119792395714</v>
      </c>
      <c r="E9" s="62">
        <f t="shared" si="1"/>
        <v>17.900320619886486</v>
      </c>
      <c r="G9" s="88">
        <f t="shared" si="2"/>
        <v>0.93287745533155031</v>
      </c>
    </row>
    <row r="10" spans="1:14" x14ac:dyDescent="0.2">
      <c r="B10" s="48" t="s">
        <v>21</v>
      </c>
      <c r="C10" s="85">
        <f>'Actuals and unmodelled'!C9</f>
        <v>460.31409692571941</v>
      </c>
      <c r="D10" s="61">
        <f t="shared" si="0"/>
        <v>481.00259820757105</v>
      </c>
      <c r="E10" s="62">
        <f t="shared" si="1"/>
        <v>20.688501281851643</v>
      </c>
      <c r="G10" s="88">
        <f t="shared" si="2"/>
        <v>0.95698879515631274</v>
      </c>
    </row>
    <row r="11" spans="1:14" x14ac:dyDescent="0.2">
      <c r="B11" s="48" t="s">
        <v>22</v>
      </c>
      <c r="C11" s="85">
        <f>'Actuals and unmodelled'!C10</f>
        <v>122.92562284369383</v>
      </c>
      <c r="D11" s="61">
        <f t="shared" si="0"/>
        <v>145.44787189547577</v>
      </c>
      <c r="E11" s="62">
        <f t="shared" si="1"/>
        <v>22.522249051781941</v>
      </c>
      <c r="G11" s="88">
        <f t="shared" si="2"/>
        <v>0.84515243325136269</v>
      </c>
    </row>
    <row r="12" spans="1:14" x14ac:dyDescent="0.2">
      <c r="B12" s="48" t="s">
        <v>23</v>
      </c>
      <c r="C12" s="85">
        <f>'Actuals and unmodelled'!C11</f>
        <v>150.27023224455382</v>
      </c>
      <c r="D12" s="61">
        <f t="shared" si="0"/>
        <v>147.74315240580694</v>
      </c>
      <c r="E12" s="62">
        <f t="shared" si="1"/>
        <v>-2.5270798387468858</v>
      </c>
      <c r="G12" s="88">
        <f t="shared" si="2"/>
        <v>1.0171045479780054</v>
      </c>
    </row>
    <row r="13" spans="1:14" x14ac:dyDescent="0.2">
      <c r="B13" s="48" t="s">
        <v>24</v>
      </c>
      <c r="C13" s="85">
        <f>'Actuals and unmodelled'!C12</f>
        <v>642.07282396680955</v>
      </c>
      <c r="D13" s="61">
        <f t="shared" si="0"/>
        <v>680.31510134201108</v>
      </c>
      <c r="E13" s="62">
        <f t="shared" si="1"/>
        <v>38.242277375201525</v>
      </c>
      <c r="G13" s="88">
        <f t="shared" si="2"/>
        <v>0.94378740483672408</v>
      </c>
    </row>
    <row r="14" spans="1:14" x14ac:dyDescent="0.2">
      <c r="B14" s="48" t="s">
        <v>25</v>
      </c>
      <c r="C14" s="85">
        <f>'Actuals and unmodelled'!C13</f>
        <v>428.51939516860182</v>
      </c>
      <c r="D14" s="61">
        <f t="shared" si="0"/>
        <v>415.50428232968306</v>
      </c>
      <c r="E14" s="62">
        <f t="shared" si="1"/>
        <v>-13.015112838918753</v>
      </c>
      <c r="G14" s="88">
        <f t="shared" si="2"/>
        <v>1.0313236551160063</v>
      </c>
    </row>
    <row r="15" spans="1:14" x14ac:dyDescent="0.2">
      <c r="B15" s="48" t="s">
        <v>26</v>
      </c>
      <c r="C15" s="85">
        <f>'Actuals and unmodelled'!C14</f>
        <v>103.19810338694435</v>
      </c>
      <c r="D15" s="61">
        <f t="shared" si="0"/>
        <v>102.52042703615004</v>
      </c>
      <c r="E15" s="62">
        <f t="shared" si="1"/>
        <v>-0.67767635079431443</v>
      </c>
      <c r="G15" s="88">
        <f t="shared" si="2"/>
        <v>1.0066101592666539</v>
      </c>
    </row>
    <row r="16" spans="1:14" x14ac:dyDescent="0.2">
      <c r="B16" s="48" t="s">
        <v>27</v>
      </c>
      <c r="C16" s="85">
        <f>'Actuals and unmodelled'!C15</f>
        <v>269.59350092579319</v>
      </c>
      <c r="D16" s="61">
        <f t="shared" si="0"/>
        <v>280.31786058852293</v>
      </c>
      <c r="E16" s="62">
        <f t="shared" si="1"/>
        <v>10.724359662729739</v>
      </c>
      <c r="G16" s="88">
        <f t="shared" si="2"/>
        <v>0.96174214643257439</v>
      </c>
    </row>
    <row r="17" spans="1:21" x14ac:dyDescent="0.2">
      <c r="B17" s="48" t="s">
        <v>28</v>
      </c>
      <c r="C17" s="85">
        <f>'Actuals and unmodelled'!C16</f>
        <v>188.3814893434668</v>
      </c>
      <c r="D17" s="61">
        <f t="shared" si="0"/>
        <v>193.71770860332151</v>
      </c>
      <c r="E17" s="62">
        <f t="shared" si="1"/>
        <v>5.3362192598547153</v>
      </c>
      <c r="G17" s="88">
        <f t="shared" si="2"/>
        <v>0.97245363215202096</v>
      </c>
    </row>
    <row r="18" spans="1:21" x14ac:dyDescent="0.2">
      <c r="B18" s="48" t="s">
        <v>29</v>
      </c>
      <c r="C18" s="85">
        <f>'Actuals and unmodelled'!C17</f>
        <v>83.509154781814743</v>
      </c>
      <c r="D18" s="61">
        <f t="shared" si="0"/>
        <v>68.207069815932982</v>
      </c>
      <c r="E18" s="62">
        <f t="shared" si="1"/>
        <v>-15.302084965881761</v>
      </c>
      <c r="G18" s="88">
        <f t="shared" si="2"/>
        <v>1.2243474907685776</v>
      </c>
    </row>
    <row r="19" spans="1:21" x14ac:dyDescent="0.2">
      <c r="B19" s="48" t="s">
        <v>30</v>
      </c>
      <c r="C19" s="85">
        <f>'Actuals and unmodelled'!C18</f>
        <v>15.386596043227918</v>
      </c>
      <c r="D19" s="61">
        <f t="shared" si="0"/>
        <v>16.027078631159629</v>
      </c>
      <c r="E19" s="62">
        <f t="shared" si="1"/>
        <v>0.64048258793171087</v>
      </c>
      <c r="G19" s="88">
        <f t="shared" si="2"/>
        <v>0.96003747141500306</v>
      </c>
    </row>
    <row r="20" spans="1:21" x14ac:dyDescent="0.2">
      <c r="B20" s="48" t="s">
        <v>31</v>
      </c>
      <c r="C20" s="85">
        <f>'Actuals and unmodelled'!C19</f>
        <v>25.275437630520553</v>
      </c>
      <c r="D20" s="61">
        <f t="shared" si="0"/>
        <v>27.624459229950062</v>
      </c>
      <c r="E20" s="62">
        <f t="shared" si="1"/>
        <v>2.3490215994295092</v>
      </c>
      <c r="G20" s="88">
        <f t="shared" si="2"/>
        <v>0.91496587933628282</v>
      </c>
    </row>
    <row r="21" spans="1:21" x14ac:dyDescent="0.2">
      <c r="B21" s="48" t="s">
        <v>32</v>
      </c>
      <c r="C21" s="85">
        <f>'Actuals and unmodelled'!C20</f>
        <v>23.087649891918904</v>
      </c>
      <c r="D21" s="61">
        <f t="shared" si="0"/>
        <v>27.388093399736118</v>
      </c>
      <c r="E21" s="62">
        <f t="shared" si="1"/>
        <v>4.3004435078172136</v>
      </c>
      <c r="G21" s="88">
        <f t="shared" si="2"/>
        <v>0.84298127492662023</v>
      </c>
    </row>
    <row r="22" spans="1:21" x14ac:dyDescent="0.2">
      <c r="B22" s="48" t="s">
        <v>33</v>
      </c>
      <c r="C22" s="85">
        <f>'Actuals and unmodelled'!C21</f>
        <v>128.56502518005942</v>
      </c>
      <c r="D22" s="61">
        <f t="shared" si="0"/>
        <v>138.83845903116929</v>
      </c>
      <c r="E22" s="62">
        <f t="shared" si="1"/>
        <v>10.273433851109871</v>
      </c>
      <c r="G22" s="88">
        <f t="shared" si="2"/>
        <v>0.9260044088446453</v>
      </c>
    </row>
    <row r="23" spans="1:21" x14ac:dyDescent="0.2">
      <c r="B23" s="48" t="s">
        <v>34</v>
      </c>
      <c r="C23" s="85">
        <f>'Actuals and unmodelled'!C22</f>
        <v>73.981398480475391</v>
      </c>
      <c r="D23" s="61">
        <f t="shared" si="0"/>
        <v>78.595985657002231</v>
      </c>
      <c r="E23" s="62">
        <f t="shared" si="1"/>
        <v>4.6145871765268396</v>
      </c>
      <c r="G23" s="88">
        <f t="shared" si="2"/>
        <v>0.94128724084376036</v>
      </c>
    </row>
    <row r="24" spans="1:21" ht="15" thickBot="1" x14ac:dyDescent="0.25">
      <c r="B24" s="112" t="s">
        <v>35</v>
      </c>
      <c r="C24" s="113">
        <f>'Actuals and unmodelled'!C23</f>
        <v>42.474457888840497</v>
      </c>
      <c r="D24" s="114">
        <f t="shared" si="0"/>
        <v>41.030274190537853</v>
      </c>
      <c r="E24" s="63">
        <f t="shared" si="1"/>
        <v>-1.4441836983026448</v>
      </c>
      <c r="G24" s="116">
        <f t="shared" si="2"/>
        <v>1.0351980026162169</v>
      </c>
    </row>
    <row r="25" spans="1:21" ht="15" thickBot="1" x14ac:dyDescent="0.25">
      <c r="B25" s="64" t="s">
        <v>63</v>
      </c>
      <c r="C25" s="65">
        <f>SUM(C7:C24)</f>
        <v>3562.2993427546112</v>
      </c>
      <c r="D25" s="66">
        <f>SUM(D7:D24)</f>
        <v>3645.8809485424958</v>
      </c>
      <c r="E25" s="67">
        <f>SUM(E7:E24)</f>
        <v>83.581605787884797</v>
      </c>
      <c r="G25" s="89"/>
    </row>
    <row r="26" spans="1:21" x14ac:dyDescent="0.2">
      <c r="G26" s="17"/>
      <c r="H26" s="17"/>
      <c r="I26" s="17"/>
      <c r="J26" s="17"/>
      <c r="L26" s="17"/>
    </row>
    <row r="27" spans="1:21" s="30" customFormat="1" ht="12.75" x14ac:dyDescent="0.2">
      <c r="A27" s="1"/>
      <c r="B27" s="30" t="s">
        <v>0</v>
      </c>
    </row>
    <row r="28" spans="1:21" s="1" customFormat="1" ht="13.5" thickBot="1" x14ac:dyDescent="0.2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21" s="1" customFormat="1" ht="13.5" x14ac:dyDescent="0.2">
      <c r="B29" s="117"/>
      <c r="C29" s="118" t="s">
        <v>80</v>
      </c>
      <c r="D29" s="118"/>
      <c r="E29" s="118"/>
      <c r="F29" s="118"/>
      <c r="G29" s="118"/>
      <c r="H29" s="119"/>
      <c r="I29" s="2"/>
      <c r="J29" s="125" t="s">
        <v>1</v>
      </c>
      <c r="K29" s="118"/>
      <c r="L29" s="119"/>
      <c r="N29" s="125" t="s">
        <v>2</v>
      </c>
      <c r="O29" s="118"/>
      <c r="P29" s="118"/>
      <c r="Q29" s="126"/>
      <c r="S29" s="115" t="s">
        <v>3</v>
      </c>
      <c r="U29" s="115" t="s">
        <v>4</v>
      </c>
    </row>
    <row r="30" spans="1:21" s="1" customFormat="1" ht="38.25" x14ac:dyDescent="0.2">
      <c r="B30" s="120"/>
      <c r="C30" s="121" t="s">
        <v>5</v>
      </c>
      <c r="D30" s="121" t="s">
        <v>6</v>
      </c>
      <c r="E30" s="121" t="s">
        <v>7</v>
      </c>
      <c r="F30" s="121" t="s">
        <v>8</v>
      </c>
      <c r="G30" s="121" t="s">
        <v>9</v>
      </c>
      <c r="H30" s="122" t="s">
        <v>10</v>
      </c>
      <c r="J30" s="120" t="s">
        <v>11</v>
      </c>
      <c r="K30" s="121" t="s">
        <v>12</v>
      </c>
      <c r="L30" s="122" t="s">
        <v>13</v>
      </c>
      <c r="N30" s="120" t="s">
        <v>14</v>
      </c>
      <c r="O30" s="121" t="s">
        <v>15</v>
      </c>
      <c r="P30" s="121" t="s">
        <v>16</v>
      </c>
      <c r="Q30" s="122" t="s">
        <v>17</v>
      </c>
      <c r="S30" s="127"/>
      <c r="U30" s="127"/>
    </row>
    <row r="31" spans="1:21" s="1" customFormat="1" x14ac:dyDescent="0.2">
      <c r="A31" s="16"/>
      <c r="B31" s="48" t="s">
        <v>18</v>
      </c>
      <c r="C31" s="47" t="s">
        <v>79</v>
      </c>
      <c r="D31" s="47">
        <f>'Econometric models'!C8 / 5</f>
        <v>289.34000000000003</v>
      </c>
      <c r="E31" s="123">
        <f>D31</f>
        <v>289.34000000000003</v>
      </c>
      <c r="F31" s="47">
        <f>'Econometric models'!C50 / 5</f>
        <v>320.68979999999999</v>
      </c>
      <c r="G31" s="47">
        <f>'Econometric models'!C29 / 5</f>
        <v>313.75779999999997</v>
      </c>
      <c r="H31" s="33">
        <f t="shared" ref="H31:H48" si="3">F$49 * F31 + G$49 * G31</f>
        <v>317.22379999999998</v>
      </c>
      <c r="I31" s="3"/>
      <c r="J31" s="35">
        <f>'Econometric models'!C92 / 5</f>
        <v>230.73159999999999</v>
      </c>
      <c r="K31" s="47">
        <f>'Econometric models'!C71 / 5</f>
        <v>223.04239999999999</v>
      </c>
      <c r="L31" s="33">
        <f t="shared" ref="L31:L48" si="4">J$49 * J31 + K$49 * K31</f>
        <v>226.887</v>
      </c>
      <c r="M31" s="4"/>
      <c r="N31" s="35">
        <f>INDEX('UC models'!$C$30:$C$47,MATCH($B31,'UC models'!$B$8:$B$25,0)) / 5</f>
        <v>31.744962482937829</v>
      </c>
      <c r="O31" s="47">
        <f>INDEX('UC models'!$C$52:$C$69,MATCH($B31,'UC models'!$B$8:$B$25,0)) / 5</f>
        <v>1.1961082204132416</v>
      </c>
      <c r="P31" s="47">
        <f>INDEX('UC models'!$C$8:$C$25,MATCH($B31,'UC models'!$B$8:$B$25,0)) / 5</f>
        <v>15.307544689346708</v>
      </c>
      <c r="Q31" s="33">
        <f>SUM(N31:P31)</f>
        <v>48.248615392697779</v>
      </c>
      <c r="S31" s="86">
        <f>'Actuals and unmodelled'!D6</f>
        <v>21.7874091119177</v>
      </c>
      <c r="U31" s="59">
        <f t="shared" ref="U31:U48" si="5">L31+Q31+S31</f>
        <v>296.92302450461551</v>
      </c>
    </row>
    <row r="32" spans="1:21" s="1" customFormat="1" x14ac:dyDescent="0.2">
      <c r="A32" s="16"/>
      <c r="B32" s="48" t="s">
        <v>19</v>
      </c>
      <c r="C32" s="47" t="s">
        <v>79</v>
      </c>
      <c r="D32" s="47">
        <f>'Econometric models'!C9 / 5</f>
        <v>254.95059999999998</v>
      </c>
      <c r="E32" s="123">
        <f t="shared" ref="E32:E48" si="6">D32</f>
        <v>254.95059999999998</v>
      </c>
      <c r="F32" s="47">
        <f>'Econometric models'!C51 / 5</f>
        <v>237.22579999999999</v>
      </c>
      <c r="G32" s="47">
        <f>'Econometric models'!C30 / 5</f>
        <v>246.9246</v>
      </c>
      <c r="H32" s="33">
        <f t="shared" si="3"/>
        <v>242.0752</v>
      </c>
      <c r="I32" s="3"/>
      <c r="J32" s="35">
        <f>'Econometric models'!C93 / 5</f>
        <v>161.45076</v>
      </c>
      <c r="K32" s="47">
        <f>'Econometric models'!C72 / 5</f>
        <v>171.10228000000001</v>
      </c>
      <c r="L32" s="33">
        <f t="shared" si="4"/>
        <v>166.27652</v>
      </c>
      <c r="M32" s="4"/>
      <c r="N32" s="35">
        <f>INDEX('UC models'!$C$30:$C$47,MATCH($B32,'UC models'!$B$8:$B$25,0)) / 5</f>
        <v>9.1348823316390568</v>
      </c>
      <c r="O32" s="47">
        <f>INDEX('UC models'!$C$52:$C$69,MATCH($B32,'UC models'!$B$8:$B$25,0)) / 5</f>
        <v>0</v>
      </c>
      <c r="P32" s="47">
        <f>INDEX('UC models'!$C$8:$C$25,MATCH($B32,'UC models'!$B$8:$B$25,0)) / 5</f>
        <v>5.8713870389510987</v>
      </c>
      <c r="Q32" s="33">
        <f t="shared" ref="Q32:Q48" si="7">SUM(N32:P32)</f>
        <v>15.006269370590156</v>
      </c>
      <c r="S32" s="86">
        <f>'Actuals and unmodelled'!D7</f>
        <v>22.962570888320133</v>
      </c>
      <c r="U32" s="59">
        <f t="shared" si="5"/>
        <v>204.2453602589103</v>
      </c>
    </row>
    <row r="33" spans="1:21" s="1" customFormat="1" x14ac:dyDescent="0.2">
      <c r="A33" s="16"/>
      <c r="B33" s="48" t="s">
        <v>20</v>
      </c>
      <c r="C33" s="47" t="s">
        <v>79</v>
      </c>
      <c r="D33" s="47">
        <f>'Econometric models'!C10 / 5</f>
        <v>271.33280000000002</v>
      </c>
      <c r="E33" s="123">
        <f t="shared" si="6"/>
        <v>271.33280000000002</v>
      </c>
      <c r="F33" s="47">
        <f>'Econometric models'!C52 / 5</f>
        <v>261.8218</v>
      </c>
      <c r="G33" s="47">
        <f>'Econometric models'!C31 / 5</f>
        <v>260.86660000000001</v>
      </c>
      <c r="H33" s="33">
        <f t="shared" si="3"/>
        <v>261.3442</v>
      </c>
      <c r="I33" s="3"/>
      <c r="J33" s="35">
        <f>'Econometric models'!C94 / 5</f>
        <v>202.94880000000001</v>
      </c>
      <c r="K33" s="47">
        <f>'Econometric models'!C73 / 5</f>
        <v>204.047</v>
      </c>
      <c r="L33" s="33">
        <f t="shared" si="4"/>
        <v>203.49790000000002</v>
      </c>
      <c r="M33" s="4"/>
      <c r="N33" s="35">
        <f>INDEX('UC models'!$C$30:$C$47,MATCH($B33,'UC models'!$B$8:$B$25,0)) / 5</f>
        <v>47.579045297964264</v>
      </c>
      <c r="O33" s="47">
        <f>INDEX('UC models'!$C$52:$C$69,MATCH($B33,'UC models'!$B$8:$B$25,0)) / 5</f>
        <v>1.929000138951086</v>
      </c>
      <c r="P33" s="47">
        <f>INDEX('UC models'!$C$8:$C$25,MATCH($B33,'UC models'!$B$8:$B$25,0)) / 5</f>
        <v>7.9374396486848982</v>
      </c>
      <c r="Q33" s="33">
        <f t="shared" si="7"/>
        <v>57.445485085600254</v>
      </c>
      <c r="S33" s="86">
        <f>'Actuals and unmodelled'!D8</f>
        <v>6.4232086862719147</v>
      </c>
      <c r="U33" s="59">
        <f t="shared" si="5"/>
        <v>267.36659377187215</v>
      </c>
    </row>
    <row r="34" spans="1:21" s="1" customFormat="1" x14ac:dyDescent="0.2">
      <c r="A34" s="16"/>
      <c r="B34" s="48" t="s">
        <v>21</v>
      </c>
      <c r="C34" s="47" t="s">
        <v>79</v>
      </c>
      <c r="D34" s="47">
        <f>'Econometric models'!C11 / 5</f>
        <v>493.2</v>
      </c>
      <c r="E34" s="123">
        <f t="shared" si="6"/>
        <v>493.2</v>
      </c>
      <c r="F34" s="47">
        <f>'Econometric models'!C53 / 5</f>
        <v>482.99939999999998</v>
      </c>
      <c r="G34" s="47">
        <f>'Econometric models'!C32 / 5</f>
        <v>483.69780000000003</v>
      </c>
      <c r="H34" s="33">
        <f t="shared" si="3"/>
        <v>483.34860000000003</v>
      </c>
      <c r="I34" s="3"/>
      <c r="J34" s="35">
        <f>'Econometric models'!C95 / 5</f>
        <v>374.10340000000002</v>
      </c>
      <c r="K34" s="47">
        <f>'Econometric models'!C74 / 5</f>
        <v>389.44540000000001</v>
      </c>
      <c r="L34" s="33">
        <f t="shared" si="4"/>
        <v>381.77440000000001</v>
      </c>
      <c r="M34" s="4"/>
      <c r="N34" s="35">
        <f>INDEX('UC models'!$C$30:$C$47,MATCH($B34,'UC models'!$B$8:$B$25,0)) / 5</f>
        <v>25.847643556564947</v>
      </c>
      <c r="O34" s="47">
        <f>INDEX('UC models'!$C$52:$C$69,MATCH($B34,'UC models'!$B$8:$B$25,0)) / 5</f>
        <v>0.41525018525589347</v>
      </c>
      <c r="P34" s="47">
        <f>INDEX('UC models'!$C$8:$C$25,MATCH($B34,'UC models'!$B$8:$B$25,0)) / 5</f>
        <v>17.895998733505127</v>
      </c>
      <c r="Q34" s="33">
        <f t="shared" si="7"/>
        <v>44.15889247532597</v>
      </c>
      <c r="S34" s="86">
        <f>'Actuals and unmodelled'!D9</f>
        <v>40.525902147388514</v>
      </c>
      <c r="U34" s="59">
        <f t="shared" si="5"/>
        <v>466.45919462271451</v>
      </c>
    </row>
    <row r="35" spans="1:21" s="1" customFormat="1" x14ac:dyDescent="0.2">
      <c r="A35" s="16"/>
      <c r="B35" s="48" t="s">
        <v>22</v>
      </c>
      <c r="C35" s="47" t="s">
        <v>79</v>
      </c>
      <c r="D35" s="47">
        <f>'Econometric models'!C12 / 5</f>
        <v>157.81621999999999</v>
      </c>
      <c r="E35" s="123">
        <f t="shared" si="6"/>
        <v>157.81621999999999</v>
      </c>
      <c r="F35" s="47">
        <f>'Econometric models'!C54 / 5</f>
        <v>152.79875999999999</v>
      </c>
      <c r="G35" s="47">
        <f>'Econometric models'!C33 / 5</f>
        <v>156.81900000000002</v>
      </c>
      <c r="H35" s="33">
        <f t="shared" si="3"/>
        <v>154.80887999999999</v>
      </c>
      <c r="I35" s="3"/>
      <c r="J35" s="35">
        <f>'Econometric models'!C96 / 5</f>
        <v>102.76954000000001</v>
      </c>
      <c r="K35" s="47">
        <f>'Econometric models'!C75 / 5</f>
        <v>103.23233999999999</v>
      </c>
      <c r="L35" s="33">
        <f t="shared" si="4"/>
        <v>103.00094</v>
      </c>
      <c r="M35" s="4"/>
      <c r="N35" s="35">
        <f>INDEX('UC models'!$C$30:$C$47,MATCH($B35,'UC models'!$B$8:$B$25,0)) / 5</f>
        <v>5.8122872440430218</v>
      </c>
      <c r="O35" s="47">
        <f>INDEX('UC models'!$C$52:$C$69,MATCH($B35,'UC models'!$B$8:$B$25,0)) / 5</f>
        <v>4.4090785632444202E-2</v>
      </c>
      <c r="P35" s="47">
        <f>INDEX('UC models'!$C$8:$C$25,MATCH($B35,'UC models'!$B$8:$B$25,0)) / 5</f>
        <v>5.3271747503020439</v>
      </c>
      <c r="Q35" s="33">
        <f t="shared" si="7"/>
        <v>11.183552779977511</v>
      </c>
      <c r="S35" s="86">
        <f>'Actuals and unmodelled'!D10</f>
        <v>9.5340229064502342</v>
      </c>
      <c r="U35" s="59">
        <f t="shared" si="5"/>
        <v>123.71851568642775</v>
      </c>
    </row>
    <row r="36" spans="1:21" s="1" customFormat="1" x14ac:dyDescent="0.2">
      <c r="A36" s="16"/>
      <c r="B36" s="48" t="s">
        <v>23</v>
      </c>
      <c r="C36" s="47" t="s">
        <v>79</v>
      </c>
      <c r="D36" s="47">
        <f>'Econometric models'!C13 / 5</f>
        <v>135.34764000000001</v>
      </c>
      <c r="E36" s="123">
        <f t="shared" si="6"/>
        <v>135.34764000000001</v>
      </c>
      <c r="F36" s="47">
        <f>'Econometric models'!C55 / 5</f>
        <v>142.25458</v>
      </c>
      <c r="G36" s="47">
        <f>'Econometric models'!C34 / 5</f>
        <v>136.65645999999998</v>
      </c>
      <c r="H36" s="33">
        <f t="shared" si="3"/>
        <v>139.45551999999998</v>
      </c>
      <c r="I36" s="3"/>
      <c r="J36" s="35">
        <f>'Econometric models'!C97 / 5</f>
        <v>110.55632</v>
      </c>
      <c r="K36" s="47">
        <f>'Econometric models'!C76 / 5</f>
        <v>101.9794</v>
      </c>
      <c r="L36" s="33">
        <f t="shared" si="4"/>
        <v>106.26786</v>
      </c>
      <c r="M36" s="4"/>
      <c r="N36" s="35">
        <f>INDEX('UC models'!$C$30:$C$47,MATCH($B36,'UC models'!$B$8:$B$25,0)) / 5</f>
        <v>47.955406107161792</v>
      </c>
      <c r="O36" s="47">
        <f>INDEX('UC models'!$C$52:$C$69,MATCH($B36,'UC models'!$B$8:$B$25,0)) / 5</f>
        <v>3.1027458920290973E-2</v>
      </c>
      <c r="P36" s="47">
        <f>INDEX('UC models'!$C$8:$C$25,MATCH($B36,'UC models'!$B$8:$B$25,0)) / 5</f>
        <v>5.8558286598619533</v>
      </c>
      <c r="Q36" s="33">
        <f t="shared" si="7"/>
        <v>53.84226222594404</v>
      </c>
      <c r="S36" s="86">
        <f>'Actuals and unmodelled'!D11</f>
        <v>8.316174991477272</v>
      </c>
      <c r="U36" s="59">
        <f t="shared" si="5"/>
        <v>168.42629721742134</v>
      </c>
    </row>
    <row r="37" spans="1:21" s="1" customFormat="1" x14ac:dyDescent="0.2">
      <c r="A37" s="16"/>
      <c r="B37" s="48" t="s">
        <v>24</v>
      </c>
      <c r="C37" s="47" t="s">
        <v>79</v>
      </c>
      <c r="D37" s="47">
        <f>'Econometric models'!C14 / 5</f>
        <v>757.08839999999998</v>
      </c>
      <c r="E37" s="123">
        <f t="shared" si="6"/>
        <v>757.08839999999998</v>
      </c>
      <c r="F37" s="47">
        <f>'Econometric models'!C56 / 5</f>
        <v>740.98800000000006</v>
      </c>
      <c r="G37" s="47">
        <f>'Econometric models'!C35 / 5</f>
        <v>746.44979999999998</v>
      </c>
      <c r="H37" s="33">
        <f t="shared" si="3"/>
        <v>743.71890000000008</v>
      </c>
      <c r="I37" s="3"/>
      <c r="J37" s="35">
        <f>'Econometric models'!C98 / 5</f>
        <v>456.80780000000004</v>
      </c>
      <c r="K37" s="47">
        <f>'Econometric models'!C77 / 5</f>
        <v>447.65699999999998</v>
      </c>
      <c r="L37" s="33">
        <f t="shared" si="4"/>
        <v>452.23239999999998</v>
      </c>
      <c r="M37" s="4"/>
      <c r="N37" s="35">
        <f>INDEX('UC models'!$C$30:$C$47,MATCH($B37,'UC models'!$B$8:$B$25,0)) / 5</f>
        <v>34.245395162838236</v>
      </c>
      <c r="O37" s="47">
        <f>INDEX('UC models'!$C$52:$C$69,MATCH($B37,'UC models'!$B$8:$B$25,0)) / 5</f>
        <v>4.605362916516107</v>
      </c>
      <c r="P37" s="47">
        <f>INDEX('UC models'!$C$8:$C$25,MATCH($B37,'UC models'!$B$8:$B$25,0)) / 5</f>
        <v>24.228923427900515</v>
      </c>
      <c r="Q37" s="33">
        <f t="shared" si="7"/>
        <v>63.079681507254861</v>
      </c>
      <c r="S37" s="86">
        <f>'Actuals and unmodelled'!D12</f>
        <v>24.825922518780473</v>
      </c>
      <c r="U37" s="59">
        <f t="shared" si="5"/>
        <v>540.13800402603522</v>
      </c>
    </row>
    <row r="38" spans="1:21" s="1" customFormat="1" x14ac:dyDescent="0.2">
      <c r="A38" s="16"/>
      <c r="B38" s="48" t="s">
        <v>25</v>
      </c>
      <c r="C38" s="47" t="s">
        <v>79</v>
      </c>
      <c r="D38" s="47">
        <f>'Econometric models'!C15 / 5</f>
        <v>422.2704</v>
      </c>
      <c r="E38" s="123">
        <f t="shared" si="6"/>
        <v>422.2704</v>
      </c>
      <c r="F38" s="47">
        <f>'Econometric models'!C57 / 5</f>
        <v>425.94080000000002</v>
      </c>
      <c r="G38" s="47">
        <f>'Econometric models'!C36 / 5</f>
        <v>414.99520000000001</v>
      </c>
      <c r="H38" s="33">
        <f t="shared" si="3"/>
        <v>420.46800000000002</v>
      </c>
      <c r="I38" s="3"/>
      <c r="J38" s="35">
        <f>'Econometric models'!C99 / 5</f>
        <v>324.11599999999999</v>
      </c>
      <c r="K38" s="47">
        <f>'Econometric models'!C78 / 5</f>
        <v>313.37939999999998</v>
      </c>
      <c r="L38" s="33">
        <f t="shared" si="4"/>
        <v>318.74770000000001</v>
      </c>
      <c r="M38" s="4"/>
      <c r="N38" s="35">
        <f>INDEX('UC models'!$C$30:$C$47,MATCH($B38,'UC models'!$B$8:$B$25,0)) / 5</f>
        <v>6.2724688157071036</v>
      </c>
      <c r="O38" s="47">
        <f>INDEX('UC models'!$C$52:$C$69,MATCH($B38,'UC models'!$B$8:$B$25,0)) / 5</f>
        <v>1.6202199974674882</v>
      </c>
      <c r="P38" s="47">
        <f>INDEX('UC models'!$C$8:$C$25,MATCH($B38,'UC models'!$B$8:$B$25,0)) / 5</f>
        <v>12.908486420367321</v>
      </c>
      <c r="Q38" s="33">
        <f t="shared" si="7"/>
        <v>20.801175233541912</v>
      </c>
      <c r="S38" s="86">
        <f>'Actuals and unmodelled'!D13</f>
        <v>64.225571755508525</v>
      </c>
      <c r="U38" s="59">
        <f t="shared" si="5"/>
        <v>403.77444698905049</v>
      </c>
    </row>
    <row r="39" spans="1:21" s="1" customFormat="1" x14ac:dyDescent="0.2">
      <c r="A39" s="16"/>
      <c r="B39" s="48" t="s">
        <v>26</v>
      </c>
      <c r="C39" s="47" t="s">
        <v>79</v>
      </c>
      <c r="D39" s="47">
        <f>'Econometric models'!C16 / 5</f>
        <v>101.30646</v>
      </c>
      <c r="E39" s="123">
        <f t="shared" si="6"/>
        <v>101.30646</v>
      </c>
      <c r="F39" s="47">
        <f>'Econometric models'!C58 / 5</f>
        <v>107.93762</v>
      </c>
      <c r="G39" s="47">
        <f>'Econometric models'!C37 / 5</f>
        <v>102.71726000000001</v>
      </c>
      <c r="H39" s="33">
        <f t="shared" si="3"/>
        <v>105.32744</v>
      </c>
      <c r="I39" s="3"/>
      <c r="J39" s="35">
        <f>'Econometric models'!C100 / 5</f>
        <v>79.083119999999994</v>
      </c>
      <c r="K39" s="47">
        <f>'Econometric models'!C79 / 5</f>
        <v>78.788039999999995</v>
      </c>
      <c r="L39" s="33">
        <f t="shared" si="4"/>
        <v>78.935579999999987</v>
      </c>
      <c r="M39" s="4"/>
      <c r="N39" s="35">
        <f>INDEX('UC models'!$C$30:$C$47,MATCH($B39,'UC models'!$B$8:$B$25,0)) / 5</f>
        <v>0</v>
      </c>
      <c r="O39" s="47">
        <f>INDEX('UC models'!$C$52:$C$69,MATCH($B39,'UC models'!$B$8:$B$25,0)) / 5</f>
        <v>0.22963803706935965</v>
      </c>
      <c r="P39" s="47">
        <f>INDEX('UC models'!$C$8:$C$25,MATCH($B39,'UC models'!$B$8:$B$25,0)) / 5</f>
        <v>4.9214384661098549</v>
      </c>
      <c r="Q39" s="33">
        <f t="shared" si="7"/>
        <v>5.1510765031792145</v>
      </c>
      <c r="S39" s="86">
        <f>'Actuals and unmodelled'!D14</f>
        <v>16.840724605271284</v>
      </c>
      <c r="U39" s="59">
        <f t="shared" si="5"/>
        <v>100.92738110845048</v>
      </c>
    </row>
    <row r="40" spans="1:21" s="1" customFormat="1" x14ac:dyDescent="0.2">
      <c r="A40" s="16"/>
      <c r="B40" s="48" t="s">
        <v>27</v>
      </c>
      <c r="C40" s="47" t="s">
        <v>79</v>
      </c>
      <c r="D40" s="47">
        <f>'Econometric models'!C17 / 5</f>
        <v>278.82579999999996</v>
      </c>
      <c r="E40" s="123">
        <f t="shared" si="6"/>
        <v>278.82579999999996</v>
      </c>
      <c r="F40" s="47">
        <f>'Econometric models'!C59 / 5</f>
        <v>298.7516</v>
      </c>
      <c r="G40" s="47">
        <f>'Econometric models'!C38 / 5</f>
        <v>298.14600000000002</v>
      </c>
      <c r="H40" s="33">
        <f t="shared" si="3"/>
        <v>298.44880000000001</v>
      </c>
      <c r="I40" s="3"/>
      <c r="J40" s="35">
        <f>'Econometric models'!C101 / 5</f>
        <v>228.72579999999999</v>
      </c>
      <c r="K40" s="47">
        <f>'Econometric models'!C80 / 5</f>
        <v>232.89420000000001</v>
      </c>
      <c r="L40" s="33">
        <f t="shared" si="4"/>
        <v>230.81</v>
      </c>
      <c r="M40" s="4"/>
      <c r="N40" s="35">
        <f>INDEX('UC models'!$C$30:$C$47,MATCH($B40,'UC models'!$B$8:$B$25,0)) / 5</f>
        <v>0</v>
      </c>
      <c r="O40" s="47">
        <f>INDEX('UC models'!$C$52:$C$69,MATCH($B40,'UC models'!$B$8:$B$25,0)) / 5</f>
        <v>5.7427730701583926</v>
      </c>
      <c r="P40" s="47">
        <f>INDEX('UC models'!$C$8:$C$25,MATCH($B40,'UC models'!$B$8:$B$25,0)) / 5</f>
        <v>12.160771691760399</v>
      </c>
      <c r="Q40" s="33">
        <f t="shared" si="7"/>
        <v>17.903544761918791</v>
      </c>
      <c r="S40" s="86">
        <f>'Actuals and unmodelled'!D15</f>
        <v>14.965437003650942</v>
      </c>
      <c r="U40" s="59">
        <f t="shared" si="5"/>
        <v>263.67898176556974</v>
      </c>
    </row>
    <row r="41" spans="1:21" s="1" customFormat="1" x14ac:dyDescent="0.2">
      <c r="A41" s="16"/>
      <c r="B41" s="48" t="s">
        <v>28</v>
      </c>
      <c r="C41" s="47" t="s">
        <v>79</v>
      </c>
      <c r="D41" s="47">
        <f>'Econometric models'!C18 / 5</f>
        <v>184.21269999999998</v>
      </c>
      <c r="E41" s="123">
        <f t="shared" si="6"/>
        <v>184.21269999999998</v>
      </c>
      <c r="F41" s="47">
        <f>'Econometric models'!C60 / 5</f>
        <v>212.17779999999999</v>
      </c>
      <c r="G41" s="47">
        <f>'Econometric models'!C39 / 5</f>
        <v>217.29259999999999</v>
      </c>
      <c r="H41" s="33">
        <f t="shared" si="3"/>
        <v>214.73519999999999</v>
      </c>
      <c r="I41" s="3"/>
      <c r="J41" s="35">
        <f>'Econometric models'!C102 / 5</f>
        <v>162.98661999999999</v>
      </c>
      <c r="K41" s="47">
        <f>'Econometric models'!C81 / 5</f>
        <v>172.19580000000002</v>
      </c>
      <c r="L41" s="33">
        <f t="shared" si="4"/>
        <v>167.59120999999999</v>
      </c>
      <c r="M41" s="4"/>
      <c r="N41" s="35">
        <f>INDEX('UC models'!$C$30:$C$47,MATCH($B41,'UC models'!$B$8:$B$25,0)) / 5</f>
        <v>2.5837144864092036</v>
      </c>
      <c r="O41" s="47">
        <f>INDEX('UC models'!$C$52:$C$69,MATCH($B41,'UC models'!$B$8:$B$25,0)) / 5</f>
        <v>2.3342341492716325E-2</v>
      </c>
      <c r="P41" s="47">
        <f>INDEX('UC models'!$C$8:$C$25,MATCH($B41,'UC models'!$B$8:$B$25,0)) / 5</f>
        <v>11.02916799860057</v>
      </c>
      <c r="Q41" s="33">
        <f t="shared" si="7"/>
        <v>13.63622482650249</v>
      </c>
      <c r="S41" s="86">
        <f>'Actuals and unmodelled'!D16</f>
        <v>0.97779098346265947</v>
      </c>
      <c r="U41" s="59">
        <f t="shared" si="5"/>
        <v>182.20522580996513</v>
      </c>
    </row>
    <row r="42" spans="1:21" s="1" customFormat="1" x14ac:dyDescent="0.2">
      <c r="A42" s="16"/>
      <c r="B42" s="48" t="s">
        <v>29</v>
      </c>
      <c r="C42" s="47" t="s">
        <v>79</v>
      </c>
      <c r="D42" s="47">
        <f>'Econometric models'!C19 / 5</f>
        <v>70.813040000000001</v>
      </c>
      <c r="E42" s="123">
        <f t="shared" si="6"/>
        <v>70.813040000000001</v>
      </c>
      <c r="F42" s="47">
        <f>'Econometric models'!C61 / 5</f>
        <v>59.291139999999999</v>
      </c>
      <c r="G42" s="47">
        <f>'Econometric models'!C40 / 5</f>
        <v>60.354459999999996</v>
      </c>
      <c r="H42" s="33">
        <f t="shared" si="3"/>
        <v>59.822800000000001</v>
      </c>
      <c r="I42" s="3"/>
      <c r="J42" s="35">
        <f>'Econometric models'!C103 / 5</f>
        <v>51.455079999999995</v>
      </c>
      <c r="K42" s="47">
        <f>'Econometric models'!C82 / 5</f>
        <v>52.826120000000003</v>
      </c>
      <c r="L42" s="33">
        <f t="shared" si="4"/>
        <v>52.140599999999999</v>
      </c>
      <c r="M42" s="4"/>
      <c r="N42" s="35">
        <f>INDEX('UC models'!$C$30:$C$47,MATCH($B42,'UC models'!$B$8:$B$25,0)) / 5</f>
        <v>8.2875302536280415</v>
      </c>
      <c r="O42" s="47">
        <f>INDEX('UC models'!$C$52:$C$69,MATCH($B42,'UC models'!$B$8:$B$25,0)) / 5</f>
        <v>6.6172094412114732E-2</v>
      </c>
      <c r="P42" s="47">
        <f>INDEX('UC models'!$C$8:$C$25,MATCH($B42,'UC models'!$B$8:$B$25,0)) / 5</f>
        <v>3.3342216009285814</v>
      </c>
      <c r="Q42" s="33">
        <f t="shared" si="7"/>
        <v>11.687923948968738</v>
      </c>
      <c r="S42" s="86">
        <f>'Actuals and unmodelled'!D17</f>
        <v>10.15684549883043</v>
      </c>
      <c r="U42" s="59">
        <f t="shared" si="5"/>
        <v>73.985369447799172</v>
      </c>
    </row>
    <row r="43" spans="1:21" s="1" customFormat="1" x14ac:dyDescent="0.2">
      <c r="A43" s="16"/>
      <c r="B43" s="48" t="s">
        <v>30</v>
      </c>
      <c r="C43" s="47" t="s">
        <v>79</v>
      </c>
      <c r="D43" s="47">
        <f>'Econometric models'!C20 / 5</f>
        <v>15.271987999999999</v>
      </c>
      <c r="E43" s="123">
        <f t="shared" si="6"/>
        <v>15.271987999999999</v>
      </c>
      <c r="F43" s="47">
        <f>'Econometric models'!C62 / 5</f>
        <v>16.550317999999997</v>
      </c>
      <c r="G43" s="47">
        <f>'Econometric models'!C41 / 5</f>
        <v>16.500826</v>
      </c>
      <c r="H43" s="33">
        <f t="shared" si="3"/>
        <v>16.525571999999997</v>
      </c>
      <c r="I43" s="3"/>
      <c r="J43" s="35">
        <f>'Econometric models'!C104 / 5</f>
        <v>15.439176</v>
      </c>
      <c r="K43" s="47">
        <f>'Econometric models'!C83 / 5</f>
        <v>14.940835999999999</v>
      </c>
      <c r="L43" s="33">
        <f t="shared" si="4"/>
        <v>15.190006</v>
      </c>
      <c r="M43" s="4"/>
      <c r="N43" s="35">
        <f>INDEX('UC models'!$C$30:$C$47,MATCH($B43,'UC models'!$B$8:$B$25,0)) / 5</f>
        <v>0</v>
      </c>
      <c r="O43" s="47">
        <f>INDEX('UC models'!$C$52:$C$69,MATCH($B43,'UC models'!$B$8:$B$25,0)) / 5</f>
        <v>0</v>
      </c>
      <c r="P43" s="47">
        <f>INDEX('UC models'!$C$8:$C$25,MATCH($B43,'UC models'!$B$8:$B$25,0)) / 5</f>
        <v>0.20993328052929877</v>
      </c>
      <c r="Q43" s="33">
        <f t="shared" si="7"/>
        <v>0.20993328052929877</v>
      </c>
      <c r="S43" s="86">
        <f>'Actuals and unmodelled'!D18</f>
        <v>0.88373661294964168</v>
      </c>
      <c r="U43" s="59">
        <f t="shared" si="5"/>
        <v>16.283675893478939</v>
      </c>
    </row>
    <row r="44" spans="1:21" s="1" customFormat="1" x14ac:dyDescent="0.2">
      <c r="A44" s="16"/>
      <c r="B44" s="48" t="s">
        <v>31</v>
      </c>
      <c r="C44" s="47" t="s">
        <v>79</v>
      </c>
      <c r="D44" s="47">
        <f>'Econometric models'!C21 / 5</f>
        <v>27.018060000000002</v>
      </c>
      <c r="E44" s="123">
        <f t="shared" si="6"/>
        <v>27.018060000000002</v>
      </c>
      <c r="F44" s="47">
        <f>'Econometric models'!C63 / 5</f>
        <v>29.636720000000004</v>
      </c>
      <c r="G44" s="47">
        <f>'Econometric models'!C42 / 5</f>
        <v>29.258699999999997</v>
      </c>
      <c r="H44" s="33">
        <f t="shared" si="3"/>
        <v>29.447710000000001</v>
      </c>
      <c r="I44" s="3"/>
      <c r="J44" s="35">
        <f>'Econometric models'!C105 / 5</f>
        <v>24.959219999999998</v>
      </c>
      <c r="K44" s="47">
        <f>'Econometric models'!C84 / 5</f>
        <v>24.902560000000001</v>
      </c>
      <c r="L44" s="33">
        <f t="shared" si="4"/>
        <v>24.930889999999998</v>
      </c>
      <c r="M44" s="4"/>
      <c r="N44" s="35">
        <f>INDEX('UC models'!$C$30:$C$47,MATCH($B44,'UC models'!$B$8:$B$25,0)) / 5</f>
        <v>0</v>
      </c>
      <c r="O44" s="47">
        <f>INDEX('UC models'!$C$52:$C$69,MATCH($B44,'UC models'!$B$8:$B$25,0)) / 5</f>
        <v>2.2436146359972736E-2</v>
      </c>
      <c r="P44" s="47">
        <f>INDEX('UC models'!$C$8:$C$25,MATCH($B44,'UC models'!$B$8:$B$25,0)) / 5</f>
        <v>1.0096284101536219</v>
      </c>
      <c r="Q44" s="33">
        <f t="shared" si="7"/>
        <v>1.0320645565135946</v>
      </c>
      <c r="S44" s="86">
        <f>'Actuals and unmodelled'!D19</f>
        <v>0.444653133336676</v>
      </c>
      <c r="U44" s="59">
        <f t="shared" si="5"/>
        <v>26.40760768985027</v>
      </c>
    </row>
    <row r="45" spans="1:21" s="1" customFormat="1" x14ac:dyDescent="0.2">
      <c r="A45" s="16"/>
      <c r="B45" s="48" t="s">
        <v>32</v>
      </c>
      <c r="C45" s="47" t="s">
        <v>79</v>
      </c>
      <c r="D45" s="47">
        <f>'Econometric models'!C22 / 5</f>
        <v>24.392320000000002</v>
      </c>
      <c r="E45" s="123">
        <f t="shared" si="6"/>
        <v>24.392320000000002</v>
      </c>
      <c r="F45" s="47">
        <f>'Econometric models'!C64 / 5</f>
        <v>25.251480000000001</v>
      </c>
      <c r="G45" s="47">
        <f>'Econometric models'!C43 / 5</f>
        <v>25.135120000000001</v>
      </c>
      <c r="H45" s="33">
        <f t="shared" si="3"/>
        <v>25.193300000000001</v>
      </c>
      <c r="I45" s="3"/>
      <c r="J45" s="35">
        <f>'Econometric models'!C106 / 5</f>
        <v>20.512139999999999</v>
      </c>
      <c r="K45" s="47">
        <f>'Econometric models'!C85 / 5</f>
        <v>20.760200000000001</v>
      </c>
      <c r="L45" s="33">
        <f t="shared" si="4"/>
        <v>20.63617</v>
      </c>
      <c r="M45" s="4"/>
      <c r="N45" s="35">
        <f>INDEX('UC models'!$C$30:$C$47,MATCH($B45,'UC models'!$B$8:$B$25,0)) / 5</f>
        <v>10.718404307701039</v>
      </c>
      <c r="O45" s="47">
        <f>INDEX('UC models'!$C$52:$C$69,MATCH($B45,'UC models'!$B$8:$B$25,0)) / 5</f>
        <v>0</v>
      </c>
      <c r="P45" s="47">
        <f>INDEX('UC models'!$C$8:$C$25,MATCH($B45,'UC models'!$B$8:$B$25,0)) / 5</f>
        <v>0.65339350435430021</v>
      </c>
      <c r="Q45" s="33">
        <f t="shared" si="7"/>
        <v>11.371797812055339</v>
      </c>
      <c r="S45" s="86">
        <f>'Actuals and unmodelled'!D20</f>
        <v>0.57069238715308557</v>
      </c>
      <c r="U45" s="59">
        <f t="shared" si="5"/>
        <v>32.578660199208429</v>
      </c>
    </row>
    <row r="46" spans="1:21" s="1" customFormat="1" x14ac:dyDescent="0.2">
      <c r="A46" s="16"/>
      <c r="B46" s="48" t="s">
        <v>33</v>
      </c>
      <c r="C46" s="47" t="s">
        <v>79</v>
      </c>
      <c r="D46" s="47">
        <f>'Econometric models'!C23 / 5</f>
        <v>131.28554</v>
      </c>
      <c r="E46" s="123">
        <f t="shared" si="6"/>
        <v>131.28554</v>
      </c>
      <c r="F46" s="47">
        <f>'Econometric models'!C65 / 5</f>
        <v>146.06297999999998</v>
      </c>
      <c r="G46" s="47">
        <f>'Econometric models'!C44 / 5</f>
        <v>144.09237999999999</v>
      </c>
      <c r="H46" s="33">
        <f t="shared" si="3"/>
        <v>145.07767999999999</v>
      </c>
      <c r="I46" s="3"/>
      <c r="J46" s="35">
        <f>'Econometric models'!C107 / 5</f>
        <v>112.51697999999999</v>
      </c>
      <c r="K46" s="47">
        <f>'Econometric models'!C86 / 5</f>
        <v>109.50465999999999</v>
      </c>
      <c r="L46" s="33">
        <f t="shared" si="4"/>
        <v>111.01082</v>
      </c>
      <c r="M46" s="4"/>
      <c r="N46" s="35">
        <f>INDEX('UC models'!$C$30:$C$47,MATCH($B46,'UC models'!$B$8:$B$25,0)) / 5</f>
        <v>15.602087869270317</v>
      </c>
      <c r="O46" s="47">
        <f>INDEX('UC models'!$C$52:$C$69,MATCH($B46,'UC models'!$B$8:$B$25,0)) / 5</f>
        <v>0</v>
      </c>
      <c r="P46" s="47">
        <f>INDEX('UC models'!$C$8:$C$25,MATCH($B46,'UC models'!$B$8:$B$25,0)) / 5</f>
        <v>7.2418867513601253</v>
      </c>
      <c r="Q46" s="33">
        <f t="shared" si="7"/>
        <v>22.843974620630441</v>
      </c>
      <c r="S46" s="86">
        <f>'Actuals and unmodelled'!D21</f>
        <v>6.2973624728779338</v>
      </c>
      <c r="U46" s="59">
        <f t="shared" si="5"/>
        <v>140.15215709350835</v>
      </c>
    </row>
    <row r="47" spans="1:21" s="1" customFormat="1" x14ac:dyDescent="0.2">
      <c r="A47" s="16"/>
      <c r="B47" s="48" t="s">
        <v>34</v>
      </c>
      <c r="C47" s="47" t="s">
        <v>79</v>
      </c>
      <c r="D47" s="47">
        <f>'Econometric models'!C24 / 5</f>
        <v>71.392499999999998</v>
      </c>
      <c r="E47" s="123">
        <f t="shared" si="6"/>
        <v>71.392499999999998</v>
      </c>
      <c r="F47" s="47">
        <f>'Econometric models'!C66 / 5</f>
        <v>77.599239999999995</v>
      </c>
      <c r="G47" s="47">
        <f>'Econometric models'!C45 / 5</f>
        <v>78.987139999999997</v>
      </c>
      <c r="H47" s="33">
        <f t="shared" si="3"/>
        <v>78.293189999999996</v>
      </c>
      <c r="I47" s="3"/>
      <c r="J47" s="35">
        <f>'Econometric models'!C108 / 5</f>
        <v>65.439480000000003</v>
      </c>
      <c r="K47" s="47">
        <f>'Econometric models'!C87 / 5</f>
        <v>67.728700000000003</v>
      </c>
      <c r="L47" s="33">
        <f t="shared" si="4"/>
        <v>66.584090000000003</v>
      </c>
      <c r="M47" s="4"/>
      <c r="N47" s="35">
        <f>INDEX('UC models'!$C$30:$C$47,MATCH($B47,'UC models'!$B$8:$B$25,0)) / 5</f>
        <v>7.5696961783932171</v>
      </c>
      <c r="O47" s="47">
        <f>INDEX('UC models'!$C$52:$C$69,MATCH($B47,'UC models'!$B$8:$B$25,0)) / 5</f>
        <v>2.7067379737211805E-2</v>
      </c>
      <c r="P47" s="47">
        <f>INDEX('UC models'!$C$8:$C$25,MATCH($B47,'UC models'!$B$8:$B$25,0)) / 5</f>
        <v>3.165667090567041</v>
      </c>
      <c r="Q47" s="33">
        <f t="shared" si="7"/>
        <v>10.762430648697471</v>
      </c>
      <c r="S47" s="86">
        <f>'Actuals and unmodelled'!D22</f>
        <v>8.7557463223094683</v>
      </c>
      <c r="U47" s="59">
        <f t="shared" si="5"/>
        <v>86.102266971006941</v>
      </c>
    </row>
    <row r="48" spans="1:21" s="1" customFormat="1" ht="15" thickBot="1" x14ac:dyDescent="0.25">
      <c r="A48" s="16"/>
      <c r="B48" s="112" t="s">
        <v>35</v>
      </c>
      <c r="C48" s="50" t="s">
        <v>79</v>
      </c>
      <c r="D48" s="50">
        <f>'Econometric models'!C25 / 5</f>
        <v>40.612020000000001</v>
      </c>
      <c r="E48" s="124">
        <f t="shared" si="6"/>
        <v>40.612020000000001</v>
      </c>
      <c r="F48" s="50">
        <f>'Econometric models'!C67 / 5</f>
        <v>36.024380000000001</v>
      </c>
      <c r="G48" s="50">
        <f>'Econometric models'!C46 / 5</f>
        <v>36.138760000000005</v>
      </c>
      <c r="H48" s="31">
        <f t="shared" si="3"/>
        <v>36.081569999999999</v>
      </c>
      <c r="I48" s="3"/>
      <c r="J48" s="49">
        <f>'Econometric models'!C109 / 5</f>
        <v>30.626420000000003</v>
      </c>
      <c r="K48" s="50">
        <f>'Econometric models'!C88 / 5</f>
        <v>31.627100000000002</v>
      </c>
      <c r="L48" s="31">
        <f t="shared" si="4"/>
        <v>31.126760000000004</v>
      </c>
      <c r="M48" s="4"/>
      <c r="N48" s="49">
        <f>INDEX('UC models'!$C$30:$C$47,MATCH($B48,'UC models'!$B$8:$B$25,0)) / 5</f>
        <v>10.839820129594127</v>
      </c>
      <c r="O48" s="50">
        <f>INDEX('UC models'!$C$52:$C$69,MATCH($B48,'UC models'!$B$8:$B$25,0)) / 5</f>
        <v>7.3345432280438147E-2</v>
      </c>
      <c r="P48" s="50">
        <f>INDEX('UC models'!$C$8:$C$25,MATCH($B48,'UC models'!$B$8:$B$25,0)) / 5</f>
        <v>1.341278702130217</v>
      </c>
      <c r="Q48" s="31">
        <f t="shared" si="7"/>
        <v>12.254444264004782</v>
      </c>
      <c r="S48" s="87">
        <f>'Actuals and unmodelled'!D23</f>
        <v>3.0160283076089032</v>
      </c>
      <c r="U48" s="60">
        <f t="shared" si="5"/>
        <v>46.397232571613692</v>
      </c>
    </row>
    <row r="49" spans="2:25" s="1" customFormat="1" ht="13.5" thickBot="1" x14ac:dyDescent="0.25">
      <c r="B49" s="51" t="s">
        <v>81</v>
      </c>
      <c r="C49" s="53">
        <v>0</v>
      </c>
      <c r="D49" s="54">
        <f>1-C49</f>
        <v>1</v>
      </c>
      <c r="E49" s="58"/>
      <c r="F49" s="53">
        <v>0.5</v>
      </c>
      <c r="G49" s="54">
        <f>1-F49</f>
        <v>0.5</v>
      </c>
      <c r="H49" s="58"/>
      <c r="J49" s="68">
        <v>0.5</v>
      </c>
      <c r="K49" s="69">
        <f>1-J49</f>
        <v>0.5</v>
      </c>
      <c r="L49" s="70"/>
      <c r="M49" s="2"/>
      <c r="N49" s="72"/>
      <c r="O49" s="73"/>
      <c r="P49" s="58"/>
      <c r="Q49" s="58"/>
      <c r="S49" s="58"/>
      <c r="U49" s="75"/>
    </row>
    <row r="50" spans="2:25" s="1" customFormat="1" ht="13.5" thickBot="1" x14ac:dyDescent="0.25">
      <c r="B50" s="52" t="s">
        <v>82</v>
      </c>
      <c r="C50" s="56"/>
      <c r="D50" s="57"/>
      <c r="E50" s="55">
        <v>0.33333333333333298</v>
      </c>
      <c r="F50" s="56"/>
      <c r="G50" s="57"/>
      <c r="H50" s="55">
        <v>0.33333333333333298</v>
      </c>
      <c r="J50" s="56"/>
      <c r="K50" s="57"/>
      <c r="L50" s="71"/>
      <c r="M50" s="2"/>
      <c r="N50" s="56"/>
      <c r="O50" s="57"/>
      <c r="P50" s="74"/>
      <c r="Q50" s="74"/>
      <c r="S50" s="74"/>
      <c r="U50" s="76">
        <v>0.33333333333333298</v>
      </c>
    </row>
    <row r="51" spans="2:25" s="1" customFormat="1" ht="12.75" x14ac:dyDescent="0.2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25" s="1" customFormat="1" ht="12.75" x14ac:dyDescent="0.2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25" s="1" customFormat="1" ht="12.75" x14ac:dyDescent="0.2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25" s="1" customFormat="1" ht="12.75" x14ac:dyDescent="0.2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25" s="1" customFormat="1" ht="30" x14ac:dyDescent="0.3">
      <c r="B55" s="5" t="s">
        <v>36</v>
      </c>
      <c r="C55" s="6"/>
      <c r="D55" s="7" t="s">
        <v>37</v>
      </c>
      <c r="E55" s="6"/>
      <c r="F55" s="8" t="s">
        <v>38</v>
      </c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25" s="2" customFormat="1" ht="15" x14ac:dyDescent="0.3">
      <c r="B56" s="9" t="s">
        <v>39</v>
      </c>
      <c r="C56" s="10"/>
      <c r="D56" s="11"/>
      <c r="E56" s="10"/>
      <c r="F56" s="12"/>
      <c r="N56" s="13"/>
      <c r="O56" s="13"/>
      <c r="P56" s="13"/>
      <c r="Q56" s="13"/>
      <c r="R56" s="1"/>
      <c r="S56" s="1"/>
      <c r="T56" s="1"/>
      <c r="U56" s="1"/>
      <c r="V56" s="1"/>
      <c r="W56" s="1"/>
      <c r="X56" s="1"/>
      <c r="Y56" s="1"/>
    </row>
    <row r="57" spans="2:25" s="2" customFormat="1" ht="15" x14ac:dyDescent="0.3">
      <c r="B57" s="14" t="s">
        <v>40</v>
      </c>
      <c r="C57" s="10"/>
      <c r="D57" s="11" t="s">
        <v>41</v>
      </c>
      <c r="E57" s="10"/>
      <c r="F57" s="15">
        <v>5</v>
      </c>
      <c r="N57" s="13"/>
      <c r="O57" s="13"/>
      <c r="P57" s="13"/>
      <c r="Q57" s="13"/>
      <c r="R57" s="1"/>
      <c r="S57" s="1"/>
      <c r="T57" s="1"/>
      <c r="U57" s="1"/>
      <c r="V57" s="1"/>
      <c r="W57" s="1"/>
      <c r="X57" s="1"/>
      <c r="Y57" s="1"/>
    </row>
    <row r="58" spans="2:25" s="2" customFormat="1" ht="15" x14ac:dyDescent="0.3">
      <c r="B58" s="14" t="s">
        <v>42</v>
      </c>
      <c r="C58" s="10"/>
      <c r="D58" s="11" t="s">
        <v>41</v>
      </c>
      <c r="E58" s="10"/>
      <c r="F58" s="15">
        <v>5</v>
      </c>
      <c r="N58" s="13"/>
      <c r="O58" s="13"/>
      <c r="P58" s="13"/>
      <c r="Q58" s="13"/>
      <c r="R58" s="1"/>
      <c r="S58" s="1"/>
      <c r="T58" s="1"/>
      <c r="U58" s="1"/>
      <c r="V58" s="1"/>
      <c r="W58" s="1"/>
      <c r="X58" s="1"/>
      <c r="Y58" s="1"/>
    </row>
    <row r="59" spans="2:25" s="2" customFormat="1" ht="15" x14ac:dyDescent="0.3">
      <c r="B59" s="9" t="s">
        <v>43</v>
      </c>
      <c r="C59" s="10"/>
      <c r="D59" s="11"/>
      <c r="E59" s="10"/>
      <c r="F59" s="15"/>
      <c r="N59" s="13"/>
      <c r="O59" s="13"/>
      <c r="P59" s="13"/>
      <c r="Q59" s="13"/>
      <c r="R59" s="1"/>
      <c r="S59" s="1"/>
      <c r="T59" s="1"/>
      <c r="U59" s="1"/>
      <c r="V59" s="1"/>
      <c r="W59" s="1"/>
      <c r="X59" s="1"/>
      <c r="Y59" s="1"/>
    </row>
    <row r="60" spans="2:25" s="2" customFormat="1" ht="15" x14ac:dyDescent="0.3">
      <c r="B60" s="14" t="s">
        <v>44</v>
      </c>
      <c r="C60" s="10"/>
      <c r="D60" s="11" t="s">
        <v>45</v>
      </c>
      <c r="E60" s="10"/>
      <c r="F60" s="15">
        <v>5</v>
      </c>
      <c r="N60" s="13"/>
      <c r="O60" s="13"/>
      <c r="P60" s="13"/>
      <c r="Q60" s="13"/>
      <c r="R60" s="1"/>
      <c r="S60" s="1"/>
      <c r="T60" s="1"/>
      <c r="U60" s="1"/>
      <c r="V60" s="1"/>
      <c r="W60" s="1"/>
      <c r="X60" s="1"/>
      <c r="Y60" s="1"/>
    </row>
    <row r="61" spans="2:25" s="2" customFormat="1" ht="15" x14ac:dyDescent="0.3">
      <c r="B61" s="14" t="s">
        <v>46</v>
      </c>
      <c r="C61" s="10"/>
      <c r="D61" s="11" t="s">
        <v>41</v>
      </c>
      <c r="E61" s="10"/>
      <c r="F61" s="15">
        <v>5</v>
      </c>
      <c r="N61" s="13"/>
      <c r="O61" s="13"/>
      <c r="P61" s="13"/>
      <c r="Q61" s="13"/>
      <c r="R61" s="1"/>
      <c r="S61" s="1"/>
      <c r="T61" s="1"/>
      <c r="U61" s="1"/>
      <c r="V61" s="1"/>
      <c r="W61" s="1"/>
      <c r="X61" s="1"/>
      <c r="Y61" s="1"/>
    </row>
    <row r="62" spans="2:25" s="2" customFormat="1" ht="15" x14ac:dyDescent="0.3">
      <c r="B62" s="14" t="s">
        <v>47</v>
      </c>
      <c r="C62" s="10"/>
      <c r="D62" s="11" t="s">
        <v>41</v>
      </c>
      <c r="E62" s="10"/>
      <c r="F62" s="15">
        <v>5</v>
      </c>
      <c r="N62" s="13"/>
      <c r="O62" s="13"/>
      <c r="P62" s="13"/>
      <c r="Q62" s="13"/>
      <c r="R62" s="1"/>
      <c r="S62" s="1"/>
      <c r="T62" s="1"/>
      <c r="U62" s="1"/>
      <c r="V62" s="1"/>
      <c r="W62" s="1"/>
      <c r="X62" s="1"/>
      <c r="Y62" s="1"/>
    </row>
    <row r="63" spans="2:25" s="2" customFormat="1" ht="15" x14ac:dyDescent="0.3">
      <c r="B63" s="9" t="s">
        <v>48</v>
      </c>
      <c r="C63" s="10"/>
      <c r="D63" s="11" t="s">
        <v>45</v>
      </c>
      <c r="E63" s="10"/>
      <c r="F63" s="15">
        <v>5</v>
      </c>
      <c r="N63" s="13"/>
      <c r="O63" s="13"/>
      <c r="P63" s="13"/>
      <c r="Q63" s="13"/>
      <c r="R63" s="1"/>
      <c r="S63" s="1"/>
      <c r="T63" s="1"/>
      <c r="U63" s="1"/>
      <c r="V63" s="1"/>
      <c r="W63" s="1"/>
      <c r="X63" s="1"/>
      <c r="Y63" s="1"/>
    </row>
  </sheetData>
  <conditionalFormatting sqref="G7:G2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4AA00"/>
  </sheetPr>
  <dimension ref="A1:U65"/>
  <sheetViews>
    <sheetView showGridLines="0" zoomScale="66" zoomScaleNormal="66" workbookViewId="0">
      <selection activeCell="C7" sqref="C7"/>
    </sheetView>
  </sheetViews>
  <sheetFormatPr defaultRowHeight="14.25" x14ac:dyDescent="0.2"/>
  <cols>
    <col min="1" max="1" width="1.375" customWidth="1"/>
    <col min="2" max="2" width="20.75" bestFit="1" customWidth="1"/>
    <col min="3" max="8" width="12" customWidth="1"/>
    <col min="9" max="9" width="2.5" customWidth="1"/>
    <col min="10" max="12" width="12" customWidth="1"/>
    <col min="13" max="13" width="2.5" customWidth="1"/>
    <col min="14" max="17" width="12" customWidth="1"/>
    <col min="18" max="18" width="2.5" customWidth="1"/>
    <col min="19" max="19" width="12" customWidth="1"/>
    <col min="20" max="20" width="2.5" customWidth="1"/>
    <col min="21" max="21" width="12" customWidth="1"/>
  </cols>
  <sheetData>
    <row r="1" spans="1:21" ht="20.25" x14ac:dyDescent="0.2">
      <c r="B1" s="25" t="s">
        <v>83</v>
      </c>
      <c r="C1" s="25"/>
      <c r="D1" s="25"/>
      <c r="E1" s="25"/>
      <c r="F1" s="25"/>
      <c r="G1" s="25"/>
      <c r="H1" s="25"/>
      <c r="I1" s="25"/>
      <c r="J1" s="25"/>
      <c r="K1" s="25"/>
      <c r="L1" s="26"/>
      <c r="M1" s="27"/>
      <c r="N1" s="28"/>
    </row>
    <row r="2" spans="1:21" ht="20.25" x14ac:dyDescent="0.2">
      <c r="A2" s="36"/>
      <c r="B2" t="s">
        <v>103</v>
      </c>
      <c r="C2" s="37"/>
      <c r="D2" s="37"/>
      <c r="E2" s="37"/>
      <c r="F2" s="37"/>
      <c r="G2" s="37"/>
      <c r="H2" s="37"/>
      <c r="I2" s="37"/>
      <c r="J2" s="37"/>
      <c r="K2" s="37"/>
      <c r="L2" s="38"/>
      <c r="M2" s="39"/>
      <c r="N2" s="40"/>
      <c r="O2" s="36"/>
      <c r="P2" s="36"/>
      <c r="Q2" s="36"/>
      <c r="R2" s="36"/>
      <c r="S2" s="36"/>
      <c r="T2" s="36"/>
      <c r="U2" s="36"/>
    </row>
    <row r="3" spans="1:21" s="36" customFormat="1" ht="15" customHeight="1" x14ac:dyDescent="0.2"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  <c r="M3" s="39"/>
      <c r="N3" s="40"/>
    </row>
    <row r="4" spans="1:21" s="30" customFormat="1" ht="12.75" x14ac:dyDescent="0.2">
      <c r="A4" s="1"/>
      <c r="B4" s="30" t="s">
        <v>0</v>
      </c>
    </row>
    <row r="5" spans="1:21" ht="15" thickBot="1" x14ac:dyDescent="0.25">
      <c r="B5" s="46"/>
    </row>
    <row r="6" spans="1:21" ht="51" x14ac:dyDescent="0.2">
      <c r="B6" s="109"/>
      <c r="C6" s="110" t="s">
        <v>119</v>
      </c>
      <c r="D6" s="110" t="s">
        <v>49</v>
      </c>
      <c r="E6" s="111" t="s">
        <v>59</v>
      </c>
      <c r="G6" s="115" t="s">
        <v>50</v>
      </c>
      <c r="J6" s="29"/>
    </row>
    <row r="7" spans="1:21" x14ac:dyDescent="0.2">
      <c r="B7" s="48" t="s">
        <v>18</v>
      </c>
      <c r="C7" s="85">
        <f>'Actuals and unmodelled'!C6</f>
        <v>299.50447674109319</v>
      </c>
      <c r="D7" s="61">
        <f t="shared" ref="D7:D24" si="0">U31 * $U$50 + E31 * $E$50 + H31*$H$50</f>
        <v>315.59903983125179</v>
      </c>
      <c r="E7" s="62">
        <f t="shared" ref="E7:E24" si="1">D7-C7</f>
        <v>16.094563090158601</v>
      </c>
      <c r="G7" s="88">
        <f t="shared" ref="G7:G24" si="2">C7/D7</f>
        <v>0.94900313036831729</v>
      </c>
    </row>
    <row r="8" spans="1:21" x14ac:dyDescent="0.2">
      <c r="B8" s="48" t="s">
        <v>19</v>
      </c>
      <c r="C8" s="85">
        <f>'Actuals and unmodelled'!C7</f>
        <v>256.45900400700691</v>
      </c>
      <c r="D8" s="61">
        <f t="shared" si="0"/>
        <v>244.71969609457761</v>
      </c>
      <c r="E8" s="62">
        <f t="shared" si="1"/>
        <v>-11.739307912429297</v>
      </c>
      <c r="G8" s="88">
        <f t="shared" si="2"/>
        <v>1.047970425346934</v>
      </c>
    </row>
    <row r="9" spans="1:21" x14ac:dyDescent="0.2">
      <c r="B9" s="48" t="s">
        <v>20</v>
      </c>
      <c r="C9" s="85">
        <f>'Actuals and unmodelled'!C8</f>
        <v>248.78087730407066</v>
      </c>
      <c r="D9" s="61">
        <f t="shared" si="0"/>
        <v>276.52246167412329</v>
      </c>
      <c r="E9" s="62">
        <f t="shared" si="1"/>
        <v>27.741584370052635</v>
      </c>
      <c r="G9" s="88">
        <f t="shared" si="2"/>
        <v>0.89967692243841813</v>
      </c>
    </row>
    <row r="10" spans="1:21" x14ac:dyDescent="0.2">
      <c r="B10" s="48" t="s">
        <v>21</v>
      </c>
      <c r="C10" s="85">
        <f>'Actuals and unmodelled'!C9</f>
        <v>460.31409692571941</v>
      </c>
      <c r="D10" s="61">
        <f t="shared" si="0"/>
        <v>502.02361828862956</v>
      </c>
      <c r="E10" s="62">
        <f t="shared" si="1"/>
        <v>41.709521362910152</v>
      </c>
      <c r="G10" s="88">
        <f t="shared" si="2"/>
        <v>0.91691721296879303</v>
      </c>
    </row>
    <row r="11" spans="1:21" x14ac:dyDescent="0.2">
      <c r="B11" s="48" t="s">
        <v>22</v>
      </c>
      <c r="C11" s="85">
        <f>'Actuals and unmodelled'!C10</f>
        <v>122.92562284369383</v>
      </c>
      <c r="D11" s="61">
        <f t="shared" si="0"/>
        <v>152.46025595272863</v>
      </c>
      <c r="E11" s="62">
        <f t="shared" si="1"/>
        <v>29.5346331090348</v>
      </c>
      <c r="G11" s="88">
        <f t="shared" si="2"/>
        <v>0.80627978797180944</v>
      </c>
    </row>
    <row r="12" spans="1:21" x14ac:dyDescent="0.2">
      <c r="B12" s="48" t="s">
        <v>23</v>
      </c>
      <c r="C12" s="85">
        <f>'Actuals and unmodelled'!C11</f>
        <v>150.27023224455382</v>
      </c>
      <c r="D12" s="61">
        <f t="shared" si="0"/>
        <v>155.05318434085368</v>
      </c>
      <c r="E12" s="62">
        <f t="shared" si="1"/>
        <v>4.7829520962998515</v>
      </c>
      <c r="G12" s="88">
        <f t="shared" si="2"/>
        <v>0.96915282896876542</v>
      </c>
    </row>
    <row r="13" spans="1:21" x14ac:dyDescent="0.2">
      <c r="B13" s="48" t="s">
        <v>24</v>
      </c>
      <c r="C13" s="85">
        <f>'Actuals and unmodelled'!C12</f>
        <v>642.07282396680955</v>
      </c>
      <c r="D13" s="61">
        <f t="shared" si="0"/>
        <v>723.38233619117455</v>
      </c>
      <c r="E13" s="62">
        <f t="shared" si="1"/>
        <v>81.309512224364994</v>
      </c>
      <c r="G13" s="88">
        <f t="shared" si="2"/>
        <v>0.88759815085825289</v>
      </c>
    </row>
    <row r="14" spans="1:21" x14ac:dyDescent="0.2">
      <c r="B14" s="48" t="s">
        <v>25</v>
      </c>
      <c r="C14" s="85">
        <f>'Actuals and unmodelled'!C13</f>
        <v>428.51939516860182</v>
      </c>
      <c r="D14" s="61">
        <f t="shared" si="0"/>
        <v>432.9067151356038</v>
      </c>
      <c r="E14" s="62">
        <f t="shared" si="1"/>
        <v>4.3873199670019858</v>
      </c>
      <c r="G14" s="88">
        <f t="shared" si="2"/>
        <v>0.98986543794861737</v>
      </c>
    </row>
    <row r="15" spans="1:21" x14ac:dyDescent="0.2">
      <c r="B15" s="48" t="s">
        <v>26</v>
      </c>
      <c r="C15" s="85">
        <f>'Actuals and unmodelled'!C14</f>
        <v>103.19810338694435</v>
      </c>
      <c r="D15" s="61">
        <f t="shared" si="0"/>
        <v>108.32032541515179</v>
      </c>
      <c r="E15" s="62">
        <f t="shared" si="1"/>
        <v>5.1222220282074318</v>
      </c>
      <c r="G15" s="88">
        <f t="shared" si="2"/>
        <v>0.95271227252525459</v>
      </c>
    </row>
    <row r="16" spans="1:21" x14ac:dyDescent="0.2">
      <c r="B16" s="48" t="s">
        <v>27</v>
      </c>
      <c r="C16" s="85">
        <f>'Actuals and unmodelled'!C15</f>
        <v>269.59350092579319</v>
      </c>
      <c r="D16" s="61">
        <f t="shared" si="0"/>
        <v>290.62484071742324</v>
      </c>
      <c r="E16" s="62">
        <f t="shared" si="1"/>
        <v>21.031339791630046</v>
      </c>
      <c r="G16" s="88">
        <f t="shared" si="2"/>
        <v>0.92763405998016879</v>
      </c>
    </row>
    <row r="17" spans="1:21" x14ac:dyDescent="0.2">
      <c r="B17" s="48" t="s">
        <v>28</v>
      </c>
      <c r="C17" s="85">
        <f>'Actuals and unmodelled'!C16</f>
        <v>188.3814893434668</v>
      </c>
      <c r="D17" s="61">
        <f t="shared" si="0"/>
        <v>201.80068107899604</v>
      </c>
      <c r="E17" s="62">
        <f t="shared" si="1"/>
        <v>13.419191735529239</v>
      </c>
      <c r="G17" s="88">
        <f t="shared" si="2"/>
        <v>0.93350274308402248</v>
      </c>
    </row>
    <row r="18" spans="1:21" x14ac:dyDescent="0.2">
      <c r="B18" s="48" t="s">
        <v>29</v>
      </c>
      <c r="C18" s="85">
        <f>'Actuals and unmodelled'!C17</f>
        <v>83.509154781814743</v>
      </c>
      <c r="D18" s="61">
        <f t="shared" si="0"/>
        <v>71.251203756897084</v>
      </c>
      <c r="E18" s="62">
        <f t="shared" si="1"/>
        <v>-12.257951024917659</v>
      </c>
      <c r="G18" s="88">
        <f t="shared" si="2"/>
        <v>1.1720385113315519</v>
      </c>
    </row>
    <row r="19" spans="1:21" x14ac:dyDescent="0.2">
      <c r="B19" s="48" t="s">
        <v>30</v>
      </c>
      <c r="C19" s="85">
        <f>'Actuals and unmodelled'!C18</f>
        <v>15.386596043227918</v>
      </c>
      <c r="D19" s="61">
        <f t="shared" si="0"/>
        <v>17.164967874122986</v>
      </c>
      <c r="E19" s="62">
        <f t="shared" si="1"/>
        <v>1.7783718308950682</v>
      </c>
      <c r="G19" s="88">
        <f t="shared" si="2"/>
        <v>0.89639527181544865</v>
      </c>
    </row>
    <row r="20" spans="1:21" x14ac:dyDescent="0.2">
      <c r="B20" s="48" t="s">
        <v>31</v>
      </c>
      <c r="C20" s="85">
        <f>'Actuals and unmodelled'!C19</f>
        <v>25.275437630520553</v>
      </c>
      <c r="D20" s="61">
        <f t="shared" si="0"/>
        <v>29.314528915186926</v>
      </c>
      <c r="E20" s="62">
        <f t="shared" si="1"/>
        <v>4.0390912846663731</v>
      </c>
      <c r="G20" s="88">
        <f t="shared" si="2"/>
        <v>0.86221537803481985</v>
      </c>
    </row>
    <row r="21" spans="1:21" x14ac:dyDescent="0.2">
      <c r="B21" s="48" t="s">
        <v>32</v>
      </c>
      <c r="C21" s="85">
        <f>'Actuals and unmodelled'!C20</f>
        <v>23.087649891918904</v>
      </c>
      <c r="D21" s="61">
        <f t="shared" si="0"/>
        <v>29.161190614610746</v>
      </c>
      <c r="E21" s="62">
        <f t="shared" si="1"/>
        <v>6.0735407226918419</v>
      </c>
      <c r="G21" s="88">
        <f t="shared" si="2"/>
        <v>0.79172521441395494</v>
      </c>
    </row>
    <row r="22" spans="1:21" x14ac:dyDescent="0.2">
      <c r="B22" s="48" t="s">
        <v>33</v>
      </c>
      <c r="C22" s="85">
        <f>'Actuals and unmodelled'!C21</f>
        <v>128.56502518005942</v>
      </c>
      <c r="D22" s="61">
        <f t="shared" si="0"/>
        <v>145.41704848128521</v>
      </c>
      <c r="E22" s="62">
        <f t="shared" si="1"/>
        <v>16.852023301225785</v>
      </c>
      <c r="G22" s="88">
        <f t="shared" si="2"/>
        <v>0.88411246496043006</v>
      </c>
    </row>
    <row r="23" spans="1:21" x14ac:dyDescent="0.2">
      <c r="B23" s="48" t="s">
        <v>34</v>
      </c>
      <c r="C23" s="85">
        <f>'Actuals and unmodelled'!C22</f>
        <v>73.981398480475391</v>
      </c>
      <c r="D23" s="61">
        <f t="shared" si="0"/>
        <v>82.423948335070179</v>
      </c>
      <c r="E23" s="62">
        <f t="shared" si="1"/>
        <v>8.4425498545947875</v>
      </c>
      <c r="G23" s="88">
        <f t="shared" si="2"/>
        <v>0.89757163997684142</v>
      </c>
    </row>
    <row r="24" spans="1:21" ht="15" thickBot="1" x14ac:dyDescent="0.25">
      <c r="B24" s="112" t="s">
        <v>35</v>
      </c>
      <c r="C24" s="113">
        <f>'Actuals and unmodelled'!C23</f>
        <v>42.474457888840497</v>
      </c>
      <c r="D24" s="114">
        <f t="shared" si="0"/>
        <v>43.307938859280242</v>
      </c>
      <c r="E24" s="63">
        <f t="shared" si="1"/>
        <v>0.83348097043974434</v>
      </c>
      <c r="G24" s="116">
        <f t="shared" si="2"/>
        <v>0.98075454541607343</v>
      </c>
    </row>
    <row r="25" spans="1:21" ht="15" thickBot="1" x14ac:dyDescent="0.25">
      <c r="B25" s="64" t="s">
        <v>63</v>
      </c>
      <c r="C25" s="65">
        <f>SUM(C7:C24)</f>
        <v>3562.2993427546112</v>
      </c>
      <c r="D25" s="66">
        <f>SUM(D7:D24)</f>
        <v>3821.4539815569674</v>
      </c>
      <c r="E25" s="67">
        <f>SUM(E7:E24)</f>
        <v>259.15463880235637</v>
      </c>
      <c r="G25" s="89"/>
    </row>
    <row r="26" spans="1:21" x14ac:dyDescent="0.2">
      <c r="G26" s="17"/>
      <c r="H26" s="17"/>
      <c r="I26" s="17"/>
      <c r="J26" s="17"/>
      <c r="L26" s="17"/>
    </row>
    <row r="27" spans="1:21" s="30" customFormat="1" ht="12.75" x14ac:dyDescent="0.2">
      <c r="A27" s="1"/>
      <c r="B27" s="30" t="s">
        <v>0</v>
      </c>
    </row>
    <row r="28" spans="1:21" s="1" customFormat="1" ht="13.5" thickBot="1" x14ac:dyDescent="0.2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21" s="1" customFormat="1" ht="13.5" x14ac:dyDescent="0.2">
      <c r="B29" s="117"/>
      <c r="C29" s="118" t="s">
        <v>80</v>
      </c>
      <c r="D29" s="118"/>
      <c r="E29" s="118"/>
      <c r="F29" s="118"/>
      <c r="G29" s="118"/>
      <c r="H29" s="119"/>
      <c r="I29" s="2"/>
      <c r="J29" s="125" t="s">
        <v>1</v>
      </c>
      <c r="K29" s="118"/>
      <c r="L29" s="119"/>
      <c r="N29" s="125" t="s">
        <v>2</v>
      </c>
      <c r="O29" s="118"/>
      <c r="P29" s="118"/>
      <c r="Q29" s="126"/>
      <c r="S29" s="115" t="s">
        <v>3</v>
      </c>
      <c r="U29" s="115" t="s">
        <v>4</v>
      </c>
    </row>
    <row r="30" spans="1:21" s="1" customFormat="1" ht="38.25" x14ac:dyDescent="0.2">
      <c r="B30" s="120"/>
      <c r="C30" s="121" t="s">
        <v>5</v>
      </c>
      <c r="D30" s="121" t="s">
        <v>6</v>
      </c>
      <c r="E30" s="121" t="s">
        <v>7</v>
      </c>
      <c r="F30" s="121" t="s">
        <v>8</v>
      </c>
      <c r="G30" s="121" t="s">
        <v>9</v>
      </c>
      <c r="H30" s="122" t="s">
        <v>10</v>
      </c>
      <c r="J30" s="120" t="s">
        <v>11</v>
      </c>
      <c r="K30" s="121" t="s">
        <v>12</v>
      </c>
      <c r="L30" s="122" t="s">
        <v>13</v>
      </c>
      <c r="N30" s="120" t="s">
        <v>14</v>
      </c>
      <c r="O30" s="121" t="s">
        <v>15</v>
      </c>
      <c r="P30" s="121" t="s">
        <v>16</v>
      </c>
      <c r="Q30" s="122" t="s">
        <v>17</v>
      </c>
      <c r="S30" s="127"/>
      <c r="U30" s="127"/>
    </row>
    <row r="31" spans="1:21" s="1" customFormat="1" x14ac:dyDescent="0.2">
      <c r="A31" s="16"/>
      <c r="B31" s="48" t="s">
        <v>18</v>
      </c>
      <c r="C31" s="47" t="s">
        <v>79</v>
      </c>
      <c r="D31" s="47">
        <f>'Econometric models'!D8 / 5</f>
        <v>300.65700000000004</v>
      </c>
      <c r="E31" s="123">
        <f>D31</f>
        <v>300.65700000000004</v>
      </c>
      <c r="F31" s="47">
        <f>'Econometric models'!D50 / 5</f>
        <v>341.54660000000001</v>
      </c>
      <c r="G31" s="47">
        <f>'Econometric models'!D29 / 5</f>
        <v>325.92619999999999</v>
      </c>
      <c r="H31" s="33">
        <f t="shared" ref="H31:H48" si="3">F$49 * F31 + G$49 * G31</f>
        <v>333.7364</v>
      </c>
      <c r="I31" s="3"/>
      <c r="J31" s="35">
        <f>'Econometric models'!D92 / 5</f>
        <v>246.64259999999999</v>
      </c>
      <c r="K31" s="47">
        <f>'Econometric models'!D71 / 5</f>
        <v>231.66019999999997</v>
      </c>
      <c r="L31" s="33">
        <f t="shared" ref="L31:L48" si="4">J$49 * J31 + K$49 * K31</f>
        <v>239.15139999999997</v>
      </c>
      <c r="M31" s="4"/>
      <c r="N31" s="35">
        <f>INDEX('UC models'!$D$30:$D$47,MATCH($B31,'UC models'!$B$8:$B$25,0)) / 5</f>
        <v>33.824537428356415</v>
      </c>
      <c r="O31" s="47">
        <f>INDEX('UC models'!$D$52:$D$69,MATCH($B31,'UC models'!$B$8:$B$25,0)) / 5</f>
        <v>1.3132352556260805</v>
      </c>
      <c r="P31" s="47">
        <f>INDEX('UC models'!$D$8:$D$25,MATCH($B31,'UC models'!$B$8:$B$25,0)) / 5</f>
        <v>16.327137697856166</v>
      </c>
      <c r="Q31" s="33">
        <f>SUM(N31:P31)</f>
        <v>51.464910381838664</v>
      </c>
      <c r="S31" s="86">
        <f>'Actuals and unmodelled'!D6</f>
        <v>21.7874091119177</v>
      </c>
      <c r="U31" s="59">
        <f t="shared" ref="U31:U48" si="5">L31+Q31+S31</f>
        <v>312.40371949375634</v>
      </c>
    </row>
    <row r="32" spans="1:21" s="1" customFormat="1" x14ac:dyDescent="0.2">
      <c r="A32" s="16"/>
      <c r="B32" s="48" t="s">
        <v>19</v>
      </c>
      <c r="C32" s="47" t="s">
        <v>79</v>
      </c>
      <c r="D32" s="47">
        <f>'Econometric models'!D9 / 5</f>
        <v>264.57380000000001</v>
      </c>
      <c r="E32" s="123">
        <f t="shared" ref="E32:E48" si="6">D32</f>
        <v>264.57380000000001</v>
      </c>
      <c r="F32" s="47">
        <f>'Econometric models'!D51 / 5</f>
        <v>252.80659999999997</v>
      </c>
      <c r="G32" s="47">
        <f>'Econometric models'!D30 / 5</f>
        <v>257.06979999999999</v>
      </c>
      <c r="H32" s="33">
        <f t="shared" si="3"/>
        <v>254.93819999999999</v>
      </c>
      <c r="I32" s="3"/>
      <c r="J32" s="35">
        <f>'Econometric models'!D93 / 5</f>
        <v>172.61474000000001</v>
      </c>
      <c r="K32" s="47">
        <f>'Econometric models'!D72 / 5</f>
        <v>178.11020000000002</v>
      </c>
      <c r="L32" s="33">
        <f t="shared" si="4"/>
        <v>175.36247000000003</v>
      </c>
      <c r="M32" s="4"/>
      <c r="N32" s="35">
        <f>INDEX('UC models'!$D$30:$D$47,MATCH($B32,'UC models'!$B$8:$B$25,0)) / 5</f>
        <v>10.075568783886922</v>
      </c>
      <c r="O32" s="47">
        <f>INDEX('UC models'!$D$52:$D$69,MATCH($B32,'UC models'!$B$8:$B$25,0)) / 5</f>
        <v>0</v>
      </c>
      <c r="P32" s="47">
        <f>INDEX('UC models'!$D$8:$D$25,MATCH($B32,'UC models'!$B$8:$B$25,0)) / 5</f>
        <v>6.2464786115264932</v>
      </c>
      <c r="Q32" s="33">
        <f t="shared" ref="Q32:Q48" si="7">SUM(N32:P32)</f>
        <v>16.322047395413414</v>
      </c>
      <c r="S32" s="86">
        <f>'Actuals and unmodelled'!D7</f>
        <v>22.962570888320133</v>
      </c>
      <c r="U32" s="59">
        <f t="shared" si="5"/>
        <v>214.64708828373358</v>
      </c>
    </row>
    <row r="33" spans="1:21" s="1" customFormat="1" x14ac:dyDescent="0.2">
      <c r="A33" s="16"/>
      <c r="B33" s="48" t="s">
        <v>20</v>
      </c>
      <c r="C33" s="47" t="s">
        <v>79</v>
      </c>
      <c r="D33" s="47">
        <f>'Econometric models'!D10 / 5</f>
        <v>281.5376</v>
      </c>
      <c r="E33" s="123">
        <f t="shared" si="6"/>
        <v>281.5376</v>
      </c>
      <c r="F33" s="47">
        <f>'Econometric models'!D52 / 5</f>
        <v>272.4984</v>
      </c>
      <c r="G33" s="47">
        <f>'Econometric models'!D31 / 5</f>
        <v>267.42680000000001</v>
      </c>
      <c r="H33" s="33">
        <f t="shared" si="3"/>
        <v>269.96260000000001</v>
      </c>
      <c r="I33" s="3"/>
      <c r="J33" s="35">
        <f>'Econometric models'!D94 / 5</f>
        <v>211.7176</v>
      </c>
      <c r="K33" s="47">
        <f>'Econometric models'!D73 / 5</f>
        <v>209.16640000000001</v>
      </c>
      <c r="L33" s="33">
        <f t="shared" si="4"/>
        <v>210.44200000000001</v>
      </c>
      <c r="M33" s="4"/>
      <c r="N33" s="35">
        <f>INDEX('UC models'!$D$30:$D$47,MATCH($B33,'UC models'!$B$8:$B$25,0)) / 5</f>
        <v>50.693335106637655</v>
      </c>
      <c r="O33" s="47">
        <f>INDEX('UC models'!$D$52:$D$69,MATCH($B33,'UC models'!$B$8:$B$25,0)) / 5</f>
        <v>2.1172935073820356</v>
      </c>
      <c r="P33" s="47">
        <f>INDEX('UC models'!$D$8:$D$25,MATCH($B33,'UC models'!$B$8:$B$25,0)) / 5</f>
        <v>8.3913477220791943</v>
      </c>
      <c r="Q33" s="33">
        <f t="shared" si="7"/>
        <v>61.201976336098888</v>
      </c>
      <c r="S33" s="86">
        <f>'Actuals and unmodelled'!D8</f>
        <v>6.4232086862719147</v>
      </c>
      <c r="U33" s="59">
        <f t="shared" si="5"/>
        <v>278.06718502237078</v>
      </c>
    </row>
    <row r="34" spans="1:21" s="1" customFormat="1" x14ac:dyDescent="0.2">
      <c r="A34" s="16"/>
      <c r="B34" s="48" t="s">
        <v>21</v>
      </c>
      <c r="C34" s="47" t="s">
        <v>79</v>
      </c>
      <c r="D34" s="47">
        <f>'Econometric models'!D11 / 5</f>
        <v>509.71780000000001</v>
      </c>
      <c r="E34" s="123">
        <f t="shared" si="6"/>
        <v>509.71780000000001</v>
      </c>
      <c r="F34" s="47">
        <f>'Econometric models'!D53 / 5</f>
        <v>513.10040000000004</v>
      </c>
      <c r="G34" s="47">
        <f>'Econometric models'!D32 / 5</f>
        <v>501.56740000000002</v>
      </c>
      <c r="H34" s="33">
        <f t="shared" si="3"/>
        <v>507.33390000000003</v>
      </c>
      <c r="I34" s="3"/>
      <c r="J34" s="35">
        <f>'Econometric models'!D95 / 5</f>
        <v>398.71819999999997</v>
      </c>
      <c r="K34" s="47">
        <f>'Econometric models'!D74 / 5</f>
        <v>403.81399999999996</v>
      </c>
      <c r="L34" s="33">
        <f t="shared" si="4"/>
        <v>401.26609999999994</v>
      </c>
      <c r="M34" s="4"/>
      <c r="N34" s="35">
        <f>INDEX('UC models'!$D$30:$D$47,MATCH($B34,'UC models'!$B$8:$B$25,0)) / 5</f>
        <v>27.567114647837805</v>
      </c>
      <c r="O34" s="47">
        <f>INDEX('UC models'!$D$52:$D$69,MATCH($B34,'UC models'!$B$8:$B$25,0)) / 5</f>
        <v>0.47169156316978961</v>
      </c>
      <c r="P34" s="47">
        <f>INDEX('UC models'!$D$8:$D$25,MATCH($B34,'UC models'!$B$8:$B$25,0)) / 5</f>
        <v>19.18834650749422</v>
      </c>
      <c r="Q34" s="33">
        <f t="shared" si="7"/>
        <v>47.227152718501813</v>
      </c>
      <c r="S34" s="86">
        <f>'Actuals and unmodelled'!D9</f>
        <v>40.525902147388514</v>
      </c>
      <c r="U34" s="59">
        <f t="shared" si="5"/>
        <v>489.0191548658903</v>
      </c>
    </row>
    <row r="35" spans="1:21" s="1" customFormat="1" x14ac:dyDescent="0.2">
      <c r="A35" s="16"/>
      <c r="B35" s="48" t="s">
        <v>22</v>
      </c>
      <c r="C35" s="47" t="s">
        <v>79</v>
      </c>
      <c r="D35" s="47">
        <f>'Econometric models'!D12 / 5</f>
        <v>164.07301999999999</v>
      </c>
      <c r="E35" s="123">
        <f t="shared" si="6"/>
        <v>164.07301999999999</v>
      </c>
      <c r="F35" s="47">
        <f>'Econometric models'!D54 / 5</f>
        <v>162.19757999999999</v>
      </c>
      <c r="G35" s="47">
        <f>'Econometric models'!D33 / 5</f>
        <v>163.51176000000001</v>
      </c>
      <c r="H35" s="33">
        <f t="shared" si="3"/>
        <v>162.85467</v>
      </c>
      <c r="I35" s="3"/>
      <c r="J35" s="35">
        <f>'Econometric models'!D96 / 5</f>
        <v>109.32642000000001</v>
      </c>
      <c r="K35" s="47">
        <f>'Econometric models'!D75 / 5</f>
        <v>107.62442000000001</v>
      </c>
      <c r="L35" s="33">
        <f t="shared" si="4"/>
        <v>108.47542000000001</v>
      </c>
      <c r="M35" s="4"/>
      <c r="N35" s="35">
        <f>INDEX('UC models'!$D$30:$D$47,MATCH($B35,'UC models'!$B$8:$B$25,0)) / 5</f>
        <v>6.658484780511654</v>
      </c>
      <c r="O35" s="47">
        <f>INDEX('UC models'!$D$52:$D$69,MATCH($B35,'UC models'!$B$8:$B$25,0)) / 5</f>
        <v>8.100371769571782E-2</v>
      </c>
      <c r="P35" s="47">
        <f>INDEX('UC models'!$D$8:$D$25,MATCH($B35,'UC models'!$B$8:$B$25,0)) / 5</f>
        <v>5.7041464535288213</v>
      </c>
      <c r="Q35" s="33">
        <f t="shared" si="7"/>
        <v>12.443634951736193</v>
      </c>
      <c r="S35" s="86">
        <f>'Actuals and unmodelled'!D10</f>
        <v>9.5340229064502342</v>
      </c>
      <c r="U35" s="59">
        <f t="shared" si="5"/>
        <v>130.45307785818645</v>
      </c>
    </row>
    <row r="36" spans="1:21" s="1" customFormat="1" x14ac:dyDescent="0.2">
      <c r="A36" s="16"/>
      <c r="B36" s="48" t="s">
        <v>23</v>
      </c>
      <c r="C36" s="47" t="s">
        <v>79</v>
      </c>
      <c r="D36" s="47">
        <f>'Econometric models'!D13 / 5</f>
        <v>141.73331999999999</v>
      </c>
      <c r="E36" s="123">
        <f t="shared" si="6"/>
        <v>141.73331999999999</v>
      </c>
      <c r="F36" s="47">
        <f>'Econometric models'!D55 / 5</f>
        <v>149.71020000000001</v>
      </c>
      <c r="G36" s="47">
        <f>'Econometric models'!D34 / 5</f>
        <v>142.7269</v>
      </c>
      <c r="H36" s="33">
        <f t="shared" si="3"/>
        <v>146.21854999999999</v>
      </c>
      <c r="I36" s="3"/>
      <c r="J36" s="35">
        <f>'Econometric models'!D97 / 5</f>
        <v>116.50763999999999</v>
      </c>
      <c r="K36" s="47">
        <f>'Econometric models'!D76 / 5</f>
        <v>106.47702</v>
      </c>
      <c r="L36" s="33">
        <f t="shared" si="4"/>
        <v>111.49233</v>
      </c>
      <c r="M36" s="4"/>
      <c r="N36" s="35">
        <f>INDEX('UC models'!$D$30:$D$47,MATCH($B36,'UC models'!$B$8:$B$25,0)) / 5</f>
        <v>51.092017423477266</v>
      </c>
      <c r="O36" s="47">
        <f>INDEX('UC models'!$D$52:$D$69,MATCH($B36,'UC models'!$B$8:$B$25,0)) / 5</f>
        <v>6.1742963418129446E-2</v>
      </c>
      <c r="P36" s="47">
        <f>INDEX('UC models'!$D$8:$D$25,MATCH($B36,'UC models'!$B$8:$B$25,0)) / 5</f>
        <v>6.2454176441888807</v>
      </c>
      <c r="Q36" s="33">
        <f t="shared" si="7"/>
        <v>57.399178031084276</v>
      </c>
      <c r="S36" s="86">
        <f>'Actuals and unmodelled'!D11</f>
        <v>8.316174991477272</v>
      </c>
      <c r="U36" s="59">
        <f t="shared" si="5"/>
        <v>177.20768302256155</v>
      </c>
    </row>
    <row r="37" spans="1:21" s="1" customFormat="1" x14ac:dyDescent="0.2">
      <c r="A37" s="16"/>
      <c r="B37" s="48" t="s">
        <v>24</v>
      </c>
      <c r="C37" s="47" t="s">
        <v>79</v>
      </c>
      <c r="D37" s="47">
        <f>'Econometric models'!D14 / 5</f>
        <v>789.10239999999999</v>
      </c>
      <c r="E37" s="123">
        <f t="shared" si="6"/>
        <v>789.10239999999999</v>
      </c>
      <c r="F37" s="47">
        <f>'Econometric models'!D56 / 5</f>
        <v>814.25919999999996</v>
      </c>
      <c r="G37" s="47">
        <f>'Econometric models'!D35 / 5</f>
        <v>786.23800000000006</v>
      </c>
      <c r="H37" s="33">
        <f t="shared" si="3"/>
        <v>800.24860000000001</v>
      </c>
      <c r="I37" s="3"/>
      <c r="J37" s="35">
        <f>'Econometric models'!D98 / 5</f>
        <v>504.99920000000003</v>
      </c>
      <c r="K37" s="47">
        <f>'Econometric models'!D77 / 5</f>
        <v>471.48199999999997</v>
      </c>
      <c r="L37" s="33">
        <f t="shared" si="4"/>
        <v>488.24059999999997</v>
      </c>
      <c r="M37" s="4"/>
      <c r="N37" s="35">
        <f>INDEX('UC models'!$D$30:$D$47,MATCH($B37,'UC models'!$B$8:$B$25,0)) / 5</f>
        <v>36.493706988028727</v>
      </c>
      <c r="O37" s="47">
        <f>INDEX('UC models'!$D$52:$D$69,MATCH($B37,'UC models'!$B$8:$B$25,0)) / 5</f>
        <v>5.0939790675340531</v>
      </c>
      <c r="P37" s="47">
        <f>INDEX('UC models'!$D$8:$D$25,MATCH($B37,'UC models'!$B$8:$B$25,0)) / 5</f>
        <v>26.14179999918273</v>
      </c>
      <c r="Q37" s="33">
        <f t="shared" si="7"/>
        <v>67.729486054745507</v>
      </c>
      <c r="S37" s="86">
        <f>'Actuals and unmodelled'!D12</f>
        <v>24.825922518780473</v>
      </c>
      <c r="U37" s="59">
        <f t="shared" si="5"/>
        <v>580.79600857352591</v>
      </c>
    </row>
    <row r="38" spans="1:21" s="1" customFormat="1" x14ac:dyDescent="0.2">
      <c r="A38" s="16"/>
      <c r="B38" s="48" t="s">
        <v>25</v>
      </c>
      <c r="C38" s="47" t="s">
        <v>79</v>
      </c>
      <c r="D38" s="47">
        <f>'Econometric models'!D15 / 5</f>
        <v>437.79620000000006</v>
      </c>
      <c r="E38" s="123">
        <f t="shared" si="6"/>
        <v>437.79620000000006</v>
      </c>
      <c r="F38" s="47">
        <f>'Econometric models'!D57 / 5</f>
        <v>449.67899999999997</v>
      </c>
      <c r="G38" s="47">
        <f>'Econometric models'!D36 / 5</f>
        <v>430.387</v>
      </c>
      <c r="H38" s="33">
        <f t="shared" si="3"/>
        <v>440.03300000000002</v>
      </c>
      <c r="I38" s="3"/>
      <c r="J38" s="35">
        <f>'Econometric models'!D99 / 5</f>
        <v>343.17959999999999</v>
      </c>
      <c r="K38" s="47">
        <f>'Econometric models'!D78 / 5</f>
        <v>324.98660000000001</v>
      </c>
      <c r="L38" s="33">
        <f t="shared" si="4"/>
        <v>334.0831</v>
      </c>
      <c r="M38" s="4"/>
      <c r="N38" s="35">
        <f>INDEX('UC models'!$D$30:$D$47,MATCH($B38,'UC models'!$B$8:$B$25,0)) / 5</f>
        <v>7.098600490429396</v>
      </c>
      <c r="O38" s="47">
        <f>INDEX('UC models'!$D$52:$D$69,MATCH($B38,'UC models'!$B$8:$B$25,0)) / 5</f>
        <v>1.7773512465959302</v>
      </c>
      <c r="P38" s="47">
        <f>INDEX('UC models'!$D$8:$D$25,MATCH($B38,'UC models'!$B$8:$B$25,0)) / 5</f>
        <v>13.706321914279068</v>
      </c>
      <c r="Q38" s="33">
        <f t="shared" si="7"/>
        <v>22.582273651304394</v>
      </c>
      <c r="S38" s="86">
        <f>'Actuals and unmodelled'!D13</f>
        <v>64.225571755508525</v>
      </c>
      <c r="U38" s="59">
        <f t="shared" si="5"/>
        <v>420.89094540681288</v>
      </c>
    </row>
    <row r="39" spans="1:21" s="1" customFormat="1" x14ac:dyDescent="0.2">
      <c r="A39" s="16"/>
      <c r="B39" s="48" t="s">
        <v>26</v>
      </c>
      <c r="C39" s="47" t="s">
        <v>79</v>
      </c>
      <c r="D39" s="47">
        <f>'Econometric models'!D16 / 5</f>
        <v>105.67762</v>
      </c>
      <c r="E39" s="123">
        <f t="shared" si="6"/>
        <v>105.67762</v>
      </c>
      <c r="F39" s="47">
        <f>'Econometric models'!D58 / 5</f>
        <v>116.70617999999999</v>
      </c>
      <c r="G39" s="47">
        <f>'Econometric models'!D37 / 5</f>
        <v>108.2838</v>
      </c>
      <c r="H39" s="33">
        <f t="shared" si="3"/>
        <v>112.49499</v>
      </c>
      <c r="I39" s="3"/>
      <c r="J39" s="35">
        <f>'Econometric models'!D100 / 5</f>
        <v>85.681039999999996</v>
      </c>
      <c r="K39" s="47">
        <f>'Econometric models'!D79 / 5</f>
        <v>83.068420000000003</v>
      </c>
      <c r="L39" s="33">
        <f t="shared" si="4"/>
        <v>84.37473</v>
      </c>
      <c r="M39" s="4"/>
      <c r="N39" s="35">
        <f>INDEX('UC models'!$D$30:$D$47,MATCH($B39,'UC models'!$B$8:$B$25,0)) / 5</f>
        <v>0</v>
      </c>
      <c r="O39" s="47">
        <f>INDEX('UC models'!$D$52:$D$69,MATCH($B39,'UC models'!$B$8:$B$25,0)) / 5</f>
        <v>0.27818253785990527</v>
      </c>
      <c r="P39" s="47">
        <f>INDEX('UC models'!$D$8:$D$25,MATCH($B39,'UC models'!$B$8:$B$25,0)) / 5</f>
        <v>5.294729102324534</v>
      </c>
      <c r="Q39" s="33">
        <f t="shared" si="7"/>
        <v>5.5729116401844392</v>
      </c>
      <c r="S39" s="86">
        <f>'Actuals and unmodelled'!D14</f>
        <v>16.840724605271284</v>
      </c>
      <c r="U39" s="59">
        <f t="shared" si="5"/>
        <v>106.78836624545573</v>
      </c>
    </row>
    <row r="40" spans="1:21" s="1" customFormat="1" x14ac:dyDescent="0.2">
      <c r="A40" s="16"/>
      <c r="B40" s="48" t="s">
        <v>27</v>
      </c>
      <c r="C40" s="47" t="s">
        <v>79</v>
      </c>
      <c r="D40" s="47">
        <f>'Econometric models'!D17 / 5</f>
        <v>289.18180000000001</v>
      </c>
      <c r="E40" s="123">
        <f t="shared" si="6"/>
        <v>289.18180000000001</v>
      </c>
      <c r="F40" s="47">
        <f>'Econometric models'!D59 / 5</f>
        <v>311.32080000000002</v>
      </c>
      <c r="G40" s="47">
        <f>'Econometric models'!D38 / 5</f>
        <v>306.9948</v>
      </c>
      <c r="H40" s="33">
        <f t="shared" si="3"/>
        <v>309.15780000000001</v>
      </c>
      <c r="I40" s="3"/>
      <c r="J40" s="35">
        <f>'Econometric models'!D101 / 5</f>
        <v>238.80520000000001</v>
      </c>
      <c r="K40" s="47">
        <f>'Econometric models'!D80 / 5</f>
        <v>239.78339999999997</v>
      </c>
      <c r="L40" s="33">
        <f t="shared" si="4"/>
        <v>239.29429999999999</v>
      </c>
      <c r="M40" s="4"/>
      <c r="N40" s="35">
        <f>INDEX('UC models'!$D$30:$D$47,MATCH($B40,'UC models'!$B$8:$B$25,0)) / 5</f>
        <v>0</v>
      </c>
      <c r="O40" s="47">
        <f>INDEX('UC models'!$D$52:$D$69,MATCH($B40,'UC models'!$B$8:$B$25,0)) / 5</f>
        <v>6.3786502404388754</v>
      </c>
      <c r="P40" s="47">
        <f>INDEX('UC models'!$D$8:$D$25,MATCH($B40,'UC models'!$B$8:$B$25,0)) / 5</f>
        <v>12.896534908180902</v>
      </c>
      <c r="Q40" s="33">
        <f t="shared" si="7"/>
        <v>19.275185148619776</v>
      </c>
      <c r="S40" s="86">
        <f>'Actuals and unmodelled'!D15</f>
        <v>14.965437003650942</v>
      </c>
      <c r="U40" s="59">
        <f t="shared" si="5"/>
        <v>273.53492215227072</v>
      </c>
    </row>
    <row r="41" spans="1:21" s="1" customFormat="1" x14ac:dyDescent="0.2">
      <c r="A41" s="16"/>
      <c r="B41" s="48" t="s">
        <v>28</v>
      </c>
      <c r="C41" s="47" t="s">
        <v>79</v>
      </c>
      <c r="D41" s="47">
        <f>'Econometric models'!D18 / 5</f>
        <v>191.36905999999999</v>
      </c>
      <c r="E41" s="123">
        <f t="shared" si="6"/>
        <v>191.36905999999999</v>
      </c>
      <c r="F41" s="47">
        <f>'Econometric models'!D60 / 5</f>
        <v>222.58279999999999</v>
      </c>
      <c r="G41" s="47">
        <f>'Econometric models'!D39 / 5</f>
        <v>224.35300000000001</v>
      </c>
      <c r="H41" s="33">
        <f t="shared" si="3"/>
        <v>223.46789999999999</v>
      </c>
      <c r="I41" s="3"/>
      <c r="J41" s="35">
        <f>'Econometric models'!D102 / 5</f>
        <v>171.35975999999999</v>
      </c>
      <c r="K41" s="47">
        <f>'Econometric models'!D81 / 5</f>
        <v>177.77415999999999</v>
      </c>
      <c r="L41" s="33">
        <f t="shared" si="4"/>
        <v>174.56695999999999</v>
      </c>
      <c r="M41" s="4"/>
      <c r="N41" s="35">
        <f>INDEX('UC models'!$D$30:$D$47,MATCH($B41,'UC models'!$B$8:$B$25,0)) / 5</f>
        <v>3.3015898660615202</v>
      </c>
      <c r="O41" s="47">
        <f>INDEX('UC models'!$D$52:$D$69,MATCH($B41,'UC models'!$B$8:$B$25,0)) / 5</f>
        <v>5.4700347782668877E-2</v>
      </c>
      <c r="P41" s="47">
        <f>INDEX('UC models'!$D$8:$D$25,MATCH($B41,'UC models'!$B$8:$B$25,0)) / 5</f>
        <v>11.664042039681977</v>
      </c>
      <c r="Q41" s="33">
        <f t="shared" si="7"/>
        <v>15.020332253526167</v>
      </c>
      <c r="S41" s="86">
        <f>'Actuals and unmodelled'!D16</f>
        <v>0.97779098346265947</v>
      </c>
      <c r="U41" s="59">
        <f t="shared" si="5"/>
        <v>190.56508323698881</v>
      </c>
    </row>
    <row r="42" spans="1:21" s="1" customFormat="1" x14ac:dyDescent="0.2">
      <c r="A42" s="16"/>
      <c r="B42" s="48" t="s">
        <v>29</v>
      </c>
      <c r="C42" s="47" t="s">
        <v>79</v>
      </c>
      <c r="D42" s="47">
        <f>'Econometric models'!D19 / 5</f>
        <v>73.4422</v>
      </c>
      <c r="E42" s="123">
        <f t="shared" si="6"/>
        <v>73.4422</v>
      </c>
      <c r="F42" s="47">
        <f>'Econometric models'!D61 / 5</f>
        <v>62.623479999999994</v>
      </c>
      <c r="G42" s="47">
        <f>'Econometric models'!D40 / 5</f>
        <v>62.451779999999999</v>
      </c>
      <c r="H42" s="33">
        <f t="shared" si="3"/>
        <v>62.537629999999993</v>
      </c>
      <c r="I42" s="3"/>
      <c r="J42" s="35">
        <f>'Econometric models'!D103 / 5</f>
        <v>54.516080000000002</v>
      </c>
      <c r="K42" s="47">
        <f>'Econometric models'!D82 / 5</f>
        <v>54.656179999999992</v>
      </c>
      <c r="L42" s="33">
        <f t="shared" si="4"/>
        <v>54.586129999999997</v>
      </c>
      <c r="M42" s="4"/>
      <c r="N42" s="35">
        <f>INDEX('UC models'!$D$30:$D$47,MATCH($B42,'UC models'!$B$8:$B$25,0)) / 5</f>
        <v>9.2276990501921503</v>
      </c>
      <c r="O42" s="47">
        <f>INDEX('UC models'!$D$52:$D$69,MATCH($B42,'UC models'!$B$8:$B$25,0)) / 5</f>
        <v>0.10566904079212165</v>
      </c>
      <c r="P42" s="47">
        <f>INDEX('UC models'!$D$8:$D$25,MATCH($B42,'UC models'!$B$8:$B$25,0)) / 5</f>
        <v>3.6974376808767908</v>
      </c>
      <c r="Q42" s="33">
        <f t="shared" si="7"/>
        <v>13.030805771861063</v>
      </c>
      <c r="S42" s="86">
        <f>'Actuals and unmodelled'!D17</f>
        <v>10.15684549883043</v>
      </c>
      <c r="U42" s="59">
        <f t="shared" si="5"/>
        <v>77.773781270691501</v>
      </c>
    </row>
    <row r="43" spans="1:21" s="1" customFormat="1" x14ac:dyDescent="0.2">
      <c r="A43" s="16"/>
      <c r="B43" s="48" t="s">
        <v>30</v>
      </c>
      <c r="C43" s="47" t="s">
        <v>79</v>
      </c>
      <c r="D43" s="47">
        <f>'Econometric models'!D20 / 5</f>
        <v>15.931837999999999</v>
      </c>
      <c r="E43" s="123">
        <f t="shared" si="6"/>
        <v>15.931837999999999</v>
      </c>
      <c r="F43" s="47">
        <f>'Econometric models'!D62 / 5</f>
        <v>18.149093999999998</v>
      </c>
      <c r="G43" s="47">
        <f>'Econometric models'!D41 / 5</f>
        <v>17.349430000000002</v>
      </c>
      <c r="H43" s="33">
        <f t="shared" si="3"/>
        <v>17.749262000000002</v>
      </c>
      <c r="I43" s="3"/>
      <c r="J43" s="35">
        <f>'Econometric models'!D104 / 5</f>
        <v>17.03772</v>
      </c>
      <c r="K43" s="47">
        <f>'Econometric models'!D83 / 5</f>
        <v>15.707069999999998</v>
      </c>
      <c r="L43" s="33">
        <f t="shared" si="4"/>
        <v>16.372394999999997</v>
      </c>
      <c r="M43" s="4"/>
      <c r="N43" s="35">
        <f>INDEX('UC models'!$D$30:$D$47,MATCH($B43,'UC models'!$B$8:$B$25,0)) / 5</f>
        <v>0</v>
      </c>
      <c r="O43" s="47">
        <f>INDEX('UC models'!$D$52:$D$69,MATCH($B43,'UC models'!$B$8:$B$25,0)) / 5</f>
        <v>0</v>
      </c>
      <c r="P43" s="47">
        <f>INDEX('UC models'!$D$8:$D$25,MATCH($B43,'UC models'!$B$8:$B$25,0)) / 5</f>
        <v>0.55767200941937278</v>
      </c>
      <c r="Q43" s="33">
        <f t="shared" si="7"/>
        <v>0.55767200941937278</v>
      </c>
      <c r="S43" s="86">
        <f>'Actuals and unmodelled'!D18</f>
        <v>0.88373661294964168</v>
      </c>
      <c r="U43" s="59">
        <f t="shared" si="5"/>
        <v>17.813803622369011</v>
      </c>
    </row>
    <row r="44" spans="1:21" s="1" customFormat="1" x14ac:dyDescent="0.2">
      <c r="A44" s="16"/>
      <c r="B44" s="48" t="s">
        <v>31</v>
      </c>
      <c r="C44" s="47" t="s">
        <v>79</v>
      </c>
      <c r="D44" s="47">
        <f>'Econometric models'!D21 / 5</f>
        <v>28.137799999999999</v>
      </c>
      <c r="E44" s="123">
        <f t="shared" si="6"/>
        <v>28.137799999999999</v>
      </c>
      <c r="F44" s="47">
        <f>'Econometric models'!D63 / 5</f>
        <v>32.082039999999999</v>
      </c>
      <c r="G44" s="47">
        <f>'Econometric models'!D42 / 5</f>
        <v>30.592739999999999</v>
      </c>
      <c r="H44" s="33">
        <f t="shared" si="3"/>
        <v>31.337389999999999</v>
      </c>
      <c r="I44" s="3"/>
      <c r="J44" s="35">
        <f>'Econometric models'!D105 / 5</f>
        <v>27.15306</v>
      </c>
      <c r="K44" s="47">
        <f>'Econometric models'!D84 / 5</f>
        <v>26.03576</v>
      </c>
      <c r="L44" s="33">
        <f t="shared" si="4"/>
        <v>26.59441</v>
      </c>
      <c r="M44" s="4"/>
      <c r="N44" s="35">
        <f>INDEX('UC models'!$D$30:$D$47,MATCH($B44,'UC models'!$B$8:$B$25,0)) / 5</f>
        <v>0</v>
      </c>
      <c r="O44" s="47">
        <f>INDEX('UC models'!$D$52:$D$69,MATCH($B44,'UC models'!$B$8:$B$25,0)) / 5</f>
        <v>5.2811962041418616E-2</v>
      </c>
      <c r="P44" s="47">
        <f>INDEX('UC models'!$D$8:$D$25,MATCH($B44,'UC models'!$B$8:$B$25,0)) / 5</f>
        <v>1.3765216501827815</v>
      </c>
      <c r="Q44" s="33">
        <f t="shared" si="7"/>
        <v>1.4293336122242002</v>
      </c>
      <c r="S44" s="86">
        <f>'Actuals and unmodelled'!D19</f>
        <v>0.444653133336676</v>
      </c>
      <c r="U44" s="59">
        <f t="shared" si="5"/>
        <v>28.468396745560877</v>
      </c>
    </row>
    <row r="45" spans="1:21" s="1" customFormat="1" x14ac:dyDescent="0.2">
      <c r="A45" s="16"/>
      <c r="B45" s="48" t="s">
        <v>32</v>
      </c>
      <c r="C45" s="47" t="s">
        <v>79</v>
      </c>
      <c r="D45" s="47">
        <f>'Econometric models'!D22 / 5</f>
        <v>25.39518</v>
      </c>
      <c r="E45" s="123">
        <f t="shared" si="6"/>
        <v>25.39518</v>
      </c>
      <c r="F45" s="47">
        <f>'Econometric models'!D64 / 5</f>
        <v>27.218520000000002</v>
      </c>
      <c r="G45" s="47">
        <f>'Econometric models'!D43 / 5</f>
        <v>26.34318</v>
      </c>
      <c r="H45" s="33">
        <f t="shared" si="3"/>
        <v>26.780850000000001</v>
      </c>
      <c r="I45" s="3"/>
      <c r="J45" s="35">
        <f>'Econometric models'!D106 / 5</f>
        <v>22.173740000000002</v>
      </c>
      <c r="K45" s="47">
        <f>'Econometric models'!D85 / 5</f>
        <v>21.754799999999999</v>
      </c>
      <c r="L45" s="33">
        <f t="shared" si="4"/>
        <v>21.964269999999999</v>
      </c>
      <c r="M45" s="4"/>
      <c r="N45" s="35">
        <f>INDEX('UC models'!$D$30:$D$47,MATCH($B45,'UC models'!$B$8:$B$25,0)) / 5</f>
        <v>11.745822948338354</v>
      </c>
      <c r="O45" s="47">
        <f>INDEX('UC models'!$D$52:$D$69,MATCH($B45,'UC models'!$B$8:$B$25,0)) / 5</f>
        <v>0</v>
      </c>
      <c r="P45" s="47">
        <f>INDEX('UC models'!$D$8:$D$25,MATCH($B45,'UC models'!$B$8:$B$25,0)) / 5</f>
        <v>1.0267565083408847</v>
      </c>
      <c r="Q45" s="33">
        <f t="shared" si="7"/>
        <v>12.772579456679239</v>
      </c>
      <c r="S45" s="86">
        <f>'Actuals and unmodelled'!D20</f>
        <v>0.57069238715308557</v>
      </c>
      <c r="U45" s="59">
        <f t="shared" si="5"/>
        <v>35.307541843832325</v>
      </c>
    </row>
    <row r="46" spans="1:21" s="1" customFormat="1" x14ac:dyDescent="0.2">
      <c r="A46" s="16"/>
      <c r="B46" s="48" t="s">
        <v>33</v>
      </c>
      <c r="C46" s="47" t="s">
        <v>79</v>
      </c>
      <c r="D46" s="47">
        <f>'Econometric models'!D23 / 5</f>
        <v>137.02068</v>
      </c>
      <c r="E46" s="123">
        <f t="shared" si="6"/>
        <v>137.02068</v>
      </c>
      <c r="F46" s="47">
        <f>'Econometric models'!D65 / 5</f>
        <v>154.36449999999999</v>
      </c>
      <c r="G46" s="47">
        <f>'Econometric models'!D44 / 5</f>
        <v>149.63824</v>
      </c>
      <c r="H46" s="33">
        <f t="shared" si="3"/>
        <v>152.00137000000001</v>
      </c>
      <c r="I46" s="3"/>
      <c r="J46" s="35">
        <f>'Econometric models'!D107 / 5</f>
        <v>119.17514000000001</v>
      </c>
      <c r="K46" s="47">
        <f>'Econometric models'!D86 / 5</f>
        <v>113.70070000000001</v>
      </c>
      <c r="L46" s="33">
        <f t="shared" si="4"/>
        <v>116.43792000000002</v>
      </c>
      <c r="M46" s="4"/>
      <c r="N46" s="35">
        <f>INDEX('UC models'!$D$30:$D$47,MATCH($B46,'UC models'!$B$8:$B$25,0)) / 5</f>
        <v>16.820919027266136</v>
      </c>
      <c r="O46" s="47">
        <f>INDEX('UC models'!$D$52:$D$69,MATCH($B46,'UC models'!$B$8:$B$25,0)) / 5</f>
        <v>0</v>
      </c>
      <c r="P46" s="47">
        <f>INDEX('UC models'!$D$8:$D$25,MATCH($B46,'UC models'!$B$8:$B$25,0)) / 5</f>
        <v>7.6728939437120207</v>
      </c>
      <c r="Q46" s="33">
        <f t="shared" si="7"/>
        <v>24.493812970978155</v>
      </c>
      <c r="S46" s="86">
        <f>'Actuals and unmodelled'!D21</f>
        <v>6.2973624728779338</v>
      </c>
      <c r="U46" s="59">
        <f t="shared" si="5"/>
        <v>147.2290954438561</v>
      </c>
    </row>
    <row r="47" spans="1:21" s="1" customFormat="1" x14ac:dyDescent="0.2">
      <c r="A47" s="16"/>
      <c r="B47" s="48" t="s">
        <v>34</v>
      </c>
      <c r="C47" s="47" t="s">
        <v>79</v>
      </c>
      <c r="D47" s="47">
        <f>'Econometric models'!D24 / 5</f>
        <v>74.538060000000002</v>
      </c>
      <c r="E47" s="123">
        <f t="shared" si="6"/>
        <v>74.538060000000002</v>
      </c>
      <c r="F47" s="47">
        <f>'Econometric models'!D66 / 5</f>
        <v>82.331060000000008</v>
      </c>
      <c r="G47" s="47">
        <f>'Econometric models'!D45 / 5</f>
        <v>81.781179999999992</v>
      </c>
      <c r="H47" s="33">
        <f t="shared" si="3"/>
        <v>82.056119999999993</v>
      </c>
      <c r="I47" s="3"/>
      <c r="J47" s="35">
        <f>'Econometric models'!D108 / 5</f>
        <v>69.665999999999997</v>
      </c>
      <c r="K47" s="47">
        <f>'Econometric models'!D87 / 5</f>
        <v>70.117519999999999</v>
      </c>
      <c r="L47" s="33">
        <f t="shared" si="4"/>
        <v>69.891760000000005</v>
      </c>
      <c r="M47" s="4"/>
      <c r="N47" s="35">
        <f>INDEX('UC models'!$D$30:$D$47,MATCH($B47,'UC models'!$B$8:$B$25,0)) / 5</f>
        <v>8.457292537702692</v>
      </c>
      <c r="O47" s="47">
        <f>INDEX('UC models'!$D$52:$D$69,MATCH($B47,'UC models'!$B$8:$B$25,0)) / 5</f>
        <v>5.9848780232962695E-2</v>
      </c>
      <c r="P47" s="47">
        <f>INDEX('UC models'!$D$8:$D$25,MATCH($B47,'UC models'!$B$8:$B$25,0)) / 5</f>
        <v>3.5130173649656675</v>
      </c>
      <c r="Q47" s="33">
        <f t="shared" si="7"/>
        <v>12.030158682901323</v>
      </c>
      <c r="S47" s="86">
        <f>'Actuals and unmodelled'!D22</f>
        <v>8.7557463223094683</v>
      </c>
      <c r="U47" s="59">
        <f t="shared" si="5"/>
        <v>90.677665005210784</v>
      </c>
    </row>
    <row r="48" spans="1:21" s="1" customFormat="1" ht="15" thickBot="1" x14ac:dyDescent="0.25">
      <c r="A48" s="16"/>
      <c r="B48" s="112" t="s">
        <v>35</v>
      </c>
      <c r="C48" s="50" t="s">
        <v>79</v>
      </c>
      <c r="D48" s="50">
        <f>'Econometric models'!D25 / 5</f>
        <v>42.292880000000004</v>
      </c>
      <c r="E48" s="124">
        <f t="shared" si="6"/>
        <v>42.292880000000004</v>
      </c>
      <c r="F48" s="50">
        <f>'Econometric models'!D67 / 5</f>
        <v>38.433779999999999</v>
      </c>
      <c r="G48" s="50">
        <f>'Econometric models'!D46 / 5</f>
        <v>37.623480000000001</v>
      </c>
      <c r="H48" s="31">
        <f t="shared" si="3"/>
        <v>38.02863</v>
      </c>
      <c r="I48" s="3"/>
      <c r="J48" s="49">
        <f>'Econometric models'!D109 / 5</f>
        <v>32.776699999999998</v>
      </c>
      <c r="K48" s="50">
        <f>'Econometric models'!D88 / 5</f>
        <v>32.92154</v>
      </c>
      <c r="L48" s="31">
        <f t="shared" si="4"/>
        <v>32.849119999999999</v>
      </c>
      <c r="M48" s="4"/>
      <c r="N48" s="49">
        <f>INDEX('UC models'!$D$30:$D$47,MATCH($B48,'UC models'!$B$8:$B$25,0)) / 5</f>
        <v>11.897081960048713</v>
      </c>
      <c r="O48" s="50">
        <f>INDEX('UC models'!$D$52:$D$69,MATCH($B48,'UC models'!$B$8:$B$25,0)) / 5</f>
        <v>0.11465951553905837</v>
      </c>
      <c r="P48" s="50">
        <f>INDEX('UC models'!$D$8:$D$25,MATCH($B48,'UC models'!$B$8:$B$25,0)) / 5</f>
        <v>1.7254167946441896</v>
      </c>
      <c r="Q48" s="31">
        <f t="shared" si="7"/>
        <v>13.73715827023196</v>
      </c>
      <c r="S48" s="87">
        <f>'Actuals and unmodelled'!D23</f>
        <v>3.0160283076089032</v>
      </c>
      <c r="U48" s="60">
        <f t="shared" si="5"/>
        <v>49.602306577840864</v>
      </c>
    </row>
    <row r="49" spans="1:21" s="1" customFormat="1" ht="13.5" thickBot="1" x14ac:dyDescent="0.25">
      <c r="B49" s="51" t="s">
        <v>81</v>
      </c>
      <c r="C49" s="53">
        <v>0</v>
      </c>
      <c r="D49" s="54">
        <f>1-C49</f>
        <v>1</v>
      </c>
      <c r="E49" s="58"/>
      <c r="F49" s="53">
        <v>0.5</v>
      </c>
      <c r="G49" s="54">
        <f>1-F49</f>
        <v>0.5</v>
      </c>
      <c r="H49" s="58"/>
      <c r="J49" s="68">
        <v>0.5</v>
      </c>
      <c r="K49" s="69">
        <f>1-J49</f>
        <v>0.5</v>
      </c>
      <c r="L49" s="70"/>
      <c r="M49" s="2"/>
      <c r="N49" s="72"/>
      <c r="O49" s="73"/>
      <c r="P49" s="58"/>
      <c r="Q49" s="58"/>
      <c r="S49" s="58"/>
      <c r="U49" s="75"/>
    </row>
    <row r="50" spans="1:21" s="1" customFormat="1" ht="13.5" thickBot="1" x14ac:dyDescent="0.25">
      <c r="B50" s="52" t="s">
        <v>82</v>
      </c>
      <c r="C50" s="56"/>
      <c r="D50" s="57"/>
      <c r="E50" s="55">
        <v>0.33333333333333298</v>
      </c>
      <c r="F50" s="56"/>
      <c r="G50" s="57"/>
      <c r="H50" s="55">
        <v>0.33333333333333298</v>
      </c>
      <c r="J50" s="56"/>
      <c r="K50" s="57"/>
      <c r="L50" s="71"/>
      <c r="M50" s="2"/>
      <c r="N50" s="56"/>
      <c r="O50" s="57"/>
      <c r="P50" s="74"/>
      <c r="Q50" s="74"/>
      <c r="S50" s="74"/>
      <c r="U50" s="76">
        <v>0.33333333333333298</v>
      </c>
    </row>
    <row r="51" spans="1:21" s="1" customFormat="1" ht="12.75" x14ac:dyDescent="0.2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21" s="1" customFormat="1" ht="12.75" x14ac:dyDescent="0.2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21" s="1" customFormat="1" ht="12.75" x14ac:dyDescent="0.2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21" s="1" customFormat="1" ht="12.75" x14ac:dyDescent="0.2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21" s="1" customFormat="1" ht="30" x14ac:dyDescent="0.3">
      <c r="B55" s="5" t="s">
        <v>36</v>
      </c>
      <c r="C55" s="6"/>
      <c r="D55" s="7" t="s">
        <v>37</v>
      </c>
      <c r="E55" s="6"/>
      <c r="F55" s="8" t="s">
        <v>38</v>
      </c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21" s="1" customFormat="1" ht="15" x14ac:dyDescent="0.3">
      <c r="A56" s="2"/>
      <c r="B56" s="9" t="s">
        <v>39</v>
      </c>
      <c r="C56" s="10"/>
      <c r="D56" s="11"/>
      <c r="E56" s="10"/>
      <c r="F56" s="12"/>
      <c r="G56" s="2"/>
      <c r="H56" s="2"/>
      <c r="I56" s="2"/>
      <c r="J56" s="2"/>
      <c r="K56" s="2"/>
      <c r="L56" s="2"/>
      <c r="M56" s="2"/>
      <c r="N56" s="13"/>
      <c r="O56" s="13"/>
      <c r="P56" s="13"/>
      <c r="Q56" s="13"/>
    </row>
    <row r="57" spans="1:21" s="1" customFormat="1" ht="15" x14ac:dyDescent="0.3">
      <c r="A57" s="2"/>
      <c r="B57" s="14" t="s">
        <v>40</v>
      </c>
      <c r="C57" s="10"/>
      <c r="D57" s="11" t="s">
        <v>41</v>
      </c>
      <c r="E57" s="10"/>
      <c r="F57" s="15">
        <v>5</v>
      </c>
      <c r="G57" s="2"/>
      <c r="H57" s="2"/>
      <c r="I57" s="2"/>
      <c r="J57" s="2"/>
      <c r="K57" s="2"/>
      <c r="L57" s="2"/>
      <c r="M57" s="2"/>
      <c r="N57" s="13"/>
      <c r="O57" s="13"/>
      <c r="P57" s="13"/>
      <c r="Q57" s="13"/>
    </row>
    <row r="58" spans="1:21" s="2" customFormat="1" ht="15" x14ac:dyDescent="0.3">
      <c r="B58" s="14" t="s">
        <v>42</v>
      </c>
      <c r="C58" s="10"/>
      <c r="D58" s="11" t="s">
        <v>41</v>
      </c>
      <c r="E58" s="10"/>
      <c r="F58" s="15">
        <v>5</v>
      </c>
      <c r="N58" s="13"/>
      <c r="O58" s="13"/>
      <c r="P58" s="13"/>
      <c r="Q58" s="13"/>
      <c r="R58" s="1"/>
      <c r="S58" s="1"/>
      <c r="T58" s="1"/>
      <c r="U58" s="1"/>
    </row>
    <row r="59" spans="1:21" s="2" customFormat="1" ht="15" x14ac:dyDescent="0.3">
      <c r="B59" s="9" t="s">
        <v>43</v>
      </c>
      <c r="C59" s="10"/>
      <c r="D59" s="11"/>
      <c r="E59" s="10"/>
      <c r="F59" s="15"/>
      <c r="N59" s="13"/>
      <c r="O59" s="13"/>
      <c r="P59" s="13"/>
      <c r="Q59" s="13"/>
      <c r="R59" s="1"/>
      <c r="S59" s="1"/>
      <c r="T59" s="1"/>
      <c r="U59" s="1"/>
    </row>
    <row r="60" spans="1:21" s="2" customFormat="1" ht="15" x14ac:dyDescent="0.3">
      <c r="B60" s="14" t="s">
        <v>44</v>
      </c>
      <c r="C60" s="10"/>
      <c r="D60" s="11" t="s">
        <v>45</v>
      </c>
      <c r="E60" s="10"/>
      <c r="F60" s="15">
        <v>5</v>
      </c>
      <c r="N60" s="13"/>
      <c r="O60" s="13"/>
      <c r="P60" s="13"/>
      <c r="Q60" s="13"/>
      <c r="R60" s="1"/>
      <c r="S60" s="1"/>
      <c r="T60" s="1"/>
      <c r="U60" s="1"/>
    </row>
    <row r="61" spans="1:21" s="2" customFormat="1" ht="15" x14ac:dyDescent="0.3">
      <c r="B61" s="14" t="s">
        <v>46</v>
      </c>
      <c r="C61" s="10"/>
      <c r="D61" s="11" t="s">
        <v>41</v>
      </c>
      <c r="E61" s="10"/>
      <c r="F61" s="15">
        <v>5</v>
      </c>
      <c r="N61" s="13"/>
      <c r="O61" s="13"/>
      <c r="P61" s="13"/>
      <c r="Q61" s="13"/>
      <c r="R61" s="1"/>
      <c r="S61" s="1"/>
      <c r="T61" s="1"/>
      <c r="U61" s="1"/>
    </row>
    <row r="62" spans="1:21" s="2" customFormat="1" ht="15" x14ac:dyDescent="0.3">
      <c r="B62" s="14" t="s">
        <v>47</v>
      </c>
      <c r="C62" s="10"/>
      <c r="D62" s="11" t="s">
        <v>41</v>
      </c>
      <c r="E62" s="10"/>
      <c r="F62" s="15">
        <v>5</v>
      </c>
      <c r="N62" s="13"/>
      <c r="O62" s="13"/>
      <c r="P62" s="13"/>
      <c r="Q62" s="13"/>
      <c r="R62" s="1"/>
      <c r="S62" s="1"/>
      <c r="T62" s="1"/>
      <c r="U62" s="1"/>
    </row>
    <row r="63" spans="1:21" s="2" customFormat="1" ht="15" x14ac:dyDescent="0.3">
      <c r="B63" s="9" t="s">
        <v>48</v>
      </c>
      <c r="C63" s="10"/>
      <c r="D63" s="11" t="s">
        <v>45</v>
      </c>
      <c r="E63" s="10"/>
      <c r="F63" s="15">
        <v>5</v>
      </c>
      <c r="N63" s="13"/>
      <c r="O63" s="13"/>
      <c r="P63" s="13"/>
      <c r="Q63" s="13"/>
      <c r="R63" s="1"/>
      <c r="S63" s="1"/>
      <c r="T63" s="1"/>
      <c r="U63" s="1"/>
    </row>
    <row r="64" spans="1:21" s="2" customForma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s="2" customForma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</sheetData>
  <conditionalFormatting sqref="G7:G2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4AA00"/>
  </sheetPr>
  <dimension ref="A1:U65"/>
  <sheetViews>
    <sheetView showGridLines="0" zoomScale="64" zoomScaleNormal="64" workbookViewId="0">
      <selection activeCell="C7" sqref="C7"/>
    </sheetView>
  </sheetViews>
  <sheetFormatPr defaultRowHeight="14.25" x14ac:dyDescent="0.2"/>
  <cols>
    <col min="1" max="1" width="1.375" customWidth="1"/>
    <col min="2" max="2" width="20.75" bestFit="1" customWidth="1"/>
    <col min="3" max="8" width="12" customWidth="1"/>
    <col min="9" max="9" width="2.5" customWidth="1"/>
    <col min="10" max="12" width="12" customWidth="1"/>
    <col min="13" max="13" width="2.5" customWidth="1"/>
    <col min="14" max="17" width="12" customWidth="1"/>
    <col min="18" max="18" width="2.5" customWidth="1"/>
    <col min="19" max="19" width="12" customWidth="1"/>
    <col min="20" max="20" width="2.5" customWidth="1"/>
    <col min="21" max="21" width="12" customWidth="1"/>
  </cols>
  <sheetData>
    <row r="1" spans="1:21" ht="20.25" x14ac:dyDescent="0.2">
      <c r="B1" s="25" t="s">
        <v>99</v>
      </c>
      <c r="C1" s="25"/>
      <c r="D1" s="25"/>
      <c r="E1" s="25"/>
      <c r="F1" s="25"/>
      <c r="G1" s="25"/>
      <c r="H1" s="25"/>
      <c r="I1" s="25"/>
      <c r="J1" s="25"/>
      <c r="K1" s="25"/>
      <c r="L1" s="26"/>
      <c r="M1" s="27"/>
      <c r="N1" s="28"/>
    </row>
    <row r="2" spans="1:21" ht="20.25" x14ac:dyDescent="0.2">
      <c r="A2" s="36"/>
      <c r="B2" t="s">
        <v>102</v>
      </c>
      <c r="C2" s="37"/>
      <c r="D2" s="37"/>
      <c r="E2" s="37"/>
      <c r="F2" s="37"/>
      <c r="G2" s="37"/>
      <c r="H2" s="37"/>
      <c r="I2" s="37"/>
      <c r="J2" s="37"/>
      <c r="K2" s="37"/>
      <c r="L2" s="38"/>
      <c r="M2" s="39"/>
      <c r="N2" s="40"/>
      <c r="O2" s="36"/>
      <c r="P2" s="36"/>
      <c r="Q2" s="36"/>
      <c r="R2" s="36"/>
      <c r="S2" s="36"/>
      <c r="T2" s="36"/>
      <c r="U2" s="36"/>
    </row>
    <row r="3" spans="1:21" s="36" customFormat="1" ht="15" customHeight="1" x14ac:dyDescent="0.2"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  <c r="M3" s="39"/>
      <c r="N3" s="40"/>
    </row>
    <row r="4" spans="1:21" s="30" customFormat="1" ht="12.75" x14ac:dyDescent="0.2">
      <c r="A4" s="1"/>
      <c r="B4" s="30" t="s">
        <v>0</v>
      </c>
    </row>
    <row r="5" spans="1:21" ht="15" thickBot="1" x14ac:dyDescent="0.25">
      <c r="B5" s="46"/>
    </row>
    <row r="6" spans="1:21" ht="51" x14ac:dyDescent="0.2">
      <c r="B6" s="109"/>
      <c r="C6" s="110" t="s">
        <v>119</v>
      </c>
      <c r="D6" s="110" t="s">
        <v>49</v>
      </c>
      <c r="E6" s="111" t="s">
        <v>59</v>
      </c>
      <c r="G6" s="115" t="s">
        <v>50</v>
      </c>
      <c r="J6" s="29"/>
    </row>
    <row r="7" spans="1:21" x14ac:dyDescent="0.2">
      <c r="B7" s="48" t="s">
        <v>18</v>
      </c>
      <c r="C7" s="85">
        <f>'Actuals and unmodelled'!C6</f>
        <v>299.50447674109319</v>
      </c>
      <c r="D7" s="61">
        <f t="shared" ref="D7:D24" si="0">U31 * $U$50 + E31 * $E$50 + H31*$H$50</f>
        <v>287.49368312427617</v>
      </c>
      <c r="E7" s="62">
        <f t="shared" ref="E7:E24" si="1">D7-C7</f>
        <v>-12.010793616817011</v>
      </c>
      <c r="G7" s="88">
        <f t="shared" ref="G7:G24" si="2">C7/D7</f>
        <v>1.0417775913762426</v>
      </c>
    </row>
    <row r="8" spans="1:21" x14ac:dyDescent="0.2">
      <c r="B8" s="48" t="s">
        <v>19</v>
      </c>
      <c r="C8" s="85">
        <f>'Actuals and unmodelled'!C7</f>
        <v>256.45900400700691</v>
      </c>
      <c r="D8" s="61">
        <f t="shared" si="0"/>
        <v>223.32857518202201</v>
      </c>
      <c r="E8" s="62">
        <f t="shared" si="1"/>
        <v>-33.130428824984904</v>
      </c>
      <c r="G8" s="88">
        <f t="shared" si="2"/>
        <v>1.1483483642788759</v>
      </c>
    </row>
    <row r="9" spans="1:21" x14ac:dyDescent="0.2">
      <c r="B9" s="48" t="s">
        <v>20</v>
      </c>
      <c r="C9" s="85">
        <f>'Actuals and unmodelled'!C8</f>
        <v>248.78087730407066</v>
      </c>
      <c r="D9" s="61">
        <f t="shared" si="0"/>
        <v>257.27628745524692</v>
      </c>
      <c r="E9" s="62">
        <f t="shared" si="1"/>
        <v>8.4954101511762588</v>
      </c>
      <c r="G9" s="88">
        <f t="shared" si="2"/>
        <v>0.96697942808796933</v>
      </c>
    </row>
    <row r="10" spans="1:21" x14ac:dyDescent="0.2">
      <c r="B10" s="48" t="s">
        <v>21</v>
      </c>
      <c r="C10" s="85">
        <f>'Actuals and unmodelled'!C9</f>
        <v>460.31409692571941</v>
      </c>
      <c r="D10" s="61">
        <f t="shared" si="0"/>
        <v>461.01044919834339</v>
      </c>
      <c r="E10" s="62">
        <f t="shared" si="1"/>
        <v>0.69635227262398303</v>
      </c>
      <c r="G10" s="88">
        <f t="shared" si="2"/>
        <v>0.99848950870021524</v>
      </c>
    </row>
    <row r="11" spans="1:21" x14ac:dyDescent="0.2">
      <c r="B11" s="48" t="s">
        <v>22</v>
      </c>
      <c r="C11" s="85">
        <f>'Actuals and unmodelled'!C10</f>
        <v>122.92562284369383</v>
      </c>
      <c r="D11" s="61">
        <f t="shared" si="0"/>
        <v>138.76321777083848</v>
      </c>
      <c r="E11" s="62">
        <f t="shared" si="1"/>
        <v>15.83759492714465</v>
      </c>
      <c r="G11" s="88">
        <f t="shared" si="2"/>
        <v>0.88586604446360018</v>
      </c>
    </row>
    <row r="12" spans="1:21" x14ac:dyDescent="0.2">
      <c r="B12" s="48" t="s">
        <v>23</v>
      </c>
      <c r="C12" s="85">
        <f>'Actuals and unmodelled'!C11</f>
        <v>150.27023224455382</v>
      </c>
      <c r="D12" s="61">
        <f t="shared" si="0"/>
        <v>140.83122985020901</v>
      </c>
      <c r="E12" s="62">
        <f t="shared" si="1"/>
        <v>-9.4390023943448114</v>
      </c>
      <c r="G12" s="88">
        <f t="shared" si="2"/>
        <v>1.0670235032697246</v>
      </c>
    </row>
    <row r="13" spans="1:21" x14ac:dyDescent="0.2">
      <c r="B13" s="48" t="s">
        <v>24</v>
      </c>
      <c r="C13" s="85">
        <f>'Actuals and unmodelled'!C12</f>
        <v>642.07282396680955</v>
      </c>
      <c r="D13" s="61">
        <f t="shared" si="0"/>
        <v>640.29072916990981</v>
      </c>
      <c r="E13" s="62">
        <f t="shared" si="1"/>
        <v>-1.7820947968997416</v>
      </c>
      <c r="G13" s="88">
        <f t="shared" si="2"/>
        <v>1.0027832587849743</v>
      </c>
    </row>
    <row r="14" spans="1:21" x14ac:dyDescent="0.2">
      <c r="B14" s="48" t="s">
        <v>25</v>
      </c>
      <c r="C14" s="85">
        <f>'Actuals and unmodelled'!C13</f>
        <v>428.51939516860182</v>
      </c>
      <c r="D14" s="61">
        <f t="shared" si="0"/>
        <v>398.87987593931314</v>
      </c>
      <c r="E14" s="62">
        <f t="shared" si="1"/>
        <v>-29.63951922928868</v>
      </c>
      <c r="G14" s="88">
        <f t="shared" si="2"/>
        <v>1.0743068803847053</v>
      </c>
    </row>
    <row r="15" spans="1:21" x14ac:dyDescent="0.2">
      <c r="B15" s="48" t="s">
        <v>26</v>
      </c>
      <c r="C15" s="85">
        <f>'Actuals and unmodelled'!C14</f>
        <v>103.19810338694435</v>
      </c>
      <c r="D15" s="61">
        <f t="shared" si="0"/>
        <v>97.068690407375044</v>
      </c>
      <c r="E15" s="62">
        <f t="shared" si="1"/>
        <v>-6.1294129795693095</v>
      </c>
      <c r="G15" s="88">
        <f t="shared" si="2"/>
        <v>1.0631451084159638</v>
      </c>
    </row>
    <row r="16" spans="1:21" x14ac:dyDescent="0.2">
      <c r="B16" s="48" t="s">
        <v>27</v>
      </c>
      <c r="C16" s="85">
        <f>'Actuals and unmodelled'!C15</f>
        <v>269.59350092579319</v>
      </c>
      <c r="D16" s="61">
        <f t="shared" si="0"/>
        <v>270.45819384819936</v>
      </c>
      <c r="E16" s="62">
        <f t="shared" si="1"/>
        <v>0.86469292240616369</v>
      </c>
      <c r="G16" s="88">
        <f t="shared" si="2"/>
        <v>0.99680285921419898</v>
      </c>
    </row>
    <row r="17" spans="1:21" x14ac:dyDescent="0.2">
      <c r="B17" s="48" t="s">
        <v>28</v>
      </c>
      <c r="C17" s="85">
        <f>'Actuals and unmodelled'!C16</f>
        <v>188.3814893434668</v>
      </c>
      <c r="D17" s="61">
        <f t="shared" si="0"/>
        <v>185.95625249709212</v>
      </c>
      <c r="E17" s="62">
        <f t="shared" si="1"/>
        <v>-2.4252368463746734</v>
      </c>
      <c r="G17" s="88">
        <f t="shared" si="2"/>
        <v>1.0130419752700308</v>
      </c>
    </row>
    <row r="18" spans="1:21" x14ac:dyDescent="0.2">
      <c r="B18" s="48" t="s">
        <v>29</v>
      </c>
      <c r="C18" s="85">
        <f>'Actuals and unmodelled'!C17</f>
        <v>83.509154781814743</v>
      </c>
      <c r="D18" s="61">
        <f t="shared" si="0"/>
        <v>65.294118060674151</v>
      </c>
      <c r="E18" s="62">
        <f t="shared" si="1"/>
        <v>-18.215036721140592</v>
      </c>
      <c r="G18" s="88">
        <f t="shared" si="2"/>
        <v>1.2789690290971445</v>
      </c>
    </row>
    <row r="19" spans="1:21" x14ac:dyDescent="0.2">
      <c r="B19" s="48" t="s">
        <v>30</v>
      </c>
      <c r="C19" s="85">
        <f>'Actuals and unmodelled'!C18</f>
        <v>15.386596043227918</v>
      </c>
      <c r="D19" s="61">
        <f t="shared" si="0"/>
        <v>14.962832314250232</v>
      </c>
      <c r="E19" s="62">
        <f t="shared" si="1"/>
        <v>-0.42376372897768633</v>
      </c>
      <c r="G19" s="88">
        <f t="shared" si="2"/>
        <v>1.0283210905581095</v>
      </c>
    </row>
    <row r="20" spans="1:21" x14ac:dyDescent="0.2">
      <c r="B20" s="48" t="s">
        <v>31</v>
      </c>
      <c r="C20" s="85">
        <f>'Actuals and unmodelled'!C19</f>
        <v>25.275437630520553</v>
      </c>
      <c r="D20" s="61">
        <f t="shared" si="0"/>
        <v>26.031482950118232</v>
      </c>
      <c r="E20" s="62">
        <f t="shared" si="1"/>
        <v>0.7560453195976784</v>
      </c>
      <c r="G20" s="88">
        <f t="shared" si="2"/>
        <v>0.97095650213065388</v>
      </c>
    </row>
    <row r="21" spans="1:21" x14ac:dyDescent="0.2">
      <c r="B21" s="48" t="s">
        <v>32</v>
      </c>
      <c r="C21" s="85">
        <f>'Actuals and unmodelled'!C20</f>
        <v>23.087649891918904</v>
      </c>
      <c r="D21" s="61">
        <f t="shared" si="0"/>
        <v>25.713860686710628</v>
      </c>
      <c r="E21" s="62">
        <f t="shared" si="1"/>
        <v>2.6262107947917244</v>
      </c>
      <c r="G21" s="88">
        <f t="shared" si="2"/>
        <v>0.89786789207623752</v>
      </c>
    </row>
    <row r="22" spans="1:21" x14ac:dyDescent="0.2">
      <c r="B22" s="48" t="s">
        <v>33</v>
      </c>
      <c r="C22" s="85">
        <f>'Actuals and unmodelled'!C21</f>
        <v>128.56502518005942</v>
      </c>
      <c r="D22" s="61">
        <f t="shared" si="0"/>
        <v>132.57871010888437</v>
      </c>
      <c r="E22" s="62">
        <f t="shared" si="1"/>
        <v>4.0136849288249437</v>
      </c>
      <c r="G22" s="88">
        <f t="shared" si="2"/>
        <v>0.96972602218313497</v>
      </c>
    </row>
    <row r="23" spans="1:21" x14ac:dyDescent="0.2">
      <c r="B23" s="48" t="s">
        <v>34</v>
      </c>
      <c r="C23" s="85">
        <f>'Actuals and unmodelled'!C22</f>
        <v>73.981398480475391</v>
      </c>
      <c r="D23" s="61">
        <f t="shared" si="0"/>
        <v>74.947797396329705</v>
      </c>
      <c r="E23" s="62">
        <f t="shared" si="1"/>
        <v>0.96639891585431315</v>
      </c>
      <c r="G23" s="88">
        <f t="shared" si="2"/>
        <v>0.98710570624585636</v>
      </c>
    </row>
    <row r="24" spans="1:21" ht="15" thickBot="1" x14ac:dyDescent="0.25">
      <c r="B24" s="112" t="s">
        <v>35</v>
      </c>
      <c r="C24" s="113">
        <f>'Actuals and unmodelled'!C23</f>
        <v>42.474457888840497</v>
      </c>
      <c r="D24" s="114">
        <f t="shared" si="0"/>
        <v>38.867615136757387</v>
      </c>
      <c r="E24" s="63">
        <f t="shared" si="1"/>
        <v>-3.6068427520831108</v>
      </c>
      <c r="G24" s="116">
        <f t="shared" si="2"/>
        <v>1.0927981492919563</v>
      </c>
    </row>
    <row r="25" spans="1:21" ht="15" thickBot="1" x14ac:dyDescent="0.25">
      <c r="B25" s="64" t="s">
        <v>63</v>
      </c>
      <c r="C25" s="65">
        <f>SUM(C7:C24)</f>
        <v>3562.2993427546112</v>
      </c>
      <c r="D25" s="66">
        <f>SUM(D7:D24)</f>
        <v>3479.7536010965496</v>
      </c>
      <c r="E25" s="67">
        <f>SUM(E7:E24)</f>
        <v>-82.54574165806082</v>
      </c>
      <c r="G25" s="89"/>
    </row>
    <row r="26" spans="1:21" x14ac:dyDescent="0.2">
      <c r="G26" s="17"/>
      <c r="H26" s="17"/>
      <c r="I26" s="17"/>
      <c r="J26" s="17"/>
      <c r="L26" s="17"/>
    </row>
    <row r="27" spans="1:21" s="30" customFormat="1" ht="12.75" x14ac:dyDescent="0.2">
      <c r="A27" s="1"/>
      <c r="B27" s="30" t="s">
        <v>0</v>
      </c>
    </row>
    <row r="28" spans="1:21" s="1" customFormat="1" ht="13.5" thickBot="1" x14ac:dyDescent="0.2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21" s="1" customFormat="1" ht="13.5" x14ac:dyDescent="0.2">
      <c r="B29" s="117"/>
      <c r="C29" s="118" t="s">
        <v>80</v>
      </c>
      <c r="D29" s="118"/>
      <c r="E29" s="118"/>
      <c r="F29" s="118"/>
      <c r="G29" s="118"/>
      <c r="H29" s="119"/>
      <c r="I29" s="2"/>
      <c r="J29" s="125" t="s">
        <v>1</v>
      </c>
      <c r="K29" s="118"/>
      <c r="L29" s="119"/>
      <c r="N29" s="125" t="s">
        <v>2</v>
      </c>
      <c r="O29" s="118"/>
      <c r="P29" s="118"/>
      <c r="Q29" s="126"/>
      <c r="S29" s="115" t="s">
        <v>3</v>
      </c>
      <c r="U29" s="115" t="s">
        <v>4</v>
      </c>
    </row>
    <row r="30" spans="1:21" s="1" customFormat="1" ht="38.25" x14ac:dyDescent="0.2">
      <c r="B30" s="120"/>
      <c r="C30" s="121" t="s">
        <v>5</v>
      </c>
      <c r="D30" s="121" t="s">
        <v>6</v>
      </c>
      <c r="E30" s="121" t="s">
        <v>7</v>
      </c>
      <c r="F30" s="121" t="s">
        <v>8</v>
      </c>
      <c r="G30" s="121" t="s">
        <v>9</v>
      </c>
      <c r="H30" s="122" t="s">
        <v>10</v>
      </c>
      <c r="J30" s="120" t="s">
        <v>11</v>
      </c>
      <c r="K30" s="121" t="s">
        <v>12</v>
      </c>
      <c r="L30" s="122" t="s">
        <v>13</v>
      </c>
      <c r="N30" s="120" t="s">
        <v>14</v>
      </c>
      <c r="O30" s="121" t="s">
        <v>15</v>
      </c>
      <c r="P30" s="121" t="s">
        <v>16</v>
      </c>
      <c r="Q30" s="122" t="s">
        <v>17</v>
      </c>
      <c r="S30" s="127"/>
      <c r="U30" s="127"/>
    </row>
    <row r="31" spans="1:21" s="1" customFormat="1" x14ac:dyDescent="0.2">
      <c r="A31" s="16"/>
      <c r="B31" s="48" t="s">
        <v>18</v>
      </c>
      <c r="C31" s="47" t="s">
        <v>79</v>
      </c>
      <c r="D31" s="47">
        <f>'Econometric models'!E8 / 5</f>
        <v>278.45159999999998</v>
      </c>
      <c r="E31" s="123">
        <f>D31</f>
        <v>278.45159999999998</v>
      </c>
      <c r="F31" s="47">
        <f>'Econometric models'!E50 / 5</f>
        <v>301.10680000000002</v>
      </c>
      <c r="G31" s="47">
        <f>'Econometric models'!E29 / 5</f>
        <v>302.04499999999996</v>
      </c>
      <c r="H31" s="33">
        <f t="shared" ref="H31:H48" si="3">F$49 * F31 + G$49 * G31</f>
        <v>301.57589999999999</v>
      </c>
      <c r="I31" s="3"/>
      <c r="J31" s="35">
        <f>'Econometric models'!E92 / 5</f>
        <v>215.84720000000002</v>
      </c>
      <c r="K31" s="47">
        <f>'Econometric models'!E71 / 5</f>
        <v>214.74619999999999</v>
      </c>
      <c r="L31" s="33">
        <f t="shared" ref="L31:L48" si="4">J$49 * J31 + K$49 * K31</f>
        <v>215.29669999999999</v>
      </c>
      <c r="M31" s="4"/>
      <c r="N31" s="35">
        <f>INDEX('UC models'!$E$30:$E$47,MATCH($B31,'UC models'!$B$8:$B$25,0)) / 5</f>
        <v>29.878146681811707</v>
      </c>
      <c r="O31" s="47">
        <f>INDEX('UC models'!$E$52:$E$69,MATCH($B31,'UC models'!$B$8:$B$25,0)) / 5</f>
        <v>1.1020661358338262</v>
      </c>
      <c r="P31" s="47">
        <f>INDEX('UC models'!$E$8:$E$25,MATCH($B31,'UC models'!$B$8:$B$25,0)) / 5</f>
        <v>14.389227443266268</v>
      </c>
      <c r="Q31" s="33">
        <f>SUM(N31:P31)</f>
        <v>45.369440260911801</v>
      </c>
      <c r="S31" s="86">
        <f>'Actuals and unmodelled'!D6</f>
        <v>21.7874091119177</v>
      </c>
      <c r="U31" s="59">
        <f t="shared" ref="U31:U48" si="5">L31+Q31+S31</f>
        <v>282.45354937282951</v>
      </c>
    </row>
    <row r="32" spans="1:21" s="1" customFormat="1" x14ac:dyDescent="0.2">
      <c r="A32" s="16"/>
      <c r="B32" s="48" t="s">
        <v>19</v>
      </c>
      <c r="C32" s="47" t="s">
        <v>79</v>
      </c>
      <c r="D32" s="47">
        <f>'Econometric models'!E9 / 5</f>
        <v>245.67939999999999</v>
      </c>
      <c r="E32" s="123">
        <f t="shared" ref="E32:E48" si="6">D32</f>
        <v>245.67939999999999</v>
      </c>
      <c r="F32" s="47">
        <f>'Econometric models'!E51 / 5</f>
        <v>222.60579999999999</v>
      </c>
      <c r="G32" s="47">
        <f>'Econometric models'!E30 / 5</f>
        <v>237.18200000000002</v>
      </c>
      <c r="H32" s="33">
        <f t="shared" si="3"/>
        <v>229.8939</v>
      </c>
      <c r="I32" s="3"/>
      <c r="J32" s="35">
        <f>'Econometric models'!E93 / 5</f>
        <v>151.00909999999999</v>
      </c>
      <c r="K32" s="47">
        <f>'Econometric models'!E72 / 5</f>
        <v>164.37168</v>
      </c>
      <c r="L32" s="33">
        <f t="shared" si="4"/>
        <v>157.69038999999998</v>
      </c>
      <c r="M32" s="4"/>
      <c r="N32" s="35">
        <f>INDEX('UC models'!$E$30:$E$47,MATCH($B32,'UC models'!$B$8:$B$25,0)) / 5</f>
        <v>8.2455510049481617</v>
      </c>
      <c r="O32" s="47">
        <f>INDEX('UC models'!$E$52:$E$69,MATCH($B32,'UC models'!$B$8:$B$25,0)) / 5</f>
        <v>0</v>
      </c>
      <c r="P32" s="47">
        <f>INDEX('UC models'!$E$8:$E$25,MATCH($B32,'UC models'!$B$8:$B$25,0)) / 5</f>
        <v>5.5139136527984309</v>
      </c>
      <c r="Q32" s="33">
        <f t="shared" ref="Q32:Q48" si="7">SUM(N32:P32)</f>
        <v>13.759464657746593</v>
      </c>
      <c r="S32" s="86">
        <f>'Actuals and unmodelled'!D7</f>
        <v>22.962570888320133</v>
      </c>
      <c r="U32" s="59">
        <f t="shared" si="5"/>
        <v>194.41242554606671</v>
      </c>
    </row>
    <row r="33" spans="1:21" s="1" customFormat="1" x14ac:dyDescent="0.2">
      <c r="A33" s="16"/>
      <c r="B33" s="48" t="s">
        <v>20</v>
      </c>
      <c r="C33" s="47" t="s">
        <v>79</v>
      </c>
      <c r="D33" s="47">
        <f>'Econometric models'!E10 / 5</f>
        <v>261.51439999999997</v>
      </c>
      <c r="E33" s="123">
        <f t="shared" si="6"/>
        <v>261.51439999999997</v>
      </c>
      <c r="F33" s="47">
        <f>'Econometric models'!E52 / 5</f>
        <v>251.56379999999999</v>
      </c>
      <c r="G33" s="47">
        <f>'Econometric models'!E31 / 5</f>
        <v>254.46940000000001</v>
      </c>
      <c r="H33" s="33">
        <f t="shared" si="3"/>
        <v>253.01659999999998</v>
      </c>
      <c r="I33" s="3"/>
      <c r="J33" s="35">
        <f>'Econometric models'!E94 / 5</f>
        <v>194.54320000000001</v>
      </c>
      <c r="K33" s="47">
        <f>'Econometric models'!E73 / 5</f>
        <v>199.05440000000002</v>
      </c>
      <c r="L33" s="33">
        <f t="shared" si="4"/>
        <v>196.79880000000003</v>
      </c>
      <c r="M33" s="4"/>
      <c r="N33" s="35">
        <f>INDEX('UC models'!$E$30:$E$47,MATCH($B33,'UC models'!$B$8:$B$25,0)) / 5</f>
        <v>44.778234515972215</v>
      </c>
      <c r="O33" s="47">
        <f>INDEX('UC models'!$E$52:$E$69,MATCH($B33,'UC models'!$B$8:$B$25,0)) / 5</f>
        <v>1.7863382692613172</v>
      </c>
      <c r="P33" s="47">
        <f>INDEX('UC models'!$E$8:$E$25,MATCH($B33,'UC models'!$B$8:$B$25,0)) / 5</f>
        <v>7.5112808942362745</v>
      </c>
      <c r="Q33" s="33">
        <f t="shared" si="7"/>
        <v>54.075853679469802</v>
      </c>
      <c r="S33" s="86">
        <f>'Actuals and unmodelled'!D8</f>
        <v>6.4232086862719147</v>
      </c>
      <c r="U33" s="59">
        <f t="shared" si="5"/>
        <v>257.29786236574171</v>
      </c>
    </row>
    <row r="34" spans="1:21" s="1" customFormat="1" x14ac:dyDescent="0.2">
      <c r="A34" s="16"/>
      <c r="B34" s="48" t="s">
        <v>21</v>
      </c>
      <c r="C34" s="47" t="s">
        <v>79</v>
      </c>
      <c r="D34" s="47">
        <f>'Econometric models'!E11 / 5</f>
        <v>477.22879999999998</v>
      </c>
      <c r="E34" s="123">
        <f t="shared" si="6"/>
        <v>477.22879999999998</v>
      </c>
      <c r="F34" s="47">
        <f>'Econometric models'!E53 / 5</f>
        <v>454.66480000000001</v>
      </c>
      <c r="G34" s="47">
        <f>'Econometric models'!E32 / 5</f>
        <v>466.46760000000006</v>
      </c>
      <c r="H34" s="33">
        <f t="shared" si="3"/>
        <v>460.56620000000004</v>
      </c>
      <c r="I34" s="3"/>
      <c r="J34" s="35">
        <f>'Econometric models'!E95 / 5</f>
        <v>351.0086</v>
      </c>
      <c r="K34" s="47">
        <f>'Econometric models'!E74 / 5</f>
        <v>375.59039999999999</v>
      </c>
      <c r="L34" s="33">
        <f t="shared" si="4"/>
        <v>363.29949999999997</v>
      </c>
      <c r="M34" s="4"/>
      <c r="N34" s="35">
        <f>INDEX('UC models'!$E$30:$E$47,MATCH($B34,'UC models'!$B$8:$B$25,0)) / 5</f>
        <v>24.301195393070309</v>
      </c>
      <c r="O34" s="47">
        <f>INDEX('UC models'!$E$52:$E$69,MATCH($B34,'UC models'!$B$8:$B$25,0)) / 5</f>
        <v>0.36493965730589373</v>
      </c>
      <c r="P34" s="47">
        <f>INDEX('UC models'!$E$8:$E$25,MATCH($B34,'UC models'!$B$8:$B$25,0)) / 5</f>
        <v>16.744810397266821</v>
      </c>
      <c r="Q34" s="33">
        <f t="shared" si="7"/>
        <v>41.410945447643023</v>
      </c>
      <c r="S34" s="86">
        <f>'Actuals and unmodelled'!D9</f>
        <v>40.525902147388514</v>
      </c>
      <c r="U34" s="59">
        <f t="shared" si="5"/>
        <v>445.23634759503153</v>
      </c>
    </row>
    <row r="35" spans="1:21" s="1" customFormat="1" x14ac:dyDescent="0.2">
      <c r="A35" s="16"/>
      <c r="B35" s="48" t="s">
        <v>22</v>
      </c>
      <c r="C35" s="47" t="s">
        <v>79</v>
      </c>
      <c r="D35" s="47">
        <f>'Econometric models'!E12 / 5</f>
        <v>151.80127999999999</v>
      </c>
      <c r="E35" s="123">
        <f t="shared" si="6"/>
        <v>151.80127999999999</v>
      </c>
      <c r="F35" s="47">
        <f>'Econometric models'!E54 / 5</f>
        <v>143.94472000000002</v>
      </c>
      <c r="G35" s="47">
        <f>'Econometric models'!E33 / 5</f>
        <v>150.40389999999999</v>
      </c>
      <c r="H35" s="33">
        <f t="shared" si="3"/>
        <v>147.17430999999999</v>
      </c>
      <c r="I35" s="3"/>
      <c r="J35" s="35">
        <f>'Econometric models'!E96 / 5</f>
        <v>96.60596000000001</v>
      </c>
      <c r="K35" s="47">
        <f>'Econometric models'!E75 / 5</f>
        <v>99.021919999999994</v>
      </c>
      <c r="L35" s="33">
        <f t="shared" si="4"/>
        <v>97.813940000000002</v>
      </c>
      <c r="M35" s="4"/>
      <c r="N35" s="35">
        <f>INDEX('UC models'!$E$30:$E$47,MATCH($B35,'UC models'!$B$8:$B$25,0)) / 5</f>
        <v>4.9907261930670304</v>
      </c>
      <c r="O35" s="47">
        <f>INDEX('UC models'!$E$52:$E$69,MATCH($B35,'UC models'!$B$8:$B$25,0)) / 5</f>
        <v>9.5769797902781929E-3</v>
      </c>
      <c r="P35" s="47">
        <f>INDEX('UC models'!$E$8:$E$25,MATCH($B35,'UC models'!$B$8:$B$25,0)) / 5</f>
        <v>4.965797233208332</v>
      </c>
      <c r="Q35" s="33">
        <f t="shared" si="7"/>
        <v>9.9661004060656406</v>
      </c>
      <c r="S35" s="86">
        <f>'Actuals and unmodelled'!D10</f>
        <v>9.5340229064502342</v>
      </c>
      <c r="U35" s="59">
        <f t="shared" si="5"/>
        <v>117.31406331251587</v>
      </c>
    </row>
    <row r="36" spans="1:21" s="1" customFormat="1" x14ac:dyDescent="0.2">
      <c r="A36" s="16"/>
      <c r="B36" s="48" t="s">
        <v>23</v>
      </c>
      <c r="C36" s="47" t="s">
        <v>79</v>
      </c>
      <c r="D36" s="47">
        <f>'Econometric models'!E13 / 5</f>
        <v>129.25039999999998</v>
      </c>
      <c r="E36" s="123">
        <f t="shared" si="6"/>
        <v>129.25039999999998</v>
      </c>
      <c r="F36" s="47">
        <f>'Econometric models'!E55 / 5</f>
        <v>135.17264</v>
      </c>
      <c r="G36" s="47">
        <f>'Econometric models'!E34 / 5</f>
        <v>130.85314</v>
      </c>
      <c r="H36" s="33">
        <f t="shared" si="3"/>
        <v>133.01289</v>
      </c>
      <c r="I36" s="3"/>
      <c r="J36" s="35">
        <f>'Econometric models'!E97 / 5</f>
        <v>104.91042</v>
      </c>
      <c r="K36" s="47">
        <f>'Econometric models'!E76 / 5</f>
        <v>97.678420000000003</v>
      </c>
      <c r="L36" s="33">
        <f t="shared" si="4"/>
        <v>101.29442</v>
      </c>
      <c r="M36" s="4"/>
      <c r="N36" s="35">
        <f>INDEX('UC models'!$E$30:$E$47,MATCH($B36,'UC models'!$B$8:$B$25,0)) / 5</f>
        <v>45.135956519810904</v>
      </c>
      <c r="O36" s="47">
        <f>INDEX('UC models'!$E$52:$E$69,MATCH($B36,'UC models'!$B$8:$B$25,0)) / 5</f>
        <v>3.1195442245248519E-4</v>
      </c>
      <c r="P36" s="47">
        <f>INDEX('UC models'!$E$8:$E$25,MATCH($B36,'UC models'!$B$8:$B$25,0)) / 5</f>
        <v>5.4835360849168193</v>
      </c>
      <c r="Q36" s="33">
        <f t="shared" si="7"/>
        <v>50.619804559150175</v>
      </c>
      <c r="S36" s="86">
        <f>'Actuals and unmodelled'!D11</f>
        <v>8.316174991477272</v>
      </c>
      <c r="U36" s="59">
        <f t="shared" si="5"/>
        <v>160.23039955062745</v>
      </c>
    </row>
    <row r="37" spans="1:21" s="1" customFormat="1" x14ac:dyDescent="0.2">
      <c r="A37" s="16"/>
      <c r="B37" s="48" t="s">
        <v>24</v>
      </c>
      <c r="C37" s="47" t="s">
        <v>79</v>
      </c>
      <c r="D37" s="47">
        <f>'Econometric models'!E14 / 5</f>
        <v>726.38019999999995</v>
      </c>
      <c r="E37" s="123">
        <f t="shared" si="6"/>
        <v>726.38019999999995</v>
      </c>
      <c r="F37" s="47">
        <f>'Econometric models'!E56 / 5</f>
        <v>674.31560000000002</v>
      </c>
      <c r="G37" s="47">
        <f>'Econometric models'!E35 / 5</f>
        <v>708.68239999999992</v>
      </c>
      <c r="H37" s="33">
        <f t="shared" si="3"/>
        <v>691.49900000000002</v>
      </c>
      <c r="I37" s="3"/>
      <c r="J37" s="35">
        <f>'Econometric models'!E98 / 5</f>
        <v>413.21879999999999</v>
      </c>
      <c r="K37" s="47">
        <f>'Econometric models'!E77 / 5</f>
        <v>425.04059999999998</v>
      </c>
      <c r="L37" s="33">
        <f t="shared" si="4"/>
        <v>419.12969999999996</v>
      </c>
      <c r="M37" s="4"/>
      <c r="N37" s="35">
        <f>INDEX('UC models'!$E$30:$E$47,MATCH($B37,'UC models'!$B$8:$B$25,0)) / 5</f>
        <v>32.22669683349789</v>
      </c>
      <c r="O37" s="47">
        <f>INDEX('UC models'!$E$52:$E$69,MATCH($B37,'UC models'!$B$8:$B$25,0)) / 5</f>
        <v>4.2643737807096329</v>
      </c>
      <c r="P37" s="47">
        <f>INDEX('UC models'!$E$8:$E$25,MATCH($B37,'UC models'!$B$8:$B$25,0)) / 5</f>
        <v>22.546294376743312</v>
      </c>
      <c r="Q37" s="33">
        <f t="shared" si="7"/>
        <v>59.037364990950834</v>
      </c>
      <c r="S37" s="86">
        <f>'Actuals and unmodelled'!D12</f>
        <v>24.825922518780473</v>
      </c>
      <c r="U37" s="59">
        <f t="shared" si="5"/>
        <v>502.99298750973128</v>
      </c>
    </row>
    <row r="38" spans="1:21" s="1" customFormat="1" x14ac:dyDescent="0.2">
      <c r="A38" s="16"/>
      <c r="B38" s="48" t="s">
        <v>25</v>
      </c>
      <c r="C38" s="47" t="s">
        <v>79</v>
      </c>
      <c r="D38" s="47">
        <f>'Econometric models'!E15 / 5</f>
        <v>407.30100000000004</v>
      </c>
      <c r="E38" s="123">
        <f t="shared" si="6"/>
        <v>407.30100000000004</v>
      </c>
      <c r="F38" s="47">
        <f>'Econometric models'!E57 / 5</f>
        <v>403.45580000000001</v>
      </c>
      <c r="G38" s="47">
        <f>'Econometric models'!E36 / 5</f>
        <v>400.15680000000003</v>
      </c>
      <c r="H38" s="33">
        <f t="shared" si="3"/>
        <v>401.80630000000002</v>
      </c>
      <c r="I38" s="3"/>
      <c r="J38" s="35">
        <f>'Econometric models'!E99 / 5</f>
        <v>306.1114</v>
      </c>
      <c r="K38" s="47">
        <f>'Econometric models'!E78 / 5</f>
        <v>302.18899999999996</v>
      </c>
      <c r="L38" s="33">
        <f t="shared" si="4"/>
        <v>304.15019999999998</v>
      </c>
      <c r="M38" s="4"/>
      <c r="N38" s="35">
        <f>INDEX('UC models'!$E$30:$E$47,MATCH($B38,'UC models'!$B$8:$B$25,0)) / 5</f>
        <v>5.4757826037225845</v>
      </c>
      <c r="O38" s="47">
        <f>INDEX('UC models'!$E$52:$E$69,MATCH($B38,'UC models'!$B$8:$B$25,0)) / 5</f>
        <v>1.4987128425831162</v>
      </c>
      <c r="P38" s="47">
        <f>INDEX('UC models'!$E$8:$E$25,MATCH($B38,'UC models'!$B$8:$B$25,0)) / 5</f>
        <v>12.182060616126332</v>
      </c>
      <c r="Q38" s="33">
        <f t="shared" si="7"/>
        <v>19.156556062432031</v>
      </c>
      <c r="S38" s="86">
        <f>'Actuals and unmodelled'!D13</f>
        <v>64.225571755508525</v>
      </c>
      <c r="U38" s="59">
        <f t="shared" si="5"/>
        <v>387.53232781794054</v>
      </c>
    </row>
    <row r="39" spans="1:21" s="1" customFormat="1" x14ac:dyDescent="0.2">
      <c r="A39" s="16"/>
      <c r="B39" s="48" t="s">
        <v>26</v>
      </c>
      <c r="C39" s="47" t="s">
        <v>79</v>
      </c>
      <c r="D39" s="47">
        <f>'Econometric models'!E16 / 5</f>
        <v>97.117199999999997</v>
      </c>
      <c r="E39" s="123">
        <f t="shared" si="6"/>
        <v>97.117199999999997</v>
      </c>
      <c r="F39" s="47">
        <f>'Econometric models'!E58 / 5</f>
        <v>99.832619999999991</v>
      </c>
      <c r="G39" s="47">
        <f>'Econometric models'!E37 / 5</f>
        <v>97.441040000000001</v>
      </c>
      <c r="H39" s="33">
        <f t="shared" si="3"/>
        <v>98.636830000000003</v>
      </c>
      <c r="I39" s="3"/>
      <c r="J39" s="35">
        <f>'Econometric models'!E100 / 5</f>
        <v>72.995739999999998</v>
      </c>
      <c r="K39" s="47">
        <f>'Econometric models'!E79 / 5</f>
        <v>74.73124</v>
      </c>
      <c r="L39" s="33">
        <f t="shared" si="4"/>
        <v>73.863489999999999</v>
      </c>
      <c r="M39" s="4"/>
      <c r="N39" s="35">
        <f>INDEX('UC models'!$E$30:$E$47,MATCH($B39,'UC models'!$B$8:$B$25,0)) / 5</f>
        <v>0</v>
      </c>
      <c r="O39" s="47">
        <f>INDEX('UC models'!$E$52:$E$69,MATCH($B39,'UC models'!$B$8:$B$25,0)) / 5</f>
        <v>0.18519772758084629</v>
      </c>
      <c r="P39" s="47">
        <f>INDEX('UC models'!$E$8:$E$25,MATCH($B39,'UC models'!$B$8:$B$25,0)) / 5</f>
        <v>4.5626288892733413</v>
      </c>
      <c r="Q39" s="33">
        <f t="shared" si="7"/>
        <v>4.7478266168541872</v>
      </c>
      <c r="S39" s="86">
        <f>'Actuals and unmodelled'!D14</f>
        <v>16.840724605271284</v>
      </c>
      <c r="U39" s="59">
        <f t="shared" si="5"/>
        <v>95.452041222125473</v>
      </c>
    </row>
    <row r="40" spans="1:21" s="1" customFormat="1" x14ac:dyDescent="0.2">
      <c r="A40" s="16"/>
      <c r="B40" s="48" t="s">
        <v>27</v>
      </c>
      <c r="C40" s="47" t="s">
        <v>79</v>
      </c>
      <c r="D40" s="47">
        <f>'Econometric models'!E17 / 5</f>
        <v>268.84540000000004</v>
      </c>
      <c r="E40" s="123">
        <f t="shared" si="6"/>
        <v>268.84540000000004</v>
      </c>
      <c r="F40" s="47">
        <f>'Econometric models'!E59 / 5</f>
        <v>286.69</v>
      </c>
      <c r="G40" s="47">
        <f>'Econometric models'!E38 / 5</f>
        <v>289.55560000000003</v>
      </c>
      <c r="H40" s="33">
        <f t="shared" si="3"/>
        <v>288.12279999999998</v>
      </c>
      <c r="I40" s="3"/>
      <c r="J40" s="35">
        <f>'Econometric models'!E101 / 5</f>
        <v>219.0718</v>
      </c>
      <c r="K40" s="47">
        <f>'Econometric models'!E80 / 5</f>
        <v>226.2056</v>
      </c>
      <c r="L40" s="33">
        <f t="shared" si="4"/>
        <v>222.6387</v>
      </c>
      <c r="M40" s="4"/>
      <c r="N40" s="35">
        <f>INDEX('UC models'!$E$30:$E$47,MATCH($B40,'UC models'!$B$8:$B$25,0)) / 5</f>
        <v>0</v>
      </c>
      <c r="O40" s="47">
        <f>INDEX('UC models'!$E$52:$E$69,MATCH($B40,'UC models'!$B$8:$B$25,0)) / 5</f>
        <v>5.3137331321738692</v>
      </c>
      <c r="P40" s="47">
        <f>INDEX('UC models'!$E$8:$E$25,MATCH($B40,'UC models'!$B$8:$B$25,0)) / 5</f>
        <v>11.488511408774112</v>
      </c>
      <c r="Q40" s="33">
        <f t="shared" si="7"/>
        <v>16.802244540947981</v>
      </c>
      <c r="S40" s="86">
        <f>'Actuals and unmodelled'!D15</f>
        <v>14.965437003650942</v>
      </c>
      <c r="U40" s="59">
        <f t="shared" si="5"/>
        <v>254.40638154459893</v>
      </c>
    </row>
    <row r="41" spans="1:21" s="1" customFormat="1" x14ac:dyDescent="0.2">
      <c r="A41" s="16"/>
      <c r="B41" s="48" t="s">
        <v>28</v>
      </c>
      <c r="C41" s="47" t="s">
        <v>79</v>
      </c>
      <c r="D41" s="47">
        <f>'Econometric models'!E18 / 5</f>
        <v>177.32498000000001</v>
      </c>
      <c r="E41" s="123">
        <f t="shared" si="6"/>
        <v>177.32498000000001</v>
      </c>
      <c r="F41" s="47">
        <f>'Econometric models'!E60 / 5</f>
        <v>202.25960000000001</v>
      </c>
      <c r="G41" s="47">
        <f>'Econometric models'!E39 / 5</f>
        <v>210.45500000000001</v>
      </c>
      <c r="H41" s="33">
        <f t="shared" si="3"/>
        <v>206.35730000000001</v>
      </c>
      <c r="I41" s="3"/>
      <c r="J41" s="35">
        <f>'Econometric models'!E102 / 5</f>
        <v>155.02285999999998</v>
      </c>
      <c r="K41" s="47">
        <f>'Econometric models'!E81 / 5</f>
        <v>166.79303999999999</v>
      </c>
      <c r="L41" s="33">
        <f t="shared" si="4"/>
        <v>160.90794999999997</v>
      </c>
      <c r="M41" s="4"/>
      <c r="N41" s="35">
        <f>INDEX('UC models'!$E$30:$E$47,MATCH($B41,'UC models'!$B$8:$B$25,0)) / 5</f>
        <v>1.8659445983725411</v>
      </c>
      <c r="O41" s="47">
        <f>INDEX('UC models'!$E$52:$E$69,MATCH($B41,'UC models'!$B$8:$B$25,0)) / 5</f>
        <v>-8.0156647972362341E-3</v>
      </c>
      <c r="P41" s="47">
        <f>INDEX('UC models'!$E$8:$E$25,MATCH($B41,'UC models'!$B$8:$B$25,0)) / 5</f>
        <v>10.44280757423903</v>
      </c>
      <c r="Q41" s="33">
        <f t="shared" si="7"/>
        <v>12.300736507814335</v>
      </c>
      <c r="S41" s="86">
        <f>'Actuals and unmodelled'!D16</f>
        <v>0.97779098346265947</v>
      </c>
      <c r="U41" s="59">
        <f t="shared" si="5"/>
        <v>174.18647749127697</v>
      </c>
    </row>
    <row r="42" spans="1:21" s="1" customFormat="1" x14ac:dyDescent="0.2">
      <c r="A42" s="16"/>
      <c r="B42" s="48" t="s">
        <v>29</v>
      </c>
      <c r="C42" s="47" t="s">
        <v>79</v>
      </c>
      <c r="D42" s="47">
        <f>'Econometric models'!E19 / 5</f>
        <v>68.27834</v>
      </c>
      <c r="E42" s="123">
        <f t="shared" si="6"/>
        <v>68.27834</v>
      </c>
      <c r="F42" s="47">
        <f>'Econometric models'!E61 / 5</f>
        <v>56.136159999999997</v>
      </c>
      <c r="G42" s="47">
        <f>'Econometric models'!E40 / 5</f>
        <v>58.327860000000001</v>
      </c>
      <c r="H42" s="33">
        <f t="shared" si="3"/>
        <v>57.232010000000002</v>
      </c>
      <c r="I42" s="3"/>
      <c r="J42" s="35">
        <f>'Econometric models'!E103 / 5</f>
        <v>48.565960000000004</v>
      </c>
      <c r="K42" s="47">
        <f>'Econometric models'!E82 / 5</f>
        <v>51.057600000000001</v>
      </c>
      <c r="L42" s="33">
        <f t="shared" si="4"/>
        <v>49.811779999999999</v>
      </c>
      <c r="M42" s="4"/>
      <c r="N42" s="35">
        <f>INDEX('UC models'!$E$30:$E$47,MATCH($B42,'UC models'!$B$8:$B$25,0)) / 5</f>
        <v>7.3911892384996083</v>
      </c>
      <c r="O42" s="47">
        <f>INDEX('UC models'!$E$52:$E$69,MATCH($B42,'UC models'!$B$8:$B$25,0)) / 5</f>
        <v>2.9515583710114555E-2</v>
      </c>
      <c r="P42" s="47">
        <f>INDEX('UC models'!$E$8:$E$25,MATCH($B42,'UC models'!$B$8:$B$25,0)) / 5</f>
        <v>2.9826738609825254</v>
      </c>
      <c r="Q42" s="33">
        <f t="shared" si="7"/>
        <v>10.403378683192248</v>
      </c>
      <c r="S42" s="86">
        <f>'Actuals and unmodelled'!D17</f>
        <v>10.15684549883043</v>
      </c>
      <c r="U42" s="59">
        <f t="shared" si="5"/>
        <v>70.372004182022678</v>
      </c>
    </row>
    <row r="43" spans="1:21" s="1" customFormat="1" x14ac:dyDescent="0.2">
      <c r="A43" s="16"/>
      <c r="B43" s="48" t="s">
        <v>30</v>
      </c>
      <c r="C43" s="47" t="s">
        <v>79</v>
      </c>
      <c r="D43" s="47">
        <f>'Econometric models'!E20 / 5</f>
        <v>14.639612</v>
      </c>
      <c r="E43" s="123">
        <f t="shared" si="6"/>
        <v>14.639612</v>
      </c>
      <c r="F43" s="47">
        <f>'Econometric models'!E62 / 5</f>
        <v>15.092400000000001</v>
      </c>
      <c r="G43" s="47">
        <f>'Econometric models'!E41 / 5</f>
        <v>15.693755999999999</v>
      </c>
      <c r="H43" s="33">
        <f t="shared" si="3"/>
        <v>15.393077999999999</v>
      </c>
      <c r="I43" s="3"/>
      <c r="J43" s="35">
        <f>'Econometric models'!E104 / 5</f>
        <v>13.990628000000001</v>
      </c>
      <c r="K43" s="47">
        <f>'Econometric models'!E83 / 5</f>
        <v>14.212008000000001</v>
      </c>
      <c r="L43" s="33">
        <f t="shared" si="4"/>
        <v>14.101318000000001</v>
      </c>
      <c r="M43" s="4"/>
      <c r="N43" s="35">
        <f>INDEX('UC models'!$E$30:$E$47,MATCH($B43,'UC models'!$B$8:$B$25,0)) / 5</f>
        <v>0</v>
      </c>
      <c r="O43" s="47">
        <f>INDEX('UC models'!$E$52:$E$69,MATCH($B43,'UC models'!$B$8:$B$25,0)) / 5</f>
        <v>0</v>
      </c>
      <c r="P43" s="47">
        <f>INDEX('UC models'!$E$8:$E$25,MATCH($B43,'UC models'!$B$8:$B$25,0)) / 5</f>
        <v>-0.12924767019890551</v>
      </c>
      <c r="Q43" s="33">
        <f t="shared" si="7"/>
        <v>-0.12924767019890551</v>
      </c>
      <c r="S43" s="86">
        <f>'Actuals and unmodelled'!D18</f>
        <v>0.88373661294964168</v>
      </c>
      <c r="U43" s="59">
        <f t="shared" si="5"/>
        <v>14.855806942750737</v>
      </c>
    </row>
    <row r="44" spans="1:21" s="1" customFormat="1" x14ac:dyDescent="0.2">
      <c r="A44" s="16"/>
      <c r="B44" s="48" t="s">
        <v>31</v>
      </c>
      <c r="C44" s="47" t="s">
        <v>79</v>
      </c>
      <c r="D44" s="47">
        <f>'Econometric models'!E21 / 5</f>
        <v>25.943579999999997</v>
      </c>
      <c r="E44" s="123">
        <f t="shared" si="6"/>
        <v>25.943579999999997</v>
      </c>
      <c r="F44" s="47">
        <f>'Econometric models'!E63 / 5</f>
        <v>27.377879999999998</v>
      </c>
      <c r="G44" s="47">
        <f>'Econometric models'!E42 / 5</f>
        <v>27.982859999999999</v>
      </c>
      <c r="H44" s="33">
        <f t="shared" si="3"/>
        <v>27.680369999999996</v>
      </c>
      <c r="I44" s="3"/>
      <c r="J44" s="35">
        <f>'Econometric models'!E105 / 5</f>
        <v>22.942699999999999</v>
      </c>
      <c r="K44" s="47">
        <f>'Econometric models'!E84 / 5</f>
        <v>23.8187</v>
      </c>
      <c r="L44" s="33">
        <f t="shared" si="4"/>
        <v>23.380699999999997</v>
      </c>
      <c r="M44" s="4"/>
      <c r="N44" s="35">
        <f>INDEX('UC models'!$E$30:$E$47,MATCH($B44,'UC models'!$B$8:$B$25,0)) / 5</f>
        <v>0</v>
      </c>
      <c r="O44" s="47">
        <f>INDEX('UC models'!$E$52:$E$69,MATCH($B44,'UC models'!$B$8:$B$25,0)) / 5</f>
        <v>-7.9396693214731345E-3</v>
      </c>
      <c r="P44" s="47">
        <f>INDEX('UC models'!$E$8:$E$25,MATCH($B44,'UC models'!$B$8:$B$25,0)) / 5</f>
        <v>0.65308538633958901</v>
      </c>
      <c r="Q44" s="33">
        <f t="shared" si="7"/>
        <v>0.64514571701811585</v>
      </c>
      <c r="S44" s="86">
        <f>'Actuals and unmodelled'!D19</f>
        <v>0.444653133336676</v>
      </c>
      <c r="U44" s="59">
        <f t="shared" si="5"/>
        <v>24.47049885035479</v>
      </c>
    </row>
    <row r="45" spans="1:21" s="1" customFormat="1" x14ac:dyDescent="0.2">
      <c r="A45" s="16"/>
      <c r="B45" s="48" t="s">
        <v>32</v>
      </c>
      <c r="C45" s="47" t="s">
        <v>79</v>
      </c>
      <c r="D45" s="47">
        <f>'Econometric models'!E22 / 5</f>
        <v>23.429200000000002</v>
      </c>
      <c r="E45" s="123">
        <f t="shared" si="6"/>
        <v>23.429200000000002</v>
      </c>
      <c r="F45" s="47">
        <f>'Econometric models'!E64 / 5</f>
        <v>23.426660000000002</v>
      </c>
      <c r="G45" s="47">
        <f>'Econometric models'!E43 / 5</f>
        <v>23.98274</v>
      </c>
      <c r="H45" s="33">
        <f t="shared" si="3"/>
        <v>23.704700000000003</v>
      </c>
      <c r="I45" s="3"/>
      <c r="J45" s="35">
        <f>'Econometric models'!E106 / 5</f>
        <v>18.975097999999999</v>
      </c>
      <c r="K45" s="47">
        <f>'Econometric models'!E85 / 5</f>
        <v>19.811299999999999</v>
      </c>
      <c r="L45" s="33">
        <f t="shared" si="4"/>
        <v>19.393198999999999</v>
      </c>
      <c r="M45" s="4"/>
      <c r="N45" s="35">
        <f>INDEX('UC models'!$E$30:$E$47,MATCH($B45,'UC models'!$B$8:$B$25,0)) / 5</f>
        <v>9.7536248190060881</v>
      </c>
      <c r="O45" s="47">
        <f>INDEX('UC models'!$E$52:$E$69,MATCH($B45,'UC models'!$B$8:$B$25,0)) / 5</f>
        <v>0</v>
      </c>
      <c r="P45" s="47">
        <f>INDEX('UC models'!$E$8:$E$25,MATCH($B45,'UC models'!$B$8:$B$25,0)) / 5</f>
        <v>0.29016585397278749</v>
      </c>
      <c r="Q45" s="33">
        <f t="shared" si="7"/>
        <v>10.043790672978876</v>
      </c>
      <c r="S45" s="86">
        <f>'Actuals and unmodelled'!D20</f>
        <v>0.57069238715308557</v>
      </c>
      <c r="U45" s="59">
        <f t="shared" si="5"/>
        <v>30.007682060131959</v>
      </c>
    </row>
    <row r="46" spans="1:21" s="1" customFormat="1" x14ac:dyDescent="0.2">
      <c r="A46" s="16"/>
      <c r="B46" s="48" t="s">
        <v>33</v>
      </c>
      <c r="C46" s="47" t="s">
        <v>79</v>
      </c>
      <c r="D46" s="47">
        <f>'Econometric models'!E23 / 5</f>
        <v>125.79272</v>
      </c>
      <c r="E46" s="123">
        <f t="shared" si="6"/>
        <v>125.79272</v>
      </c>
      <c r="F46" s="47">
        <f>'Econometric models'!E65 / 5</f>
        <v>138.20815999999999</v>
      </c>
      <c r="G46" s="47">
        <f>'Econometric models'!E44 / 5</f>
        <v>138.75438</v>
      </c>
      <c r="H46" s="33">
        <f t="shared" si="3"/>
        <v>138.48126999999999</v>
      </c>
      <c r="I46" s="3"/>
      <c r="J46" s="35">
        <f>'Econometric models'!E107 / 5</f>
        <v>106.23094</v>
      </c>
      <c r="K46" s="47">
        <f>'Econometric models'!E86 / 5</f>
        <v>105.46523999999999</v>
      </c>
      <c r="L46" s="33">
        <f t="shared" si="4"/>
        <v>105.84809</v>
      </c>
      <c r="M46" s="4"/>
      <c r="N46" s="35">
        <f>INDEX('UC models'!$E$30:$E$47,MATCH($B46,'UC models'!$B$8:$B$25,0)) / 5</f>
        <v>14.482700901534347</v>
      </c>
      <c r="O46" s="47">
        <f>INDEX('UC models'!$E$52:$E$69,MATCH($B46,'UC models'!$B$8:$B$25,0)) / 5</f>
        <v>0</v>
      </c>
      <c r="P46" s="47">
        <f>INDEX('UC models'!$E$8:$E$25,MATCH($B46,'UC models'!$B$8:$B$25,0)) / 5</f>
        <v>6.8339869522412826</v>
      </c>
      <c r="Q46" s="33">
        <f t="shared" si="7"/>
        <v>21.31668785377563</v>
      </c>
      <c r="S46" s="86">
        <f>'Actuals and unmodelled'!D21</f>
        <v>6.2973624728779338</v>
      </c>
      <c r="U46" s="59">
        <f t="shared" si="5"/>
        <v>133.46214032665355</v>
      </c>
    </row>
    <row r="47" spans="1:21" s="1" customFormat="1" x14ac:dyDescent="0.2">
      <c r="A47" s="16"/>
      <c r="B47" s="48" t="s">
        <v>34</v>
      </c>
      <c r="C47" s="47" t="s">
        <v>79</v>
      </c>
      <c r="D47" s="47">
        <f>'Econometric models'!E24 / 5</f>
        <v>68.381039999999999</v>
      </c>
      <c r="E47" s="123">
        <f t="shared" si="6"/>
        <v>68.381039999999999</v>
      </c>
      <c r="F47" s="47">
        <f>'Econometric models'!E66 / 5</f>
        <v>73.139600000000002</v>
      </c>
      <c r="G47" s="47">
        <f>'Econometric models'!E45 / 5</f>
        <v>76.28922</v>
      </c>
      <c r="H47" s="33">
        <f t="shared" si="3"/>
        <v>74.714410000000001</v>
      </c>
      <c r="I47" s="3"/>
      <c r="J47" s="35">
        <f>'Econometric models'!E108 / 5</f>
        <v>61.469579999999993</v>
      </c>
      <c r="K47" s="47">
        <f>'Econometric models'!E87 / 5</f>
        <v>65.421819999999997</v>
      </c>
      <c r="L47" s="33">
        <f t="shared" si="4"/>
        <v>63.445699999999995</v>
      </c>
      <c r="M47" s="4"/>
      <c r="N47" s="35">
        <f>INDEX('UC models'!$E$30:$E$47,MATCH($B47,'UC models'!$B$8:$B$25,0)) / 5</f>
        <v>6.7212001755697148</v>
      </c>
      <c r="O47" s="47">
        <f>INDEX('UC models'!$E$52:$E$69,MATCH($B47,'UC models'!$B$8:$B$25,0)) / 5</f>
        <v>-4.1557943270976328E-3</v>
      </c>
      <c r="P47" s="47">
        <f>INDEX('UC models'!$E$8:$E$25,MATCH($B47,'UC models'!$B$8:$B$25,0)) / 5</f>
        <v>2.8294514854372523</v>
      </c>
      <c r="Q47" s="33">
        <f t="shared" si="7"/>
        <v>9.5464958666798694</v>
      </c>
      <c r="S47" s="86">
        <f>'Actuals and unmodelled'!D22</f>
        <v>8.7557463223094683</v>
      </c>
      <c r="U47" s="59">
        <f t="shared" si="5"/>
        <v>81.747942188989327</v>
      </c>
    </row>
    <row r="48" spans="1:21" s="1" customFormat="1" ht="15" thickBot="1" x14ac:dyDescent="0.25">
      <c r="A48" s="16"/>
      <c r="B48" s="112" t="s">
        <v>35</v>
      </c>
      <c r="C48" s="50" t="s">
        <v>79</v>
      </c>
      <c r="D48" s="50">
        <f>'Econometric models'!E25 / 5</f>
        <v>38.998180000000005</v>
      </c>
      <c r="E48" s="124">
        <f t="shared" si="6"/>
        <v>38.998180000000005</v>
      </c>
      <c r="F48" s="50">
        <f>'Econometric models'!E67 / 5</f>
        <v>33.766199999999998</v>
      </c>
      <c r="G48" s="50">
        <f>'Econometric models'!E46 / 5</f>
        <v>34.712900000000005</v>
      </c>
      <c r="H48" s="31">
        <f t="shared" si="3"/>
        <v>34.239550000000001</v>
      </c>
      <c r="I48" s="3"/>
      <c r="J48" s="49">
        <f>'Econometric models'!E109 / 5</f>
        <v>28.617319999999999</v>
      </c>
      <c r="K48" s="50">
        <f>'Econometric models'!E88 / 5</f>
        <v>30.383780000000002</v>
      </c>
      <c r="L48" s="31">
        <f t="shared" si="4"/>
        <v>29.50055</v>
      </c>
      <c r="M48" s="4"/>
      <c r="N48" s="49">
        <f>INDEX('UC models'!$E$30:$E$47,MATCH($B48,'UC models'!$B$8:$B$25,0)) / 5</f>
        <v>9.8453434698152886</v>
      </c>
      <c r="O48" s="50">
        <f>INDEX('UC models'!$E$52:$E$69,MATCH($B48,'UC models'!$B$8:$B$25,0)) / 5</f>
        <v>3.5034612104917852E-2</v>
      </c>
      <c r="P48" s="50">
        <f>INDEX('UC models'!$E$8:$E$25,MATCH($B48,'UC models'!$B$8:$B$25,0)) / 5</f>
        <v>0.96815902074315952</v>
      </c>
      <c r="Q48" s="31">
        <f t="shared" si="7"/>
        <v>10.848537102663366</v>
      </c>
      <c r="S48" s="87">
        <f>'Actuals and unmodelled'!D23</f>
        <v>3.0160283076089032</v>
      </c>
      <c r="U48" s="60">
        <f t="shared" si="5"/>
        <v>43.365115410272274</v>
      </c>
    </row>
    <row r="49" spans="1:21" s="1" customFormat="1" ht="13.5" thickBot="1" x14ac:dyDescent="0.25">
      <c r="B49" s="51" t="s">
        <v>81</v>
      </c>
      <c r="C49" s="53">
        <v>0</v>
      </c>
      <c r="D49" s="54">
        <f>1-C49</f>
        <v>1</v>
      </c>
      <c r="E49" s="58"/>
      <c r="F49" s="53">
        <v>0.5</v>
      </c>
      <c r="G49" s="54">
        <f>1-F49</f>
        <v>0.5</v>
      </c>
      <c r="H49" s="58"/>
      <c r="J49" s="68">
        <v>0.5</v>
      </c>
      <c r="K49" s="69">
        <f>1-J49</f>
        <v>0.5</v>
      </c>
      <c r="L49" s="70"/>
      <c r="M49" s="2"/>
      <c r="N49" s="72"/>
      <c r="O49" s="73"/>
      <c r="P49" s="58"/>
      <c r="Q49" s="58"/>
      <c r="S49" s="58"/>
      <c r="U49" s="75"/>
    </row>
    <row r="50" spans="1:21" s="1" customFormat="1" ht="13.5" thickBot="1" x14ac:dyDescent="0.25">
      <c r="B50" s="52" t="s">
        <v>82</v>
      </c>
      <c r="C50" s="56"/>
      <c r="D50" s="57"/>
      <c r="E50" s="55">
        <v>0.33333333333333298</v>
      </c>
      <c r="F50" s="56"/>
      <c r="G50" s="57"/>
      <c r="H50" s="55">
        <v>0.33333333333333298</v>
      </c>
      <c r="J50" s="56"/>
      <c r="K50" s="57"/>
      <c r="L50" s="71"/>
      <c r="M50" s="2"/>
      <c r="N50" s="56"/>
      <c r="O50" s="57"/>
      <c r="P50" s="74"/>
      <c r="Q50" s="74"/>
      <c r="S50" s="74"/>
      <c r="U50" s="76">
        <v>0.33333333333333298</v>
      </c>
    </row>
    <row r="51" spans="1:21" s="1" customFormat="1" ht="12.75" x14ac:dyDescent="0.2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21" s="1" customFormat="1" ht="12.75" x14ac:dyDescent="0.2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21" s="1" customFormat="1" ht="12.75" x14ac:dyDescent="0.2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21" s="1" customFormat="1" ht="12.75" x14ac:dyDescent="0.2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21" s="1" customFormat="1" ht="30" x14ac:dyDescent="0.3">
      <c r="B55" s="5" t="s">
        <v>36</v>
      </c>
      <c r="C55" s="6"/>
      <c r="D55" s="7" t="s">
        <v>37</v>
      </c>
      <c r="E55" s="6"/>
      <c r="F55" s="8" t="s">
        <v>38</v>
      </c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21" s="1" customFormat="1" ht="15" x14ac:dyDescent="0.3">
      <c r="A56" s="2"/>
      <c r="B56" s="9" t="s">
        <v>39</v>
      </c>
      <c r="C56" s="10"/>
      <c r="D56" s="11"/>
      <c r="E56" s="10"/>
      <c r="F56" s="12"/>
      <c r="G56" s="2"/>
      <c r="H56" s="2"/>
      <c r="I56" s="2"/>
      <c r="J56" s="2"/>
      <c r="K56" s="2"/>
      <c r="L56" s="2"/>
      <c r="M56" s="2"/>
      <c r="N56" s="13"/>
      <c r="O56" s="13"/>
      <c r="P56" s="13"/>
      <c r="Q56" s="13"/>
    </row>
    <row r="57" spans="1:21" s="1" customFormat="1" ht="15" x14ac:dyDescent="0.3">
      <c r="A57" s="2"/>
      <c r="B57" s="14" t="s">
        <v>40</v>
      </c>
      <c r="C57" s="10"/>
      <c r="D57" s="11" t="s">
        <v>41</v>
      </c>
      <c r="E57" s="10"/>
      <c r="F57" s="15">
        <v>5</v>
      </c>
      <c r="G57" s="2"/>
      <c r="H57" s="2"/>
      <c r="I57" s="2"/>
      <c r="J57" s="2"/>
      <c r="K57" s="2"/>
      <c r="L57" s="2"/>
      <c r="M57" s="2"/>
      <c r="N57" s="13"/>
      <c r="O57" s="13"/>
      <c r="P57" s="13"/>
      <c r="Q57" s="13"/>
    </row>
    <row r="58" spans="1:21" s="2" customFormat="1" ht="15" x14ac:dyDescent="0.3">
      <c r="B58" s="14" t="s">
        <v>42</v>
      </c>
      <c r="C58" s="10"/>
      <c r="D58" s="11" t="s">
        <v>41</v>
      </c>
      <c r="E58" s="10"/>
      <c r="F58" s="15">
        <v>5</v>
      </c>
      <c r="N58" s="13"/>
      <c r="O58" s="13"/>
      <c r="P58" s="13"/>
      <c r="Q58" s="13"/>
      <c r="R58" s="1"/>
      <c r="S58" s="1"/>
      <c r="T58" s="1"/>
      <c r="U58" s="1"/>
    </row>
    <row r="59" spans="1:21" s="2" customFormat="1" ht="15" x14ac:dyDescent="0.3">
      <c r="B59" s="9" t="s">
        <v>43</v>
      </c>
      <c r="C59" s="10"/>
      <c r="D59" s="11"/>
      <c r="E59" s="10"/>
      <c r="F59" s="15"/>
      <c r="N59" s="13"/>
      <c r="O59" s="13"/>
      <c r="P59" s="13"/>
      <c r="Q59" s="13"/>
      <c r="R59" s="1"/>
      <c r="S59" s="1"/>
      <c r="T59" s="1"/>
      <c r="U59" s="1"/>
    </row>
    <row r="60" spans="1:21" s="2" customFormat="1" ht="15" x14ac:dyDescent="0.3">
      <c r="B60" s="14" t="s">
        <v>44</v>
      </c>
      <c r="C60" s="10"/>
      <c r="D60" s="11" t="s">
        <v>45</v>
      </c>
      <c r="E60" s="10"/>
      <c r="F60" s="15">
        <v>5</v>
      </c>
      <c r="N60" s="13"/>
      <c r="O60" s="13"/>
      <c r="P60" s="13"/>
      <c r="Q60" s="13"/>
      <c r="R60" s="1"/>
      <c r="S60" s="1"/>
      <c r="T60" s="1"/>
      <c r="U60" s="1"/>
    </row>
    <row r="61" spans="1:21" s="2" customFormat="1" ht="15" x14ac:dyDescent="0.3">
      <c r="B61" s="14" t="s">
        <v>46</v>
      </c>
      <c r="C61" s="10"/>
      <c r="D61" s="11" t="s">
        <v>41</v>
      </c>
      <c r="E61" s="10"/>
      <c r="F61" s="15">
        <v>5</v>
      </c>
      <c r="N61" s="13"/>
      <c r="O61" s="13"/>
      <c r="P61" s="13"/>
      <c r="Q61" s="13"/>
      <c r="R61" s="1"/>
      <c r="S61" s="1"/>
      <c r="T61" s="1"/>
      <c r="U61" s="1"/>
    </row>
    <row r="62" spans="1:21" s="2" customFormat="1" ht="15" x14ac:dyDescent="0.3">
      <c r="B62" s="14" t="s">
        <v>47</v>
      </c>
      <c r="C62" s="10"/>
      <c r="D62" s="11" t="s">
        <v>41</v>
      </c>
      <c r="E62" s="10"/>
      <c r="F62" s="15">
        <v>5</v>
      </c>
      <c r="N62" s="13"/>
      <c r="O62" s="13"/>
      <c r="P62" s="13"/>
      <c r="Q62" s="13"/>
      <c r="R62" s="1"/>
      <c r="S62" s="1"/>
      <c r="T62" s="1"/>
      <c r="U62" s="1"/>
    </row>
    <row r="63" spans="1:21" s="2" customFormat="1" ht="15" x14ac:dyDescent="0.3">
      <c r="B63" s="9" t="s">
        <v>48</v>
      </c>
      <c r="C63" s="10"/>
      <c r="D63" s="11" t="s">
        <v>45</v>
      </c>
      <c r="E63" s="10"/>
      <c r="F63" s="15">
        <v>5</v>
      </c>
      <c r="N63" s="13"/>
      <c r="O63" s="13"/>
      <c r="P63" s="13"/>
      <c r="Q63" s="13"/>
      <c r="R63" s="1"/>
      <c r="S63" s="1"/>
      <c r="T63" s="1"/>
      <c r="U63" s="1"/>
    </row>
    <row r="64" spans="1:21" s="2" customForma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s="2" customForma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</sheetData>
  <conditionalFormatting sqref="G7:G2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4AA00"/>
  </sheetPr>
  <dimension ref="A1:U65"/>
  <sheetViews>
    <sheetView showGridLines="0" zoomScale="64" zoomScaleNormal="64" workbookViewId="0"/>
  </sheetViews>
  <sheetFormatPr defaultRowHeight="14.25" x14ac:dyDescent="0.2"/>
  <cols>
    <col min="1" max="1" width="1.375" customWidth="1"/>
    <col min="2" max="2" width="20.75" bestFit="1" customWidth="1"/>
    <col min="3" max="8" width="12" customWidth="1"/>
    <col min="9" max="9" width="2.5" customWidth="1"/>
    <col min="10" max="12" width="12" customWidth="1"/>
    <col min="13" max="13" width="2.5" customWidth="1"/>
    <col min="14" max="17" width="12" customWidth="1"/>
    <col min="18" max="18" width="2.5" customWidth="1"/>
    <col min="19" max="19" width="12" customWidth="1"/>
    <col min="20" max="20" width="2.5" customWidth="1"/>
    <col min="21" max="21" width="12" customWidth="1"/>
  </cols>
  <sheetData>
    <row r="1" spans="1:21" ht="20.25" x14ac:dyDescent="0.2">
      <c r="B1" s="25" t="s">
        <v>100</v>
      </c>
      <c r="C1" s="25"/>
      <c r="D1" s="25"/>
      <c r="E1" s="25"/>
      <c r="F1" s="25"/>
      <c r="G1" s="25"/>
      <c r="H1" s="25"/>
      <c r="I1" s="25"/>
      <c r="J1" s="25"/>
      <c r="K1" s="25"/>
      <c r="L1" s="26"/>
      <c r="M1" s="27"/>
      <c r="N1" s="28"/>
    </row>
    <row r="2" spans="1:21" ht="20.25" x14ac:dyDescent="0.2">
      <c r="A2" s="36"/>
      <c r="B2" t="s">
        <v>101</v>
      </c>
      <c r="C2" s="37"/>
      <c r="D2" s="37"/>
      <c r="E2" s="37"/>
      <c r="F2" s="37"/>
      <c r="G2" s="37"/>
      <c r="H2" s="37"/>
      <c r="I2" s="37"/>
      <c r="J2" s="37"/>
      <c r="K2" s="37"/>
      <c r="L2" s="38"/>
      <c r="M2" s="39"/>
      <c r="N2" s="40"/>
      <c r="O2" s="36"/>
      <c r="P2" s="36"/>
      <c r="Q2" s="36"/>
      <c r="R2" s="36"/>
      <c r="S2" s="36"/>
      <c r="T2" s="36"/>
      <c r="U2" s="36"/>
    </row>
    <row r="3" spans="1:21" s="36" customFormat="1" ht="15" customHeight="1" x14ac:dyDescent="0.2"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  <c r="M3" s="39"/>
      <c r="N3" s="40"/>
    </row>
    <row r="4" spans="1:21" s="30" customFormat="1" ht="12.75" x14ac:dyDescent="0.2">
      <c r="A4" s="1"/>
      <c r="B4" s="30" t="s">
        <v>0</v>
      </c>
    </row>
    <row r="5" spans="1:21" ht="15" thickBot="1" x14ac:dyDescent="0.25">
      <c r="B5" s="46"/>
    </row>
    <row r="6" spans="1:21" ht="51" x14ac:dyDescent="0.2">
      <c r="B6" s="109"/>
      <c r="C6" s="110" t="s">
        <v>119</v>
      </c>
      <c r="D6" s="110" t="s">
        <v>49</v>
      </c>
      <c r="E6" s="111" t="s">
        <v>59</v>
      </c>
      <c r="G6" s="115" t="s">
        <v>50</v>
      </c>
      <c r="J6" s="29"/>
    </row>
    <row r="7" spans="1:21" x14ac:dyDescent="0.2">
      <c r="B7" s="48" t="s">
        <v>18</v>
      </c>
      <c r="C7" s="85">
        <f>'Actuals and unmodelled'!C6</f>
        <v>299.50447674109319</v>
      </c>
      <c r="D7" s="61">
        <f t="shared" ref="D7:D24" si="0">U31 * $U$50 + E31 * $E$50 + H31*$H$50</f>
        <v>316.14370833086048</v>
      </c>
      <c r="E7" s="62">
        <f t="shared" ref="E7:E24" si="1">D7-C7</f>
        <v>16.639231589767292</v>
      </c>
      <c r="G7" s="88">
        <f t="shared" ref="G7:G24" si="2">C7/D7</f>
        <v>0.94736813938946562</v>
      </c>
    </row>
    <row r="8" spans="1:21" x14ac:dyDescent="0.2">
      <c r="B8" s="48" t="s">
        <v>19</v>
      </c>
      <c r="C8" s="85">
        <f>'Actuals and unmodelled'!C7</f>
        <v>256.45900400700691</v>
      </c>
      <c r="D8" s="61">
        <f t="shared" si="0"/>
        <v>245.13204015421871</v>
      </c>
      <c r="E8" s="62">
        <f t="shared" si="1"/>
        <v>-11.326963852788197</v>
      </c>
      <c r="G8" s="88">
        <f t="shared" si="2"/>
        <v>1.0462076024238289</v>
      </c>
    </row>
    <row r="9" spans="1:21" x14ac:dyDescent="0.2">
      <c r="B9" s="48" t="s">
        <v>20</v>
      </c>
      <c r="C9" s="85">
        <f>'Actuals and unmodelled'!C8</f>
        <v>248.78087730407066</v>
      </c>
      <c r="D9" s="61">
        <f t="shared" si="0"/>
        <v>276.90319522756465</v>
      </c>
      <c r="E9" s="62">
        <f t="shared" si="1"/>
        <v>28.122317923493995</v>
      </c>
      <c r="G9" s="88">
        <f t="shared" si="2"/>
        <v>0.8984398937672694</v>
      </c>
    </row>
    <row r="10" spans="1:21" x14ac:dyDescent="0.2">
      <c r="B10" s="48" t="s">
        <v>21</v>
      </c>
      <c r="C10" s="85">
        <f>'Actuals and unmodelled'!C9</f>
        <v>460.31409692571941</v>
      </c>
      <c r="D10" s="61">
        <f t="shared" si="0"/>
        <v>502.81094424502942</v>
      </c>
      <c r="E10" s="62">
        <f t="shared" si="1"/>
        <v>42.496847319310007</v>
      </c>
      <c r="G10" s="88">
        <f t="shared" si="2"/>
        <v>0.91548145917325041</v>
      </c>
    </row>
    <row r="11" spans="1:21" x14ac:dyDescent="0.2">
      <c r="B11" s="48" t="s">
        <v>22</v>
      </c>
      <c r="C11" s="85">
        <f>'Actuals and unmodelled'!C10</f>
        <v>122.92562284369383</v>
      </c>
      <c r="D11" s="61">
        <f t="shared" si="0"/>
        <v>152.72380203554351</v>
      </c>
      <c r="E11" s="62">
        <f t="shared" si="1"/>
        <v>29.798179191849684</v>
      </c>
      <c r="G11" s="88">
        <f t="shared" si="2"/>
        <v>0.80488844047429664</v>
      </c>
    </row>
    <row r="12" spans="1:21" x14ac:dyDescent="0.2">
      <c r="B12" s="48" t="s">
        <v>23</v>
      </c>
      <c r="C12" s="85">
        <f>'Actuals and unmodelled'!C11</f>
        <v>150.27023224455382</v>
      </c>
      <c r="D12" s="61">
        <f t="shared" si="0"/>
        <v>155.33449260951875</v>
      </c>
      <c r="E12" s="62">
        <f t="shared" si="1"/>
        <v>5.0642603649649232</v>
      </c>
      <c r="G12" s="88">
        <f t="shared" si="2"/>
        <v>0.96739770877743481</v>
      </c>
    </row>
    <row r="13" spans="1:21" x14ac:dyDescent="0.2">
      <c r="B13" s="48" t="s">
        <v>24</v>
      </c>
      <c r="C13" s="85">
        <f>'Actuals and unmodelled'!C12</f>
        <v>642.07282396680955</v>
      </c>
      <c r="D13" s="61">
        <f t="shared" si="0"/>
        <v>725.01192543481102</v>
      </c>
      <c r="E13" s="62">
        <f t="shared" si="1"/>
        <v>82.939101468001468</v>
      </c>
      <c r="G13" s="88">
        <f t="shared" si="2"/>
        <v>0.88560312105451167</v>
      </c>
    </row>
    <row r="14" spans="1:21" x14ac:dyDescent="0.2">
      <c r="B14" s="48" t="s">
        <v>25</v>
      </c>
      <c r="C14" s="85">
        <f>'Actuals and unmodelled'!C13</f>
        <v>428.51939516860182</v>
      </c>
      <c r="D14" s="61">
        <f t="shared" si="0"/>
        <v>433.56078637938015</v>
      </c>
      <c r="E14" s="62">
        <f t="shared" si="1"/>
        <v>5.041391210778329</v>
      </c>
      <c r="G14" s="88">
        <f t="shared" si="2"/>
        <v>0.98837212365795701</v>
      </c>
    </row>
    <row r="15" spans="1:21" x14ac:dyDescent="0.2">
      <c r="B15" s="48" t="s">
        <v>26</v>
      </c>
      <c r="C15" s="85">
        <f>'Actuals and unmodelled'!C14</f>
        <v>103.19810338694435</v>
      </c>
      <c r="D15" s="61">
        <f t="shared" si="0"/>
        <v>108.53740765426808</v>
      </c>
      <c r="E15" s="62">
        <f t="shared" si="1"/>
        <v>5.3393042673237261</v>
      </c>
      <c r="G15" s="88">
        <f t="shared" si="2"/>
        <v>0.9508067828160095</v>
      </c>
    </row>
    <row r="16" spans="1:21" x14ac:dyDescent="0.2">
      <c r="B16" s="48" t="s">
        <v>27</v>
      </c>
      <c r="C16" s="85">
        <f>'Actuals and unmodelled'!C15</f>
        <v>269.59350092579319</v>
      </c>
      <c r="D16" s="61">
        <f t="shared" si="0"/>
        <v>291.0205123286861</v>
      </c>
      <c r="E16" s="62">
        <f t="shared" si="1"/>
        <v>21.427011402892902</v>
      </c>
      <c r="G16" s="88">
        <f t="shared" si="2"/>
        <v>0.92637284832110844</v>
      </c>
    </row>
    <row r="17" spans="1:21" x14ac:dyDescent="0.2">
      <c r="B17" s="48" t="s">
        <v>28</v>
      </c>
      <c r="C17" s="85">
        <f>'Actuals and unmodelled'!C16</f>
        <v>188.3814893434668</v>
      </c>
      <c r="D17" s="61">
        <f t="shared" si="0"/>
        <v>202.10217870486889</v>
      </c>
      <c r="E17" s="62">
        <f t="shared" si="1"/>
        <v>13.720689361402094</v>
      </c>
      <c r="G17" s="88">
        <f t="shared" si="2"/>
        <v>0.93211013632149653</v>
      </c>
    </row>
    <row r="18" spans="1:21" x14ac:dyDescent="0.2">
      <c r="B18" s="48" t="s">
        <v>29</v>
      </c>
      <c r="C18" s="85">
        <f>'Actuals and unmodelled'!C17</f>
        <v>83.509154781814743</v>
      </c>
      <c r="D18" s="61">
        <f t="shared" si="0"/>
        <v>71.365994211692794</v>
      </c>
      <c r="E18" s="62">
        <f t="shared" si="1"/>
        <v>-12.14316057012195</v>
      </c>
      <c r="G18" s="88">
        <f t="shared" si="2"/>
        <v>1.1701533160751845</v>
      </c>
    </row>
    <row r="19" spans="1:21" x14ac:dyDescent="0.2">
      <c r="B19" s="48" t="s">
        <v>30</v>
      </c>
      <c r="C19" s="85">
        <f>'Actuals and unmodelled'!C18</f>
        <v>15.386596043227918</v>
      </c>
      <c r="D19" s="61">
        <f t="shared" si="0"/>
        <v>17.206989563494758</v>
      </c>
      <c r="E19" s="62">
        <f t="shared" si="1"/>
        <v>1.8203935202668404</v>
      </c>
      <c r="G19" s="88">
        <f t="shared" si="2"/>
        <v>0.89420615886646027</v>
      </c>
    </row>
    <row r="20" spans="1:21" x14ac:dyDescent="0.2">
      <c r="B20" s="48" t="s">
        <v>31</v>
      </c>
      <c r="C20" s="85">
        <f>'Actuals and unmodelled'!C19</f>
        <v>25.275437630520553</v>
      </c>
      <c r="D20" s="61">
        <f t="shared" si="0"/>
        <v>29.37723583197354</v>
      </c>
      <c r="E20" s="62">
        <f t="shared" si="1"/>
        <v>4.1017982014529863</v>
      </c>
      <c r="G20" s="88">
        <f t="shared" si="2"/>
        <v>0.86037494388806046</v>
      </c>
    </row>
    <row r="21" spans="1:21" x14ac:dyDescent="0.2">
      <c r="B21" s="48" t="s">
        <v>32</v>
      </c>
      <c r="C21" s="85">
        <f>'Actuals and unmodelled'!C20</f>
        <v>23.087649891918904</v>
      </c>
      <c r="D21" s="61">
        <f t="shared" si="0"/>
        <v>29.227720966186013</v>
      </c>
      <c r="E21" s="62">
        <f t="shared" si="1"/>
        <v>6.1400710742671087</v>
      </c>
      <c r="G21" s="88">
        <f t="shared" si="2"/>
        <v>0.78992302953177063</v>
      </c>
    </row>
    <row r="22" spans="1:21" x14ac:dyDescent="0.2">
      <c r="B22" s="48" t="s">
        <v>33</v>
      </c>
      <c r="C22" s="85">
        <f>'Actuals and unmodelled'!C21</f>
        <v>128.56502518005942</v>
      </c>
      <c r="D22" s="61">
        <f t="shared" si="0"/>
        <v>145.66583231476676</v>
      </c>
      <c r="E22" s="62">
        <f t="shared" si="1"/>
        <v>17.100807134707338</v>
      </c>
      <c r="G22" s="88">
        <f t="shared" si="2"/>
        <v>0.88260248225023352</v>
      </c>
    </row>
    <row r="23" spans="1:21" x14ac:dyDescent="0.2">
      <c r="B23" s="48" t="s">
        <v>34</v>
      </c>
      <c r="C23" s="85">
        <f>'Actuals and unmodelled'!C22</f>
        <v>73.981398480475391</v>
      </c>
      <c r="D23" s="61">
        <f t="shared" si="0"/>
        <v>82.567796522564777</v>
      </c>
      <c r="E23" s="62">
        <f t="shared" si="1"/>
        <v>8.5863980420893853</v>
      </c>
      <c r="G23" s="88">
        <f t="shared" si="2"/>
        <v>0.89600790618479409</v>
      </c>
    </row>
    <row r="24" spans="1:21" ht="15" thickBot="1" x14ac:dyDescent="0.25">
      <c r="B24" s="112" t="s">
        <v>35</v>
      </c>
      <c r="C24" s="113">
        <f>'Actuals and unmodelled'!C23</f>
        <v>42.474457888840497</v>
      </c>
      <c r="D24" s="114">
        <f t="shared" si="0"/>
        <v>43.394095945680107</v>
      </c>
      <c r="E24" s="63">
        <f t="shared" si="1"/>
        <v>0.91963805683960942</v>
      </c>
      <c r="G24" s="116">
        <f t="shared" si="2"/>
        <v>0.97880730000710703</v>
      </c>
    </row>
    <row r="25" spans="1:21" ht="15" thickBot="1" x14ac:dyDescent="0.25">
      <c r="B25" s="64" t="s">
        <v>63</v>
      </c>
      <c r="C25" s="65">
        <f>SUM(C7:C24)</f>
        <v>3562.2993427546112</v>
      </c>
      <c r="D25" s="66">
        <f>SUM(D7:D24)</f>
        <v>3828.0866584611081</v>
      </c>
      <c r="E25" s="67">
        <f>SUM(E7:E24)</f>
        <v>265.78731570649757</v>
      </c>
      <c r="G25" s="89"/>
    </row>
    <row r="26" spans="1:21" x14ac:dyDescent="0.2">
      <c r="G26" s="17"/>
      <c r="H26" s="17"/>
      <c r="I26" s="17"/>
      <c r="J26" s="17"/>
      <c r="L26" s="17"/>
    </row>
    <row r="27" spans="1:21" s="30" customFormat="1" ht="12.75" x14ac:dyDescent="0.2">
      <c r="A27" s="1"/>
      <c r="B27" s="30" t="s">
        <v>0</v>
      </c>
    </row>
    <row r="28" spans="1:21" s="1" customFormat="1" ht="13.5" thickBot="1" x14ac:dyDescent="0.2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21" s="1" customFormat="1" ht="13.5" x14ac:dyDescent="0.2">
      <c r="B29" s="117"/>
      <c r="C29" s="118" t="s">
        <v>80</v>
      </c>
      <c r="D29" s="118"/>
      <c r="E29" s="118"/>
      <c r="F29" s="118"/>
      <c r="G29" s="118"/>
      <c r="H29" s="119"/>
      <c r="I29" s="2"/>
      <c r="J29" s="125" t="s">
        <v>1</v>
      </c>
      <c r="K29" s="118"/>
      <c r="L29" s="119"/>
      <c r="N29" s="125" t="s">
        <v>2</v>
      </c>
      <c r="O29" s="118"/>
      <c r="P29" s="118"/>
      <c r="Q29" s="126"/>
      <c r="S29" s="115" t="s">
        <v>3</v>
      </c>
      <c r="U29" s="115" t="s">
        <v>4</v>
      </c>
    </row>
    <row r="30" spans="1:21" s="1" customFormat="1" ht="38.25" x14ac:dyDescent="0.2">
      <c r="B30" s="120"/>
      <c r="C30" s="121" t="s">
        <v>5</v>
      </c>
      <c r="D30" s="121" t="s">
        <v>6</v>
      </c>
      <c r="E30" s="121" t="s">
        <v>7</v>
      </c>
      <c r="F30" s="121" t="s">
        <v>8</v>
      </c>
      <c r="G30" s="121" t="s">
        <v>9</v>
      </c>
      <c r="H30" s="122" t="s">
        <v>10</v>
      </c>
      <c r="J30" s="120" t="s">
        <v>11</v>
      </c>
      <c r="K30" s="121" t="s">
        <v>12</v>
      </c>
      <c r="L30" s="122" t="s">
        <v>13</v>
      </c>
      <c r="N30" s="120" t="s">
        <v>14</v>
      </c>
      <c r="O30" s="121" t="s">
        <v>15</v>
      </c>
      <c r="P30" s="121" t="s">
        <v>16</v>
      </c>
      <c r="Q30" s="122" t="s">
        <v>17</v>
      </c>
      <c r="S30" s="127"/>
      <c r="U30" s="127"/>
    </row>
    <row r="31" spans="1:21" s="1" customFormat="1" x14ac:dyDescent="0.2">
      <c r="A31" s="16"/>
      <c r="B31" s="48" t="s">
        <v>18</v>
      </c>
      <c r="C31" s="47" t="s">
        <v>79</v>
      </c>
      <c r="D31" s="47">
        <f>'Econometric models'!F8 / 5</f>
        <v>301.14440000000002</v>
      </c>
      <c r="E31" s="123">
        <f>D31</f>
        <v>301.14440000000002</v>
      </c>
      <c r="F31" s="47">
        <f>'Econometric models'!F50 / 5</f>
        <v>342.29239999999999</v>
      </c>
      <c r="G31" s="47">
        <f>'Econometric models'!F29 / 5</f>
        <v>326.3442</v>
      </c>
      <c r="H31" s="33">
        <f t="shared" ref="H31:H48" si="3">F$49 * F31 + G$49 * G31</f>
        <v>334.31830000000002</v>
      </c>
      <c r="I31" s="3"/>
      <c r="J31" s="35">
        <f>'Econometric models'!F92 / 5</f>
        <v>247.21260000000001</v>
      </c>
      <c r="K31" s="47">
        <f>'Econometric models'!F71 / 5</f>
        <v>231.95599999999999</v>
      </c>
      <c r="L31" s="33">
        <f t="shared" ref="L31:L48" si="4">J$49 * J31 + K$49 * K31</f>
        <v>239.58429999999998</v>
      </c>
      <c r="M31" s="4"/>
      <c r="N31" s="35">
        <f>INDEX('UC models'!$F$30:$F$47,MATCH($B31,'UC models'!$B$8:$B$25,0)) / 5</f>
        <v>33.913397858797111</v>
      </c>
      <c r="O31" s="47">
        <f>INDEX('UC models'!$F$52:$F$69,MATCH($B31,'UC models'!$B$8:$B$25,0)) / 5</f>
        <v>1.3208377729414547</v>
      </c>
      <c r="P31" s="47">
        <f>INDEX('UC models'!$F$8:$F$25,MATCH($B31,'UC models'!$B$8:$B$25,0)) / 5</f>
        <v>16.362480248926076</v>
      </c>
      <c r="Q31" s="33">
        <f>SUM(N31:P31)</f>
        <v>51.59671588066464</v>
      </c>
      <c r="S31" s="86">
        <f>'Actuals and unmodelled'!D6</f>
        <v>21.7874091119177</v>
      </c>
      <c r="U31" s="59">
        <f t="shared" ref="U31:U48" si="5">L31+Q31+S31</f>
        <v>312.96842499258236</v>
      </c>
    </row>
    <row r="32" spans="1:21" s="1" customFormat="1" x14ac:dyDescent="0.2">
      <c r="A32" s="16"/>
      <c r="B32" s="48" t="s">
        <v>19</v>
      </c>
      <c r="C32" s="47" t="s">
        <v>79</v>
      </c>
      <c r="D32" s="47">
        <f>'Econometric models'!F9 / 5</f>
        <v>264.988</v>
      </c>
      <c r="E32" s="123">
        <f t="shared" ref="E32:E48" si="6">D32</f>
        <v>264.988</v>
      </c>
      <c r="F32" s="47">
        <f>'Econometric models'!F51 / 5</f>
        <v>253.3638</v>
      </c>
      <c r="G32" s="47">
        <f>'Econometric models'!F30 / 5</f>
        <v>257.41880000000003</v>
      </c>
      <c r="H32" s="33">
        <f t="shared" si="3"/>
        <v>255.3913</v>
      </c>
      <c r="I32" s="3"/>
      <c r="J32" s="35">
        <f>'Econometric models'!F93 / 5</f>
        <v>173.01468</v>
      </c>
      <c r="K32" s="47">
        <f>'Econometric models'!F72 / 5</f>
        <v>178.35120000000001</v>
      </c>
      <c r="L32" s="33">
        <f t="shared" si="4"/>
        <v>175.68294</v>
      </c>
      <c r="M32" s="4"/>
      <c r="N32" s="35">
        <f>INDEX('UC models'!$F$30:$F$47,MATCH($B32,'UC models'!$B$8:$B$25,0)) / 5</f>
        <v>10.112208951441612</v>
      </c>
      <c r="O32" s="47">
        <f>INDEX('UC models'!$F$52:$F$69,MATCH($B32,'UC models'!$B$8:$B$25,0)) / 5</f>
        <v>0</v>
      </c>
      <c r="P32" s="47">
        <f>INDEX('UC models'!$F$8:$F$25,MATCH($B32,'UC models'!$B$8:$B$25,0)) / 5</f>
        <v>6.2591006228951862</v>
      </c>
      <c r="Q32" s="33">
        <f t="shared" ref="Q32:Q48" si="7">SUM(N32:P32)</f>
        <v>16.371309574336799</v>
      </c>
      <c r="S32" s="86">
        <f>'Actuals and unmodelled'!D7</f>
        <v>22.962570888320133</v>
      </c>
      <c r="U32" s="59">
        <f t="shared" si="5"/>
        <v>215.01682046265694</v>
      </c>
    </row>
    <row r="33" spans="1:21" s="1" customFormat="1" x14ac:dyDescent="0.2">
      <c r="A33" s="16"/>
      <c r="B33" s="48" t="s">
        <v>20</v>
      </c>
      <c r="C33" s="47" t="s">
        <v>79</v>
      </c>
      <c r="D33" s="47">
        <f>'Econometric models'!F10 / 5</f>
        <v>281.97699999999998</v>
      </c>
      <c r="E33" s="123">
        <f t="shared" si="6"/>
        <v>281.97699999999998</v>
      </c>
      <c r="F33" s="47">
        <f>'Econometric models'!F52 / 5</f>
        <v>272.87559999999996</v>
      </c>
      <c r="G33" s="47">
        <f>'Econometric models'!F31 / 5</f>
        <v>267.6506</v>
      </c>
      <c r="H33" s="33">
        <f t="shared" si="3"/>
        <v>270.26310000000001</v>
      </c>
      <c r="I33" s="3"/>
      <c r="J33" s="35">
        <f>'Econometric models'!F94 / 5</f>
        <v>212.02779999999998</v>
      </c>
      <c r="K33" s="47">
        <f>'Econometric models'!F73 / 5</f>
        <v>209.34099999999998</v>
      </c>
      <c r="L33" s="33">
        <f t="shared" si="4"/>
        <v>210.68439999999998</v>
      </c>
      <c r="M33" s="4"/>
      <c r="N33" s="35">
        <f>INDEX('UC models'!$F$30:$F$47,MATCH($B33,'UC models'!$B$8:$B$25,0)) / 5</f>
        <v>50.825027513229792</v>
      </c>
      <c r="O33" s="47">
        <f>INDEX('UC models'!$F$52:$F$69,MATCH($B33,'UC models'!$B$8:$B$25,0)) / 5</f>
        <v>2.1301077581647836</v>
      </c>
      <c r="P33" s="47">
        <f>INDEX('UC models'!$F$8:$F$25,MATCH($B33,'UC models'!$B$8:$B$25,0)) / 5</f>
        <v>8.4067417250283434</v>
      </c>
      <c r="Q33" s="33">
        <f t="shared" si="7"/>
        <v>61.361876996422922</v>
      </c>
      <c r="S33" s="86">
        <f>'Actuals and unmodelled'!D8</f>
        <v>6.4232086862719147</v>
      </c>
      <c r="U33" s="59">
        <f t="shared" si="5"/>
        <v>278.46948568269477</v>
      </c>
    </row>
    <row r="34" spans="1:21" s="1" customFormat="1" x14ac:dyDescent="0.2">
      <c r="A34" s="16"/>
      <c r="B34" s="48" t="s">
        <v>21</v>
      </c>
      <c r="C34" s="47" t="s">
        <v>79</v>
      </c>
      <c r="D34" s="47">
        <f>'Econometric models'!F11 / 5</f>
        <v>510.42719999999997</v>
      </c>
      <c r="E34" s="123">
        <f t="shared" si="6"/>
        <v>510.42719999999997</v>
      </c>
      <c r="F34" s="47">
        <f>'Econometric models'!F53 / 5</f>
        <v>514.17520000000002</v>
      </c>
      <c r="G34" s="47">
        <f>'Econometric models'!F32 / 5</f>
        <v>502.18079999999998</v>
      </c>
      <c r="H34" s="33">
        <f t="shared" si="3"/>
        <v>508.178</v>
      </c>
      <c r="I34" s="3"/>
      <c r="J34" s="35">
        <f>'Econometric models'!F95 / 5</f>
        <v>399.59859999999998</v>
      </c>
      <c r="K34" s="47">
        <f>'Econometric models'!F74 / 5</f>
        <v>404.30700000000002</v>
      </c>
      <c r="L34" s="33">
        <f t="shared" si="4"/>
        <v>401.95280000000002</v>
      </c>
      <c r="M34" s="4"/>
      <c r="N34" s="35">
        <f>INDEX('UC models'!$F$30:$F$47,MATCH($B34,'UC models'!$B$8:$B$25,0)) / 5</f>
        <v>27.640609726555169</v>
      </c>
      <c r="O34" s="47">
        <f>INDEX('UC models'!$F$52:$F$69,MATCH($B34,'UC models'!$B$8:$B$25,0)) / 5</f>
        <v>0.47491296009689898</v>
      </c>
      <c r="P34" s="47">
        <f>INDEX('UC models'!$F$8:$F$25,MATCH($B34,'UC models'!$B$8:$B$25,0)) / 5</f>
        <v>19.233407901049208</v>
      </c>
      <c r="Q34" s="33">
        <f t="shared" si="7"/>
        <v>47.348930587701275</v>
      </c>
      <c r="S34" s="86">
        <f>'Actuals and unmodelled'!D9</f>
        <v>40.525902147388514</v>
      </c>
      <c r="U34" s="59">
        <f t="shared" si="5"/>
        <v>489.82763273508982</v>
      </c>
    </row>
    <row r="35" spans="1:21" s="1" customFormat="1" x14ac:dyDescent="0.2">
      <c r="A35" s="16"/>
      <c r="B35" s="48" t="s">
        <v>22</v>
      </c>
      <c r="C35" s="47" t="s">
        <v>79</v>
      </c>
      <c r="D35" s="47">
        <f>'Econometric models'!F12 / 5</f>
        <v>164.34262000000001</v>
      </c>
      <c r="E35" s="123">
        <f t="shared" si="6"/>
        <v>164.34262000000001</v>
      </c>
      <c r="F35" s="47">
        <f>'Econometric models'!F54 / 5</f>
        <v>162.53304</v>
      </c>
      <c r="G35" s="47">
        <f>'Econometric models'!F33 / 5</f>
        <v>163.74215999999998</v>
      </c>
      <c r="H35" s="33">
        <f t="shared" si="3"/>
        <v>163.13759999999999</v>
      </c>
      <c r="I35" s="3"/>
      <c r="J35" s="35">
        <f>'Econometric models'!F96 / 5</f>
        <v>109.56071999999999</v>
      </c>
      <c r="K35" s="47">
        <f>'Econometric models'!F75 / 5</f>
        <v>107.77557999999999</v>
      </c>
      <c r="L35" s="33">
        <f t="shared" si="4"/>
        <v>108.66815</v>
      </c>
      <c r="M35" s="4"/>
      <c r="N35" s="35">
        <f>INDEX('UC models'!$F$30:$F$47,MATCH($B35,'UC models'!$B$8:$B$25,0)) / 5</f>
        <v>6.6893655090251656</v>
      </c>
      <c r="O35" s="47">
        <f>INDEX('UC models'!$F$52:$F$69,MATCH($B35,'UC models'!$B$8:$B$25,0)) / 5</f>
        <v>8.2854650995778892E-2</v>
      </c>
      <c r="P35" s="47">
        <f>INDEX('UC models'!$F$8:$F$25,MATCH($B35,'UC models'!$B$8:$B$25,0)) / 5</f>
        <v>5.7167930401598364</v>
      </c>
      <c r="Q35" s="33">
        <f t="shared" si="7"/>
        <v>12.489013200180782</v>
      </c>
      <c r="S35" s="86">
        <f>'Actuals and unmodelled'!D10</f>
        <v>9.5340229064502342</v>
      </c>
      <c r="U35" s="59">
        <f t="shared" si="5"/>
        <v>130.69118610663102</v>
      </c>
    </row>
    <row r="36" spans="1:21" s="1" customFormat="1" x14ac:dyDescent="0.2">
      <c r="A36" s="16"/>
      <c r="B36" s="48" t="s">
        <v>23</v>
      </c>
      <c r="C36" s="47" t="s">
        <v>79</v>
      </c>
      <c r="D36" s="47">
        <f>'Econometric models'!F13 / 5</f>
        <v>142.00943999999998</v>
      </c>
      <c r="E36" s="123">
        <f t="shared" si="6"/>
        <v>142.00943999999998</v>
      </c>
      <c r="F36" s="47">
        <f>'Econometric models'!F55 / 5</f>
        <v>149.9752</v>
      </c>
      <c r="G36" s="47">
        <f>'Econometric models'!F34 / 5</f>
        <v>142.93616</v>
      </c>
      <c r="H36" s="33">
        <f t="shared" si="3"/>
        <v>146.45568</v>
      </c>
      <c r="I36" s="3"/>
      <c r="J36" s="35">
        <f>'Econometric models'!F97 / 5</f>
        <v>116.71928</v>
      </c>
      <c r="K36" s="47">
        <f>'Econometric models'!F76 / 5</f>
        <v>106.63204</v>
      </c>
      <c r="L36" s="33">
        <f t="shared" si="4"/>
        <v>111.67565999999999</v>
      </c>
      <c r="M36" s="4"/>
      <c r="N36" s="35">
        <f>INDEX('UC models'!$F$30:$F$47,MATCH($B36,'UC models'!$B$8:$B$25,0)) / 5</f>
        <v>51.224905002537241</v>
      </c>
      <c r="O36" s="47">
        <f>INDEX('UC models'!$F$52:$F$69,MATCH($B36,'UC models'!$B$8:$B$25,0)) / 5</f>
        <v>6.3108757067173477E-2</v>
      </c>
      <c r="P36" s="47">
        <f>INDEX('UC models'!$F$8:$F$25,MATCH($B36,'UC models'!$B$8:$B$25,0)) / 5</f>
        <v>6.2585090774750185</v>
      </c>
      <c r="Q36" s="33">
        <f t="shared" si="7"/>
        <v>57.546522837079436</v>
      </c>
      <c r="S36" s="86">
        <f>'Actuals and unmodelled'!D11</f>
        <v>8.316174991477272</v>
      </c>
      <c r="U36" s="59">
        <f t="shared" si="5"/>
        <v>177.53835782855671</v>
      </c>
    </row>
    <row r="37" spans="1:21" s="1" customFormat="1" x14ac:dyDescent="0.2">
      <c r="A37" s="16"/>
      <c r="B37" s="48" t="s">
        <v>24</v>
      </c>
      <c r="C37" s="47" t="s">
        <v>79</v>
      </c>
      <c r="D37" s="47">
        <f>'Econometric models'!F14 / 5</f>
        <v>790.48339999999996</v>
      </c>
      <c r="E37" s="123">
        <f t="shared" si="6"/>
        <v>790.48339999999996</v>
      </c>
      <c r="F37" s="47">
        <f>'Econometric models'!F56 / 5</f>
        <v>816.92139999999995</v>
      </c>
      <c r="G37" s="47">
        <f>'Econometric models'!F35 / 5</f>
        <v>787.6146</v>
      </c>
      <c r="H37" s="33">
        <f t="shared" si="3"/>
        <v>802.26800000000003</v>
      </c>
      <c r="I37" s="3"/>
      <c r="J37" s="35">
        <f>'Econometric models'!F98 / 5</f>
        <v>506.75519999999995</v>
      </c>
      <c r="K37" s="47">
        <f>'Econometric models'!F77 / 5</f>
        <v>472.30619999999999</v>
      </c>
      <c r="L37" s="33">
        <f t="shared" si="4"/>
        <v>489.53069999999997</v>
      </c>
      <c r="M37" s="4"/>
      <c r="N37" s="35">
        <f>INDEX('UC models'!$F$30:$F$47,MATCH($B37,'UC models'!$B$8:$B$25,0)) / 5</f>
        <v>36.589830660660347</v>
      </c>
      <c r="O37" s="47">
        <f>INDEX('UC models'!$F$52:$F$69,MATCH($B37,'UC models'!$B$8:$B$25,0)) / 5</f>
        <v>5.1289762928854561</v>
      </c>
      <c r="P37" s="47">
        <f>INDEX('UC models'!$F$8:$F$25,MATCH($B37,'UC models'!$B$8:$B$25,0)) / 5</f>
        <v>26.208946832109085</v>
      </c>
      <c r="Q37" s="33">
        <f t="shared" si="7"/>
        <v>67.927753785654886</v>
      </c>
      <c r="S37" s="86">
        <f>'Actuals and unmodelled'!D12</f>
        <v>24.825922518780473</v>
      </c>
      <c r="U37" s="59">
        <f t="shared" si="5"/>
        <v>582.28437630443534</v>
      </c>
    </row>
    <row r="38" spans="1:21" s="1" customFormat="1" x14ac:dyDescent="0.2">
      <c r="A38" s="16"/>
      <c r="B38" s="48" t="s">
        <v>25</v>
      </c>
      <c r="C38" s="47" t="s">
        <v>79</v>
      </c>
      <c r="D38" s="47">
        <f>'Econometric models'!F15 / 5</f>
        <v>438.46420000000001</v>
      </c>
      <c r="E38" s="123">
        <f t="shared" si="6"/>
        <v>438.46420000000001</v>
      </c>
      <c r="F38" s="47">
        <f>'Econometric models'!F57 / 5</f>
        <v>450.524</v>
      </c>
      <c r="G38" s="47">
        <f>'Econometric models'!F36 / 5</f>
        <v>430.91520000000003</v>
      </c>
      <c r="H38" s="33">
        <f t="shared" si="3"/>
        <v>440.71960000000001</v>
      </c>
      <c r="I38" s="3"/>
      <c r="J38" s="35">
        <f>'Econometric models'!F99 / 5</f>
        <v>343.85919999999999</v>
      </c>
      <c r="K38" s="47">
        <f>'Econometric models'!F78 / 5</f>
        <v>325.38479999999998</v>
      </c>
      <c r="L38" s="33">
        <f t="shared" si="4"/>
        <v>334.62199999999996</v>
      </c>
      <c r="M38" s="4"/>
      <c r="N38" s="35">
        <f>INDEX('UC models'!$F$30:$F$47,MATCH($B38,'UC models'!$B$8:$B$25,0)) / 5</f>
        <v>7.1292860270643121</v>
      </c>
      <c r="O38" s="47">
        <f>INDEX('UC models'!$F$52:$F$69,MATCH($B38,'UC models'!$B$8:$B$25,0)) / 5</f>
        <v>1.787882386390018</v>
      </c>
      <c r="P38" s="47">
        <f>INDEX('UC models'!$F$8:$F$25,MATCH($B38,'UC models'!$B$8:$B$25,0)) / 5</f>
        <v>13.73381896917881</v>
      </c>
      <c r="Q38" s="33">
        <f t="shared" si="7"/>
        <v>22.65098738263314</v>
      </c>
      <c r="S38" s="86">
        <f>'Actuals and unmodelled'!D13</f>
        <v>64.225571755508525</v>
      </c>
      <c r="U38" s="59">
        <f t="shared" si="5"/>
        <v>421.49855913814167</v>
      </c>
    </row>
    <row r="39" spans="1:21" s="1" customFormat="1" x14ac:dyDescent="0.2">
      <c r="A39" s="16"/>
      <c r="B39" s="48" t="s">
        <v>26</v>
      </c>
      <c r="C39" s="47" t="s">
        <v>79</v>
      </c>
      <c r="D39" s="47">
        <f>'Econometric models'!F16 / 5</f>
        <v>105.86623999999999</v>
      </c>
      <c r="E39" s="123">
        <f t="shared" si="6"/>
        <v>105.86623999999999</v>
      </c>
      <c r="F39" s="47">
        <f>'Econometric models'!F58 / 5</f>
        <v>117.02221999999999</v>
      </c>
      <c r="G39" s="47">
        <f>'Econometric models'!F37 / 5</f>
        <v>108.47652000000001</v>
      </c>
      <c r="H39" s="33">
        <f t="shared" si="3"/>
        <v>112.74937</v>
      </c>
      <c r="I39" s="3"/>
      <c r="J39" s="35">
        <f>'Econometric models'!F100 / 5</f>
        <v>85.919060000000002</v>
      </c>
      <c r="K39" s="47">
        <f>'Econometric models'!F79 / 5</f>
        <v>83.216639999999998</v>
      </c>
      <c r="L39" s="33">
        <f t="shared" si="4"/>
        <v>84.567849999999993</v>
      </c>
      <c r="M39" s="4"/>
      <c r="N39" s="35">
        <f>INDEX('UC models'!$F$30:$F$47,MATCH($B39,'UC models'!$B$8:$B$25,0)) / 5</f>
        <v>0</v>
      </c>
      <c r="O39" s="47">
        <f>INDEX('UC models'!$F$52:$F$69,MATCH($B39,'UC models'!$B$8:$B$25,0)) / 5</f>
        <v>0.28080359251096432</v>
      </c>
      <c r="P39" s="47">
        <f>INDEX('UC models'!$F$8:$F$25,MATCH($B39,'UC models'!$B$8:$B$25,0)) / 5</f>
        <v>5.3072347650223621</v>
      </c>
      <c r="Q39" s="33">
        <f t="shared" si="7"/>
        <v>5.5880383575333266</v>
      </c>
      <c r="S39" s="86">
        <f>'Actuals and unmodelled'!D14</f>
        <v>16.840724605271284</v>
      </c>
      <c r="U39" s="59">
        <f t="shared" si="5"/>
        <v>106.99661296280459</v>
      </c>
    </row>
    <row r="40" spans="1:21" s="1" customFormat="1" x14ac:dyDescent="0.2">
      <c r="A40" s="16"/>
      <c r="B40" s="48" t="s">
        <v>27</v>
      </c>
      <c r="C40" s="47" t="s">
        <v>79</v>
      </c>
      <c r="D40" s="47">
        <f>'Econometric models'!F17 / 5</f>
        <v>289.62739999999997</v>
      </c>
      <c r="E40" s="123">
        <f t="shared" si="6"/>
        <v>289.62739999999997</v>
      </c>
      <c r="F40" s="47">
        <f>'Econometric models'!F59 / 5</f>
        <v>311.76519999999999</v>
      </c>
      <c r="G40" s="47">
        <f>'Econometric models'!F38 / 5</f>
        <v>307.29740000000004</v>
      </c>
      <c r="H40" s="33">
        <f t="shared" si="3"/>
        <v>309.53129999999999</v>
      </c>
      <c r="I40" s="3"/>
      <c r="J40" s="35">
        <f>'Econometric models'!F101 / 5</f>
        <v>239.16199999999998</v>
      </c>
      <c r="K40" s="47">
        <f>'Econometric models'!F80 / 5</f>
        <v>240.01900000000001</v>
      </c>
      <c r="L40" s="33">
        <f t="shared" si="4"/>
        <v>239.59049999999999</v>
      </c>
      <c r="M40" s="4"/>
      <c r="N40" s="35">
        <f>INDEX('UC models'!$F$30:$F$47,MATCH($B40,'UC models'!$B$8:$B$25,0)) / 5</f>
        <v>0</v>
      </c>
      <c r="O40" s="47">
        <f>INDEX('UC models'!$F$52:$F$69,MATCH($B40,'UC models'!$B$8:$B$25,0)) / 5</f>
        <v>6.425054192380621</v>
      </c>
      <c r="P40" s="47">
        <f>INDEX('UC models'!$F$8:$F$25,MATCH($B40,'UC models'!$B$8:$B$25,0)) / 5</f>
        <v>12.921845790027623</v>
      </c>
      <c r="Q40" s="33">
        <f t="shared" si="7"/>
        <v>19.346899982408246</v>
      </c>
      <c r="S40" s="86">
        <f>'Actuals and unmodelled'!D15</f>
        <v>14.965437003650942</v>
      </c>
      <c r="U40" s="59">
        <f t="shared" si="5"/>
        <v>273.90283698605919</v>
      </c>
    </row>
    <row r="41" spans="1:21" s="1" customFormat="1" x14ac:dyDescent="0.2">
      <c r="A41" s="16"/>
      <c r="B41" s="48" t="s">
        <v>28</v>
      </c>
      <c r="C41" s="47" t="s">
        <v>79</v>
      </c>
      <c r="D41" s="47">
        <f>'Econometric models'!F18 / 5</f>
        <v>191.6772</v>
      </c>
      <c r="E41" s="123">
        <f t="shared" si="6"/>
        <v>191.6772</v>
      </c>
      <c r="F41" s="47">
        <f>'Econometric models'!F60 / 5</f>
        <v>222.95179999999999</v>
      </c>
      <c r="G41" s="47">
        <f>'Econometric models'!F39 / 5</f>
        <v>224.59479999999999</v>
      </c>
      <c r="H41" s="33">
        <f t="shared" si="3"/>
        <v>223.77330000000001</v>
      </c>
      <c r="I41" s="3"/>
      <c r="J41" s="35">
        <f>'Econometric models'!F102 / 5</f>
        <v>171.65716</v>
      </c>
      <c r="K41" s="47">
        <f>'Econometric models'!F81 / 5</f>
        <v>177.96516</v>
      </c>
      <c r="L41" s="33">
        <f t="shared" si="4"/>
        <v>174.81116</v>
      </c>
      <c r="M41" s="4"/>
      <c r="N41" s="35">
        <f>INDEX('UC models'!$F$30:$F$47,MATCH($B41,'UC models'!$B$8:$B$25,0)) / 5</f>
        <v>3.3252315458352433</v>
      </c>
      <c r="O41" s="47">
        <f>INDEX('UC models'!$F$52:$F$69,MATCH($B41,'UC models'!$B$8:$B$25,0)) / 5</f>
        <v>5.6094710875110143E-2</v>
      </c>
      <c r="P41" s="47">
        <f>INDEX('UC models'!$F$8:$F$25,MATCH($B41,'UC models'!$B$8:$B$25,0)) / 5</f>
        <v>11.685758874434303</v>
      </c>
      <c r="Q41" s="33">
        <f t="shared" si="7"/>
        <v>15.067085131144657</v>
      </c>
      <c r="S41" s="86">
        <f>'Actuals and unmodelled'!D16</f>
        <v>0.97779098346265947</v>
      </c>
      <c r="U41" s="59">
        <f t="shared" si="5"/>
        <v>190.85603611460732</v>
      </c>
    </row>
    <row r="42" spans="1:21" s="1" customFormat="1" x14ac:dyDescent="0.2">
      <c r="A42" s="16"/>
      <c r="B42" s="48" t="s">
        <v>29</v>
      </c>
      <c r="C42" s="47" t="s">
        <v>79</v>
      </c>
      <c r="D42" s="47">
        <f>'Econometric models'!F19 / 5</f>
        <v>73.555319999999995</v>
      </c>
      <c r="E42" s="123">
        <f t="shared" si="6"/>
        <v>73.555319999999995</v>
      </c>
      <c r="F42" s="47">
        <f>'Econometric models'!F61 / 5</f>
        <v>62.74212</v>
      </c>
      <c r="G42" s="47">
        <f>'Econometric models'!F40 / 5</f>
        <v>62.523659999999992</v>
      </c>
      <c r="H42" s="33">
        <f t="shared" si="3"/>
        <v>62.632889999999996</v>
      </c>
      <c r="I42" s="3"/>
      <c r="J42" s="35">
        <f>'Econometric models'!F103 / 5</f>
        <v>54.625219999999999</v>
      </c>
      <c r="K42" s="47">
        <f>'Econometric models'!F82 / 5</f>
        <v>54.718899999999998</v>
      </c>
      <c r="L42" s="33">
        <f t="shared" si="4"/>
        <v>54.672060000000002</v>
      </c>
      <c r="M42" s="4"/>
      <c r="N42" s="35">
        <f>INDEX('UC models'!$F$30:$F$47,MATCH($B42,'UC models'!$B$8:$B$25,0)) / 5</f>
        <v>9.263616102042791</v>
      </c>
      <c r="O42" s="47">
        <f>INDEX('UC models'!$F$52:$F$69,MATCH($B42,'UC models'!$B$8:$B$25,0)) / 5</f>
        <v>0.10768799335108732</v>
      </c>
      <c r="P42" s="47">
        <f>INDEX('UC models'!$F$8:$F$25,MATCH($B42,'UC models'!$B$8:$B$25,0)) / 5</f>
        <v>3.7095630408542748</v>
      </c>
      <c r="Q42" s="33">
        <f t="shared" si="7"/>
        <v>13.080867136248152</v>
      </c>
      <c r="S42" s="86">
        <f>'Actuals and unmodelled'!D17</f>
        <v>10.15684549883043</v>
      </c>
      <c r="U42" s="59">
        <f t="shared" si="5"/>
        <v>77.909772635078596</v>
      </c>
    </row>
    <row r="43" spans="1:21" s="1" customFormat="1" x14ac:dyDescent="0.2">
      <c r="A43" s="16"/>
      <c r="B43" s="48" t="s">
        <v>30</v>
      </c>
      <c r="C43" s="47" t="s">
        <v>79</v>
      </c>
      <c r="D43" s="47">
        <f>'Econometric models'!F20 / 5</f>
        <v>15.960314</v>
      </c>
      <c r="E43" s="123">
        <f t="shared" si="6"/>
        <v>15.960314</v>
      </c>
      <c r="F43" s="47">
        <f>'Econometric models'!F62 / 5</f>
        <v>18.207114000000001</v>
      </c>
      <c r="G43" s="47">
        <f>'Econometric models'!F41 / 5</f>
        <v>17.37876</v>
      </c>
      <c r="H43" s="33">
        <f t="shared" si="3"/>
        <v>17.792937000000002</v>
      </c>
      <c r="I43" s="3"/>
      <c r="J43" s="35">
        <f>'Econometric models'!F104 / 5</f>
        <v>17.09592</v>
      </c>
      <c r="K43" s="47">
        <f>'Econometric models'!F83 / 5</f>
        <v>15.733547999999999</v>
      </c>
      <c r="L43" s="33">
        <f t="shared" si="4"/>
        <v>16.414733999999999</v>
      </c>
      <c r="M43" s="4"/>
      <c r="N43" s="35">
        <f>INDEX('UC models'!$F$30:$F$47,MATCH($B43,'UC models'!$B$8:$B$25,0)) / 5</f>
        <v>0</v>
      </c>
      <c r="O43" s="47">
        <f>INDEX('UC models'!$F$52:$F$69,MATCH($B43,'UC models'!$B$8:$B$25,0)) / 5</f>
        <v>0</v>
      </c>
      <c r="P43" s="47">
        <f>INDEX('UC models'!$F$8:$F$25,MATCH($B43,'UC models'!$B$8:$B$25,0)) / 5</f>
        <v>0.56924707753469561</v>
      </c>
      <c r="Q43" s="33">
        <f t="shared" si="7"/>
        <v>0.56924707753469561</v>
      </c>
      <c r="S43" s="86">
        <f>'Actuals and unmodelled'!D18</f>
        <v>0.88373661294964168</v>
      </c>
      <c r="U43" s="59">
        <f t="shared" si="5"/>
        <v>17.867717690484334</v>
      </c>
    </row>
    <row r="44" spans="1:21" s="1" customFormat="1" x14ac:dyDescent="0.2">
      <c r="A44" s="16"/>
      <c r="B44" s="48" t="s">
        <v>31</v>
      </c>
      <c r="C44" s="47" t="s">
        <v>79</v>
      </c>
      <c r="D44" s="47">
        <f>'Econometric models'!F21 / 5</f>
        <v>28.1861</v>
      </c>
      <c r="E44" s="123">
        <f t="shared" si="6"/>
        <v>28.1861</v>
      </c>
      <c r="F44" s="47">
        <f>'Econometric models'!F63 / 5</f>
        <v>32.170200000000001</v>
      </c>
      <c r="G44" s="47">
        <f>'Econometric models'!F42 / 5</f>
        <v>30.638719999999999</v>
      </c>
      <c r="H44" s="33">
        <f t="shared" si="3"/>
        <v>31.40446</v>
      </c>
      <c r="I44" s="3"/>
      <c r="J44" s="35">
        <f>'Econometric models'!F105 / 5</f>
        <v>27.23236</v>
      </c>
      <c r="K44" s="47">
        <f>'Econometric models'!F84 / 5</f>
        <v>26.0748</v>
      </c>
      <c r="L44" s="33">
        <f t="shared" si="4"/>
        <v>26.653579999999998</v>
      </c>
      <c r="M44" s="4"/>
      <c r="N44" s="35">
        <f>INDEX('UC models'!$F$30:$F$47,MATCH($B44,'UC models'!$B$8:$B$25,0)) / 5</f>
        <v>0</v>
      </c>
      <c r="O44" s="47">
        <f>INDEX('UC models'!$F$52:$F$69,MATCH($B44,'UC models'!$B$8:$B$25,0)) / 5</f>
        <v>5.41626511093833E-2</v>
      </c>
      <c r="P44" s="47">
        <f>INDEX('UC models'!$F$8:$F$25,MATCH($B44,'UC models'!$B$8:$B$25,0)) / 5</f>
        <v>1.3887517114746502</v>
      </c>
      <c r="Q44" s="33">
        <f t="shared" si="7"/>
        <v>1.4429143625840335</v>
      </c>
      <c r="S44" s="86">
        <f>'Actuals and unmodelled'!D19</f>
        <v>0.444653133336676</v>
      </c>
      <c r="U44" s="59">
        <f t="shared" si="5"/>
        <v>28.541147495920708</v>
      </c>
    </row>
    <row r="45" spans="1:21" s="1" customFormat="1" x14ac:dyDescent="0.2">
      <c r="A45" s="16"/>
      <c r="B45" s="48" t="s">
        <v>32</v>
      </c>
      <c r="C45" s="47" t="s">
        <v>79</v>
      </c>
      <c r="D45" s="47">
        <f>'Econometric models'!F22 / 5</f>
        <v>25.438399999999998</v>
      </c>
      <c r="E45" s="123">
        <f t="shared" si="6"/>
        <v>25.438399999999998</v>
      </c>
      <c r="F45" s="47">
        <f>'Econometric models'!F64 / 5</f>
        <v>27.289280000000002</v>
      </c>
      <c r="G45" s="47">
        <f>'Econometric models'!F43 / 5</f>
        <v>26.384859999999996</v>
      </c>
      <c r="H45" s="33">
        <f t="shared" si="3"/>
        <v>26.837069999999997</v>
      </c>
      <c r="I45" s="3"/>
      <c r="J45" s="35">
        <f>'Econometric models'!F106 / 5</f>
        <v>22.233600000000003</v>
      </c>
      <c r="K45" s="47">
        <f>'Econometric models'!F85 / 5</f>
        <v>21.78912</v>
      </c>
      <c r="L45" s="33">
        <f t="shared" si="4"/>
        <v>22.011360000000003</v>
      </c>
      <c r="M45" s="4"/>
      <c r="N45" s="35">
        <f>INDEX('UC models'!$F$30:$F$47,MATCH($B45,'UC models'!$B$8:$B$25,0)) / 5</f>
        <v>11.786442683994988</v>
      </c>
      <c r="O45" s="47">
        <f>INDEX('UC models'!$F$52:$F$69,MATCH($B45,'UC models'!$B$8:$B$25,0)) / 5</f>
        <v>0</v>
      </c>
      <c r="P45" s="47">
        <f>INDEX('UC models'!$F$8:$F$25,MATCH($B45,'UC models'!$B$8:$B$25,0)) / 5</f>
        <v>1.0391978274100606</v>
      </c>
      <c r="Q45" s="33">
        <f t="shared" si="7"/>
        <v>12.825640511405048</v>
      </c>
      <c r="S45" s="86">
        <f>'Actuals and unmodelled'!D20</f>
        <v>0.57069238715308557</v>
      </c>
      <c r="U45" s="59">
        <f t="shared" si="5"/>
        <v>35.407692898558139</v>
      </c>
    </row>
    <row r="46" spans="1:21" s="1" customFormat="1" x14ac:dyDescent="0.2">
      <c r="A46" s="16"/>
      <c r="B46" s="48" t="s">
        <v>33</v>
      </c>
      <c r="C46" s="47" t="s">
        <v>79</v>
      </c>
      <c r="D46" s="47">
        <f>'Econometric models'!F23 / 5</f>
        <v>137.26826</v>
      </c>
      <c r="E46" s="123">
        <f t="shared" si="6"/>
        <v>137.26826</v>
      </c>
      <c r="F46" s="47">
        <f>'Econometric models'!F65 / 5</f>
        <v>154.66014000000001</v>
      </c>
      <c r="G46" s="47">
        <f>'Econometric models'!F44 / 5</f>
        <v>149.82873999999998</v>
      </c>
      <c r="H46" s="33">
        <f t="shared" si="3"/>
        <v>152.24444</v>
      </c>
      <c r="I46" s="3"/>
      <c r="J46" s="35">
        <f>'Econometric models'!F107 / 5</f>
        <v>119.41252</v>
      </c>
      <c r="K46" s="47">
        <f>'Econometric models'!F86 / 5</f>
        <v>113.84482</v>
      </c>
      <c r="L46" s="33">
        <f t="shared" si="4"/>
        <v>116.62867</v>
      </c>
      <c r="M46" s="4"/>
      <c r="N46" s="35">
        <f>INDEX('UC models'!$F$30:$F$47,MATCH($B46,'UC models'!$B$8:$B$25,0)) / 5</f>
        <v>16.87131391646842</v>
      </c>
      <c r="O46" s="47">
        <f>INDEX('UC models'!$F$52:$F$69,MATCH($B46,'UC models'!$B$8:$B$25,0)) / 5</f>
        <v>0</v>
      </c>
      <c r="P46" s="47">
        <f>INDEX('UC models'!$F$8:$F$25,MATCH($B46,'UC models'!$B$8:$B$25,0)) / 5</f>
        <v>7.6874505549543501</v>
      </c>
      <c r="Q46" s="33">
        <f t="shared" si="7"/>
        <v>24.558764471422769</v>
      </c>
      <c r="S46" s="86">
        <f>'Actuals and unmodelled'!D21</f>
        <v>6.2973624728779338</v>
      </c>
      <c r="U46" s="59">
        <f t="shared" si="5"/>
        <v>147.48479694430068</v>
      </c>
    </row>
    <row r="47" spans="1:21" s="1" customFormat="1" x14ac:dyDescent="0.2">
      <c r="A47" s="16"/>
      <c r="B47" s="48" t="s">
        <v>34</v>
      </c>
      <c r="C47" s="47" t="s">
        <v>79</v>
      </c>
      <c r="D47" s="47">
        <f>'Econometric models'!F24 / 5</f>
        <v>74.673879999999997</v>
      </c>
      <c r="E47" s="123">
        <f t="shared" si="6"/>
        <v>74.673879999999997</v>
      </c>
      <c r="F47" s="47">
        <f>'Econometric models'!F66 / 5</f>
        <v>82.499920000000003</v>
      </c>
      <c r="G47" s="47">
        <f>'Econometric models'!F45 / 5</f>
        <v>81.876999999999995</v>
      </c>
      <c r="H47" s="33">
        <f t="shared" si="3"/>
        <v>82.188459999999992</v>
      </c>
      <c r="I47" s="3"/>
      <c r="J47" s="35">
        <f>'Econometric models'!F108 / 5</f>
        <v>69.817080000000004</v>
      </c>
      <c r="K47" s="47">
        <f>'Econometric models'!F87 / 5</f>
        <v>70.199460000000002</v>
      </c>
      <c r="L47" s="33">
        <f t="shared" si="4"/>
        <v>70.00827000000001</v>
      </c>
      <c r="M47" s="4"/>
      <c r="N47" s="35">
        <f>INDEX('UC models'!$F$30:$F$47,MATCH($B47,'UC models'!$B$8:$B$25,0)) / 5</f>
        <v>8.4909844168614033</v>
      </c>
      <c r="O47" s="47">
        <f>INDEX('UC models'!$F$52:$F$69,MATCH($B47,'UC models'!$B$8:$B$25,0)) / 5</f>
        <v>6.1436159379435903E-2</v>
      </c>
      <c r="P47" s="47">
        <f>INDEX('UC models'!$F$8:$F$25,MATCH($B47,'UC models'!$B$8:$B$25,0)) / 5</f>
        <v>3.5246126691442838</v>
      </c>
      <c r="Q47" s="33">
        <f t="shared" si="7"/>
        <v>12.077033245385124</v>
      </c>
      <c r="S47" s="86">
        <f>'Actuals and unmodelled'!D22</f>
        <v>8.7557463223094683</v>
      </c>
      <c r="U47" s="59">
        <f t="shared" si="5"/>
        <v>90.841049567694597</v>
      </c>
    </row>
    <row r="48" spans="1:21" s="1" customFormat="1" ht="15" thickBot="1" x14ac:dyDescent="0.25">
      <c r="A48" s="16"/>
      <c r="B48" s="112" t="s">
        <v>35</v>
      </c>
      <c r="C48" s="50" t="s">
        <v>79</v>
      </c>
      <c r="D48" s="50">
        <f>'Econometric models'!F25 / 5</f>
        <v>42.365339999999996</v>
      </c>
      <c r="E48" s="124">
        <f t="shared" si="6"/>
        <v>42.365339999999996</v>
      </c>
      <c r="F48" s="50">
        <f>'Econometric models'!F67 / 5</f>
        <v>38.519999999999996</v>
      </c>
      <c r="G48" s="50">
        <f>'Econometric models'!F46 / 5</f>
        <v>37.67454</v>
      </c>
      <c r="H48" s="31">
        <f t="shared" si="3"/>
        <v>38.097269999999995</v>
      </c>
      <c r="I48" s="3"/>
      <c r="J48" s="49">
        <f>'Econometric models'!F109 / 5</f>
        <v>32.85378</v>
      </c>
      <c r="K48" s="50">
        <f>'Econometric models'!F88 / 5</f>
        <v>32.966059999999999</v>
      </c>
      <c r="L48" s="31">
        <f t="shared" si="4"/>
        <v>32.90992</v>
      </c>
      <c r="M48" s="4"/>
      <c r="N48" s="49">
        <f>INDEX('UC models'!$F$30:$F$47,MATCH($B48,'UC models'!$B$8:$B$25,0)) / 5</f>
        <v>11.938728983584179</v>
      </c>
      <c r="O48" s="50">
        <f>INDEX('UC models'!$F$52:$F$69,MATCH($B48,'UC models'!$B$8:$B$25,0)) / 5</f>
        <v>0.1167772948237005</v>
      </c>
      <c r="P48" s="50">
        <f>INDEX('UC models'!$F$8:$F$25,MATCH($B48,'UC models'!$B$8:$B$25,0)) / 5</f>
        <v>1.7382232510236868</v>
      </c>
      <c r="Q48" s="31">
        <f t="shared" si="7"/>
        <v>13.793729529431566</v>
      </c>
      <c r="S48" s="87">
        <f>'Actuals and unmodelled'!D23</f>
        <v>3.0160283076089032</v>
      </c>
      <c r="U48" s="60">
        <f t="shared" si="5"/>
        <v>49.719677837040472</v>
      </c>
    </row>
    <row r="49" spans="1:21" s="1" customFormat="1" ht="13.5" thickBot="1" x14ac:dyDescent="0.25">
      <c r="B49" s="51" t="s">
        <v>81</v>
      </c>
      <c r="C49" s="53">
        <v>0</v>
      </c>
      <c r="D49" s="54">
        <f>1-C49</f>
        <v>1</v>
      </c>
      <c r="E49" s="58"/>
      <c r="F49" s="53">
        <v>0.5</v>
      </c>
      <c r="G49" s="54">
        <f>1-F49</f>
        <v>0.5</v>
      </c>
      <c r="H49" s="58"/>
      <c r="J49" s="68">
        <v>0.5</v>
      </c>
      <c r="K49" s="69">
        <f>1-J49</f>
        <v>0.5</v>
      </c>
      <c r="L49" s="70"/>
      <c r="M49" s="2"/>
      <c r="N49" s="72"/>
      <c r="O49" s="73"/>
      <c r="P49" s="58"/>
      <c r="Q49" s="58"/>
      <c r="S49" s="58"/>
      <c r="U49" s="75"/>
    </row>
    <row r="50" spans="1:21" s="1" customFormat="1" ht="13.5" thickBot="1" x14ac:dyDescent="0.25">
      <c r="B50" s="52" t="s">
        <v>82</v>
      </c>
      <c r="C50" s="56"/>
      <c r="D50" s="57"/>
      <c r="E50" s="55">
        <v>0.33333333333333298</v>
      </c>
      <c r="F50" s="56"/>
      <c r="G50" s="57"/>
      <c r="H50" s="55">
        <v>0.33333333333333298</v>
      </c>
      <c r="J50" s="56"/>
      <c r="K50" s="57"/>
      <c r="L50" s="71"/>
      <c r="M50" s="2"/>
      <c r="N50" s="56"/>
      <c r="O50" s="57"/>
      <c r="P50" s="74"/>
      <c r="Q50" s="74"/>
      <c r="S50" s="74"/>
      <c r="U50" s="76">
        <v>0.33333333333333298</v>
      </c>
    </row>
    <row r="51" spans="1:21" s="1" customFormat="1" ht="12.75" x14ac:dyDescent="0.2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21" s="1" customFormat="1" ht="12.75" x14ac:dyDescent="0.2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21" s="1" customFormat="1" ht="12.75" x14ac:dyDescent="0.2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21" s="1" customFormat="1" ht="12.75" x14ac:dyDescent="0.2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21" s="1" customFormat="1" ht="30" x14ac:dyDescent="0.3">
      <c r="B55" s="5" t="s">
        <v>36</v>
      </c>
      <c r="C55" s="6"/>
      <c r="D55" s="7" t="s">
        <v>37</v>
      </c>
      <c r="E55" s="6"/>
      <c r="F55" s="8" t="s">
        <v>38</v>
      </c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21" s="1" customFormat="1" ht="15" x14ac:dyDescent="0.3">
      <c r="A56" s="2"/>
      <c r="B56" s="9" t="s">
        <v>39</v>
      </c>
      <c r="C56" s="10"/>
      <c r="D56" s="11"/>
      <c r="E56" s="10"/>
      <c r="F56" s="12"/>
      <c r="G56" s="2"/>
      <c r="H56" s="2"/>
      <c r="I56" s="2"/>
      <c r="J56" s="2"/>
      <c r="K56" s="2"/>
      <c r="L56" s="2"/>
      <c r="M56" s="2"/>
      <c r="N56" s="13"/>
      <c r="O56" s="13"/>
      <c r="P56" s="13"/>
      <c r="Q56" s="13"/>
    </row>
    <row r="57" spans="1:21" s="1" customFormat="1" ht="15" x14ac:dyDescent="0.3">
      <c r="A57" s="2"/>
      <c r="B57" s="14" t="s">
        <v>40</v>
      </c>
      <c r="C57" s="10"/>
      <c r="D57" s="11" t="s">
        <v>41</v>
      </c>
      <c r="E57" s="10"/>
      <c r="F57" s="15">
        <v>5</v>
      </c>
      <c r="G57" s="2"/>
      <c r="H57" s="2"/>
      <c r="I57" s="2"/>
      <c r="J57" s="2"/>
      <c r="K57" s="2"/>
      <c r="L57" s="2"/>
      <c r="M57" s="2"/>
      <c r="N57" s="13"/>
      <c r="O57" s="13"/>
      <c r="P57" s="13"/>
      <c r="Q57" s="13"/>
    </row>
    <row r="58" spans="1:21" s="2" customFormat="1" ht="15" x14ac:dyDescent="0.3">
      <c r="B58" s="14" t="s">
        <v>42</v>
      </c>
      <c r="C58" s="10"/>
      <c r="D58" s="11" t="s">
        <v>41</v>
      </c>
      <c r="E58" s="10"/>
      <c r="F58" s="15">
        <v>5</v>
      </c>
      <c r="N58" s="13"/>
      <c r="O58" s="13"/>
      <c r="P58" s="13"/>
      <c r="Q58" s="13"/>
      <c r="R58" s="1"/>
      <c r="S58" s="1"/>
      <c r="T58" s="1"/>
      <c r="U58" s="1"/>
    </row>
    <row r="59" spans="1:21" s="2" customFormat="1" ht="15" x14ac:dyDescent="0.3">
      <c r="B59" s="9" t="s">
        <v>43</v>
      </c>
      <c r="C59" s="10"/>
      <c r="D59" s="11"/>
      <c r="E59" s="10"/>
      <c r="F59" s="15"/>
      <c r="N59" s="13"/>
      <c r="O59" s="13"/>
      <c r="P59" s="13"/>
      <c r="Q59" s="13"/>
      <c r="R59" s="1"/>
      <c r="S59" s="1"/>
      <c r="T59" s="1"/>
      <c r="U59" s="1"/>
    </row>
    <row r="60" spans="1:21" s="2" customFormat="1" ht="15" x14ac:dyDescent="0.3">
      <c r="B60" s="14" t="s">
        <v>44</v>
      </c>
      <c r="C60" s="10"/>
      <c r="D60" s="11" t="s">
        <v>45</v>
      </c>
      <c r="E60" s="10"/>
      <c r="F60" s="15">
        <v>5</v>
      </c>
      <c r="N60" s="13"/>
      <c r="O60" s="13"/>
      <c r="P60" s="13"/>
      <c r="Q60" s="13"/>
      <c r="R60" s="1"/>
      <c r="S60" s="1"/>
      <c r="T60" s="1"/>
      <c r="U60" s="1"/>
    </row>
    <row r="61" spans="1:21" s="2" customFormat="1" ht="15" x14ac:dyDescent="0.3">
      <c r="B61" s="14" t="s">
        <v>46</v>
      </c>
      <c r="C61" s="10"/>
      <c r="D61" s="11" t="s">
        <v>41</v>
      </c>
      <c r="E61" s="10"/>
      <c r="F61" s="15">
        <v>5</v>
      </c>
      <c r="N61" s="13"/>
      <c r="O61" s="13"/>
      <c r="P61" s="13"/>
      <c r="Q61" s="13"/>
      <c r="R61" s="1"/>
      <c r="S61" s="1"/>
      <c r="T61" s="1"/>
      <c r="U61" s="1"/>
    </row>
    <row r="62" spans="1:21" s="2" customFormat="1" ht="15" x14ac:dyDescent="0.3">
      <c r="B62" s="14" t="s">
        <v>47</v>
      </c>
      <c r="C62" s="10"/>
      <c r="D62" s="11" t="s">
        <v>41</v>
      </c>
      <c r="E62" s="10"/>
      <c r="F62" s="15">
        <v>5</v>
      </c>
      <c r="N62" s="13"/>
      <c r="O62" s="13"/>
      <c r="P62" s="13"/>
      <c r="Q62" s="13"/>
      <c r="R62" s="1"/>
      <c r="S62" s="1"/>
      <c r="T62" s="1"/>
      <c r="U62" s="1"/>
    </row>
    <row r="63" spans="1:21" s="2" customFormat="1" ht="15" x14ac:dyDescent="0.3">
      <c r="B63" s="9" t="s">
        <v>48</v>
      </c>
      <c r="C63" s="10"/>
      <c r="D63" s="11" t="s">
        <v>45</v>
      </c>
      <c r="E63" s="10"/>
      <c r="F63" s="15">
        <v>5</v>
      </c>
      <c r="N63" s="13"/>
      <c r="O63" s="13"/>
      <c r="P63" s="13"/>
      <c r="Q63" s="13"/>
      <c r="R63" s="1"/>
      <c r="S63" s="1"/>
      <c r="T63" s="1"/>
      <c r="U63" s="1"/>
    </row>
    <row r="64" spans="1:21" s="2" customForma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s="2" customForma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</sheetData>
  <conditionalFormatting sqref="G7:G2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4AA00"/>
  </sheetPr>
  <dimension ref="A1:U65"/>
  <sheetViews>
    <sheetView showGridLines="0" zoomScale="70" zoomScaleNormal="70" workbookViewId="0">
      <selection activeCell="C7" sqref="C7"/>
    </sheetView>
  </sheetViews>
  <sheetFormatPr defaultRowHeight="14.25" x14ac:dyDescent="0.2"/>
  <cols>
    <col min="1" max="1" width="1.375" customWidth="1"/>
    <col min="2" max="2" width="20.75" bestFit="1" customWidth="1"/>
    <col min="3" max="8" width="12" customWidth="1"/>
    <col min="9" max="9" width="2.5" customWidth="1"/>
    <col min="10" max="12" width="12" customWidth="1"/>
    <col min="13" max="13" width="2.5" customWidth="1"/>
    <col min="14" max="17" width="12" customWidth="1"/>
    <col min="18" max="18" width="2.5" customWidth="1"/>
    <col min="19" max="19" width="12" customWidth="1"/>
    <col min="20" max="20" width="2.5" customWidth="1"/>
    <col min="21" max="21" width="12" customWidth="1"/>
  </cols>
  <sheetData>
    <row r="1" spans="1:21" ht="20.25" x14ac:dyDescent="0.2">
      <c r="B1" s="25" t="s">
        <v>104</v>
      </c>
      <c r="C1" s="25"/>
      <c r="D1" s="25"/>
      <c r="E1" s="25"/>
      <c r="F1" s="25"/>
      <c r="G1" s="25"/>
      <c r="H1" s="25"/>
      <c r="I1" s="25"/>
      <c r="J1" s="25"/>
      <c r="K1" s="25"/>
      <c r="L1" s="26"/>
      <c r="M1" s="27"/>
      <c r="N1" s="28"/>
    </row>
    <row r="2" spans="1:21" ht="20.25" x14ac:dyDescent="0.2">
      <c r="A2" s="36"/>
      <c r="B2" t="s">
        <v>105</v>
      </c>
      <c r="C2" s="37"/>
      <c r="D2" s="37"/>
      <c r="E2" s="37"/>
      <c r="F2" s="37"/>
      <c r="G2" s="37"/>
      <c r="H2" s="37"/>
      <c r="I2" s="37"/>
      <c r="J2" s="37"/>
      <c r="K2" s="37"/>
      <c r="L2" s="38"/>
      <c r="M2" s="39"/>
      <c r="N2" s="40"/>
      <c r="O2" s="36"/>
      <c r="P2" s="36"/>
      <c r="Q2" s="36"/>
      <c r="R2" s="36"/>
      <c r="S2" s="36"/>
      <c r="T2" s="36"/>
      <c r="U2" s="36"/>
    </row>
    <row r="3" spans="1:21" s="36" customFormat="1" ht="15" customHeight="1" x14ac:dyDescent="0.2"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  <c r="M3" s="39"/>
      <c r="N3" s="40"/>
    </row>
    <row r="4" spans="1:21" s="30" customFormat="1" ht="12.75" x14ac:dyDescent="0.2">
      <c r="A4" s="1"/>
      <c r="B4" s="30" t="s">
        <v>0</v>
      </c>
    </row>
    <row r="5" spans="1:21" ht="15" thickBot="1" x14ac:dyDescent="0.25">
      <c r="B5" s="46"/>
    </row>
    <row r="6" spans="1:21" ht="51" x14ac:dyDescent="0.2">
      <c r="B6" s="109"/>
      <c r="C6" s="110" t="s">
        <v>119</v>
      </c>
      <c r="D6" s="110" t="s">
        <v>49</v>
      </c>
      <c r="E6" s="111" t="s">
        <v>59</v>
      </c>
      <c r="G6" s="115" t="s">
        <v>50</v>
      </c>
      <c r="J6" s="29"/>
    </row>
    <row r="7" spans="1:21" x14ac:dyDescent="0.2">
      <c r="B7" s="48" t="s">
        <v>18</v>
      </c>
      <c r="C7" s="85">
        <f>'Actuals and unmodelled'!C6</f>
        <v>299.50447674109319</v>
      </c>
      <c r="D7" s="61">
        <f t="shared" ref="D7:D24" si="0">U31 * $U$50 + E31 * $E$50 + H31*$H$50</f>
        <v>287.00690564233537</v>
      </c>
      <c r="E7" s="62">
        <f t="shared" ref="E7:E24" si="1">D7-C7</f>
        <v>-12.497571098757817</v>
      </c>
      <c r="G7" s="88">
        <f t="shared" ref="G7:G24" si="2">C7/D7</f>
        <v>1.0435444961534555</v>
      </c>
    </row>
    <row r="8" spans="1:21" x14ac:dyDescent="0.2">
      <c r="B8" s="48" t="s">
        <v>19</v>
      </c>
      <c r="C8" s="85">
        <f>'Actuals and unmodelled'!C7</f>
        <v>256.45900400700691</v>
      </c>
      <c r="D8" s="61">
        <f t="shared" si="0"/>
        <v>222.95586217693506</v>
      </c>
      <c r="E8" s="62">
        <f t="shared" si="1"/>
        <v>-33.503141830071854</v>
      </c>
      <c r="G8" s="88">
        <f t="shared" si="2"/>
        <v>1.1502680463431105</v>
      </c>
    </row>
    <row r="9" spans="1:21" x14ac:dyDescent="0.2">
      <c r="B9" s="48" t="s">
        <v>20</v>
      </c>
      <c r="C9" s="85">
        <f>'Actuals and unmodelled'!C8</f>
        <v>248.78087730407066</v>
      </c>
      <c r="D9" s="61">
        <f t="shared" si="0"/>
        <v>256.9311857341977</v>
      </c>
      <c r="E9" s="62">
        <f t="shared" si="1"/>
        <v>8.1503084301270405</v>
      </c>
      <c r="G9" s="88">
        <f t="shared" si="2"/>
        <v>0.96827824381521843</v>
      </c>
    </row>
    <row r="10" spans="1:21" x14ac:dyDescent="0.2">
      <c r="B10" s="48" t="s">
        <v>21</v>
      </c>
      <c r="C10" s="85">
        <f>'Actuals and unmodelled'!C9</f>
        <v>460.31409692571941</v>
      </c>
      <c r="D10" s="61">
        <f t="shared" si="0"/>
        <v>460.29918258867224</v>
      </c>
      <c r="E10" s="62">
        <f t="shared" si="1"/>
        <v>-1.4914337047173376E-2</v>
      </c>
      <c r="G10" s="88">
        <f t="shared" si="2"/>
        <v>1.0000324013980717</v>
      </c>
    </row>
    <row r="11" spans="1:21" x14ac:dyDescent="0.2">
      <c r="B11" s="48" t="s">
        <v>22</v>
      </c>
      <c r="C11" s="85">
        <f>'Actuals and unmodelled'!C10</f>
        <v>122.92562284369383</v>
      </c>
      <c r="D11" s="61">
        <f t="shared" si="0"/>
        <v>138.52408811408009</v>
      </c>
      <c r="E11" s="62">
        <f t="shared" si="1"/>
        <v>15.598465270386257</v>
      </c>
      <c r="G11" s="88">
        <f t="shared" si="2"/>
        <v>0.88739528638845611</v>
      </c>
    </row>
    <row r="12" spans="1:21" x14ac:dyDescent="0.2">
      <c r="B12" s="48" t="s">
        <v>23</v>
      </c>
      <c r="C12" s="85">
        <f>'Actuals and unmodelled'!C11</f>
        <v>150.27023224455382</v>
      </c>
      <c r="D12" s="61">
        <f t="shared" si="0"/>
        <v>140.58150793622562</v>
      </c>
      <c r="E12" s="62">
        <f t="shared" si="1"/>
        <v>-9.6887243083282044</v>
      </c>
      <c r="G12" s="88">
        <f t="shared" si="2"/>
        <v>1.0689189101081735</v>
      </c>
    </row>
    <row r="13" spans="1:21" x14ac:dyDescent="0.2">
      <c r="B13" s="48" t="s">
        <v>24</v>
      </c>
      <c r="C13" s="85">
        <f>'Actuals and unmodelled'!C12</f>
        <v>642.07282396680955</v>
      </c>
      <c r="D13" s="61">
        <f t="shared" si="0"/>
        <v>638.88550180789548</v>
      </c>
      <c r="E13" s="62">
        <f t="shared" si="1"/>
        <v>-3.1873221589140712</v>
      </c>
      <c r="G13" s="88">
        <f t="shared" si="2"/>
        <v>1.0049888785234518</v>
      </c>
    </row>
    <row r="14" spans="1:21" x14ac:dyDescent="0.2">
      <c r="B14" s="48" t="s">
        <v>25</v>
      </c>
      <c r="C14" s="85">
        <f>'Actuals and unmodelled'!C13</f>
        <v>428.51939516860182</v>
      </c>
      <c r="D14" s="61">
        <f t="shared" si="0"/>
        <v>398.28398636031756</v>
      </c>
      <c r="E14" s="62">
        <f t="shared" si="1"/>
        <v>-30.235408808284262</v>
      </c>
      <c r="G14" s="88">
        <f t="shared" si="2"/>
        <v>1.0759141965123624</v>
      </c>
    </row>
    <row r="15" spans="1:21" x14ac:dyDescent="0.2">
      <c r="B15" s="48" t="s">
        <v>26</v>
      </c>
      <c r="C15" s="85">
        <f>'Actuals and unmodelled'!C14</f>
        <v>103.19810338694435</v>
      </c>
      <c r="D15" s="61">
        <f t="shared" si="0"/>
        <v>96.87698225505153</v>
      </c>
      <c r="E15" s="62">
        <f t="shared" si="1"/>
        <v>-6.3211211318928235</v>
      </c>
      <c r="G15" s="88">
        <f t="shared" si="2"/>
        <v>1.0652489475286397</v>
      </c>
    </row>
    <row r="16" spans="1:21" x14ac:dyDescent="0.2">
      <c r="B16" s="48" t="s">
        <v>27</v>
      </c>
      <c r="C16" s="85">
        <f>'Actuals and unmodelled'!C15</f>
        <v>269.59350092579319</v>
      </c>
      <c r="D16" s="61">
        <f t="shared" si="0"/>
        <v>270.09965626180468</v>
      </c>
      <c r="E16" s="62">
        <f t="shared" si="1"/>
        <v>0.50615533601148854</v>
      </c>
      <c r="G16" s="88">
        <f t="shared" si="2"/>
        <v>0.99812604228003576</v>
      </c>
    </row>
    <row r="17" spans="1:21" x14ac:dyDescent="0.2">
      <c r="B17" s="48" t="s">
        <v>28</v>
      </c>
      <c r="C17" s="85">
        <f>'Actuals and unmodelled'!C16</f>
        <v>188.3814893434668</v>
      </c>
      <c r="D17" s="61">
        <f t="shared" si="0"/>
        <v>185.67860440720241</v>
      </c>
      <c r="E17" s="62">
        <f t="shared" si="1"/>
        <v>-2.7028849362643825</v>
      </c>
      <c r="G17" s="88">
        <f t="shared" si="2"/>
        <v>1.0145567926088932</v>
      </c>
    </row>
    <row r="18" spans="1:21" x14ac:dyDescent="0.2">
      <c r="B18" s="48" t="s">
        <v>29</v>
      </c>
      <c r="C18" s="85">
        <f>'Actuals and unmodelled'!C17</f>
        <v>83.509154781814743</v>
      </c>
      <c r="D18" s="61">
        <f t="shared" si="0"/>
        <v>65.189357592060418</v>
      </c>
      <c r="E18" s="62">
        <f t="shared" si="1"/>
        <v>-18.319797189754325</v>
      </c>
      <c r="G18" s="88">
        <f t="shared" si="2"/>
        <v>1.2810243553003742</v>
      </c>
    </row>
    <row r="19" spans="1:21" x14ac:dyDescent="0.2">
      <c r="B19" s="48" t="s">
        <v>30</v>
      </c>
      <c r="C19" s="85">
        <f>'Actuals and unmodelled'!C18</f>
        <v>15.386596043227918</v>
      </c>
      <c r="D19" s="61">
        <f t="shared" si="0"/>
        <v>14.926110162940272</v>
      </c>
      <c r="E19" s="62">
        <f t="shared" si="1"/>
        <v>-0.4604858802876457</v>
      </c>
      <c r="G19" s="88">
        <f t="shared" si="2"/>
        <v>1.0308510305270946</v>
      </c>
    </row>
    <row r="20" spans="1:21" x14ac:dyDescent="0.2">
      <c r="B20" s="48" t="s">
        <v>31</v>
      </c>
      <c r="C20" s="85">
        <f>'Actuals and unmodelled'!C19</f>
        <v>25.275437630520553</v>
      </c>
      <c r="D20" s="61">
        <f t="shared" si="0"/>
        <v>25.975813362358799</v>
      </c>
      <c r="E20" s="62">
        <f t="shared" si="1"/>
        <v>0.7003757318382462</v>
      </c>
      <c r="G20" s="88">
        <f t="shared" si="2"/>
        <v>0.97303738974144494</v>
      </c>
    </row>
    <row r="21" spans="1:21" x14ac:dyDescent="0.2">
      <c r="B21" s="48" t="s">
        <v>32</v>
      </c>
      <c r="C21" s="85">
        <f>'Actuals and unmodelled'!C20</f>
        <v>23.087649891918904</v>
      </c>
      <c r="D21" s="61">
        <f t="shared" si="0"/>
        <v>25.654885994568161</v>
      </c>
      <c r="E21" s="62">
        <f t="shared" si="1"/>
        <v>2.5672361026492574</v>
      </c>
      <c r="G21" s="88">
        <f t="shared" si="2"/>
        <v>0.89993188419575076</v>
      </c>
    </row>
    <row r="22" spans="1:21" x14ac:dyDescent="0.2">
      <c r="B22" s="48" t="s">
        <v>33</v>
      </c>
      <c r="C22" s="85">
        <f>'Actuals and unmodelled'!C21</f>
        <v>128.56502518005942</v>
      </c>
      <c r="D22" s="61">
        <f t="shared" si="0"/>
        <v>132.35419746472465</v>
      </c>
      <c r="E22" s="62">
        <f t="shared" si="1"/>
        <v>3.7891722846652272</v>
      </c>
      <c r="G22" s="88">
        <f t="shared" si="2"/>
        <v>0.97137097003912454</v>
      </c>
    </row>
    <row r="23" spans="1:21" x14ac:dyDescent="0.2">
      <c r="B23" s="48" t="s">
        <v>34</v>
      </c>
      <c r="C23" s="85">
        <f>'Actuals and unmodelled'!C22</f>
        <v>73.981398480475391</v>
      </c>
      <c r="D23" s="61">
        <f t="shared" si="0"/>
        <v>74.817547732426888</v>
      </c>
      <c r="E23" s="62">
        <f t="shared" si="1"/>
        <v>0.83614925195149681</v>
      </c>
      <c r="G23" s="88">
        <f t="shared" si="2"/>
        <v>0.98882415586592265</v>
      </c>
    </row>
    <row r="24" spans="1:21" ht="15" thickBot="1" x14ac:dyDescent="0.25">
      <c r="B24" s="112" t="s">
        <v>35</v>
      </c>
      <c r="C24" s="113">
        <f>'Actuals and unmodelled'!C23</f>
        <v>42.474457888840497</v>
      </c>
      <c r="D24" s="114">
        <f t="shared" si="0"/>
        <v>38.790349890073934</v>
      </c>
      <c r="E24" s="63">
        <f t="shared" si="1"/>
        <v>-3.6841079987665637</v>
      </c>
      <c r="G24" s="116">
        <f t="shared" si="2"/>
        <v>1.0949748586750772</v>
      </c>
    </row>
    <row r="25" spans="1:21" ht="15" thickBot="1" x14ac:dyDescent="0.25">
      <c r="B25" s="64" t="s">
        <v>63</v>
      </c>
      <c r="C25" s="65">
        <f>SUM(C7:C24)</f>
        <v>3562.2993427546112</v>
      </c>
      <c r="D25" s="66">
        <f>SUM(D7:D24)</f>
        <v>3473.8317254838712</v>
      </c>
      <c r="E25" s="67">
        <f>SUM(E7:E24)</f>
        <v>-88.467617270740107</v>
      </c>
      <c r="G25" s="89"/>
    </row>
    <row r="26" spans="1:21" x14ac:dyDescent="0.2">
      <c r="G26" s="17"/>
      <c r="H26" s="17"/>
      <c r="I26" s="17"/>
      <c r="J26" s="17"/>
      <c r="L26" s="17"/>
    </row>
    <row r="27" spans="1:21" s="30" customFormat="1" ht="12.75" x14ac:dyDescent="0.2">
      <c r="A27" s="1"/>
      <c r="B27" s="30" t="s">
        <v>0</v>
      </c>
    </row>
    <row r="28" spans="1:21" s="1" customFormat="1" ht="13.5" thickBot="1" x14ac:dyDescent="0.2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21" s="1" customFormat="1" ht="13.5" x14ac:dyDescent="0.2">
      <c r="B29" s="117"/>
      <c r="C29" s="118" t="s">
        <v>80</v>
      </c>
      <c r="D29" s="118"/>
      <c r="E29" s="118"/>
      <c r="F29" s="118"/>
      <c r="G29" s="118"/>
      <c r="H29" s="119"/>
      <c r="I29" s="2"/>
      <c r="J29" s="125" t="s">
        <v>1</v>
      </c>
      <c r="K29" s="118"/>
      <c r="L29" s="119"/>
      <c r="N29" s="125" t="s">
        <v>2</v>
      </c>
      <c r="O29" s="118"/>
      <c r="P29" s="118"/>
      <c r="Q29" s="126"/>
      <c r="S29" s="115" t="s">
        <v>3</v>
      </c>
      <c r="U29" s="115" t="s">
        <v>4</v>
      </c>
    </row>
    <row r="30" spans="1:21" s="1" customFormat="1" ht="38.25" x14ac:dyDescent="0.2">
      <c r="B30" s="120"/>
      <c r="C30" s="121" t="s">
        <v>5</v>
      </c>
      <c r="D30" s="121" t="s">
        <v>6</v>
      </c>
      <c r="E30" s="121" t="s">
        <v>7</v>
      </c>
      <c r="F30" s="121" t="s">
        <v>8</v>
      </c>
      <c r="G30" s="121" t="s">
        <v>9</v>
      </c>
      <c r="H30" s="122" t="s">
        <v>10</v>
      </c>
      <c r="J30" s="120" t="s">
        <v>11</v>
      </c>
      <c r="K30" s="121" t="s">
        <v>12</v>
      </c>
      <c r="L30" s="122" t="s">
        <v>13</v>
      </c>
      <c r="N30" s="120" t="s">
        <v>14</v>
      </c>
      <c r="O30" s="121" t="s">
        <v>15</v>
      </c>
      <c r="P30" s="121" t="s">
        <v>16</v>
      </c>
      <c r="Q30" s="122" t="s">
        <v>17</v>
      </c>
      <c r="S30" s="127"/>
      <c r="U30" s="127"/>
    </row>
    <row r="31" spans="1:21" s="1" customFormat="1" x14ac:dyDescent="0.2">
      <c r="A31" s="16"/>
      <c r="B31" s="48" t="s">
        <v>18</v>
      </c>
      <c r="C31" s="47" t="s">
        <v>79</v>
      </c>
      <c r="D31" s="47">
        <f>'Econometric models'!G8 / 5</f>
        <v>278.00120000000004</v>
      </c>
      <c r="E31" s="123">
        <f>D31</f>
        <v>278.00120000000004</v>
      </c>
      <c r="F31" s="47">
        <f>'Econometric models'!G50 / 5</f>
        <v>300.45100000000002</v>
      </c>
      <c r="G31" s="47">
        <f>'Econometric models'!G29 / 5</f>
        <v>301.65819999999997</v>
      </c>
      <c r="H31" s="33">
        <f t="shared" ref="H31:H48" si="3">F$49 * F31 + G$49 * G31</f>
        <v>301.05459999999999</v>
      </c>
      <c r="I31" s="3"/>
      <c r="J31" s="35">
        <f>'Econometric models'!G92 / 5</f>
        <v>215.3494</v>
      </c>
      <c r="K31" s="47">
        <f>'Econometric models'!G71 / 5</f>
        <v>214.47220000000002</v>
      </c>
      <c r="L31" s="33">
        <f t="shared" ref="L31:L48" si="4">J$49 * J31 + K$49 * K31</f>
        <v>214.91079999999999</v>
      </c>
      <c r="M31" s="4"/>
      <c r="N31" s="35">
        <f>INDEX('UC models'!$G$30:$G$47,MATCH($B31,'UC models'!$B$8:$B$25,0)) / 5</f>
        <v>29.808684841150772</v>
      </c>
      <c r="O31" s="47">
        <f>INDEX('UC models'!$G$52:$G$69,MATCH($B31,'UC models'!$B$8:$B$25,0)) / 5</f>
        <v>1.0973716780431624</v>
      </c>
      <c r="P31" s="47">
        <f>INDEX('UC models'!$G$8:$G$25,MATCH($B31,'UC models'!$B$8:$B$25,0)) / 5</f>
        <v>14.360651295895376</v>
      </c>
      <c r="Q31" s="33">
        <f>SUM(N31:P31)</f>
        <v>45.266707815089312</v>
      </c>
      <c r="S31" s="86">
        <f>'Actuals and unmodelled'!D6</f>
        <v>21.7874091119177</v>
      </c>
      <c r="U31" s="59">
        <f t="shared" ref="U31:U48" si="5">L31+Q31+S31</f>
        <v>281.96491692700704</v>
      </c>
    </row>
    <row r="32" spans="1:21" s="1" customFormat="1" x14ac:dyDescent="0.2">
      <c r="A32" s="16"/>
      <c r="B32" s="48" t="s">
        <v>19</v>
      </c>
      <c r="C32" s="47" t="s">
        <v>79</v>
      </c>
      <c r="D32" s="47">
        <f>'Econometric models'!G9 / 5</f>
        <v>245.29560000000001</v>
      </c>
      <c r="E32" s="123">
        <f t="shared" ref="E32:E48" si="6">D32</f>
        <v>245.29560000000001</v>
      </c>
      <c r="F32" s="47">
        <f>'Econometric models'!G51 / 5</f>
        <v>222.11619999999999</v>
      </c>
      <c r="G32" s="47">
        <f>'Econometric models'!G30 / 5</f>
        <v>236.86080000000001</v>
      </c>
      <c r="H32" s="33">
        <f t="shared" si="3"/>
        <v>229.48849999999999</v>
      </c>
      <c r="I32" s="3"/>
      <c r="J32" s="35">
        <f>'Econometric models'!G93 / 5</f>
        <v>150.66004000000001</v>
      </c>
      <c r="K32" s="47">
        <f>'Econometric models'!G72 / 5</f>
        <v>164.14967999999999</v>
      </c>
      <c r="L32" s="33">
        <f t="shared" si="4"/>
        <v>157.40485999999999</v>
      </c>
      <c r="M32" s="4"/>
      <c r="N32" s="35">
        <f>INDEX('UC models'!$G$30:$G$47,MATCH($B32,'UC models'!$B$8:$B$25,0)) / 5</f>
        <v>8.2135882534326434</v>
      </c>
      <c r="O32" s="47">
        <f>INDEX('UC models'!$G$52:$G$69,MATCH($B32,'UC models'!$B$8:$B$25,0)) / 5</f>
        <v>0</v>
      </c>
      <c r="P32" s="47">
        <f>INDEX('UC models'!$G$8:$G$25,MATCH($B32,'UC models'!$B$8:$B$25,0)) / 5</f>
        <v>5.5024673890531348</v>
      </c>
      <c r="Q32" s="33">
        <f t="shared" ref="Q32:Q48" si="7">SUM(N32:P32)</f>
        <v>13.716055642485777</v>
      </c>
      <c r="S32" s="86">
        <f>'Actuals and unmodelled'!D7</f>
        <v>22.962570888320133</v>
      </c>
      <c r="U32" s="59">
        <f t="shared" si="5"/>
        <v>194.08348653080589</v>
      </c>
    </row>
    <row r="33" spans="1:21" s="1" customFormat="1" x14ac:dyDescent="0.2">
      <c r="A33" s="16"/>
      <c r="B33" s="48" t="s">
        <v>20</v>
      </c>
      <c r="C33" s="47" t="s">
        <v>79</v>
      </c>
      <c r="D33" s="47">
        <f>'Econometric models'!G10 / 5</f>
        <v>261.10820000000001</v>
      </c>
      <c r="E33" s="123">
        <f t="shared" si="6"/>
        <v>261.10820000000001</v>
      </c>
      <c r="F33" s="47">
        <f>'Econometric models'!G52 / 5</f>
        <v>251.21619999999999</v>
      </c>
      <c r="G33" s="47">
        <f>'Econometric models'!G31 / 5</f>
        <v>254.25680000000003</v>
      </c>
      <c r="H33" s="33">
        <f t="shared" si="3"/>
        <v>252.73650000000001</v>
      </c>
      <c r="I33" s="3"/>
      <c r="J33" s="35">
        <f>'Econometric models'!G94 / 5</f>
        <v>194.25856000000002</v>
      </c>
      <c r="K33" s="47">
        <f>'Econometric models'!G73 / 5</f>
        <v>198.88842</v>
      </c>
      <c r="L33" s="33">
        <f t="shared" si="4"/>
        <v>196.57348999999999</v>
      </c>
      <c r="M33" s="4"/>
      <c r="N33" s="35">
        <f>INDEX('UC models'!$G$30:$G$47,MATCH($B33,'UC models'!$B$8:$B$25,0)) / 5</f>
        <v>44.675132197550838</v>
      </c>
      <c r="O33" s="47">
        <f>INDEX('UC models'!$G$52:$G$69,MATCH($B33,'UC models'!$B$8:$B$25,0)) / 5</f>
        <v>1.7792872798697392</v>
      </c>
      <c r="P33" s="47">
        <f>INDEX('UC models'!$G$8:$G$25,MATCH($B33,'UC models'!$B$8:$B$25,0)) / 5</f>
        <v>7.4977390389012841</v>
      </c>
      <c r="Q33" s="33">
        <f t="shared" si="7"/>
        <v>53.952158516321866</v>
      </c>
      <c r="S33" s="86">
        <f>'Actuals and unmodelled'!D8</f>
        <v>6.4232086862719147</v>
      </c>
      <c r="U33" s="59">
        <f t="shared" si="5"/>
        <v>256.94885720259379</v>
      </c>
    </row>
    <row r="34" spans="1:21" s="1" customFormat="1" x14ac:dyDescent="0.2">
      <c r="A34" s="16"/>
      <c r="B34" s="48" t="s">
        <v>21</v>
      </c>
      <c r="C34" s="47" t="s">
        <v>79</v>
      </c>
      <c r="D34" s="47">
        <f>'Econometric models'!G11 / 5</f>
        <v>476.56639999999999</v>
      </c>
      <c r="E34" s="123">
        <f t="shared" si="6"/>
        <v>476.56639999999999</v>
      </c>
      <c r="F34" s="47">
        <f>'Econometric models'!G53 / 5</f>
        <v>453.71440000000001</v>
      </c>
      <c r="G34" s="47">
        <f>'Econometric models'!G32 / 5</f>
        <v>465.89819999999997</v>
      </c>
      <c r="H34" s="33">
        <f t="shared" si="3"/>
        <v>459.80629999999996</v>
      </c>
      <c r="I34" s="3"/>
      <c r="J34" s="35">
        <f>'Econometric models'!G95 / 5</f>
        <v>350.23519999999996</v>
      </c>
      <c r="K34" s="47">
        <f>'Econometric models'!G74 / 5</f>
        <v>375.13240000000002</v>
      </c>
      <c r="L34" s="33">
        <f t="shared" si="4"/>
        <v>362.68380000000002</v>
      </c>
      <c r="M34" s="4"/>
      <c r="N34" s="35">
        <f>INDEX('UC models'!$G$30:$G$47,MATCH($B34,'UC models'!$B$8:$B$25,0)) / 5</f>
        <v>24.243473387463453</v>
      </c>
      <c r="O34" s="47">
        <f>INDEX('UC models'!$G$52:$G$69,MATCH($B34,'UC models'!$B$8:$B$25,0)) / 5</f>
        <v>0.36248845083336534</v>
      </c>
      <c r="P34" s="47">
        <f>INDEX('UC models'!$G$8:$G$25,MATCH($B34,'UC models'!$B$8:$B$25,0)) / 5</f>
        <v>16.709183780332744</v>
      </c>
      <c r="Q34" s="33">
        <f t="shared" si="7"/>
        <v>41.315145618629558</v>
      </c>
      <c r="S34" s="86">
        <f>'Actuals and unmodelled'!D9</f>
        <v>40.525902147388514</v>
      </c>
      <c r="U34" s="59">
        <f t="shared" si="5"/>
        <v>444.52484776601813</v>
      </c>
    </row>
    <row r="35" spans="1:21" s="1" customFormat="1" x14ac:dyDescent="0.2">
      <c r="A35" s="16"/>
      <c r="B35" s="48" t="s">
        <v>22</v>
      </c>
      <c r="C35" s="47" t="s">
        <v>79</v>
      </c>
      <c r="D35" s="47">
        <f>'Econometric models'!G12 / 5</f>
        <v>151.55256</v>
      </c>
      <c r="E35" s="123">
        <f t="shared" si="6"/>
        <v>151.55256</v>
      </c>
      <c r="F35" s="47">
        <f>'Econometric models'!G54 / 5</f>
        <v>143.64764</v>
      </c>
      <c r="G35" s="47">
        <f>'Econometric models'!G33 / 5</f>
        <v>150.19252</v>
      </c>
      <c r="H35" s="33">
        <f t="shared" si="3"/>
        <v>146.92007999999998</v>
      </c>
      <c r="I35" s="3"/>
      <c r="J35" s="35">
        <f>'Econometric models'!G96 / 5</f>
        <v>96.399379999999994</v>
      </c>
      <c r="K35" s="47">
        <f>'Econometric models'!G75 / 5</f>
        <v>98.883200000000002</v>
      </c>
      <c r="L35" s="33">
        <f t="shared" si="4"/>
        <v>97.641289999999998</v>
      </c>
      <c r="M35" s="4"/>
      <c r="N35" s="35">
        <f>INDEX('UC models'!$G$30:$G$47,MATCH($B35,'UC models'!$B$8:$B$25,0)) / 5</f>
        <v>4.9620881627714777</v>
      </c>
      <c r="O35" s="47">
        <f>INDEX('UC models'!$G$52:$G$69,MATCH($B35,'UC models'!$B$8:$B$25,0)) / 5</f>
        <v>8.0319758245120561E-3</v>
      </c>
      <c r="P35" s="47">
        <f>INDEX('UC models'!$G$8:$G$25,MATCH($B35,'UC models'!$B$8:$B$25,0)) / 5</f>
        <v>4.9541912971945212</v>
      </c>
      <c r="Q35" s="33">
        <f t="shared" si="7"/>
        <v>9.9243114357905107</v>
      </c>
      <c r="S35" s="86">
        <f>'Actuals and unmodelled'!D10</f>
        <v>9.5340229064502342</v>
      </c>
      <c r="U35" s="59">
        <f t="shared" si="5"/>
        <v>117.09962434224074</v>
      </c>
    </row>
    <row r="36" spans="1:21" s="1" customFormat="1" x14ac:dyDescent="0.2">
      <c r="A36" s="16"/>
      <c r="B36" s="48" t="s">
        <v>23</v>
      </c>
      <c r="C36" s="47" t="s">
        <v>79</v>
      </c>
      <c r="D36" s="47">
        <f>'Econometric models'!G13 / 5</f>
        <v>128.99916000000002</v>
      </c>
      <c r="E36" s="123">
        <f t="shared" si="6"/>
        <v>128.99916000000002</v>
      </c>
      <c r="F36" s="47">
        <f>'Econometric models'!G55 / 5</f>
        <v>134.93397999999999</v>
      </c>
      <c r="G36" s="47">
        <f>'Econometric models'!G34 / 5</f>
        <v>130.66217999999998</v>
      </c>
      <c r="H36" s="33">
        <f t="shared" si="3"/>
        <v>132.79807999999997</v>
      </c>
      <c r="I36" s="3"/>
      <c r="J36" s="35">
        <f>'Econometric models'!G97 / 5</f>
        <v>104.72028</v>
      </c>
      <c r="K36" s="47">
        <f>'Econometric models'!G76 / 5</f>
        <v>97.536860000000004</v>
      </c>
      <c r="L36" s="33">
        <f t="shared" si="4"/>
        <v>101.12857</v>
      </c>
      <c r="M36" s="4"/>
      <c r="N36" s="35">
        <f>INDEX('UC models'!$G$30:$G$47,MATCH($B36,'UC models'!$B$8:$B$25,0)) / 5</f>
        <v>45.031993748908768</v>
      </c>
      <c r="O36" s="47">
        <f>INDEX('UC models'!$G$52:$G$69,MATCH($B36,'UC models'!$B$8:$B$25,0)) / 5</f>
        <v>-1.053839226591529E-3</v>
      </c>
      <c r="P36" s="47">
        <f>INDEX('UC models'!$G$8:$G$25,MATCH($B36,'UC models'!$B$8:$B$25,0)) / 5</f>
        <v>5.4715989075178157</v>
      </c>
      <c r="Q36" s="33">
        <f t="shared" si="7"/>
        <v>50.502538817199991</v>
      </c>
      <c r="S36" s="86">
        <f>'Actuals and unmodelled'!D11</f>
        <v>8.316174991477272</v>
      </c>
      <c r="U36" s="59">
        <f t="shared" si="5"/>
        <v>159.94728380867727</v>
      </c>
    </row>
    <row r="37" spans="1:21" s="1" customFormat="1" x14ac:dyDescent="0.2">
      <c r="A37" s="16"/>
      <c r="B37" s="48" t="s">
        <v>24</v>
      </c>
      <c r="C37" s="47" t="s">
        <v>79</v>
      </c>
      <c r="D37" s="47">
        <f>'Econometric models'!G14 / 5</f>
        <v>725.11180000000002</v>
      </c>
      <c r="E37" s="123">
        <f t="shared" si="6"/>
        <v>725.11180000000002</v>
      </c>
      <c r="F37" s="47">
        <f>'Econometric models'!G56 / 5</f>
        <v>672.11860000000001</v>
      </c>
      <c r="G37" s="47">
        <f>'Econometric models'!G35 / 5</f>
        <v>707.44440000000009</v>
      </c>
      <c r="H37" s="33">
        <f t="shared" si="3"/>
        <v>689.78150000000005</v>
      </c>
      <c r="I37" s="3"/>
      <c r="J37" s="35">
        <f>'Econometric models'!G98 / 5</f>
        <v>411.78699999999998</v>
      </c>
      <c r="K37" s="47">
        <f>'Econometric models'!G77 / 5</f>
        <v>424.29920000000004</v>
      </c>
      <c r="L37" s="33">
        <f t="shared" si="4"/>
        <v>418.04309999999998</v>
      </c>
      <c r="M37" s="4"/>
      <c r="N37" s="35">
        <f>INDEX('UC models'!$G$30:$G$47,MATCH($B37,'UC models'!$B$8:$B$25,0)) / 5</f>
        <v>32.151507671206659</v>
      </c>
      <c r="O37" s="47">
        <f>INDEX('UC models'!$G$52:$G$69,MATCH($B37,'UC models'!$B$8:$B$25,0)) / 5</f>
        <v>4.2481309843909338</v>
      </c>
      <c r="P37" s="47">
        <f>INDEX('UC models'!$G$8:$G$25,MATCH($B37,'UC models'!$B$8:$B$25,0)) / 5</f>
        <v>22.494544249310092</v>
      </c>
      <c r="Q37" s="33">
        <f t="shared" si="7"/>
        <v>58.89418290490768</v>
      </c>
      <c r="S37" s="86">
        <f>'Actuals and unmodelled'!D12</f>
        <v>24.825922518780473</v>
      </c>
      <c r="U37" s="59">
        <f t="shared" si="5"/>
        <v>501.76320542368813</v>
      </c>
    </row>
    <row r="38" spans="1:21" s="1" customFormat="1" x14ac:dyDescent="0.2">
      <c r="A38" s="16"/>
      <c r="B38" s="48" t="s">
        <v>25</v>
      </c>
      <c r="C38" s="47" t="s">
        <v>79</v>
      </c>
      <c r="D38" s="47">
        <f>'Econometric models'!G15 / 5</f>
        <v>406.68099999999998</v>
      </c>
      <c r="E38" s="123">
        <f t="shared" si="6"/>
        <v>406.68099999999998</v>
      </c>
      <c r="F38" s="47">
        <f>'Econometric models'!G57 / 5</f>
        <v>402.69920000000002</v>
      </c>
      <c r="G38" s="47">
        <f>'Econometric models'!G36 / 5</f>
        <v>399.66640000000001</v>
      </c>
      <c r="H38" s="33">
        <f t="shared" si="3"/>
        <v>401.18280000000004</v>
      </c>
      <c r="I38" s="3"/>
      <c r="J38" s="35">
        <f>'Econometric models'!G99 / 5</f>
        <v>305.50639999999999</v>
      </c>
      <c r="K38" s="47">
        <f>'Econometric models'!G78 / 5</f>
        <v>301.81920000000002</v>
      </c>
      <c r="L38" s="33">
        <f t="shared" si="4"/>
        <v>303.6628</v>
      </c>
      <c r="M38" s="4"/>
      <c r="N38" s="35">
        <f>INDEX('UC models'!$G$30:$G$47,MATCH($B38,'UC models'!$B$8:$B$25,0)) / 5</f>
        <v>5.4477779549824366</v>
      </c>
      <c r="O38" s="47">
        <f>INDEX('UC models'!$G$52:$G$69,MATCH($B38,'UC models'!$B$8:$B$25,0)) / 5</f>
        <v>1.492676419553971</v>
      </c>
      <c r="P38" s="47">
        <f>INDEX('UC models'!$G$8:$G$25,MATCH($B38,'UC models'!$B$8:$B$25,0)) / 5</f>
        <v>12.159332950908897</v>
      </c>
      <c r="Q38" s="33">
        <f t="shared" si="7"/>
        <v>19.099787325445305</v>
      </c>
      <c r="S38" s="86">
        <f>'Actuals and unmodelled'!D13</f>
        <v>64.225571755508525</v>
      </c>
      <c r="U38" s="59">
        <f t="shared" si="5"/>
        <v>386.98815908095389</v>
      </c>
    </row>
    <row r="39" spans="1:21" s="1" customFormat="1" x14ac:dyDescent="0.2">
      <c r="A39" s="16"/>
      <c r="B39" s="48" t="s">
        <v>26</v>
      </c>
      <c r="C39" s="47" t="s">
        <v>79</v>
      </c>
      <c r="D39" s="47">
        <f>'Econometric models'!G16 / 5</f>
        <v>96.944240000000008</v>
      </c>
      <c r="E39" s="123">
        <f t="shared" si="6"/>
        <v>96.944240000000008</v>
      </c>
      <c r="F39" s="47">
        <f>'Econometric models'!G58 / 5</f>
        <v>99.563340000000011</v>
      </c>
      <c r="G39" s="47">
        <f>'Econometric models'!G37 / 5</f>
        <v>97.268219999999999</v>
      </c>
      <c r="H39" s="33">
        <f t="shared" si="3"/>
        <v>98.415780000000012</v>
      </c>
      <c r="I39" s="3"/>
      <c r="J39" s="35">
        <f>'Econometric models'!G100 / 5</f>
        <v>72.793700000000001</v>
      </c>
      <c r="K39" s="47">
        <f>'Econometric models'!G79 / 5</f>
        <v>74.598339999999993</v>
      </c>
      <c r="L39" s="33">
        <f t="shared" si="4"/>
        <v>73.696020000000004</v>
      </c>
      <c r="M39" s="4"/>
      <c r="N39" s="35">
        <f>INDEX('UC models'!$G$30:$G$47,MATCH($B39,'UC models'!$B$8:$B$25,0)) / 5</f>
        <v>0</v>
      </c>
      <c r="O39" s="47">
        <f>INDEX('UC models'!$G$52:$G$69,MATCH($B39,'UC models'!$B$8:$B$25,0)) / 5</f>
        <v>0.183092560936918</v>
      </c>
      <c r="P39" s="47">
        <f>INDEX('UC models'!$G$8:$G$25,MATCH($B39,'UC models'!$B$8:$B$25,0)) / 5</f>
        <v>4.5510895989466933</v>
      </c>
      <c r="Q39" s="33">
        <f t="shared" si="7"/>
        <v>4.7341821598836109</v>
      </c>
      <c r="S39" s="86">
        <f>'Actuals and unmodelled'!D14</f>
        <v>16.840724605271284</v>
      </c>
      <c r="U39" s="59">
        <f t="shared" si="5"/>
        <v>95.270926765154911</v>
      </c>
    </row>
    <row r="40" spans="1:21" s="1" customFormat="1" x14ac:dyDescent="0.2">
      <c r="A40" s="16"/>
      <c r="B40" s="48" t="s">
        <v>27</v>
      </c>
      <c r="C40" s="47" t="s">
        <v>79</v>
      </c>
      <c r="D40" s="47">
        <f>'Econometric models'!G17 / 5</f>
        <v>268.43220000000002</v>
      </c>
      <c r="E40" s="123">
        <f t="shared" si="6"/>
        <v>268.43220000000002</v>
      </c>
      <c r="F40" s="47">
        <f>'Econometric models'!G59 / 5</f>
        <v>286.28120000000001</v>
      </c>
      <c r="G40" s="47">
        <f>'Econometric models'!G38 / 5</f>
        <v>289.2706</v>
      </c>
      <c r="H40" s="33">
        <f t="shared" si="3"/>
        <v>287.77589999999998</v>
      </c>
      <c r="I40" s="3"/>
      <c r="J40" s="35">
        <f>'Econometric models'!G101 / 5</f>
        <v>218.74499999999998</v>
      </c>
      <c r="K40" s="47">
        <f>'Econometric models'!G80 / 5</f>
        <v>225.98359999999997</v>
      </c>
      <c r="L40" s="33">
        <f t="shared" si="4"/>
        <v>222.36429999999996</v>
      </c>
      <c r="M40" s="4"/>
      <c r="N40" s="35">
        <f>INDEX('UC models'!$G$30:$G$47,MATCH($B40,'UC models'!$B$8:$B$25,0)) / 5</f>
        <v>0</v>
      </c>
      <c r="O40" s="47">
        <f>INDEX('UC models'!$G$52:$G$69,MATCH($B40,'UC models'!$B$8:$B$25,0)) / 5</f>
        <v>5.293690364422325</v>
      </c>
      <c r="P40" s="47">
        <f>INDEX('UC models'!$G$8:$G$25,MATCH($B40,'UC models'!$B$8:$B$25,0)) / 5</f>
        <v>11.467441417341622</v>
      </c>
      <c r="Q40" s="33">
        <f t="shared" si="7"/>
        <v>16.761131781763947</v>
      </c>
      <c r="S40" s="86">
        <f>'Actuals and unmodelled'!D15</f>
        <v>14.965437003650942</v>
      </c>
      <c r="U40" s="59">
        <f t="shared" si="5"/>
        <v>254.09086878541484</v>
      </c>
    </row>
    <row r="41" spans="1:21" s="1" customFormat="1" x14ac:dyDescent="0.2">
      <c r="A41" s="16"/>
      <c r="B41" s="48" t="s">
        <v>28</v>
      </c>
      <c r="C41" s="47" t="s">
        <v>79</v>
      </c>
      <c r="D41" s="47">
        <f>'Econometric models'!G18 / 5</f>
        <v>177.04000000000002</v>
      </c>
      <c r="E41" s="123">
        <f t="shared" si="6"/>
        <v>177.04000000000002</v>
      </c>
      <c r="F41" s="47">
        <f>'Econometric models'!G60 / 5</f>
        <v>201.9246</v>
      </c>
      <c r="G41" s="47">
        <f>'Econometric models'!G39 / 5</f>
        <v>210.2286</v>
      </c>
      <c r="H41" s="33">
        <f t="shared" si="3"/>
        <v>206.07659999999998</v>
      </c>
      <c r="I41" s="3"/>
      <c r="J41" s="35">
        <f>'Econometric models'!G102 / 5</f>
        <v>154.7543</v>
      </c>
      <c r="K41" s="47">
        <f>'Econometric models'!G81 / 5</f>
        <v>166.61408</v>
      </c>
      <c r="L41" s="33">
        <f t="shared" si="4"/>
        <v>160.68419</v>
      </c>
      <c r="M41" s="4"/>
      <c r="N41" s="35">
        <f>INDEX('UC models'!$G$30:$G$47,MATCH($B41,'UC models'!$B$8:$B$25,0)) / 5</f>
        <v>1.8423125088906822</v>
      </c>
      <c r="O41" s="47">
        <f>INDEX('UC models'!$G$52:$G$69,MATCH($B41,'UC models'!$B$8:$B$25,0)) / 5</f>
        <v>-9.4100278896774945E-3</v>
      </c>
      <c r="P41" s="47">
        <f>INDEX('UC models'!$G$8:$G$25,MATCH($B41,'UC models'!$B$8:$B$25,0)) / 5</f>
        <v>10.424329757144104</v>
      </c>
      <c r="Q41" s="33">
        <f t="shared" si="7"/>
        <v>12.257232238145109</v>
      </c>
      <c r="S41" s="86">
        <f>'Actuals and unmodelled'!D16</f>
        <v>0.97779098346265947</v>
      </c>
      <c r="U41" s="59">
        <f t="shared" si="5"/>
        <v>173.91921322160778</v>
      </c>
    </row>
    <row r="42" spans="1:21" s="1" customFormat="1" x14ac:dyDescent="0.2">
      <c r="A42" s="16"/>
      <c r="B42" s="48" t="s">
        <v>29</v>
      </c>
      <c r="C42" s="47" t="s">
        <v>79</v>
      </c>
      <c r="D42" s="47">
        <f>'Econometric models'!G19 / 5</f>
        <v>68.173360000000002</v>
      </c>
      <c r="E42" s="123">
        <f t="shared" si="6"/>
        <v>68.173360000000002</v>
      </c>
      <c r="F42" s="47">
        <f>'Econometric models'!G61 / 5</f>
        <v>56.03002</v>
      </c>
      <c r="G42" s="47">
        <f>'Econometric models'!G40 / 5</f>
        <v>58.260820000000002</v>
      </c>
      <c r="H42" s="33">
        <f t="shared" si="3"/>
        <v>57.145420000000001</v>
      </c>
      <c r="I42" s="3"/>
      <c r="J42" s="35">
        <f>'Econometric models'!G103 / 5</f>
        <v>48.468920000000004</v>
      </c>
      <c r="K42" s="47">
        <f>'Econometric models'!G82 / 5</f>
        <v>50.999079999999999</v>
      </c>
      <c r="L42" s="33">
        <f t="shared" si="4"/>
        <v>49.734000000000002</v>
      </c>
      <c r="M42" s="4"/>
      <c r="N42" s="35">
        <f>INDEX('UC models'!$G$30:$G$47,MATCH($B42,'UC models'!$B$8:$B$25,0)) / 5</f>
        <v>7.3592634316352301</v>
      </c>
      <c r="O42" s="47">
        <f>INDEX('UC models'!$G$52:$G$69,MATCH($B42,'UC models'!$B$8:$B$25,0)) / 5</f>
        <v>2.785653929820376E-2</v>
      </c>
      <c r="P42" s="47">
        <f>INDEX('UC models'!$G$8:$G$25,MATCH($B42,'UC models'!$B$8:$B$25,0)) / 5</f>
        <v>2.9713273064175469</v>
      </c>
      <c r="Q42" s="33">
        <f t="shared" si="7"/>
        <v>10.358447277350981</v>
      </c>
      <c r="S42" s="86">
        <f>'Actuals and unmodelled'!D17</f>
        <v>10.15684549883043</v>
      </c>
      <c r="U42" s="59">
        <f t="shared" si="5"/>
        <v>70.24929277618142</v>
      </c>
    </row>
    <row r="43" spans="1:21" s="1" customFormat="1" x14ac:dyDescent="0.2">
      <c r="A43" s="16"/>
      <c r="B43" s="48" t="s">
        <v>30</v>
      </c>
      <c r="C43" s="47" t="s">
        <v>79</v>
      </c>
      <c r="D43" s="47">
        <f>'Econometric models'!G20 / 5</f>
        <v>14.613506000000001</v>
      </c>
      <c r="E43" s="123">
        <f t="shared" si="6"/>
        <v>14.613506000000001</v>
      </c>
      <c r="F43" s="47">
        <f>'Econometric models'!G62 / 5</f>
        <v>15.044306000000001</v>
      </c>
      <c r="G43" s="47">
        <f>'Econometric models'!G41 / 5</f>
        <v>15.667272000000001</v>
      </c>
      <c r="H43" s="33">
        <f t="shared" si="3"/>
        <v>15.355789000000001</v>
      </c>
      <c r="I43" s="3"/>
      <c r="J43" s="35">
        <f>'Econometric models'!G104 / 5</f>
        <v>13.943002000000002</v>
      </c>
      <c r="K43" s="47">
        <f>'Econometric models'!G83 / 5</f>
        <v>14.188094000000001</v>
      </c>
      <c r="L43" s="33">
        <f t="shared" si="4"/>
        <v>14.065548000000001</v>
      </c>
      <c r="M43" s="4"/>
      <c r="N43" s="35">
        <f>INDEX('UC models'!$G$30:$G$47,MATCH($B43,'UC models'!$B$8:$B$25,0)) / 5</f>
        <v>0</v>
      </c>
      <c r="O43" s="47">
        <f>INDEX('UC models'!$G$52:$G$69,MATCH($B43,'UC models'!$B$8:$B$25,0)) / 5</f>
        <v>0</v>
      </c>
      <c r="P43" s="47">
        <f>INDEX('UC models'!$G$8:$G$25,MATCH($B43,'UC models'!$B$8:$B$25,0)) / 5</f>
        <v>-0.14024912412878168</v>
      </c>
      <c r="Q43" s="33">
        <f t="shared" si="7"/>
        <v>-0.14024912412878168</v>
      </c>
      <c r="S43" s="86">
        <f>'Actuals and unmodelled'!D18</f>
        <v>0.88373661294964168</v>
      </c>
      <c r="U43" s="59">
        <f t="shared" si="5"/>
        <v>14.809035488820863</v>
      </c>
    </row>
    <row r="44" spans="1:21" s="1" customFormat="1" x14ac:dyDescent="0.2">
      <c r="A44" s="16"/>
      <c r="B44" s="48" t="s">
        <v>31</v>
      </c>
      <c r="C44" s="47" t="s">
        <v>79</v>
      </c>
      <c r="D44" s="47">
        <f>'Econometric models'!G21 / 5</f>
        <v>25.899180000000001</v>
      </c>
      <c r="E44" s="123">
        <f t="shared" si="6"/>
        <v>25.899180000000001</v>
      </c>
      <c r="F44" s="47">
        <f>'Econometric models'!G63 / 5</f>
        <v>27.302859999999999</v>
      </c>
      <c r="G44" s="47">
        <f>'Econometric models'!G42 / 5</f>
        <v>27.94088</v>
      </c>
      <c r="H44" s="33">
        <f t="shared" si="3"/>
        <v>27.621870000000001</v>
      </c>
      <c r="I44" s="3"/>
      <c r="J44" s="35">
        <f>'Econometric models'!G105 / 5</f>
        <v>22.875920000000001</v>
      </c>
      <c r="K44" s="47">
        <f>'Econometric models'!G84 / 5</f>
        <v>23.78304</v>
      </c>
      <c r="L44" s="33">
        <f t="shared" si="4"/>
        <v>23.32948</v>
      </c>
      <c r="M44" s="4"/>
      <c r="N44" s="35">
        <f>INDEX('UC models'!$G$30:$G$47,MATCH($B44,'UC models'!$B$8:$B$25,0)) / 5</f>
        <v>0</v>
      </c>
      <c r="O44" s="47">
        <f>INDEX('UC models'!$G$52:$G$69,MATCH($B44,'UC models'!$B$8:$B$25,0)) / 5</f>
        <v>-9.2903583894378139E-3</v>
      </c>
      <c r="P44" s="47">
        <f>INDEX('UC models'!$G$8:$G$25,MATCH($B44,'UC models'!$B$8:$B$25,0)) / 5</f>
        <v>0.64154731212922633</v>
      </c>
      <c r="Q44" s="33">
        <f t="shared" si="7"/>
        <v>0.63225695373978852</v>
      </c>
      <c r="S44" s="86">
        <f>'Actuals and unmodelled'!D19</f>
        <v>0.444653133336676</v>
      </c>
      <c r="U44" s="59">
        <f t="shared" si="5"/>
        <v>24.406390087076463</v>
      </c>
    </row>
    <row r="45" spans="1:21" s="1" customFormat="1" x14ac:dyDescent="0.2">
      <c r="A45" s="16"/>
      <c r="B45" s="48" t="s">
        <v>32</v>
      </c>
      <c r="C45" s="47" t="s">
        <v>79</v>
      </c>
      <c r="D45" s="47">
        <f>'Econometric models'!G22 / 5</f>
        <v>23.389400000000002</v>
      </c>
      <c r="E45" s="123">
        <f t="shared" si="6"/>
        <v>23.389400000000002</v>
      </c>
      <c r="F45" s="47">
        <f>'Econometric models'!G64 / 5</f>
        <v>23.365919999999999</v>
      </c>
      <c r="G45" s="47">
        <f>'Econometric models'!G43 / 5</f>
        <v>23.944859999999998</v>
      </c>
      <c r="H45" s="33">
        <f t="shared" si="3"/>
        <v>23.655389999999997</v>
      </c>
      <c r="I45" s="3"/>
      <c r="J45" s="35">
        <f>'Econometric models'!G106 / 5</f>
        <v>18.924011999999998</v>
      </c>
      <c r="K45" s="47">
        <f>'Econometric models'!G85 / 5</f>
        <v>19.780111999999999</v>
      </c>
      <c r="L45" s="33">
        <f t="shared" si="4"/>
        <v>19.352061999999997</v>
      </c>
      <c r="M45" s="4"/>
      <c r="N45" s="35">
        <f>INDEX('UC models'!$G$30:$G$47,MATCH($B45,'UC models'!$B$8:$B$25,0)) / 5</f>
        <v>9.7187108682262053</v>
      </c>
      <c r="O45" s="47">
        <f>INDEX('UC models'!$G$52:$G$69,MATCH($B45,'UC models'!$B$8:$B$25,0)) / 5</f>
        <v>0</v>
      </c>
      <c r="P45" s="47">
        <f>INDEX('UC models'!$G$8:$G$25,MATCH($B45,'UC models'!$B$8:$B$25,0)) / 5</f>
        <v>0.27840272832528579</v>
      </c>
      <c r="Q45" s="33">
        <f t="shared" si="7"/>
        <v>9.9971135965514915</v>
      </c>
      <c r="S45" s="86">
        <f>'Actuals and unmodelled'!D20</f>
        <v>0.57069238715308557</v>
      </c>
      <c r="U45" s="59">
        <f t="shared" si="5"/>
        <v>29.919867983704574</v>
      </c>
    </row>
    <row r="46" spans="1:21" s="1" customFormat="1" x14ac:dyDescent="0.2">
      <c r="A46" s="16"/>
      <c r="B46" s="48" t="s">
        <v>33</v>
      </c>
      <c r="C46" s="47" t="s">
        <v>79</v>
      </c>
      <c r="D46" s="47">
        <f>'Econometric models'!G23 / 5</f>
        <v>125.56604</v>
      </c>
      <c r="E46" s="123">
        <f t="shared" si="6"/>
        <v>125.56604</v>
      </c>
      <c r="F46" s="47">
        <f>'Econometric models'!G65 / 5</f>
        <v>137.94398000000001</v>
      </c>
      <c r="G46" s="47">
        <f>'Econometric models'!G44 / 5</f>
        <v>138.57811999999998</v>
      </c>
      <c r="H46" s="33">
        <f t="shared" si="3"/>
        <v>138.26105000000001</v>
      </c>
      <c r="I46" s="3"/>
      <c r="J46" s="35">
        <f>'Econometric models'!G107 / 5</f>
        <v>106.01975999999999</v>
      </c>
      <c r="K46" s="47">
        <f>'Econometric models'!G86 / 5</f>
        <v>105.33184000000001</v>
      </c>
      <c r="L46" s="33">
        <f t="shared" si="4"/>
        <v>105.67580000000001</v>
      </c>
      <c r="M46" s="4"/>
      <c r="N46" s="35">
        <f>INDEX('UC models'!$G$30:$G$47,MATCH($B46,'UC models'!$B$8:$B$25,0)) / 5</f>
        <v>14.441367414782274</v>
      </c>
      <c r="O46" s="47">
        <f>INDEX('UC models'!$G$52:$G$69,MATCH($B46,'UC models'!$B$8:$B$25,0)) / 5</f>
        <v>0</v>
      </c>
      <c r="P46" s="47">
        <f>INDEX('UC models'!$G$8:$G$25,MATCH($B46,'UC models'!$B$8:$B$25,0)) / 5</f>
        <v>6.820972506514198</v>
      </c>
      <c r="Q46" s="33">
        <f t="shared" si="7"/>
        <v>21.262339921296473</v>
      </c>
      <c r="S46" s="86">
        <f>'Actuals and unmodelled'!D21</f>
        <v>6.2973624728779338</v>
      </c>
      <c r="U46" s="59">
        <f t="shared" si="5"/>
        <v>133.2355023941744</v>
      </c>
    </row>
    <row r="47" spans="1:21" s="1" customFormat="1" x14ac:dyDescent="0.2">
      <c r="A47" s="16"/>
      <c r="B47" s="48" t="s">
        <v>34</v>
      </c>
      <c r="C47" s="47" t="s">
        <v>79</v>
      </c>
      <c r="D47" s="47">
        <f>'Econometric models'!G24 / 5</f>
        <v>68.256780000000006</v>
      </c>
      <c r="E47" s="123">
        <f t="shared" si="6"/>
        <v>68.256780000000006</v>
      </c>
      <c r="F47" s="47">
        <f>'Econometric models'!G66 / 5</f>
        <v>72.989919999999998</v>
      </c>
      <c r="G47" s="47">
        <f>'Econometric models'!G45 / 5</f>
        <v>76.199980000000011</v>
      </c>
      <c r="H47" s="33">
        <f t="shared" si="3"/>
        <v>74.594950000000011</v>
      </c>
      <c r="I47" s="3"/>
      <c r="J47" s="35">
        <f>'Econometric models'!G108 / 5</f>
        <v>61.336580000000005</v>
      </c>
      <c r="K47" s="47">
        <f>'Econometric models'!G87 / 5</f>
        <v>65.345500000000001</v>
      </c>
      <c r="L47" s="33">
        <f t="shared" si="4"/>
        <v>63.341040000000007</v>
      </c>
      <c r="M47" s="4"/>
      <c r="N47" s="35">
        <f>INDEX('UC models'!$G$30:$G$47,MATCH($B47,'UC models'!$B$8:$B$25,0)) / 5</f>
        <v>6.6910688535774581</v>
      </c>
      <c r="O47" s="47">
        <f>INDEX('UC models'!$G$52:$G$69,MATCH($B47,'UC models'!$B$8:$B$25,0)) / 5</f>
        <v>-5.5413494009416602E-3</v>
      </c>
      <c r="P47" s="47">
        <f>INDEX('UC models'!$G$8:$G$25,MATCH($B47,'UC models'!$B$8:$B$25,0)) / 5</f>
        <v>2.8185993707948738</v>
      </c>
      <c r="Q47" s="33">
        <f t="shared" si="7"/>
        <v>9.5041268749713907</v>
      </c>
      <c r="S47" s="86">
        <f>'Actuals and unmodelled'!D22</f>
        <v>8.7557463223094683</v>
      </c>
      <c r="U47" s="59">
        <f t="shared" si="5"/>
        <v>81.60091319728086</v>
      </c>
    </row>
    <row r="48" spans="1:21" s="1" customFormat="1" ht="15" thickBot="1" x14ac:dyDescent="0.25">
      <c r="A48" s="16"/>
      <c r="B48" s="112" t="s">
        <v>35</v>
      </c>
      <c r="C48" s="50" t="s">
        <v>79</v>
      </c>
      <c r="D48" s="50">
        <f>'Econometric models'!G25 / 5</f>
        <v>38.931480000000001</v>
      </c>
      <c r="E48" s="124">
        <f t="shared" si="6"/>
        <v>38.931480000000001</v>
      </c>
      <c r="F48" s="50">
        <f>'Econometric models'!G67 / 5</f>
        <v>33.690640000000002</v>
      </c>
      <c r="G48" s="50">
        <f>'Econometric models'!G46 / 5</f>
        <v>34.665880000000001</v>
      </c>
      <c r="H48" s="31">
        <f t="shared" si="3"/>
        <v>34.178260000000002</v>
      </c>
      <c r="I48" s="3"/>
      <c r="J48" s="49">
        <f>'Econometric models'!G109 / 5</f>
        <v>28.5502</v>
      </c>
      <c r="K48" s="50">
        <f>'Econometric models'!G88 / 5</f>
        <v>30.342759999999998</v>
      </c>
      <c r="L48" s="31">
        <f t="shared" si="4"/>
        <v>29.446480000000001</v>
      </c>
      <c r="M48" s="4"/>
      <c r="N48" s="49">
        <f>INDEX('UC models'!$G$30:$G$47,MATCH($B48,'UC models'!$B$8:$B$25,0)) / 5</f>
        <v>9.8094153799697246</v>
      </c>
      <c r="O48" s="50">
        <f>INDEX('UC models'!$G$52:$G$69,MATCH($B48,'UC models'!$B$8:$B$25,0)) / 5</f>
        <v>3.329707004226453E-2</v>
      </c>
      <c r="P48" s="50">
        <f>INDEX('UC models'!$G$8:$G$25,MATCH($B48,'UC models'!$B$8:$B$25,0)) / 5</f>
        <v>0.9560889126010077</v>
      </c>
      <c r="Q48" s="31">
        <f t="shared" si="7"/>
        <v>10.798801362612997</v>
      </c>
      <c r="S48" s="87">
        <f>'Actuals and unmodelled'!D23</f>
        <v>3.0160283076089032</v>
      </c>
      <c r="U48" s="60">
        <f t="shared" si="5"/>
        <v>43.261309670221905</v>
      </c>
    </row>
    <row r="49" spans="1:21" s="1" customFormat="1" ht="13.5" thickBot="1" x14ac:dyDescent="0.25">
      <c r="B49" s="51" t="s">
        <v>81</v>
      </c>
      <c r="C49" s="53">
        <v>0</v>
      </c>
      <c r="D49" s="54">
        <f>1-C49</f>
        <v>1</v>
      </c>
      <c r="E49" s="58"/>
      <c r="F49" s="53">
        <v>0.5</v>
      </c>
      <c r="G49" s="54">
        <f>1-F49</f>
        <v>0.5</v>
      </c>
      <c r="H49" s="58"/>
      <c r="J49" s="68">
        <v>0.5</v>
      </c>
      <c r="K49" s="69">
        <f>1-J49</f>
        <v>0.5</v>
      </c>
      <c r="L49" s="70"/>
      <c r="M49" s="2"/>
      <c r="N49" s="72"/>
      <c r="O49" s="73"/>
      <c r="P49" s="58"/>
      <c r="Q49" s="58"/>
      <c r="S49" s="58"/>
      <c r="U49" s="75"/>
    </row>
    <row r="50" spans="1:21" s="1" customFormat="1" ht="13.5" thickBot="1" x14ac:dyDescent="0.25">
      <c r="B50" s="52" t="s">
        <v>82</v>
      </c>
      <c r="C50" s="56"/>
      <c r="D50" s="57"/>
      <c r="E50" s="55">
        <v>0.33333333333333298</v>
      </c>
      <c r="F50" s="56"/>
      <c r="G50" s="57"/>
      <c r="H50" s="55">
        <v>0.33333333333333298</v>
      </c>
      <c r="J50" s="56"/>
      <c r="K50" s="57"/>
      <c r="L50" s="71"/>
      <c r="M50" s="2"/>
      <c r="N50" s="56"/>
      <c r="O50" s="57"/>
      <c r="P50" s="74"/>
      <c r="Q50" s="74"/>
      <c r="S50" s="74"/>
      <c r="U50" s="76">
        <v>0.33333333333333298</v>
      </c>
    </row>
    <row r="51" spans="1:21" s="1" customFormat="1" ht="12.75" x14ac:dyDescent="0.2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21" s="1" customFormat="1" ht="12.75" x14ac:dyDescent="0.2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21" s="1" customFormat="1" ht="12.75" x14ac:dyDescent="0.2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21" s="1" customFormat="1" ht="12.75" x14ac:dyDescent="0.2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21" s="1" customFormat="1" ht="30" x14ac:dyDescent="0.3">
      <c r="B55" s="5" t="s">
        <v>36</v>
      </c>
      <c r="C55" s="6"/>
      <c r="D55" s="7" t="s">
        <v>37</v>
      </c>
      <c r="E55" s="6"/>
      <c r="F55" s="8" t="s">
        <v>38</v>
      </c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21" s="1" customFormat="1" ht="15" x14ac:dyDescent="0.3">
      <c r="A56" s="2"/>
      <c r="B56" s="9" t="s">
        <v>39</v>
      </c>
      <c r="C56" s="10"/>
      <c r="D56" s="11"/>
      <c r="E56" s="10"/>
      <c r="F56" s="12"/>
      <c r="G56" s="2"/>
      <c r="H56" s="2"/>
      <c r="I56" s="2"/>
      <c r="J56" s="2"/>
      <c r="K56" s="2"/>
      <c r="L56" s="2"/>
      <c r="M56" s="2"/>
      <c r="N56" s="13"/>
      <c r="O56" s="13"/>
      <c r="P56" s="13"/>
      <c r="Q56" s="13"/>
    </row>
    <row r="57" spans="1:21" s="1" customFormat="1" ht="15" x14ac:dyDescent="0.3">
      <c r="A57" s="2"/>
      <c r="B57" s="14" t="s">
        <v>40</v>
      </c>
      <c r="C57" s="10"/>
      <c r="D57" s="11" t="s">
        <v>41</v>
      </c>
      <c r="E57" s="10"/>
      <c r="F57" s="15">
        <v>5</v>
      </c>
      <c r="G57" s="2"/>
      <c r="H57" s="2"/>
      <c r="I57" s="2"/>
      <c r="J57" s="2"/>
      <c r="K57" s="2"/>
      <c r="L57" s="2"/>
      <c r="M57" s="2"/>
      <c r="N57" s="13"/>
      <c r="O57" s="13"/>
      <c r="P57" s="13"/>
      <c r="Q57" s="13"/>
    </row>
    <row r="58" spans="1:21" s="2" customFormat="1" ht="15" x14ac:dyDescent="0.3">
      <c r="B58" s="14" t="s">
        <v>42</v>
      </c>
      <c r="C58" s="10"/>
      <c r="D58" s="11" t="s">
        <v>41</v>
      </c>
      <c r="E58" s="10"/>
      <c r="F58" s="15">
        <v>5</v>
      </c>
      <c r="N58" s="13"/>
      <c r="O58" s="13"/>
      <c r="P58" s="13"/>
      <c r="Q58" s="13"/>
      <c r="R58" s="1"/>
      <c r="S58" s="1"/>
      <c r="T58" s="1"/>
      <c r="U58" s="1"/>
    </row>
    <row r="59" spans="1:21" s="2" customFormat="1" ht="15" x14ac:dyDescent="0.3">
      <c r="B59" s="9" t="s">
        <v>43</v>
      </c>
      <c r="C59" s="10"/>
      <c r="D59" s="11"/>
      <c r="E59" s="10"/>
      <c r="F59" s="15"/>
      <c r="N59" s="13"/>
      <c r="O59" s="13"/>
      <c r="P59" s="13"/>
      <c r="Q59" s="13"/>
      <c r="R59" s="1"/>
      <c r="S59" s="1"/>
      <c r="T59" s="1"/>
      <c r="U59" s="1"/>
    </row>
    <row r="60" spans="1:21" s="2" customFormat="1" ht="15" x14ac:dyDescent="0.3">
      <c r="B60" s="14" t="s">
        <v>44</v>
      </c>
      <c r="C60" s="10"/>
      <c r="D60" s="11" t="s">
        <v>45</v>
      </c>
      <c r="E60" s="10"/>
      <c r="F60" s="15">
        <v>5</v>
      </c>
      <c r="N60" s="13"/>
      <c r="O60" s="13"/>
      <c r="P60" s="13"/>
      <c r="Q60" s="13"/>
      <c r="R60" s="1"/>
      <c r="S60" s="1"/>
      <c r="T60" s="1"/>
      <c r="U60" s="1"/>
    </row>
    <row r="61" spans="1:21" s="2" customFormat="1" ht="15" x14ac:dyDescent="0.3">
      <c r="B61" s="14" t="s">
        <v>46</v>
      </c>
      <c r="C61" s="10"/>
      <c r="D61" s="11" t="s">
        <v>41</v>
      </c>
      <c r="E61" s="10"/>
      <c r="F61" s="15">
        <v>5</v>
      </c>
      <c r="N61" s="13"/>
      <c r="O61" s="13"/>
      <c r="P61" s="13"/>
      <c r="Q61" s="13"/>
      <c r="R61" s="1"/>
      <c r="S61" s="1"/>
      <c r="T61" s="1"/>
      <c r="U61" s="1"/>
    </row>
    <row r="62" spans="1:21" s="2" customFormat="1" ht="15" x14ac:dyDescent="0.3">
      <c r="B62" s="14" t="s">
        <v>47</v>
      </c>
      <c r="C62" s="10"/>
      <c r="D62" s="11" t="s">
        <v>41</v>
      </c>
      <c r="E62" s="10"/>
      <c r="F62" s="15">
        <v>5</v>
      </c>
      <c r="N62" s="13"/>
      <c r="O62" s="13"/>
      <c r="P62" s="13"/>
      <c r="Q62" s="13"/>
      <c r="R62" s="1"/>
      <c r="S62" s="1"/>
      <c r="T62" s="1"/>
      <c r="U62" s="1"/>
    </row>
    <row r="63" spans="1:21" s="2" customFormat="1" ht="15" x14ac:dyDescent="0.3">
      <c r="B63" s="9" t="s">
        <v>48</v>
      </c>
      <c r="C63" s="10"/>
      <c r="D63" s="11" t="s">
        <v>45</v>
      </c>
      <c r="E63" s="10"/>
      <c r="F63" s="15">
        <v>5</v>
      </c>
      <c r="N63" s="13"/>
      <c r="O63" s="13"/>
      <c r="P63" s="13"/>
      <c r="Q63" s="13"/>
      <c r="R63" s="1"/>
      <c r="S63" s="1"/>
      <c r="T63" s="1"/>
      <c r="U63" s="1"/>
    </row>
    <row r="64" spans="1:21" s="2" customForma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s="2" customForma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</sheetData>
  <conditionalFormatting sqref="G7:G2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479"/>
  </sheetPr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4c319f-f868-4ceb-8801-8cf7367b8c3d"/>
    <TaxKeywordTaxHTField xmlns="3e4c319f-f868-4ceb-8801-8cf7367b8c3d">
      <Terms xmlns="http://schemas.microsoft.com/office/infopath/2007/PartnerControls"/>
    </TaxKeywordTaxHTField>
    <e85feb8a44ab45b589e67a77ae16b5ec xmlns="3e4c319f-f868-4ceb-8801-8cf7367b8c3d">
      <Terms xmlns="http://schemas.microsoft.com/office/infopath/2007/PartnerControls"/>
    </e85feb8a44ab45b589e67a77ae16b5ec>
    <ce9941ced6574acb8cdb7a3424c8a8b0 xmlns="3e4c319f-f868-4ceb-8801-8cf7367b8c3d">
      <Terms xmlns="http://schemas.microsoft.com/office/infopath/2007/PartnerControls"/>
    </ce9941ced6574acb8cdb7a3424c8a8b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3149F6E51FE44BAA887F1835F22665" ma:contentTypeVersion="0" ma:contentTypeDescription="Create a new document." ma:contentTypeScope="" ma:versionID="08d5a89c5f2333cac2921a13d1bf5343">
  <xsd:schema xmlns:xsd="http://www.w3.org/2001/XMLSchema" xmlns:xs="http://www.w3.org/2001/XMLSchema" xmlns:p="http://schemas.microsoft.com/office/2006/metadata/properties" xmlns:ns2="3e4c319f-f868-4ceb-8801-8cf7367b8c3d" targetNamespace="http://schemas.microsoft.com/office/2006/metadata/properties" ma:root="true" ma:fieldsID="412483dcba102f870dae6d8786dab988" ns2:_="">
    <xsd:import namespace="3e4c319f-f868-4ceb-8801-8cf7367b8c3d"/>
    <xsd:element name="properties">
      <xsd:complexType>
        <xsd:sequence>
          <xsd:element name="documentManagement">
            <xsd:complexType>
              <xsd:all>
                <xsd:element ref="ns2:e85feb8a44ab45b589e67a77ae16b5ec" minOccurs="0"/>
                <xsd:element ref="ns2:TaxCatchAll" minOccurs="0"/>
                <xsd:element ref="ns2:TaxCatchAllLabel" minOccurs="0"/>
                <xsd:element ref="ns2:ce9941ced6574acb8cdb7a3424c8a8b0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c319f-f868-4ceb-8801-8cf7367b8c3d" elementFormDefault="qualified">
    <xsd:import namespace="http://schemas.microsoft.com/office/2006/documentManagement/types"/>
    <xsd:import namespace="http://schemas.microsoft.com/office/infopath/2007/PartnerControls"/>
    <xsd:element name="e85feb8a44ab45b589e67a77ae16b5ec" ma:index="8" nillable="true" ma:taxonomy="true" ma:internalName="e85feb8a44ab45b589e67a77ae16b5ec" ma:taxonomyFieldName="Document_x0020_Type" ma:displayName="Document Type" ma:readOnly="false" ma:default="" ma:fieldId="{e85feb8a-44ab-45b5-89e6-7a77ae16b5ec}" ma:taxonomyMulti="true" ma:sspId="f09221e3-917d-4535-b79f-6a4376aff421" ma:termSetId="1109ed9e-75be-499d-a077-5f4c9d1184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f26b6db7-6fa3-4488-a13a-60ce1cd2c4c2}" ma:internalName="TaxCatchAll" ma:showField="CatchAllData" ma:web="3e4c319f-f868-4ceb-8801-8cf7367b8c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f26b6db7-6fa3-4488-a13a-60ce1cd2c4c2}" ma:internalName="TaxCatchAllLabel" ma:readOnly="true" ma:showField="CatchAllDataLabel" ma:web="3e4c319f-f868-4ceb-8801-8cf7367b8c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e9941ced6574acb8cdb7a3424c8a8b0" ma:index="12" nillable="true" ma:taxonomy="true" ma:internalName="ce9941ced6574acb8cdb7a3424c8a8b0" ma:taxonomyFieldName="Water_x0020_Companies" ma:displayName="Water Companies" ma:default="" ma:fieldId="{ce9941ce-d657-4acb-8cdb-7a3424c8a8b0}" ma:taxonomyMulti="true" ma:sspId="f09221e3-917d-4535-b79f-6a4376aff421" ma:termSetId="96c6dc72-a062-4381-ab31-4a38164dab75" ma:anchorId="3032d187-5b9a-434c-9e4d-b0a2d38e1eb9" ma:open="false" ma:isKeyword="false">
      <xsd:complexType>
        <xsd:sequence>
          <xsd:element ref="pc:Terms" minOccurs="0" maxOccurs="1"/>
        </xsd:sequence>
      </xsd:complexType>
    </xsd:element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677AD4-603E-4D23-B821-F5C0D8FA94B5}">
  <ds:schemaRefs>
    <ds:schemaRef ds:uri="http://purl.org/dc/dcmitype/"/>
    <ds:schemaRef ds:uri="3e4c319f-f868-4ceb-8801-8cf7367b8c3d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9B9F242-F726-48CD-A6FC-62B8EE2A9B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B31A58-6B03-4A95-ABDA-16E9496EA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c319f-f868-4ceb-8801-8cf7367b8c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Summary</vt:lpstr>
      <vt:lpstr>Scenarios &gt;&gt;</vt:lpstr>
      <vt:lpstr>Baseline</vt:lpstr>
      <vt:lpstr>base+</vt:lpstr>
      <vt:lpstr>base-</vt:lpstr>
      <vt:lpstr>adj+</vt:lpstr>
      <vt:lpstr>adj-</vt:lpstr>
      <vt:lpstr>Input data &gt;&gt;</vt:lpstr>
      <vt:lpstr>Econometric models</vt:lpstr>
      <vt:lpstr>UC models</vt:lpstr>
      <vt:lpstr>Actuals and unmodelled</vt:lpstr>
    </vt:vector>
  </TitlesOfParts>
  <Company>Water Services Regulation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Ian Johnson</dc:creator>
  <cp:keywords/>
  <cp:lastModifiedBy>Teddy Spasova</cp:lastModifiedBy>
  <dcterms:created xsi:type="dcterms:W3CDTF">2011-06-16T09:19:11Z</dcterms:created>
  <dcterms:modified xsi:type="dcterms:W3CDTF">2015-11-19T17:02:25Z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0x010100A23149F6E51FE44BAA887F1835F22665</vt:lpwstr>
  </property>
  <property fmtid="{D5CDD505-2E9C-101B-9397-08002B2CF9AE}" pid="3" name="TaxKeyword">
    <vt:lpwstr/>
  </property>
  <property fmtid="{D5CDD505-2E9C-101B-9397-08002B2CF9AE}" pid="4" name="Water Companies">
    <vt:lpwstr/>
  </property>
  <property fmtid="{D5CDD505-2E9C-101B-9397-08002B2CF9AE}" pid="5" name="Document Type">
    <vt:lpwstr/>
  </property>
</Properties>
</file>