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Calc!$A$1:$S$217</definedName>
    <definedName name="_xlnm.Print_Area" localSheetId="23">'Calc2 BYR'!$A$1:$S$217</definedName>
    <definedName name="_xlnm.Print_Area" localSheetId="15">'Calc2 FD'!$A$1:$S$217</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AO8" i="26" l="1"/>
  <c r="M35" i="17"/>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5" i="3"/>
  <c r="M85" i="3"/>
  <c r="L85" i="3"/>
  <c r="K85" i="3"/>
  <c r="J85"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G28" i="29" s="1"/>
  <c r="N111" i="28"/>
  <c r="M111" i="28"/>
  <c r="L111" i="28"/>
  <c r="K111" i="28"/>
  <c r="J111" i="28"/>
  <c r="I111" i="28"/>
  <c r="H111" i="28"/>
  <c r="G111" i="28"/>
  <c r="N107" i="28"/>
  <c r="M107" i="28"/>
  <c r="L107" i="28"/>
  <c r="K107" i="28"/>
  <c r="J107" i="28"/>
  <c r="I107" i="28"/>
  <c r="H107" i="28"/>
  <c r="G107" i="28"/>
  <c r="N106" i="28"/>
  <c r="M106" i="28"/>
  <c r="L106" i="28"/>
  <c r="K106" i="28"/>
  <c r="J106" i="28"/>
  <c r="I106" i="28"/>
  <c r="H106" i="28"/>
  <c r="G106" i="28"/>
  <c r="G17" i="29" s="1"/>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5" i="28"/>
  <c r="M85" i="28"/>
  <c r="L85" i="28"/>
  <c r="K85" i="28"/>
  <c r="J85"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L54" i="28"/>
  <c r="L148" i="29" s="1"/>
  <c r="K54" i="28"/>
  <c r="K148" i="29" s="1"/>
  <c r="J54" i="28"/>
  <c r="J148" i="29" s="1"/>
  <c r="I54" i="28"/>
  <c r="I148" i="29" s="1"/>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M48" i="31" s="1"/>
  <c r="L40" i="28"/>
  <c r="L48" i="31" s="1"/>
  <c r="K40" i="28"/>
  <c r="K48" i="31" s="1"/>
  <c r="J40" i="28"/>
  <c r="J48" i="31" s="1"/>
  <c r="N39" i="28"/>
  <c r="N47" i="31" s="1"/>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K37" i="28"/>
  <c r="K45" i="31" s="1"/>
  <c r="J37" i="28"/>
  <c r="J45" i="31" s="1"/>
  <c r="N35" i="28"/>
  <c r="N42" i="31" s="1"/>
  <c r="M35" i="28"/>
  <c r="M42" i="31" s="1"/>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K40" i="31" s="1"/>
  <c r="J33" i="28"/>
  <c r="J40" i="31" s="1"/>
  <c r="N32" i="28"/>
  <c r="N39" i="31" s="1"/>
  <c r="M32" i="28"/>
  <c r="M39" i="31" s="1"/>
  <c r="L32" i="28"/>
  <c r="L39" i="31" s="1"/>
  <c r="K32" i="28"/>
  <c r="K39" i="31" s="1"/>
  <c r="J32" i="28"/>
  <c r="N31" i="28"/>
  <c r="N38" i="31" s="1"/>
  <c r="M31" i="28"/>
  <c r="M38" i="31" s="1"/>
  <c r="L31" i="28"/>
  <c r="L38" i="31" s="1"/>
  <c r="K31" i="28"/>
  <c r="K38" i="31" s="1"/>
  <c r="J31" i="28"/>
  <c r="J38" i="31" s="1"/>
  <c r="N30" i="28"/>
  <c r="N37" i="31" s="1"/>
  <c r="M30" i="28"/>
  <c r="L30" i="28"/>
  <c r="K30" i="28"/>
  <c r="J30" i="28"/>
  <c r="J37" i="31" s="1"/>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M32" i="31" s="1"/>
  <c r="L24" i="28"/>
  <c r="L32" i="31" s="1"/>
  <c r="K24" i="28"/>
  <c r="K32" i="31" s="1"/>
  <c r="J24" i="28"/>
  <c r="J32" i="31" s="1"/>
  <c r="N23" i="28"/>
  <c r="N30" i="31" s="1"/>
  <c r="M23" i="28"/>
  <c r="M30" i="31" s="1"/>
  <c r="L23" i="28"/>
  <c r="L30" i="31" s="1"/>
  <c r="K23" i="28"/>
  <c r="K30" i="31" s="1"/>
  <c r="J23" i="28"/>
  <c r="J30" i="31" s="1"/>
  <c r="N22" i="28"/>
  <c r="N29" i="31" s="1"/>
  <c r="M22" i="28"/>
  <c r="L22" i="28"/>
  <c r="L29" i="31" s="1"/>
  <c r="K22" i="28"/>
  <c r="K29" i="31" s="1"/>
  <c r="J22" i="28"/>
  <c r="J29" i="31" s="1"/>
  <c r="N21" i="28"/>
  <c r="N28" i="31" s="1"/>
  <c r="M21" i="28"/>
  <c r="M28" i="31" s="1"/>
  <c r="L21" i="28"/>
  <c r="L28" i="31" s="1"/>
  <c r="K21" i="28"/>
  <c r="K28" i="31" s="1"/>
  <c r="J21" i="28"/>
  <c r="J28" i="31" s="1"/>
  <c r="N20" i="28"/>
  <c r="N27" i="31" s="1"/>
  <c r="M20" i="28"/>
  <c r="M27" i="31" s="1"/>
  <c r="L20" i="28"/>
  <c r="L27" i="31" s="1"/>
  <c r="K20" i="28"/>
  <c r="K27" i="31" s="1"/>
  <c r="J20" i="28"/>
  <c r="J27" i="31" s="1"/>
  <c r="N19" i="28"/>
  <c r="N26" i="31" s="1"/>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L23" i="31" s="1"/>
  <c r="K16" i="28"/>
  <c r="K23" i="31" s="1"/>
  <c r="J16" i="28"/>
  <c r="J23" i="31" s="1"/>
  <c r="N15" i="28"/>
  <c r="N22" i="31" s="1"/>
  <c r="M15" i="28"/>
  <c r="M22" i="31" s="1"/>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M17" i="31" s="1"/>
  <c r="L11" i="28"/>
  <c r="L17" i="31" s="1"/>
  <c r="K11" i="28"/>
  <c r="K17" i="31" s="1"/>
  <c r="J11" i="28"/>
  <c r="J17" i="31" s="1"/>
  <c r="N10" i="28"/>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M148" i="29"/>
  <c r="L45" i="31"/>
  <c r="N16" i="31"/>
  <c r="H26" i="29" l="1"/>
  <c r="C83" i="30"/>
  <c r="C148" i="30" s="1"/>
  <c r="C95" i="30"/>
  <c r="C149" i="30" s="1"/>
  <c r="N26" i="29"/>
  <c r="P61" i="30"/>
  <c r="K70" i="29"/>
  <c r="K50" i="32" s="1"/>
  <c r="C65" i="30"/>
  <c r="C147" i="30" s="1"/>
  <c r="L56" i="29"/>
  <c r="L43" i="31" s="1"/>
  <c r="J139" i="29"/>
  <c r="N59" i="29"/>
  <c r="N21" i="32" s="1"/>
  <c r="L59" i="29"/>
  <c r="L21" i="32" s="1"/>
  <c r="K60" i="29"/>
  <c r="K22" i="32" s="1"/>
  <c r="J71" i="29"/>
  <c r="J51" i="32" s="1"/>
  <c r="N71" i="29"/>
  <c r="N51" i="32" s="1"/>
  <c r="M71" i="29"/>
  <c r="M51" i="32"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18" i="29" s="1"/>
  <c r="H28" i="29"/>
  <c r="I28" i="29" s="1"/>
  <c r="J28" i="29" s="1"/>
  <c r="K28" i="29" s="1"/>
  <c r="L28" i="29" s="1"/>
  <c r="M28" i="29" s="1"/>
  <c r="N28" i="29" s="1"/>
  <c r="U42" i="31"/>
  <c r="U28" i="31"/>
  <c r="U33" i="31"/>
  <c r="L55" i="29"/>
  <c r="L20" i="31"/>
  <c r="M29" i="31"/>
  <c r="U29" i="31" s="1"/>
  <c r="M143" i="29"/>
  <c r="M55" i="29"/>
  <c r="L37" i="31"/>
  <c r="J39" i="31"/>
  <c r="U39" i="31" s="1"/>
  <c r="J56" i="29"/>
  <c r="J59" i="29"/>
  <c r="J21" i="32" s="1"/>
  <c r="M60" i="29"/>
  <c r="M22" i="32" s="1"/>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E215" i="20"/>
  <c r="E214" i="20"/>
  <c r="E213" i="20"/>
  <c r="E212" i="20"/>
  <c r="E211" i="20"/>
  <c r="E210" i="20"/>
  <c r="E209" i="20"/>
  <c r="E207" i="20"/>
  <c r="E206" i="20"/>
  <c r="E205" i="20"/>
  <c r="E204" i="20"/>
  <c r="E203" i="20"/>
  <c r="E202" i="20"/>
  <c r="E201" i="20"/>
  <c r="J175" i="20"/>
  <c r="J171" i="20"/>
  <c r="J165" i="20"/>
  <c r="J161" i="20"/>
  <c r="F6" i="20"/>
  <c r="G5" i="20"/>
  <c r="H5" i="20" s="1"/>
  <c r="I5" i="20" s="1"/>
  <c r="J5" i="20" s="1"/>
  <c r="L17" i="32" l="1"/>
  <c r="H20" i="29"/>
  <c r="M34" i="31"/>
  <c r="I17" i="29"/>
  <c r="I18" i="29" s="1"/>
  <c r="U37" i="31"/>
  <c r="U51" i="32"/>
  <c r="I15" i="29"/>
  <c r="J13" i="29"/>
  <c r="H15" i="29"/>
  <c r="L63" i="29"/>
  <c r="L25" i="32" s="1"/>
  <c r="U20" i="31"/>
  <c r="U50" i="32"/>
  <c r="U21" i="32"/>
  <c r="K43" i="31"/>
  <c r="K17" i="32"/>
  <c r="K63" i="29"/>
  <c r="J16" i="32"/>
  <c r="G94" i="29"/>
  <c r="AN9" i="26" s="1"/>
  <c r="J62" i="29"/>
  <c r="J24" i="31"/>
  <c r="M17" i="32"/>
  <c r="M43" i="31"/>
  <c r="M63" i="29"/>
  <c r="H6" i="30"/>
  <c r="I5" i="30"/>
  <c r="M73" i="29"/>
  <c r="N46" i="32"/>
  <c r="N51" i="31"/>
  <c r="N74" i="29"/>
  <c r="U22" i="32"/>
  <c r="J51" i="31"/>
  <c r="J46" i="32"/>
  <c r="J74" i="29"/>
  <c r="G99" i="29"/>
  <c r="AN13" i="26" s="1"/>
  <c r="N45" i="32"/>
  <c r="N34" i="31"/>
  <c r="N73" i="29"/>
  <c r="L34" i="31"/>
  <c r="L45" i="32"/>
  <c r="L73" i="29"/>
  <c r="N24" i="31"/>
  <c r="N16" i="32"/>
  <c r="N62" i="29"/>
  <c r="J17" i="32"/>
  <c r="J63" i="29"/>
  <c r="J43" i="31"/>
  <c r="L16" i="32"/>
  <c r="L24" i="31"/>
  <c r="L62" i="29"/>
  <c r="N17" i="32"/>
  <c r="N63" i="29"/>
  <c r="N43" i="31"/>
  <c r="K16" i="32"/>
  <c r="K24" i="31"/>
  <c r="K62" i="29"/>
  <c r="J45" i="32"/>
  <c r="J34" i="31"/>
  <c r="J73" i="29"/>
  <c r="L46" i="32"/>
  <c r="L51" i="31"/>
  <c r="L74" i="29"/>
  <c r="K45" i="32"/>
  <c r="K34" i="31"/>
  <c r="K73" i="29"/>
  <c r="H31" i="29"/>
  <c r="H32" i="29" s="1"/>
  <c r="H25" i="29"/>
  <c r="H14" i="29"/>
  <c r="H6" i="29"/>
  <c r="H29" i="29"/>
  <c r="I5" i="29"/>
  <c r="M46" i="32"/>
  <c r="M74" i="29"/>
  <c r="M51" i="31"/>
  <c r="K46" i="32"/>
  <c r="K51" i="31"/>
  <c r="K74" i="29"/>
  <c r="H21" i="29"/>
  <c r="M24" i="31"/>
  <c r="M62" i="29"/>
  <c r="M16" i="32"/>
  <c r="J6" i="20"/>
  <c r="K5" i="20"/>
  <c r="G6" i="20"/>
  <c r="G14" i="20"/>
  <c r="G25" i="20"/>
  <c r="H6" i="20"/>
  <c r="I6" i="20"/>
  <c r="I20" i="29" l="1"/>
  <c r="I21" i="29" s="1"/>
  <c r="J17" i="29"/>
  <c r="K17" i="29" s="1"/>
  <c r="J15" i="29"/>
  <c r="K13" i="29"/>
  <c r="U51" i="31"/>
  <c r="U17" i="32"/>
  <c r="U16" i="32"/>
  <c r="M24" i="32"/>
  <c r="K54" i="32"/>
  <c r="L54" i="32"/>
  <c r="J53" i="32"/>
  <c r="N25" i="32"/>
  <c r="G48" i="32"/>
  <c r="G75" i="31"/>
  <c r="L40" i="17"/>
  <c r="G101" i="29"/>
  <c r="G100" i="29"/>
  <c r="G102" i="29"/>
  <c r="M53" i="32"/>
  <c r="U24" i="31"/>
  <c r="K25" i="32"/>
  <c r="M54" i="32"/>
  <c r="K53" i="32"/>
  <c r="U34" i="31"/>
  <c r="U43" i="31"/>
  <c r="N24" i="32"/>
  <c r="N53" i="32"/>
  <c r="J54" i="32"/>
  <c r="L188" i="29"/>
  <c r="N188" i="29"/>
  <c r="K188" i="29"/>
  <c r="J188" i="29"/>
  <c r="M188" i="29"/>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18" i="29" l="1"/>
  <c r="J20" i="29"/>
  <c r="J21" i="29" s="1"/>
  <c r="J84" i="29" s="1"/>
  <c r="J59" i="32" s="1"/>
  <c r="K15" i="29"/>
  <c r="L13" i="29"/>
  <c r="P212" i="29" s="1"/>
  <c r="J176" i="29"/>
  <c r="J82" i="29"/>
  <c r="J33" i="32" s="1"/>
  <c r="J87" i="29"/>
  <c r="J62" i="32" s="1"/>
  <c r="J172" i="29"/>
  <c r="U24" i="32"/>
  <c r="J79" i="29"/>
  <c r="J30" i="32" s="1"/>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U68" i="32"/>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J80" i="29" l="1"/>
  <c r="J85" i="29"/>
  <c r="J60" i="32" s="1"/>
  <c r="L54" i="17"/>
  <c r="AN27" i="26"/>
  <c r="J177" i="29"/>
  <c r="K175" i="29"/>
  <c r="K176" i="29" s="1"/>
  <c r="K171" i="29"/>
  <c r="K172" i="29" s="1"/>
  <c r="J173" i="29"/>
  <c r="L15" i="29"/>
  <c r="M13" i="29"/>
  <c r="K87" i="29"/>
  <c r="K62" i="32" s="1"/>
  <c r="K82" i="29"/>
  <c r="K33" i="32" s="1"/>
  <c r="J31" i="32"/>
  <c r="L20" i="29"/>
  <c r="L21" i="29" s="1"/>
  <c r="L18" i="29"/>
  <c r="M17" i="29"/>
  <c r="M73" i="31"/>
  <c r="M38" i="32"/>
  <c r="K85" i="29"/>
  <c r="K79" i="29"/>
  <c r="K30" i="32" s="1"/>
  <c r="K80" i="29"/>
  <c r="K31" i="32" s="1"/>
  <c r="K84" i="29"/>
  <c r="K59" i="32" s="1"/>
  <c r="M67" i="32"/>
  <c r="M76" i="31"/>
  <c r="J76" i="31"/>
  <c r="J67" i="32"/>
  <c r="P211" i="29"/>
  <c r="L38" i="32"/>
  <c r="L73" i="31"/>
  <c r="J62" i="31"/>
  <c r="J68" i="29"/>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G120" i="29"/>
  <c r="AN16" i="26" s="1"/>
  <c r="K75" i="29"/>
  <c r="J75" i="29"/>
  <c r="N75" i="29"/>
  <c r="L75" i="29"/>
  <c r="M75" i="29"/>
  <c r="N73" i="31"/>
  <c r="N38" i="32"/>
  <c r="L64" i="29"/>
  <c r="N64" i="29"/>
  <c r="K64" i="29"/>
  <c r="M64" i="29"/>
  <c r="J64" i="29"/>
  <c r="L76" i="31"/>
  <c r="L67" i="32"/>
  <c r="N76" i="31"/>
  <c r="N67" i="32"/>
  <c r="K6" i="30"/>
  <c r="L5" i="30"/>
  <c r="K38" i="32"/>
  <c r="K73" i="31"/>
  <c r="J38" i="32"/>
  <c r="J73" i="31"/>
  <c r="P203" i="29"/>
  <c r="J57" i="29"/>
  <c r="J54" i="31"/>
  <c r="M6" i="20"/>
  <c r="N5" i="20"/>
  <c r="U73" i="31" l="1"/>
  <c r="U38" i="32"/>
  <c r="K60" i="32"/>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L43" i="17"/>
  <c r="K62" i="31"/>
  <c r="K68" i="29"/>
  <c r="U67" i="32"/>
  <c r="J26" i="32"/>
  <c r="J81" i="29"/>
  <c r="J32" i="32" s="1"/>
  <c r="J55" i="32"/>
  <c r="J86" i="29"/>
  <c r="J61" i="32" s="1"/>
  <c r="J18" i="32"/>
  <c r="J60" i="31"/>
  <c r="J138" i="29"/>
  <c r="L6" i="30"/>
  <c r="M5" i="30"/>
  <c r="M26" i="32"/>
  <c r="M55" i="32"/>
  <c r="K55" i="32"/>
  <c r="K86" i="29"/>
  <c r="K61" i="32" s="1"/>
  <c r="K54" i="31"/>
  <c r="K57" i="29"/>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U26" i="32" l="1"/>
  <c r="L173" i="29"/>
  <c r="M171" i="29"/>
  <c r="M172" i="29" s="1"/>
  <c r="N87" i="29"/>
  <c r="N62" i="32" s="1"/>
  <c r="N82" i="29"/>
  <c r="N33" i="32" s="1"/>
  <c r="L177" i="29"/>
  <c r="M175" i="29"/>
  <c r="M176" i="29" s="1"/>
  <c r="M87" i="29"/>
  <c r="M62" i="32" s="1"/>
  <c r="M82" i="29"/>
  <c r="M33" i="32" s="1"/>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U55" i="32"/>
  <c r="M85" i="29"/>
  <c r="M60" i="32" s="1"/>
  <c r="M80" i="29"/>
  <c r="M31" i="32" s="1"/>
  <c r="M84" i="29"/>
  <c r="M59" i="32" s="1"/>
  <c r="M79" i="29"/>
  <c r="M30" i="32" s="1"/>
  <c r="N5" i="30"/>
  <c r="M6" i="30"/>
  <c r="L62" i="31"/>
  <c r="L68" i="29"/>
  <c r="M81" i="29"/>
  <c r="M32" i="32" s="1"/>
  <c r="J162" i="29"/>
  <c r="J140" i="29"/>
  <c r="J181" i="29"/>
  <c r="V8" i="26"/>
  <c r="AX8" i="26" s="1"/>
  <c r="M8" i="26"/>
  <c r="U62" i="32" l="1"/>
  <c r="U33" i="32"/>
  <c r="M177" i="29"/>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N50" i="29"/>
  <c r="N66" i="31" s="1"/>
  <c r="U66" i="31" s="1"/>
  <c r="M54" i="31"/>
  <c r="M57" i="29"/>
  <c r="U64" i="31"/>
  <c r="K181" i="29"/>
  <c r="K140" i="29"/>
  <c r="J163" i="29"/>
  <c r="J184" i="29" s="1"/>
  <c r="K161" i="29"/>
  <c r="K162" i="29" s="1"/>
  <c r="R5" i="30"/>
  <c r="N6" i="30"/>
  <c r="L18" i="32"/>
  <c r="L60" i="31"/>
  <c r="L138" i="29"/>
  <c r="N84" i="29"/>
  <c r="N59" i="32" s="1"/>
  <c r="U59" i="32" s="1"/>
  <c r="N85" i="29"/>
  <c r="N79" i="29"/>
  <c r="N30" i="32" s="1"/>
  <c r="U30" i="32" s="1"/>
  <c r="N80" i="29"/>
  <c r="N31" i="32" s="1"/>
  <c r="U31" i="32" s="1"/>
  <c r="N86" i="29"/>
  <c r="N61" i="32" s="1"/>
  <c r="U61" i="32" s="1"/>
  <c r="N81" i="29"/>
  <c r="N32" i="32" s="1"/>
  <c r="U32" i="32" s="1"/>
  <c r="M68" i="29"/>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G116" i="29" l="1"/>
  <c r="N60" i="32"/>
  <c r="U60" i="32" s="1"/>
  <c r="P125" i="29"/>
  <c r="G119" i="29"/>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62" i="31"/>
  <c r="U62" i="31" s="1"/>
  <c r="N68" i="29"/>
  <c r="J191" i="29"/>
  <c r="M47" i="32"/>
  <c r="M68" i="31"/>
  <c r="M142" i="29"/>
  <c r="L165" i="29"/>
  <c r="L166" i="29" s="1"/>
  <c r="K167" i="29"/>
  <c r="K185" i="29" s="1"/>
  <c r="K191" i="29" s="1"/>
  <c r="K194" i="29" s="1"/>
  <c r="K197" i="29" s="1"/>
  <c r="C139" i="21"/>
  <c r="C65" i="21"/>
  <c r="C147" i="21" s="1"/>
  <c r="C141" i="21"/>
  <c r="C95" i="21"/>
  <c r="C149" i="21" s="1"/>
  <c r="J5" i="21"/>
  <c r="P79" i="21"/>
  <c r="E212" i="4"/>
  <c r="E213" i="4"/>
  <c r="E205" i="4"/>
  <c r="E204" i="4"/>
  <c r="P131" i="29" l="1"/>
  <c r="U66" i="32"/>
  <c r="P210" i="29"/>
  <c r="AN11" i="26"/>
  <c r="L38" i="17"/>
  <c r="G117" i="29"/>
  <c r="G34" i="32"/>
  <c r="AN15" i="26"/>
  <c r="L42" i="17"/>
  <c r="G63" i="32"/>
  <c r="M144" i="29"/>
  <c r="M182" i="29"/>
  <c r="J194" i="29"/>
  <c r="N18" i="32"/>
  <c r="U18" i="32" s="1"/>
  <c r="N138" i="29"/>
  <c r="N60" i="31"/>
  <c r="U60" i="31" s="1"/>
  <c r="S95" i="30"/>
  <c r="S107" i="30"/>
  <c r="N68" i="31"/>
  <c r="U68" i="31" s="1"/>
  <c r="N47" i="32"/>
  <c r="U47" i="32" s="1"/>
  <c r="N142" i="29"/>
  <c r="S6" i="30"/>
  <c r="T5" i="30"/>
  <c r="M161" i="29"/>
  <c r="M162" i="29" s="1"/>
  <c r="L163" i="29"/>
  <c r="L184" i="29" s="1"/>
  <c r="L167" i="29"/>
  <c r="L185" i="29" s="1"/>
  <c r="M165" i="29"/>
  <c r="M166" i="29" s="1"/>
  <c r="M140" i="29"/>
  <c r="M181" i="29"/>
  <c r="R80" i="30"/>
  <c r="R62" i="30"/>
  <c r="R20" i="30"/>
  <c r="K5" i="21"/>
  <c r="J6" i="21"/>
  <c r="E215" i="4"/>
  <c r="E209" i="4"/>
  <c r="E214" i="4"/>
  <c r="E211" i="4"/>
  <c r="E210" i="4"/>
  <c r="E207" i="4"/>
  <c r="E201" i="4"/>
  <c r="E206" i="4"/>
  <c r="E203" i="4"/>
  <c r="E202" i="4"/>
  <c r="L191" i="29" l="1"/>
  <c r="L52" i="17"/>
  <c r="AN25" i="26"/>
  <c r="AN12" i="26"/>
  <c r="L39" i="17"/>
  <c r="P124" i="29"/>
  <c r="M163" i="29"/>
  <c r="M184" i="29" s="1"/>
  <c r="N161" i="29"/>
  <c r="N162" i="29" s="1"/>
  <c r="N163" i="29" s="1"/>
  <c r="N184" i="29" s="1"/>
  <c r="N165" i="29"/>
  <c r="N166" i="29" s="1"/>
  <c r="N167" i="29" s="1"/>
  <c r="N185" i="29" s="1"/>
  <c r="N191" i="29" s="1"/>
  <c r="N194" i="29" s="1"/>
  <c r="N197" i="29" s="1"/>
  <c r="M167" i="29"/>
  <c r="M185" i="29" s="1"/>
  <c r="M191" i="29" s="1"/>
  <c r="M194" i="29" s="1"/>
  <c r="M197" i="29" s="1"/>
  <c r="U5" i="30"/>
  <c r="T6" i="30"/>
  <c r="N140" i="29"/>
  <c r="P149" i="29" s="1"/>
  <c r="N181" i="29"/>
  <c r="J197" i="29"/>
  <c r="R127" i="30"/>
  <c r="R51" i="30"/>
  <c r="R35" i="30"/>
  <c r="R98" i="30"/>
  <c r="R68" i="30"/>
  <c r="R110" i="30"/>
  <c r="R86" i="30"/>
  <c r="S62" i="30"/>
  <c r="S80" i="30"/>
  <c r="S20" i="30"/>
  <c r="R83" i="30"/>
  <c r="R65" i="30"/>
  <c r="R64" i="30"/>
  <c r="R82" i="30"/>
  <c r="N182" i="29"/>
  <c r="N144" i="29"/>
  <c r="P153" i="29" s="1"/>
  <c r="S149" i="30"/>
  <c r="L5" i="21"/>
  <c r="K6" i="21"/>
  <c r="P135" i="18"/>
  <c r="P18" i="18"/>
  <c r="P205" i="29" l="1"/>
  <c r="L48" i="17"/>
  <c r="AN21" i="26"/>
  <c r="AH5" i="26"/>
  <c r="F32" i="17"/>
  <c r="O14" i="33"/>
  <c r="N154" i="29"/>
  <c r="P209" i="29"/>
  <c r="AH4" i="26"/>
  <c r="N150" i="29"/>
  <c r="F31" i="17"/>
  <c r="O13" i="33"/>
  <c r="P201" i="29"/>
  <c r="P213" i="29"/>
  <c r="U37" i="32"/>
  <c r="P202" i="29"/>
  <c r="P130" i="29"/>
  <c r="L194" i="29"/>
  <c r="P214" i="29"/>
  <c r="S65" i="30"/>
  <c r="S83" i="30"/>
  <c r="S82" i="30"/>
  <c r="S64" i="30"/>
  <c r="U107" i="30"/>
  <c r="U95" i="30"/>
  <c r="S110" i="30"/>
  <c r="S86" i="30"/>
  <c r="S51" i="30"/>
  <c r="S35" i="30"/>
  <c r="S98" i="30"/>
  <c r="S68" i="30"/>
  <c r="S127" i="30"/>
  <c r="V107" i="30"/>
  <c r="V95" i="30"/>
  <c r="R88" i="30"/>
  <c r="R148" i="30"/>
  <c r="V5" i="30"/>
  <c r="V6" i="30" s="1"/>
  <c r="U6" i="30"/>
  <c r="R140" i="30"/>
  <c r="R87" i="30"/>
  <c r="R139" i="30"/>
  <c r="R69" i="30"/>
  <c r="R147" i="30"/>
  <c r="R70" i="30"/>
  <c r="R107" i="30"/>
  <c r="R112" i="30" s="1"/>
  <c r="R95"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L56" i="17" l="1"/>
  <c r="AN29" i="26"/>
  <c r="L51" i="17"/>
  <c r="AN24" i="26"/>
  <c r="L197" i="29"/>
  <c r="P194" i="29"/>
  <c r="L55" i="17"/>
  <c r="AN28" i="26"/>
  <c r="M187" i="29"/>
  <c r="M190" i="29" s="1"/>
  <c r="M193" i="29" s="1"/>
  <c r="M196" i="29" s="1"/>
  <c r="L187" i="29"/>
  <c r="L190" i="29" s="1"/>
  <c r="L193" i="29" s="1"/>
  <c r="L196" i="29" s="1"/>
  <c r="N187" i="29"/>
  <c r="N190" i="29" s="1"/>
  <c r="N193" i="29" s="1"/>
  <c r="N196" i="29" s="1"/>
  <c r="K187" i="29"/>
  <c r="K190" i="29" s="1"/>
  <c r="K193" i="29" s="1"/>
  <c r="K196" i="29" s="1"/>
  <c r="J187" i="29"/>
  <c r="L45" i="17"/>
  <c r="AN18" i="26"/>
  <c r="AN17" i="26"/>
  <c r="L44" i="17"/>
  <c r="R149" i="30"/>
  <c r="R100" i="30"/>
  <c r="S37" i="30"/>
  <c r="S36" i="30"/>
  <c r="U149" i="30"/>
  <c r="S148" i="30"/>
  <c r="S88" i="30"/>
  <c r="T127" i="30"/>
  <c r="T98" i="30"/>
  <c r="T68" i="30"/>
  <c r="T110" i="30"/>
  <c r="T86" i="30"/>
  <c r="T51" i="30"/>
  <c r="T35" i="30"/>
  <c r="T82" i="30"/>
  <c r="T65" i="30"/>
  <c r="T83" i="30"/>
  <c r="T64" i="30"/>
  <c r="V80" i="30"/>
  <c r="V62" i="30"/>
  <c r="V20" i="30"/>
  <c r="S69" i="30"/>
  <c r="S139" i="30"/>
  <c r="V149" i="30"/>
  <c r="S100" i="30"/>
  <c r="S112" i="30"/>
  <c r="S140" i="30"/>
  <c r="S87" i="30"/>
  <c r="U62" i="30"/>
  <c r="U80" i="30"/>
  <c r="U20" i="30"/>
  <c r="S70" i="30"/>
  <c r="S147" i="30"/>
  <c r="M6" i="21"/>
  <c r="N5" i="21"/>
  <c r="C94" i="18"/>
  <c r="E98" i="18"/>
  <c r="D98" i="18"/>
  <c r="C64" i="18"/>
  <c r="C47" i="18"/>
  <c r="C31" i="18"/>
  <c r="V106" i="30" l="1"/>
  <c r="V94" i="30"/>
  <c r="V141" i="30" s="1"/>
  <c r="T94" i="30"/>
  <c r="T141" i="30" s="1"/>
  <c r="T106" i="30"/>
  <c r="T111" i="30" s="1"/>
  <c r="O17" i="33"/>
  <c r="P197" i="29"/>
  <c r="U39" i="32"/>
  <c r="J190" i="29"/>
  <c r="P204" i="29"/>
  <c r="U94" i="30"/>
  <c r="U141" i="30" s="1"/>
  <c r="U106" i="30"/>
  <c r="T107" i="30"/>
  <c r="T112" i="30" s="1"/>
  <c r="T95" i="30"/>
  <c r="T149" i="30" s="1"/>
  <c r="S106" i="30"/>
  <c r="S111" i="30" s="1"/>
  <c r="S94" i="30"/>
  <c r="T139" i="30"/>
  <c r="T69" i="30"/>
  <c r="T37" i="30"/>
  <c r="T36" i="30"/>
  <c r="T148" i="30"/>
  <c r="T88" i="30"/>
  <c r="U64" i="30"/>
  <c r="U83" i="30"/>
  <c r="U65" i="30"/>
  <c r="U82" i="30"/>
  <c r="U110" i="30"/>
  <c r="U98" i="30"/>
  <c r="U68" i="30"/>
  <c r="U127" i="30"/>
  <c r="U51" i="30"/>
  <c r="U35" i="30"/>
  <c r="U86" i="30"/>
  <c r="V127" i="30"/>
  <c r="V51" i="30"/>
  <c r="V35" i="30"/>
  <c r="V86" i="30"/>
  <c r="V110" i="30"/>
  <c r="V68" i="30"/>
  <c r="V98" i="30"/>
  <c r="T147" i="30"/>
  <c r="T70" i="30"/>
  <c r="V83" i="30"/>
  <c r="V82" i="30"/>
  <c r="V64" i="30"/>
  <c r="V65" i="30"/>
  <c r="P21" i="30"/>
  <c r="P45" i="30" s="1"/>
  <c r="T140" i="30"/>
  <c r="T87" i="30"/>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T100" i="30" l="1"/>
  <c r="AN20" i="26"/>
  <c r="L47" i="17"/>
  <c r="P215" i="29"/>
  <c r="O20" i="33"/>
  <c r="P14" i="30"/>
  <c r="P206" i="29"/>
  <c r="J193" i="29"/>
  <c r="T99" i="30"/>
  <c r="S141" i="30"/>
  <c r="S99" i="30"/>
  <c r="V139" i="30"/>
  <c r="V69" i="30"/>
  <c r="V112" i="30"/>
  <c r="V111" i="30"/>
  <c r="V148" i="30"/>
  <c r="V88" i="30"/>
  <c r="V100" i="30"/>
  <c r="V99" i="30"/>
  <c r="V37" i="30"/>
  <c r="V36" i="30"/>
  <c r="U147" i="30"/>
  <c r="U70" i="30"/>
  <c r="V70" i="30"/>
  <c r="V147" i="30"/>
  <c r="U36" i="30"/>
  <c r="U37" i="30"/>
  <c r="U100" i="30"/>
  <c r="U99" i="30"/>
  <c r="U148" i="30"/>
  <c r="U88" i="30"/>
  <c r="U112" i="30"/>
  <c r="U111" i="30"/>
  <c r="U69" i="30"/>
  <c r="P71" i="30" s="1"/>
  <c r="U139" i="30"/>
  <c r="V140" i="30"/>
  <c r="V87" i="30"/>
  <c r="U87" i="30"/>
  <c r="U140" i="30"/>
  <c r="S5" i="21"/>
  <c r="R6" i="21"/>
  <c r="C83" i="18"/>
  <c r="C148" i="18" s="1"/>
  <c r="C140" i="18"/>
  <c r="P78" i="18"/>
  <c r="P114" i="30" l="1"/>
  <c r="P117" i="30" s="1"/>
  <c r="P102" i="30"/>
  <c r="AN22" i="26"/>
  <c r="L49" i="17"/>
  <c r="P60" i="30"/>
  <c r="P44" i="30"/>
  <c r="P119" i="30"/>
  <c r="P121" i="30" s="1"/>
  <c r="P77" i="30"/>
  <c r="R32" i="30"/>
  <c r="J196" i="29"/>
  <c r="P193" i="29"/>
  <c r="L57" i="17"/>
  <c r="AN30" i="26"/>
  <c r="P90" i="30"/>
  <c r="P72" i="30"/>
  <c r="P89" i="30"/>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R106" i="30" l="1"/>
  <c r="R111" i="30" s="1"/>
  <c r="P113" i="30" s="1"/>
  <c r="P116" i="30" s="1"/>
  <c r="R94" i="30"/>
  <c r="R48" i="30"/>
  <c r="V48" i="30"/>
  <c r="U48" i="30"/>
  <c r="S48" i="30"/>
  <c r="T48" i="30"/>
  <c r="R37" i="30"/>
  <c r="P39" i="30" s="1"/>
  <c r="R145" i="30"/>
  <c r="O16" i="33"/>
  <c r="P196" i="29"/>
  <c r="U124" i="30"/>
  <c r="R124" i="30"/>
  <c r="V124" i="30"/>
  <c r="S124" i="30"/>
  <c r="T124" i="30"/>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G31" i="20"/>
  <c r="G32" i="20" s="1"/>
  <c r="H31" i="20"/>
  <c r="G29" i="20"/>
  <c r="H29" i="20"/>
  <c r="J31" i="20"/>
  <c r="K29" i="20"/>
  <c r="L31" i="20"/>
  <c r="L29" i="20"/>
  <c r="M29" i="20"/>
  <c r="N29" i="20"/>
  <c r="N31"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U16" i="22"/>
  <c r="J20" i="22"/>
  <c r="N20" i="22"/>
  <c r="U21" i="22"/>
  <c r="U31" i="22"/>
  <c r="J37" i="22"/>
  <c r="N37" i="22"/>
  <c r="M38" i="22"/>
  <c r="L39" i="22"/>
  <c r="K40" i="22"/>
  <c r="J41" i="22"/>
  <c r="M42" i="22"/>
  <c r="U47" i="22"/>
  <c r="S80" i="21"/>
  <c r="S62" i="21"/>
  <c r="S20" i="21"/>
  <c r="R64" i="21"/>
  <c r="R82" i="21"/>
  <c r="R83" i="21"/>
  <c r="R65" i="21"/>
  <c r="T6" i="21"/>
  <c r="U5" i="21"/>
  <c r="R98" i="21"/>
  <c r="R68" i="21"/>
  <c r="R127" i="21"/>
  <c r="R110" i="21"/>
  <c r="R86" i="21"/>
  <c r="R35" i="21"/>
  <c r="R51" i="21"/>
  <c r="G6" i="18"/>
  <c r="H5" i="18"/>
  <c r="F6" i="4"/>
  <c r="T129" i="30" l="1"/>
  <c r="T150" i="30"/>
  <c r="U150" i="30"/>
  <c r="U129" i="30"/>
  <c r="V146" i="30"/>
  <c r="V151" i="30" s="1"/>
  <c r="V157" i="30" s="1"/>
  <c r="V53" i="30"/>
  <c r="S150" i="30"/>
  <c r="S129" i="30"/>
  <c r="O19" i="33"/>
  <c r="P13" i="30"/>
  <c r="P207" i="29"/>
  <c r="T53" i="30"/>
  <c r="T146" i="30"/>
  <c r="T151" i="30" s="1"/>
  <c r="T157" i="30" s="1"/>
  <c r="R146" i="30"/>
  <c r="R151" i="30" s="1"/>
  <c r="R157" i="30" s="1"/>
  <c r="R53" i="30"/>
  <c r="V150" i="30"/>
  <c r="V129" i="30"/>
  <c r="S146" i="30"/>
  <c r="S151" i="30" s="1"/>
  <c r="S157" i="30" s="1"/>
  <c r="S53" i="30"/>
  <c r="R141" i="30"/>
  <c r="R99" i="30"/>
  <c r="P101" i="30" s="1"/>
  <c r="R129" i="30"/>
  <c r="P131" i="30" s="1"/>
  <c r="R150" i="30"/>
  <c r="U146" i="30"/>
  <c r="U151" i="30" s="1"/>
  <c r="U157" i="30" s="1"/>
  <c r="U53" i="30"/>
  <c r="I29" i="20"/>
  <c r="J29" i="20"/>
  <c r="N62" i="20"/>
  <c r="J73" i="20"/>
  <c r="M62" i="20"/>
  <c r="H32" i="20"/>
  <c r="L73" i="20"/>
  <c r="H20" i="20"/>
  <c r="H21" i="20" s="1"/>
  <c r="H18" i="20"/>
  <c r="L32" i="20"/>
  <c r="J74" i="20"/>
  <c r="G99" i="20"/>
  <c r="L13" i="17" s="1"/>
  <c r="L74" i="20"/>
  <c r="K62" i="20"/>
  <c r="M31" i="20"/>
  <c r="M32" i="20" s="1"/>
  <c r="K31" i="20"/>
  <c r="K32" i="20" s="1"/>
  <c r="I31" i="20"/>
  <c r="I32" i="20" s="1"/>
  <c r="H15" i="20"/>
  <c r="N63" i="20"/>
  <c r="N73" i="20"/>
  <c r="K74" i="20"/>
  <c r="M63" i="20"/>
  <c r="I17" i="20"/>
  <c r="G94" i="20"/>
  <c r="L9" i="17" s="1"/>
  <c r="J62" i="20"/>
  <c r="N32" i="20"/>
  <c r="J3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R147" i="21"/>
  <c r="R70" i="21"/>
  <c r="R88" i="21"/>
  <c r="R148" i="21"/>
  <c r="S83" i="21"/>
  <c r="S64" i="21"/>
  <c r="S65" i="21"/>
  <c r="S82" i="21"/>
  <c r="T62" i="21"/>
  <c r="T80" i="21"/>
  <c r="T20" i="21"/>
  <c r="R139" i="21"/>
  <c r="R69" i="21"/>
  <c r="S127" i="21"/>
  <c r="S51" i="21"/>
  <c r="S35" i="21"/>
  <c r="S110" i="21"/>
  <c r="S86" i="21"/>
  <c r="S98" i="21"/>
  <c r="S68" i="21"/>
  <c r="V5" i="21"/>
  <c r="V6" i="21" s="1"/>
  <c r="U6" i="21"/>
  <c r="R140" i="21"/>
  <c r="R87" i="21"/>
  <c r="H6" i="18"/>
  <c r="I5" i="18"/>
  <c r="C14" i="9"/>
  <c r="C13" i="9"/>
  <c r="E19" i="9"/>
  <c r="E20" i="9"/>
  <c r="G34" i="17" l="1"/>
  <c r="AI7" i="26"/>
  <c r="AJ7" i="26"/>
  <c r="H34" i="17"/>
  <c r="P118" i="30"/>
  <c r="P120" i="30" s="1"/>
  <c r="P76" i="30"/>
  <c r="R31" i="30"/>
  <c r="P43" i="30"/>
  <c r="P59" i="30"/>
  <c r="P55" i="30"/>
  <c r="AN23" i="26"/>
  <c r="L50" i="17"/>
  <c r="AL7" i="26"/>
  <c r="J34" i="17"/>
  <c r="AK7" i="26"/>
  <c r="I34" i="17"/>
  <c r="K34" i="17"/>
  <c r="AM7" i="26"/>
  <c r="G106" i="20"/>
  <c r="L10" i="17" s="1"/>
  <c r="G100" i="20"/>
  <c r="G101" i="20"/>
  <c r="G102" i="20"/>
  <c r="I14" i="20"/>
  <c r="J13" i="20"/>
  <c r="I15" i="20"/>
  <c r="G97" i="20"/>
  <c r="G96" i="20"/>
  <c r="G95" i="20"/>
  <c r="I20" i="20"/>
  <c r="I21" i="20" s="1"/>
  <c r="I18" i="20"/>
  <c r="J17" i="20"/>
  <c r="G110" i="20"/>
  <c r="L14" i="17" s="1"/>
  <c r="N188" i="20"/>
  <c r="J188" i="20"/>
  <c r="K188" i="20"/>
  <c r="L188" i="20"/>
  <c r="M188" i="20"/>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S139" i="21"/>
  <c r="S69" i="21"/>
  <c r="V62" i="21"/>
  <c r="V20" i="21"/>
  <c r="V80" i="21"/>
  <c r="S87" i="21"/>
  <c r="S140" i="21"/>
  <c r="S70" i="21"/>
  <c r="S147" i="21"/>
  <c r="U62" i="21"/>
  <c r="U80" i="21"/>
  <c r="U20" i="21"/>
  <c r="T65" i="21"/>
  <c r="T83" i="21"/>
  <c r="T82" i="21"/>
  <c r="T64" i="21"/>
  <c r="S88" i="21"/>
  <c r="S148" i="21"/>
  <c r="I6" i="18"/>
  <c r="J5" i="18"/>
  <c r="E17" i="9"/>
  <c r="E16" i="9"/>
  <c r="R137" i="30" l="1"/>
  <c r="R36" i="30"/>
  <c r="P38" i="30" s="1"/>
  <c r="S47" i="30"/>
  <c r="V47" i="30"/>
  <c r="U47" i="30"/>
  <c r="R47" i="30"/>
  <c r="T47" i="30"/>
  <c r="S123" i="30"/>
  <c r="T123" i="30"/>
  <c r="U123" i="30"/>
  <c r="V123" i="30"/>
  <c r="R123" i="30"/>
  <c r="J20" i="20"/>
  <c r="J21" i="20" s="1"/>
  <c r="J18" i="20"/>
  <c r="K17" i="20"/>
  <c r="J127" i="20"/>
  <c r="M127" i="20"/>
  <c r="L127" i="20"/>
  <c r="N127" i="20"/>
  <c r="K127" i="20"/>
  <c r="K46" i="20"/>
  <c r="K50" i="20"/>
  <c r="K66" i="22" s="1"/>
  <c r="K51" i="20"/>
  <c r="K67" i="22" s="1"/>
  <c r="L51" i="20"/>
  <c r="L67" i="22" s="1"/>
  <c r="L46" i="20"/>
  <c r="M49" i="20"/>
  <c r="M65" i="22" s="1"/>
  <c r="N51" i="20"/>
  <c r="N46" i="20"/>
  <c r="K47" i="20"/>
  <c r="L48" i="20"/>
  <c r="J46" i="20"/>
  <c r="L47" i="20"/>
  <c r="L63" i="22" s="1"/>
  <c r="J48" i="20"/>
  <c r="M47" i="20"/>
  <c r="N48" i="20"/>
  <c r="N64" i="22" s="1"/>
  <c r="N47" i="20"/>
  <c r="N63" i="22" s="1"/>
  <c r="L49" i="20"/>
  <c r="L65" i="22" s="1"/>
  <c r="J47" i="20"/>
  <c r="J50" i="20"/>
  <c r="J66" i="22" s="1"/>
  <c r="M48" i="20"/>
  <c r="M64" i="22" s="1"/>
  <c r="M46" i="20"/>
  <c r="N50" i="20"/>
  <c r="K48" i="20"/>
  <c r="K64" i="22" s="1"/>
  <c r="K49" i="20"/>
  <c r="K65" i="22" s="1"/>
  <c r="L50" i="20"/>
  <c r="L66" i="22" s="1"/>
  <c r="J51" i="20"/>
  <c r="J67" i="22" s="1"/>
  <c r="J49" i="20"/>
  <c r="J65" i="22" s="1"/>
  <c r="M51" i="20"/>
  <c r="M67" i="22" s="1"/>
  <c r="M50" i="20"/>
  <c r="M66" i="22" s="1"/>
  <c r="N49" i="20"/>
  <c r="G108" i="20"/>
  <c r="G107" i="20"/>
  <c r="G111" i="20"/>
  <c r="G112" i="20"/>
  <c r="J42" i="20"/>
  <c r="J57" i="22" s="1"/>
  <c r="K44" i="20"/>
  <c r="K59" i="22" s="1"/>
  <c r="L40" i="20"/>
  <c r="M43" i="20"/>
  <c r="M40" i="20"/>
  <c r="M55" i="22" s="1"/>
  <c r="K39" i="20"/>
  <c r="M41" i="20"/>
  <c r="M56" i="22" s="1"/>
  <c r="L39" i="20"/>
  <c r="N41" i="20"/>
  <c r="N56" i="22" s="1"/>
  <c r="K41" i="20"/>
  <c r="K56" i="22" s="1"/>
  <c r="L44" i="20"/>
  <c r="L59" i="22" s="1"/>
  <c r="J39" i="20"/>
  <c r="L41" i="20"/>
  <c r="L56" i="22" s="1"/>
  <c r="N43" i="20"/>
  <c r="N58" i="22" s="1"/>
  <c r="J40" i="20"/>
  <c r="L42" i="20"/>
  <c r="L57" i="22" s="1"/>
  <c r="N44" i="20"/>
  <c r="N59" i="22" s="1"/>
  <c r="K40" i="20"/>
  <c r="K55" i="22" s="1"/>
  <c r="M42" i="20"/>
  <c r="M57" i="22" s="1"/>
  <c r="K42" i="20"/>
  <c r="K57" i="22" s="1"/>
  <c r="M44" i="20"/>
  <c r="M59" i="22" s="1"/>
  <c r="K43" i="20"/>
  <c r="K58" i="22" s="1"/>
  <c r="J41" i="20"/>
  <c r="L43" i="20"/>
  <c r="M39" i="20"/>
  <c r="M57" i="20" s="1"/>
  <c r="M138" i="20" s="1"/>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M63" i="22"/>
  <c r="K63" i="22"/>
  <c r="N65" i="22"/>
  <c r="J63" i="22"/>
  <c r="L64" i="22"/>
  <c r="N66" i="22"/>
  <c r="J64" i="22"/>
  <c r="U14" i="26"/>
  <c r="AW14" i="26" s="1"/>
  <c r="G56" i="23"/>
  <c r="J56" i="22"/>
  <c r="L55" i="22"/>
  <c r="M58" i="22"/>
  <c r="L58" i="22"/>
  <c r="J55" i="22"/>
  <c r="T148" i="21"/>
  <c r="T88" i="21"/>
  <c r="T69" i="21"/>
  <c r="T139" i="21"/>
  <c r="U98" i="21"/>
  <c r="U68" i="21"/>
  <c r="U110" i="21"/>
  <c r="U86" i="21"/>
  <c r="U51" i="21"/>
  <c r="U127" i="21"/>
  <c r="U35" i="21"/>
  <c r="V64" i="21"/>
  <c r="V82" i="21"/>
  <c r="V65" i="21"/>
  <c r="V83" i="21"/>
  <c r="T87" i="21"/>
  <c r="T140" i="21"/>
  <c r="T36" i="21"/>
  <c r="T37" i="21"/>
  <c r="U82" i="21"/>
  <c r="U65" i="21"/>
  <c r="U64" i="21"/>
  <c r="U83" i="21"/>
  <c r="T70" i="21"/>
  <c r="T147"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S142" i="30" l="1"/>
  <c r="S128" i="30"/>
  <c r="V142" i="30"/>
  <c r="V128" i="30"/>
  <c r="T138" i="30"/>
  <c r="T143" i="30" s="1"/>
  <c r="T156" i="30" s="1"/>
  <c r="T52" i="30"/>
  <c r="S52" i="30"/>
  <c r="S138" i="30"/>
  <c r="S143" i="30" s="1"/>
  <c r="S156" i="30" s="1"/>
  <c r="V138" i="30"/>
  <c r="V143" i="30" s="1"/>
  <c r="V156" i="30" s="1"/>
  <c r="V52" i="30"/>
  <c r="U142" i="30"/>
  <c r="U128" i="30"/>
  <c r="R138" i="30"/>
  <c r="R52" i="30"/>
  <c r="R142" i="30"/>
  <c r="R128" i="30"/>
  <c r="T142" i="30"/>
  <c r="T128" i="30"/>
  <c r="U52" i="30"/>
  <c r="U138" i="30"/>
  <c r="U143" i="30" s="1"/>
  <c r="U156" i="30" s="1"/>
  <c r="R143" i="30"/>
  <c r="R156" i="30" s="1"/>
  <c r="K57" i="20"/>
  <c r="K138" i="20" s="1"/>
  <c r="J57" i="20"/>
  <c r="J138" i="20" s="1"/>
  <c r="J162" i="20" s="1"/>
  <c r="K161" i="20" s="1"/>
  <c r="L57" i="20"/>
  <c r="L138" i="20" s="1"/>
  <c r="N57" i="20"/>
  <c r="N138" i="20" s="1"/>
  <c r="N75" i="20"/>
  <c r="K75" i="20"/>
  <c r="L75" i="20"/>
  <c r="J75" i="20"/>
  <c r="J86" i="20" s="1"/>
  <c r="M75" i="20"/>
  <c r="L68" i="20"/>
  <c r="L142" i="20" s="1"/>
  <c r="J85" i="20"/>
  <c r="J60" i="23" s="1"/>
  <c r="J84" i="20"/>
  <c r="J59" i="23" s="1"/>
  <c r="J80" i="20"/>
  <c r="J31" i="23" s="1"/>
  <c r="J79" i="20"/>
  <c r="J30" i="23" s="1"/>
  <c r="J176" i="20"/>
  <c r="J82" i="20"/>
  <c r="J87" i="20"/>
  <c r="J62" i="23" s="1"/>
  <c r="J172" i="20"/>
  <c r="J181" i="20"/>
  <c r="J68" i="20"/>
  <c r="J142" i="20" s="1"/>
  <c r="J166" i="20" s="1"/>
  <c r="M68" i="20"/>
  <c r="M142" i="20" s="1"/>
  <c r="K68" i="20"/>
  <c r="K142" i="20" s="1"/>
  <c r="K64" i="20"/>
  <c r="N64" i="20"/>
  <c r="M64" i="20"/>
  <c r="J64" i="20"/>
  <c r="J81" i="20" s="1"/>
  <c r="L64" i="20"/>
  <c r="N68" i="20"/>
  <c r="N142" i="20" s="1"/>
  <c r="K14" i="20"/>
  <c r="K15" i="20"/>
  <c r="L13" i="20"/>
  <c r="P211" i="20" s="1"/>
  <c r="J163" i="20"/>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U147" i="21"/>
  <c r="U70" i="21"/>
  <c r="V140" i="21"/>
  <c r="V87" i="21"/>
  <c r="V139" i="21"/>
  <c r="V69" i="21"/>
  <c r="U148" i="21"/>
  <c r="U88" i="21"/>
  <c r="U69" i="21"/>
  <c r="U139" i="21"/>
  <c r="V147" i="21"/>
  <c r="V70" i="21"/>
  <c r="U140" i="21"/>
  <c r="U87" i="21"/>
  <c r="V36" i="21"/>
  <c r="V37" i="21"/>
  <c r="V88" i="21"/>
  <c r="V148" i="21"/>
  <c r="U37" i="21"/>
  <c r="U36" i="21"/>
  <c r="K6" i="18"/>
  <c r="L5" i="18"/>
  <c r="I5" i="4"/>
  <c r="I6" i="4" s="1"/>
  <c r="J171" i="4"/>
  <c r="P130" i="30" l="1"/>
  <c r="K162" i="20"/>
  <c r="J140" i="20"/>
  <c r="AJ6" i="26"/>
  <c r="H33" i="17"/>
  <c r="P54" i="30"/>
  <c r="J33" i="17"/>
  <c r="AL6" i="26"/>
  <c r="AI6" i="26"/>
  <c r="G33" i="17"/>
  <c r="AM6" i="26"/>
  <c r="K33" i="17"/>
  <c r="I33" i="17"/>
  <c r="AK6" i="26"/>
  <c r="P203" i="20"/>
  <c r="U19" i="26" s="1"/>
  <c r="AW19" i="26" s="1"/>
  <c r="U26" i="26"/>
  <c r="AW26" i="26" s="1"/>
  <c r="L26" i="17"/>
  <c r="J182" i="20"/>
  <c r="K86" i="20"/>
  <c r="K61" i="23" s="1"/>
  <c r="L161" i="20"/>
  <c r="L162" i="20" s="1"/>
  <c r="K163" i="20"/>
  <c r="L14" i="20"/>
  <c r="M13" i="20"/>
  <c r="L15" i="20"/>
  <c r="P212" i="20"/>
  <c r="L27" i="17" s="1"/>
  <c r="J144" i="20"/>
  <c r="J33" i="23"/>
  <c r="L20" i="20"/>
  <c r="L21" i="20" s="1"/>
  <c r="L81" i="20" s="1"/>
  <c r="L32" i="23" s="1"/>
  <c r="L18" i="20"/>
  <c r="M17" i="20"/>
  <c r="K84" i="20"/>
  <c r="K59" i="23" s="1"/>
  <c r="K80" i="20"/>
  <c r="K31" i="23" s="1"/>
  <c r="K79" i="20"/>
  <c r="K30" i="23" s="1"/>
  <c r="K85" i="20"/>
  <c r="K60" i="23" s="1"/>
  <c r="K87" i="20"/>
  <c r="K82" i="20"/>
  <c r="K33" i="23" s="1"/>
  <c r="K181" i="20"/>
  <c r="K140" i="20"/>
  <c r="K144" i="20"/>
  <c r="K182" i="20"/>
  <c r="K81" i="20"/>
  <c r="K32" i="23" s="1"/>
  <c r="J167" i="20"/>
  <c r="K165" i="20"/>
  <c r="K166" i="20" s="1"/>
  <c r="K171" i="20"/>
  <c r="K172" i="20" s="1"/>
  <c r="J173" i="20"/>
  <c r="J184" i="20" s="1"/>
  <c r="J177" i="20"/>
  <c r="K175" i="20"/>
  <c r="K176" i="20" s="1"/>
  <c r="U38" i="23"/>
  <c r="U54" i="22"/>
  <c r="U73" i="22"/>
  <c r="P72" i="21"/>
  <c r="P89" i="21"/>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P90" i="21"/>
  <c r="J61" i="23"/>
  <c r="J55" i="23"/>
  <c r="L55" i="23"/>
  <c r="M26" i="23"/>
  <c r="L60" i="22"/>
  <c r="L18" i="23"/>
  <c r="U67" i="23"/>
  <c r="N47" i="23"/>
  <c r="N68" i="22"/>
  <c r="P71" i="21"/>
  <c r="M5" i="18"/>
  <c r="L6" i="18"/>
  <c r="J5" i="4"/>
  <c r="J6" i="4" s="1"/>
  <c r="L19" i="17" l="1"/>
  <c r="M20" i="20"/>
  <c r="M21" i="20" s="1"/>
  <c r="M18" i="20"/>
  <c r="N17" i="20"/>
  <c r="M14" i="20"/>
  <c r="N13" i="20"/>
  <c r="M15" i="20"/>
  <c r="L171" i="20"/>
  <c r="L172" i="20" s="1"/>
  <c r="K173" i="20"/>
  <c r="K184" i="20" s="1"/>
  <c r="K177" i="20"/>
  <c r="L175" i="20"/>
  <c r="L176" i="20" s="1"/>
  <c r="L165" i="20"/>
  <c r="L166" i="20" s="1"/>
  <c r="K167" i="20"/>
  <c r="L79" i="20"/>
  <c r="L30" i="23" s="1"/>
  <c r="L84" i="20"/>
  <c r="L59" i="23" s="1"/>
  <c r="L80" i="20"/>
  <c r="L31" i="23" s="1"/>
  <c r="L85" i="20"/>
  <c r="L60" i="23" s="1"/>
  <c r="M161" i="20"/>
  <c r="M162" i="20" s="1"/>
  <c r="L163" i="20"/>
  <c r="J185" i="20"/>
  <c r="K62" i="23"/>
  <c r="L86" i="20"/>
  <c r="L61" i="23" s="1"/>
  <c r="L87" i="20"/>
  <c r="L62" i="23" s="1"/>
  <c r="L82" i="20"/>
  <c r="L33" i="23" s="1"/>
  <c r="L182" i="20"/>
  <c r="L181" i="20"/>
  <c r="L144" i="20"/>
  <c r="L140" i="20"/>
  <c r="U60" i="22"/>
  <c r="U55" i="23"/>
  <c r="U26" i="23"/>
  <c r="U18" i="23"/>
  <c r="U47" i="23"/>
  <c r="U68" i="22"/>
  <c r="M6" i="18"/>
  <c r="N5" i="18"/>
  <c r="R5" i="18" s="1"/>
  <c r="K5" i="4"/>
  <c r="K6" i="4" s="1"/>
  <c r="K185" i="20" l="1"/>
  <c r="K191" i="20" s="1"/>
  <c r="K194" i="20" s="1"/>
  <c r="K197" i="20" s="1"/>
  <c r="G120" i="20"/>
  <c r="N161" i="20"/>
  <c r="N162" i="20" s="1"/>
  <c r="N163" i="20" s="1"/>
  <c r="M163" i="20"/>
  <c r="L167" i="20"/>
  <c r="M165" i="20"/>
  <c r="M166" i="20" s="1"/>
  <c r="L173" i="20"/>
  <c r="L184" i="20" s="1"/>
  <c r="M171" i="20"/>
  <c r="M172" i="20" s="1"/>
  <c r="N20" i="20"/>
  <c r="N21" i="20" s="1"/>
  <c r="N18" i="20"/>
  <c r="M175" i="20"/>
  <c r="M176" i="20" s="1"/>
  <c r="L177" i="20"/>
  <c r="M87" i="20"/>
  <c r="M62" i="23" s="1"/>
  <c r="M82" i="20"/>
  <c r="M33" i="23" s="1"/>
  <c r="M144" i="20"/>
  <c r="M140" i="20"/>
  <c r="M181" i="20"/>
  <c r="M182" i="20"/>
  <c r="J191" i="20"/>
  <c r="N14" i="20"/>
  <c r="N15" i="20"/>
  <c r="M85" i="20"/>
  <c r="M79" i="20"/>
  <c r="M30" i="23" s="1"/>
  <c r="M84" i="20"/>
  <c r="M59" i="23" s="1"/>
  <c r="M80" i="20"/>
  <c r="M31" i="23" s="1"/>
  <c r="M86" i="20"/>
  <c r="M61" i="23" s="1"/>
  <c r="M81" i="20"/>
  <c r="M32" i="23" s="1"/>
  <c r="R6" i="18"/>
  <c r="R80" i="18" s="1"/>
  <c r="S5" i="18"/>
  <c r="N6" i="18"/>
  <c r="L5" i="4"/>
  <c r="L6" i="4" s="1"/>
  <c r="M60" i="23" l="1"/>
  <c r="L16" i="17"/>
  <c r="L185" i="20"/>
  <c r="M173" i="20"/>
  <c r="M184" i="20" s="1"/>
  <c r="N171" i="20"/>
  <c r="N172" i="20" s="1"/>
  <c r="N173" i="20" s="1"/>
  <c r="N184" i="20" s="1"/>
  <c r="J194" i="20"/>
  <c r="N87" i="20"/>
  <c r="N62" i="23" s="1"/>
  <c r="U62" i="23" s="1"/>
  <c r="N82" i="20"/>
  <c r="N182" i="20"/>
  <c r="N181" i="20"/>
  <c r="N144" i="20"/>
  <c r="P153" i="20" s="1"/>
  <c r="N140" i="20"/>
  <c r="P149" i="20" s="1"/>
  <c r="O4" i="26" s="1"/>
  <c r="AQ4" i="26" s="1"/>
  <c r="N85" i="20"/>
  <c r="N60" i="23" s="1"/>
  <c r="U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U16" i="26"/>
  <c r="AW16" i="26" s="1"/>
  <c r="R20" i="18"/>
  <c r="R127" i="18" s="1"/>
  <c r="R62" i="18"/>
  <c r="S6" i="18"/>
  <c r="S80" i="18" s="1"/>
  <c r="T5" i="18"/>
  <c r="M5" i="4"/>
  <c r="M6" i="4" s="1"/>
  <c r="E2" i="9"/>
  <c r="E2" i="11"/>
  <c r="E2" i="8"/>
  <c r="P205" i="20" l="1"/>
  <c r="L21" i="17" s="1"/>
  <c r="G119" i="20"/>
  <c r="G63" i="23" s="1"/>
  <c r="F5" i="17"/>
  <c r="N154" i="20"/>
  <c r="P209" i="20"/>
  <c r="O5" i="26"/>
  <c r="AQ5" i="26" s="1"/>
  <c r="O14" i="24"/>
  <c r="G116" i="20"/>
  <c r="G34" i="23" s="1"/>
  <c r="F4" i="17"/>
  <c r="N150" i="20"/>
  <c r="P201" i="20"/>
  <c r="N33" i="23"/>
  <c r="U33" i="23" s="1"/>
  <c r="M185" i="20"/>
  <c r="M191" i="20" s="1"/>
  <c r="M194" i="20" s="1"/>
  <c r="M197" i="20" s="1"/>
  <c r="L191" i="20"/>
  <c r="P125" i="20"/>
  <c r="P210" i="20" s="1"/>
  <c r="L25" i="17" s="1"/>
  <c r="L15" i="17"/>
  <c r="U15" i="26"/>
  <c r="AW15" i="26" s="1"/>
  <c r="O13" i="24"/>
  <c r="P131" i="20"/>
  <c r="J197" i="20"/>
  <c r="N185" i="20"/>
  <c r="N191" i="20" s="1"/>
  <c r="N194" i="20" s="1"/>
  <c r="N197" i="20" s="1"/>
  <c r="R110" i="18"/>
  <c r="R86" i="18"/>
  <c r="R98" i="18"/>
  <c r="R51" i="18"/>
  <c r="R68" i="18"/>
  <c r="R35" i="18"/>
  <c r="S20" i="18"/>
  <c r="S127" i="18" s="1"/>
  <c r="S62" i="18"/>
  <c r="U5" i="18"/>
  <c r="T6" i="18"/>
  <c r="T80" i="18" s="1"/>
  <c r="N5" i="4"/>
  <c r="N6" i="4" s="1"/>
  <c r="G25" i="4"/>
  <c r="M25" i="4"/>
  <c r="L25" i="4"/>
  <c r="K25" i="4"/>
  <c r="J25" i="4"/>
  <c r="I25" i="4"/>
  <c r="H25" i="4"/>
  <c r="G14" i="4"/>
  <c r="G28" i="4"/>
  <c r="G17" i="4"/>
  <c r="U66" i="23" l="1"/>
  <c r="U11" i="26"/>
  <c r="AW11" i="26" s="1"/>
  <c r="L24" i="17"/>
  <c r="U24" i="26"/>
  <c r="AW24" i="26" s="1"/>
  <c r="G117" i="20"/>
  <c r="L11" i="17"/>
  <c r="L194" i="20"/>
  <c r="P214" i="20"/>
  <c r="L29" i="17" s="1"/>
  <c r="P213" i="20"/>
  <c r="L28" i="17" s="1"/>
  <c r="L17" i="17"/>
  <c r="U17" i="26"/>
  <c r="AW17" i="26" s="1"/>
  <c r="U25" i="26"/>
  <c r="AW25" i="26" s="1"/>
  <c r="U12" i="26"/>
  <c r="AW12" i="26" s="1"/>
  <c r="S98" i="18"/>
  <c r="S110" i="18"/>
  <c r="S68" i="18"/>
  <c r="S86" i="18"/>
  <c r="S35" i="18"/>
  <c r="S37" i="18" s="1"/>
  <c r="S51" i="18"/>
  <c r="T20" i="18"/>
  <c r="T127" i="18" s="1"/>
  <c r="T62" i="18"/>
  <c r="V5" i="18"/>
  <c r="V6" i="18" s="1"/>
  <c r="V80" i="18" s="1"/>
  <c r="U6" i="18"/>
  <c r="U80" i="18" s="1"/>
  <c r="N25" i="4"/>
  <c r="G29" i="4"/>
  <c r="G31" i="4"/>
  <c r="H28" i="4"/>
  <c r="L12" i="17" l="1"/>
  <c r="P124" i="20"/>
  <c r="L197" i="20"/>
  <c r="T95" i="21" s="1"/>
  <c r="T100" i="21" s="1"/>
  <c r="P194" i="20"/>
  <c r="P197" i="20" s="1"/>
  <c r="P215" i="20" s="1"/>
  <c r="L30" i="17" s="1"/>
  <c r="U21" i="26"/>
  <c r="AW21" i="26" s="1"/>
  <c r="U37" i="23"/>
  <c r="S107" i="21"/>
  <c r="S112" i="21" s="1"/>
  <c r="S95" i="21"/>
  <c r="U68" i="23"/>
  <c r="U27" i="26"/>
  <c r="AW27" i="26" s="1"/>
  <c r="U28" i="26"/>
  <c r="AW28" i="26" s="1"/>
  <c r="U107" i="21"/>
  <c r="U112" i="21" s="1"/>
  <c r="U95" i="21"/>
  <c r="V107" i="21"/>
  <c r="V112" i="21" s="1"/>
  <c r="V95" i="2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T107" i="21" l="1"/>
  <c r="T112" i="21" s="1"/>
  <c r="P130" i="20"/>
  <c r="P202" i="20"/>
  <c r="T149" i="21"/>
  <c r="S149" i="21"/>
  <c r="S100" i="21"/>
  <c r="U29" i="26"/>
  <c r="AW29" i="26" s="1"/>
  <c r="U149" i="21"/>
  <c r="U100" i="21"/>
  <c r="V149" i="21"/>
  <c r="V100" i="21"/>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L18" i="17" l="1"/>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V36" i="18"/>
  <c r="U37" i="18"/>
  <c r="K28" i="4"/>
  <c r="J31" i="4"/>
  <c r="J32" i="4" s="1"/>
  <c r="J29" i="4"/>
  <c r="N2" i="6"/>
  <c r="N3" i="6"/>
  <c r="N4" i="6"/>
  <c r="S106" i="21" l="1"/>
  <c r="S111" i="21" s="1"/>
  <c r="U106" i="21"/>
  <c r="U111" i="21" s="1"/>
  <c r="T94" i="21"/>
  <c r="T141" i="21" s="1"/>
  <c r="U39" i="23"/>
  <c r="V106" i="21"/>
  <c r="V111" i="21" s="1"/>
  <c r="V94" i="21"/>
  <c r="J190" i="20"/>
  <c r="P204" i="20"/>
  <c r="O17" i="24"/>
  <c r="R95" i="21"/>
  <c r="R107" i="21"/>
  <c r="R112" i="21" s="1"/>
  <c r="P114" i="21" s="1"/>
  <c r="P117" i="21" s="1"/>
  <c r="S141" i="21"/>
  <c r="S99" i="21"/>
  <c r="U141" i="21"/>
  <c r="U99" i="21"/>
  <c r="L28" i="4"/>
  <c r="K29" i="4"/>
  <c r="K31" i="4"/>
  <c r="K32" i="4" s="1"/>
  <c r="N19" i="6"/>
  <c r="N17" i="6"/>
  <c r="N15" i="6"/>
  <c r="N6" i="6"/>
  <c r="N13" i="6"/>
  <c r="N11" i="6"/>
  <c r="N9" i="6"/>
  <c r="N7" i="6"/>
  <c r="N5" i="6"/>
  <c r="N18" i="6"/>
  <c r="N16" i="6"/>
  <c r="N14" i="6"/>
  <c r="N12" i="6"/>
  <c r="N10" i="6"/>
  <c r="N8" i="6"/>
  <c r="T99" i="21" l="1"/>
  <c r="L20" i="17"/>
  <c r="U20" i="26"/>
  <c r="AW20" i="26" s="1"/>
  <c r="J193" i="20"/>
  <c r="P206" i="20"/>
  <c r="V99" i="21"/>
  <c r="V141" i="21"/>
  <c r="P14" i="21"/>
  <c r="O20" i="24"/>
  <c r="U30" i="26"/>
  <c r="AW30" i="26" s="1"/>
  <c r="R100" i="21"/>
  <c r="P102" i="21" s="1"/>
  <c r="R149" i="21"/>
  <c r="M28" i="4"/>
  <c r="L29" i="4"/>
  <c r="L31" i="4"/>
  <c r="L32" i="4" s="1"/>
  <c r="G26" i="4"/>
  <c r="L22" i="17" l="1"/>
  <c r="U22" i="26"/>
  <c r="AW22" i="26" s="1"/>
  <c r="P193" i="20"/>
  <c r="P196" i="20" s="1"/>
  <c r="P207" i="20" s="1"/>
  <c r="L23" i="17" s="1"/>
  <c r="J196" i="20"/>
  <c r="R106" i="21" s="1"/>
  <c r="R111" i="21" s="1"/>
  <c r="P113" i="21" s="1"/>
  <c r="P116" i="21" s="1"/>
  <c r="P44" i="21"/>
  <c r="R32" i="21"/>
  <c r="P60" i="21"/>
  <c r="P119" i="21"/>
  <c r="P121" i="21" s="1"/>
  <c r="P77" i="2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O16" i="24" l="1"/>
  <c r="R94" i="21"/>
  <c r="R99" i="21" s="1"/>
  <c r="P101" i="21" s="1"/>
  <c r="U124" i="21"/>
  <c r="R124" i="21"/>
  <c r="S124" i="21"/>
  <c r="T124" i="21"/>
  <c r="V124" i="21"/>
  <c r="O19" i="24"/>
  <c r="P13" i="21"/>
  <c r="U23" i="26"/>
  <c r="AW23" i="26" s="1"/>
  <c r="R37" i="21"/>
  <c r="P39" i="21" s="1"/>
  <c r="R145" i="21"/>
  <c r="T48" i="21"/>
  <c r="V48" i="21"/>
  <c r="R48" i="21"/>
  <c r="U48" i="21"/>
  <c r="S48" i="2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R141" i="21" l="1"/>
  <c r="T129" i="21"/>
  <c r="T150" i="21"/>
  <c r="R146" i="21"/>
  <c r="R151" i="21" s="1"/>
  <c r="R157" i="21" s="1"/>
  <c r="R53" i="21"/>
  <c r="P43" i="21"/>
  <c r="P76" i="21"/>
  <c r="R31" i="21"/>
  <c r="P118" i="21"/>
  <c r="P120" i="21" s="1"/>
  <c r="P59" i="21"/>
  <c r="S129" i="21"/>
  <c r="S150" i="21"/>
  <c r="U146" i="21"/>
  <c r="U151" i="21" s="1"/>
  <c r="U157" i="21" s="1"/>
  <c r="U53" i="21"/>
  <c r="V146" i="21"/>
  <c r="V151" i="21" s="1"/>
  <c r="V157" i="21" s="1"/>
  <c r="V53" i="21"/>
  <c r="R150" i="21"/>
  <c r="R129" i="21"/>
  <c r="S146" i="21"/>
  <c r="S151" i="21" s="1"/>
  <c r="S157" i="21" s="1"/>
  <c r="S53" i="21"/>
  <c r="T146" i="21"/>
  <c r="T151" i="21" s="1"/>
  <c r="T157" i="21" s="1"/>
  <c r="T53" i="21"/>
  <c r="V129" i="21"/>
  <c r="V150" i="21"/>
  <c r="U129" i="21"/>
  <c r="U150"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R7" i="26" l="1"/>
  <c r="AT7" i="26" s="1"/>
  <c r="I7" i="17"/>
  <c r="Q7" i="26"/>
  <c r="AS7" i="26" s="1"/>
  <c r="H7" i="17"/>
  <c r="T7" i="26"/>
  <c r="AV7" i="26" s="1"/>
  <c r="K7" i="17"/>
  <c r="S7" i="26"/>
  <c r="AU7" i="26" s="1"/>
  <c r="J7" i="17"/>
  <c r="P7" i="26"/>
  <c r="AR7" i="26" s="1"/>
  <c r="G7" i="17"/>
  <c r="P55" i="21"/>
  <c r="S123" i="21"/>
  <c r="V123" i="21"/>
  <c r="T123" i="21"/>
  <c r="U123" i="21"/>
  <c r="R123" i="21"/>
  <c r="R36" i="21"/>
  <c r="P38" i="21" s="1"/>
  <c r="R137" i="21"/>
  <c r="P131" i="21"/>
  <c r="R47" i="21"/>
  <c r="V47" i="21"/>
  <c r="T47" i="21"/>
  <c r="S47" i="21"/>
  <c r="U47" i="21"/>
  <c r="G27" i="11"/>
  <c r="U31" i="8"/>
  <c r="G94" i="4"/>
  <c r="L9" i="26" s="1"/>
  <c r="AD9" i="26" s="1"/>
  <c r="U49" i="8"/>
  <c r="U41" i="8"/>
  <c r="U42" i="8"/>
  <c r="U50" i="8"/>
  <c r="S138" i="21" l="1"/>
  <c r="S143" i="21" s="1"/>
  <c r="S156" i="21" s="1"/>
  <c r="S52" i="21"/>
  <c r="T138" i="21"/>
  <c r="T143" i="21" s="1"/>
  <c r="T156" i="21" s="1"/>
  <c r="T52" i="21"/>
  <c r="T128" i="21"/>
  <c r="T142" i="21"/>
  <c r="V52" i="21"/>
  <c r="V138" i="21"/>
  <c r="V143" i="21" s="1"/>
  <c r="V156" i="21" s="1"/>
  <c r="V142" i="21"/>
  <c r="V128" i="21"/>
  <c r="U128" i="21"/>
  <c r="U142" i="21"/>
  <c r="U52" i="21"/>
  <c r="U138" i="21"/>
  <c r="U143" i="21" s="1"/>
  <c r="U156" i="21" s="1"/>
  <c r="R52" i="21"/>
  <c r="R138" i="21"/>
  <c r="R143" i="21" s="1"/>
  <c r="R156" i="21" s="1"/>
  <c r="R128" i="21"/>
  <c r="R142" i="21"/>
  <c r="S128" i="21"/>
  <c r="S142" i="21"/>
  <c r="G19" i="11"/>
  <c r="M4" i="6"/>
  <c r="L4" i="6"/>
  <c r="K4" i="6"/>
  <c r="J4" i="6"/>
  <c r="I4" i="6"/>
  <c r="H4" i="6"/>
  <c r="G4" i="6"/>
  <c r="F4" i="6"/>
  <c r="E4" i="6"/>
  <c r="D4" i="6"/>
  <c r="C4" i="6"/>
  <c r="B4" i="6"/>
  <c r="T6" i="26" l="1"/>
  <c r="AV6" i="26" s="1"/>
  <c r="K6" i="17"/>
  <c r="R6" i="26"/>
  <c r="AT6" i="26" s="1"/>
  <c r="I6" i="17"/>
  <c r="S6" i="26"/>
  <c r="AU6" i="26" s="1"/>
  <c r="J6" i="17"/>
  <c r="P6" i="26"/>
  <c r="AR6" i="26" s="1"/>
  <c r="G6" i="17"/>
  <c r="Q6" i="26"/>
  <c r="AS6" i="26" s="1"/>
  <c r="H6" i="17"/>
  <c r="P54" i="21"/>
  <c r="P130" i="21"/>
  <c r="G32" i="4"/>
  <c r="N152" i="4" l="1"/>
  <c r="M152" i="4"/>
  <c r="L152" i="4"/>
  <c r="K152" i="4"/>
  <c r="J152" i="4"/>
  <c r="J154" i="4" s="1"/>
  <c r="I152" i="4"/>
  <c r="N148" i="4"/>
  <c r="M148" i="4"/>
  <c r="L148" i="4"/>
  <c r="K148" i="4"/>
  <c r="J148" i="4"/>
  <c r="J150" i="4" s="1"/>
  <c r="I148" i="4"/>
  <c r="G13" i="4" l="1"/>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L57" i="4"/>
  <c r="M57" i="4"/>
  <c r="J57" i="4"/>
  <c r="K57" i="4"/>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L11" i="26" l="1"/>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M68" i="4"/>
  <c r="J68" i="4"/>
  <c r="N68" i="4"/>
  <c r="L68" i="4"/>
  <c r="U67" i="8"/>
  <c r="U66" i="8"/>
  <c r="M76" i="8"/>
  <c r="N65" i="8"/>
  <c r="N63" i="8"/>
  <c r="K65" i="8"/>
  <c r="M62" i="8"/>
  <c r="J63" i="8"/>
  <c r="N64" i="8"/>
  <c r="L76" i="8"/>
  <c r="N76" i="8"/>
  <c r="M65" i="8"/>
  <c r="L65" i="8"/>
  <c r="K62" i="8"/>
  <c r="J62" i="8"/>
  <c r="J64" i="8"/>
  <c r="K63" i="8"/>
  <c r="L63" i="8"/>
  <c r="J76" i="8"/>
  <c r="M64" i="8"/>
  <c r="L62" i="8"/>
  <c r="K76" i="8"/>
  <c r="L64" i="8"/>
  <c r="K64" i="8"/>
  <c r="J65" i="8"/>
  <c r="N62" i="8"/>
  <c r="M63" i="8"/>
  <c r="L25" i="26" l="1"/>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<sst xmlns="http://schemas.openxmlformats.org/spreadsheetml/2006/main" count="4980" uniqueCount="826">
  <si>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</si>
  <si>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</si>
  <si>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</si>
  <si>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</si>
  <si>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</si>
  <si>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</si>
  <si>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</si>
  <si>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</si>
  <si>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</si>
  <si>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</si>
  <si>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</si>
  <si>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</si>
  <si>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</si>
  <si>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</si>
  <si>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</si>
  <si>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</si>
  <si>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</si>
  <si>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</si>
  <si>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</si>
  <si>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</si>
  <si>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</si>
  <si>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</si>
  <si>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</si>
  <si>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</si>
  <si>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</si>
  <si>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</si>
  <si>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</si>
  <si>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</si>
  <si>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</si>
  <si>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</si>
  <si>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</si>
  <si>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</si>
  <si>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</si>
  <si>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</si>
  <si>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</si>
  <si>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</si>
  <si>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</si>
  <si>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</si>
  <si>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</si>
  <si>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</si>
  <si>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</si>
  <si>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</si>
  <si>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</si>
  <si>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</si>
  <si>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</si>
  <si>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</si>
  <si>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</si>
  <si>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</si>
  <si>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</si>
  <si>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</si>
  <si>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</si>
  <si>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</si>
  <si>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</si>
  <si>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</si>
  <si>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</si>
  <si>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</si>
  <si>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</si>
  <si>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</si>
  <si>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</si>
  <si>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</si>
  <si>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</si>
  <si>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</si>
  <si>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</si>
  <si>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</si>
  <si>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</si>
  <si>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</si>
  <si>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</si>
  <si>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</si>
  <si>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</si>
  <si>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</si>
  <si>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</si>
  <si>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</si>
  <si>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</si>
  <si>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</si>
  <si>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</si>
  <si>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</si>
  <si>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</si>
  <si>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</si>
  <si>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</si>
  <si>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</si>
  <si>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</si>
  <si>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</si>
  <si>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</si>
  <si>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</si>
  <si>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</si>
  <si>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</si>
  <si>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</si>
  <si>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</si>
  <si>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</si>
  <si>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</si>
  <si>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</si>
  <si>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</si>
  <si>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</si>
  <si>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</si>
  <si>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</si>
  <si>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</si>
  <si>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</si>
  <si>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</si>
  <si>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</si>
  <si>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</si>
  <si>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</si>
  <si>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</si>
  <si>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</si>
  <si>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</si>
  <si>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</si>
  <si>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</si>
  <si>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</si>
  <si>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</si>
  <si>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</si>
  <si>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</si>
  <si>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</si>
  <si>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</si>
  <si>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</si>
  <si>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</si>
  <si>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</si>
  <si>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</si>
  <si>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</si>
  <si>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</si>
  <si>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</si>
  <si>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</si>
  <si>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</si>
  <si>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</si>
  <si>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</si>
  <si>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</si>
  <si>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</si>
  <si>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</si>
  <si>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</si>
  <si>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</si>
  <si>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</si>
  <si>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</si>
  <si>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</si>
  <si>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</si>
  <si>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</si>
  <si>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</si>
  <si>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</si>
  <si>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</si>
  <si>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</si>
  <si>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</si>
  <si>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</si>
  <si>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</si>
  <si>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</si>
  <si>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</si>
  <si>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</si>
  <si>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</si>
  <si>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</si>
  <si>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</si>
  <si>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</si>
  <si>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</si>
  <si>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</si>
  <si>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</si>
  <si>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</si>
  <si>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</si>
  <si>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</si>
  <si>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</si>
  <si>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</si>
  <si>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</si>
  <si>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</si>
  <si>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</si>
  <si>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</si>
  <si>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</si>
  <si>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</si>
  <si>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</si>
  <si>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</si>
  <si>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</si>
  <si>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</si>
  <si>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</si>
  <si>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</si>
  <si>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</si>
  <si>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</si>
  <si>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</si>
  <si>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</si>
  <si>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</si>
  <si>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</si>
  <si>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</si>
  <si>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</si>
  <si>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</si>
  <si>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</si>
  <si>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</si>
  <si>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</si>
  <si>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</si>
  <si>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</si>
  <si>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</si>
  <si>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</si>
  <si>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</si>
  <si>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</si>
  <si>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</si>
  <si>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</si>
  <si>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</si>
  <si>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</si>
  <si>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</si>
  <si>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</si>
  <si>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</si>
  <si>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</si>
  <si>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</si>
  <si>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</si>
  <si>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</si>
  <si>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</si>
  <si>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</si>
  <si>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</si>
  <si>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</si>
  <si>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</si>
  <si>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</si>
  <si>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</si>
  <si>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</si>
  <si>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</si>
  <si>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</si>
  <si>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</si>
  <si>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</si>
  <si>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</si>
  <si>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</si>
  <si>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</si>
  <si>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</si>
  <si>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</si>
  <si>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</si>
  <si>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</si>
  <si>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</si>
  <si>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</si>
  <si>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</si>
  <si>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</si>
  <si>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</si>
  <si>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</si>
  <si>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</si>
  <si>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</si>
  <si>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</si>
  <si>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</si>
  <si>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</si>
  <si>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</si>
  <si>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</si>
  <si>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</si>
  <si>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</si>
  <si>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</si>
  <si>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</si>
  <si>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</si>
  <si>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</si>
  <si>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</si>
  <si>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</si>
  <si>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</si>
  <si>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</si>
  <si>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</si>
  <si>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</si>
  <si>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</si>
  <si>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</si>
  <si>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</si>
  <si>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</si>
  <si>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</si>
  <si>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</si>
  <si>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</si>
  <si>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</si>
  <si>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</si>
  <si>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</si>
  <si>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</si>
  <si>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</si>
  <si>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</si>
  <si>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</si>
  <si>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</si>
  <si>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</si>
  <si>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</si>
  <si>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</si>
  <si>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</si>
  <si>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</si>
  <si>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</si>
  <si>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</si>
  <si>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</si>
  <si>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</si>
  <si>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</si>
  <si>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</si>
  <si>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</si>
  <si>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</si>
  <si>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</si>
  <si>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</si>
  <si>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</si>
  <si>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</si>
  <si>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</si>
  <si>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</si>
  <si>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</si>
  <si>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</si>
  <si>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</si>
  <si>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</si>
  <si>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</si>
  <si>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</si>
  <si>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</si>
  <si>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</si>
  <si>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</si>
  <si>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</si>
  <si>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</si>
  <si>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</si>
  <si>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</si>
  <si>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</si>
  <si>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</si>
  <si>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</si>
  <si>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</si>
  <si>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</si>
  <si>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</si>
  <si>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</si>
  <si>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</si>
  <si>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</si>
  <si>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</si>
  <si>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</si>
  <si>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</si>
  <si>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</si>
  <si>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</si>
  <si>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</si>
  <si>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</si>
  <si>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</si>
  <si>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</si>
  <si>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</si>
  <si>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</si>
  <si>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</si>
  <si>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</si>
  <si>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</si>
  <si>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</si>
  <si>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</si>
  <si>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</si>
  <si>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</si>
  <si>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</si>
  <si>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</si>
  <si>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</si>
  <si>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</si>
  <si>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</si>
  <si>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</si>
  <si>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</si>
  <si>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</si>
  <si>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</si>
  <si>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</si>
  <si>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</si>
  <si>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</si>
  <si>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</si>
  <si>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</si>
  <si>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</si>
  <si>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</si>
  <si>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</si>
  <si>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</si>
  <si>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</si>
  <si>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</si>
  <si>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</si>
  <si>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</si>
  <si>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</si>
  <si>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</si>
  <si>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</si>
  <si>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</si>
  <si>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</si>
  <si>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</si>
  <si>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</si>
  <si>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</si>
  <si>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</si>
  <si>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</si>
  <si>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</si>
  <si>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</si>
  <si>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</si>
  <si>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</si>
  <si>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</si>
  <si>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</si>
  <si>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</si>
  <si>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</si>
  <si>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</si>
  <si>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</si>
  <si>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</si>
  <si>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</si>
  <si>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</si>
  <si>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</si>
  <si>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</si>
  <si>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</si>
  <si>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</si>
  <si>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</si>
  <si>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</si>
  <si>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</si>
  <si>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</si>
  <si>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</si>
  <si>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</si>
  <si>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</si>
  <si>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</si>
  <si>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</si>
  <si>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</si>
  <si>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</si>
  <si>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</si>
  <si>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</si>
  <si>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</si>
  <si>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</si>
  <si>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</si>
  <si>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</si>
  <si>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</si>
  <si>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</si>
  <si>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</si>
  <si>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</si>
  <si>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</si>
  <si>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</si>
  <si>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</si>
  <si>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</si>
  <si>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</si>
  <si>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</si>
  <si>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</si>
  <si>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</si>
  <si>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</si>
  <si>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</si>
  <si>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</si>
  <si>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</si>
  <si>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</si>
  <si>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</si>
  <si>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</si>
  <si>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</si>
  <si>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</si>
  <si>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</si>
  <si>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</si>
  <si>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</si>
  <si>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</si>
  <si>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</si>
  <si>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</si>
  <si>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</si>
  <si>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</si>
  <si>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</si>
  <si>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</si>
  <si>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</si>
  <si>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</si>
  <si>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</si>
  <si>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</si>
  <si>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</si>
  <si>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</si>
  <si>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</si>
  <si>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</si>
  <si>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</si>
  <si>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</si>
  <si>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</si>
  <si>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</si>
  <si>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</si>
  <si>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</si>
  <si>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</si>
  <si>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</si>
  <si>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</si>
  <si>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</si>
  <si>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</si>
  <si>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</si>
  <si>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</si>
  <si>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</si>
  <si>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</si>
  <si>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</si>
  <si>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</si>
  <si>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</si>
  <si>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</si>
  <si>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</si>
  <si>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</si>
  <si>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</si>
  <si>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</si>
  <si>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</si>
  <si>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</si>
  <si>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</si>
  <si>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</si>
  <si>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</si>
  <si>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</si>
  <si>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</si>
  <si>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</si>
  <si>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</si>
  <si>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</si>
  <si>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</si>
  <si>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</si>
  <si>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</si>
  <si>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</si>
  <si>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</si>
  <si>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</si>
  <si>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</si>
  <si>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</si>
  <si>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</si>
  <si>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</si>
  <si>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</si>
  <si>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</si>
  <si>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</si>
  <si>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</si>
  <si>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</si>
  <si>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</si>
  <si>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</si>
  <si>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</si>
  <si>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</si>
  <si>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</si>
  <si>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</si>
  <si>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</si>
  <si>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</si>
  <si>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</si>
  <si>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</si>
  <si>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</si>
  <si>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</si>
  <si>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</si>
  <si>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</si>
  <si>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</si>
  <si>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</si>
  <si>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</si>
  <si>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</si>
  <si>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</si>
  <si>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</si>
  <si>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</si>
  <si>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</si>
  <si>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</si>
  <si>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</si>
  <si>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</si>
  <si>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</si>
  <si>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</si>
  <si>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</si>
  <si>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</si>
  <si>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</si>
  <si>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</si>
  <si>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</si>
  <si>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</si>
  <si>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</si>
  <si>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</si>
  <si>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</si>
  <si>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</si>
  <si>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</si>
  <si>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</si>
  <si>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</si>
  <si>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</si>
  <si>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</si>
  <si>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</si>
  <si>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</si>
  <si>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</si>
  <si>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</si>
  <si>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</si>
  <si>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</si>
  <si>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</si>
  <si>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</si>
  <si>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</si>
  <si>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</si>
  <si>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</si>
  <si>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</si>
  <si>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</si>
  <si>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</si>
  <si>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</si>
  <si>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</si>
  <si>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</si>
  <si>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</si>
  <si>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</si>
  <si>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</si>
  <si>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</si>
  <si>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</si>
  <si>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</si>
  <si>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</si>
  <si>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</si>
  <si>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</si>
  <si>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</si>
  <si>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</si>
  <si>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</si>
  <si>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</si>
  <si>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</si>
  <si>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</si>
  <si>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</si>
  <si>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</si>
  <si>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</si>
  <si>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</si>
  <si>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</si>
  <si>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</si>
  <si>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</si>
  <si>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</si>
  <si>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</si>
  <si>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</si>
  <si>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</si>
  <si>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</si>
  <si>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</si>
  <si>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</si>
  <si>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</si>
  <si>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</si>
  <si>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</si>
  <si>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</si>
  <si>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</si>
  <si>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</si>
  <si>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</si>
  <si>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</si>
  <si>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</si>
  <si>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</si>
  <si>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</si>
  <si>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</si>
  <si>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</si>
  <si>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</si>
  <si>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</si>
  <si>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</si>
  <si>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</si>
  <si>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</si>
  <si>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</si>
  <si>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</si>
  <si>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</si>
  <si>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</si>
  <si>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</si>
  <si>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</si>
  <si>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</si>
  <si>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</si>
  <si>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</si>
  <si>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</si>
  <si>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</si>
  <si>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</si>
  <si>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</si>
  <si>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</si>
  <si>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</si>
  <si>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</si>
  <si>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</si>
  <si>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</si>
  <si>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</si>
  <si>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</si>
  <si>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</si>
  <si>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</si>
  <si>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</si>
  <si>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</si>
  <si>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</si>
  <si>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</si>
  <si>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</si>
  <si>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</si>
  <si>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</si>
  <si>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</si>
  <si>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</si>
  <si>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</si>
  <si>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</si>
  <si>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</si>
  <si>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</si>
  <si>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</si>
  <si>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</si>
  <si>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</si>
  <si>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</si>
  <si>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</si>
  <si>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</si>
  <si>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</si>
  <si>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</si>
  <si>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</si>
  <si>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</si>
  <si>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</si>
  <si>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</si>
  <si>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</si>
  <si>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</si>
  <si>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</si>
  <si>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</si>
  <si>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</si>
  <si>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</si>
  <si>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</si>
  <si>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</si>
  <si>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</si>
  <si>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</si>
  <si>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</si>
  <si>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</si>
  <si>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</si>
  <si>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</si>
  <si>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</si>
  <si>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</si>
  <si>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</si>
  <si>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</si>
  <si>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</si>
  <si>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</si>
  <si>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</si>
  <si>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</si>
  <si>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</si>
  <si>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</si>
  <si>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</si>
  <si>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</si>
  <si>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</si>
  <si>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</si>
  <si>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</si>
  <si>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</si>
  <si>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</si>
  <si>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</si>
  <si>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</si>
  <si>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</si>
  <si>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</si>
  <si>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</si>
  <si>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</si>
  <si>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</si>
  <si>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</si>
  <si>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</si>
  <si>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</si>
  <si>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</si>
  <si>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</si>
  <si>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</si>
  <si>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</si>
  <si>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</si>
  <si>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</si>
  <si>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</si>
  <si>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</si>
  <si>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</si>
  <si>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</si>
  <si>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</si>
  <si>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</si>
  <si>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</si>
  <si>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</si>
  <si>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</si>
  <si>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</si>
  <si>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</si>
  <si>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</si>
  <si>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</si>
  <si>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</si>
  <si>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</si>
  <si>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</si>
  <si>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</si>
  <si>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</si>
  <si>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</si>
  <si>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</si>
  <si>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</si>
  <si>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</si>
  <si>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</si>
  <si>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</si>
  <si>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</si>
  <si>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</si>
  <si>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</si>
  <si>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</si>
  <si>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</si>
  <si>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</si>
  <si>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</si>
  <si>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</si>
  <si>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</si>
  <si>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</si>
  <si>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</si>
  <si>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</si>
  <si>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</si>
  <si>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</si>
  <si>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</si>
  <si>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</si>
  <si>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</si>
  <si>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</si>
  <si>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</si>
  <si>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</si>
  <si>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</si>
  <si>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</si>
  <si>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</si>
  <si>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</si>
  <si>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</si>
  <si>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</si>
  <si>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</si>
  <si>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</si>
  <si>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</si>
  <si>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</si>
  <si>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</si>
  <si>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</si>
  <si>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</si>
  <si>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</si>
  <si>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</si>
  <si>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</si>
  <si>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</si>
  <si>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</si>
  <si>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</si>
  <si>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</si>
  <si>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</si>
  <si>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</si>
  <si>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</si>
  <si>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</si>
  <si>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</si>
  <si>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</si>
  <si>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</si>
  <si>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</si>
  <si>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</si>
  <si>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</si>
  <si>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</si>
  <si>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</si>
  <si>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</si>
  <si>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</si>
  <si>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</si>
  <si>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</si>
  <si>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</si>
  <si>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</si>
  <si>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</si>
  <si>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</si>
  <si>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</si>
  <si>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</si>
  <si>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</si>
  <si>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</si>
  <si>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</si>
  <si>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</si>
  <si>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</si>
  <si>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</si>
  <si>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</si>
  <si>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</si>
  <si>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</si>
  <si>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</si>
  <si>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</si>
  <si>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</si>
  <si>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</si>
  <si>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</si>
  <si>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</si>
  <si>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</si>
  <si>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</si>
  <si>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</si>
  <si>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</si>
  <si>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</si>
  <si>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</si>
  <si>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</si>
  <si>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</si>
  <si>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agendaId</t>
  </si>
  <si>
    <t>1_XLSPF</t>
  </si>
  <si>
    <t>inputSheetLastUpdated</t>
  </si>
  <si>
    <t>PL14L012IN_BY</t>
  </si>
  <si>
    <t>BRL Inputs as at FD</t>
  </si>
  <si>
    <t>https://fntlive201/Fountain/rest-services_XLSPF</t>
  </si>
  <si>
    <t>companyId</t>
  </si>
  <si>
    <t>31_XLSPF</t>
  </si>
  <si>
    <t>companyName</t>
  </si>
  <si>
    <t>Bristol Water plc_XLSPF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</si>
  <si>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</si>
  <si>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</si>
  <si>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</si>
  <si>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</si>
  <si>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</si>
  <si>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</si>
  <si>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</si>
  <si>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</si>
  <si>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</si>
  <si>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</si>
  <si>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</si>
  <si>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</si>
  <si>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</si>
  <si>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</si>
  <si>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</si>
  <si>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</si>
  <si>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</si>
  <si>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</si>
  <si>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</si>
  <si>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</si>
  <si>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</si>
  <si>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</si>
  <si>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</si>
  <si>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</si>
  <si>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</si>
  <si>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</si>
  <si>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F_Outputs_TABLE_ID</t>
  </si>
  <si>
    <t>F_Outputs_TEAM</t>
  </si>
  <si>
    <t>F_Outputs_USER</t>
  </si>
  <si>
    <t>F_Outputs_NAME</t>
  </si>
  <si>
    <t>F_Outputs_TITLE</t>
  </si>
  <si>
    <t>outputSheetLastSent</t>
  </si>
  <si>
    <t>BRL</t>
  </si>
  <si>
    <t>9365_XLSPF</t>
  </si>
  <si>
    <t>OFWAT\Dawn.Harrison_XLSPF</t>
  </si>
  <si>
    <t>PL14L012_BY_XLSPF</t>
  </si>
  <si>
    <t>PL14L012_BY</t>
  </si>
  <si>
    <t>27/09/2016 15:57:05_XLSPF</t>
  </si>
  <si>
    <t>27/09/2016 15:58:41_XLSPF</t>
  </si>
  <si>
    <t>BRL 2010-15 reconciliation with corrected approach to RCV indexation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</si>
</sst>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3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2">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4" fontId="37" fillId="0" borderId="0" xfId="0" applyNumberFormat="1" applyFont="1"/>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40" fillId="0" borderId="18" xfId="0" applyFont="1" applyBorder="1" applyAlignment="1">
      <alignment horizontal="left" vertical="top" wrapText="1"/>
    </xf>
    <xf numFmtId="0" fontId="0" fillId="0" borderId="19" xfId="0" applyBorder="1" applyAlignment="1">
      <alignment horizontal="left" vertical="top" wrapText="1"/>
    </xf>
    <xf numFmtId="0" fontId="0" fillId="0" borderId="27" xfId="0" applyBorder="1" applyAlignment="1">
      <alignment horizontal="left" vertical="top" wrapText="1"/>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18" xfId="0" quotePrefix="1"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0" xfId="0" quotePrefix="1"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5" fillId="25" borderId="28" xfId="0" applyFont="1" applyFill="1" applyBorder="1" applyAlignment="1">
      <alignment horizontal="center" wrapText="1"/>
    </xf>
    <xf numFmtId="0" fontId="63" fillId="23" borderId="28" xfId="0" applyFont="1" applyFill="1" applyBorder="1" applyAlignment="1">
      <alignment horizontal="center" vertical="center" wrapText="1"/>
    </xf>
    <xf numFmtId="0" fontId="65" fillId="25" borderId="28" xfId="0" applyFont="1" applyFill="1" applyBorder="1" applyAlignment="1">
      <alignment horizontal="center"/>
    </xf>
    <xf numFmtId="0" fontId="57" fillId="22" borderId="18" xfId="0" applyFont="1"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28" xfId="0" quotePrefix="1" applyFont="1" applyFill="1" applyBorder="1" applyAlignment="1">
      <alignment horizontal="left" vertical="center"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73034" y="2209800"/>
          <a:ext cx="8817998" cy="15272907"/>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tabSelected="1"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30" t="s">
        <v>488</v>
      </c>
      <c r="F6" s="731"/>
      <c r="G6" s="731"/>
      <c r="H6" s="731"/>
      <c r="I6" s="731"/>
      <c r="J6" s="731"/>
      <c r="K6" s="731"/>
      <c r="L6" s="731"/>
      <c r="M6" s="731"/>
      <c r="N6" s="732"/>
      <c r="O6" s="535" t="s">
        <v>489</v>
      </c>
    </row>
    <row r="7" spans="1:15" s="531" customFormat="1" ht="12.75" customHeight="1">
      <c r="B7" s="533"/>
      <c r="C7" s="536"/>
      <c r="D7" s="667"/>
      <c r="E7" s="545"/>
      <c r="F7" s="546" t="s">
        <v>410</v>
      </c>
      <c r="G7" s="546" t="s">
        <v>414</v>
      </c>
      <c r="H7" s="726" t="s">
        <v>491</v>
      </c>
      <c r="I7" s="726"/>
      <c r="J7" s="726"/>
      <c r="K7" s="726"/>
      <c r="L7" s="726"/>
      <c r="M7" s="726"/>
      <c r="N7" s="727"/>
      <c r="O7" s="546"/>
    </row>
    <row r="8" spans="1:15" s="531" customFormat="1" ht="45" customHeight="1">
      <c r="B8" s="533"/>
      <c r="C8" s="704" t="s">
        <v>613</v>
      </c>
      <c r="D8" s="706" t="s">
        <v>620</v>
      </c>
      <c r="E8" s="708" t="s">
        <v>616</v>
      </c>
      <c r="F8" s="546" t="s">
        <v>88</v>
      </c>
      <c r="G8" s="546">
        <v>156</v>
      </c>
      <c r="H8" s="726" t="s">
        <v>617</v>
      </c>
      <c r="I8" s="726"/>
      <c r="J8" s="726"/>
      <c r="K8" s="726"/>
      <c r="L8" s="726"/>
      <c r="M8" s="726"/>
      <c r="N8" s="727"/>
      <c r="O8" s="546">
        <v>3.3</v>
      </c>
    </row>
    <row r="9" spans="1:15" s="531" customFormat="1" ht="45" customHeight="1">
      <c r="B9" s="533"/>
      <c r="C9" s="705"/>
      <c r="D9" s="707"/>
      <c r="E9" s="709"/>
      <c r="F9" s="546" t="s">
        <v>614</v>
      </c>
      <c r="G9" s="546" t="s">
        <v>615</v>
      </c>
      <c r="H9" s="726" t="s">
        <v>618</v>
      </c>
      <c r="I9" s="726"/>
      <c r="J9" s="726"/>
      <c r="K9" s="726"/>
      <c r="L9" s="726"/>
      <c r="M9" s="726"/>
      <c r="N9" s="727"/>
      <c r="O9" s="546">
        <v>3.3</v>
      </c>
    </row>
    <row r="10" spans="1:15" s="531" customFormat="1" ht="26.4" customHeight="1">
      <c r="B10" s="533"/>
      <c r="C10" s="674" t="s">
        <v>622</v>
      </c>
      <c r="D10" s="683" t="s">
        <v>619</v>
      </c>
      <c r="E10" s="546" t="s">
        <v>623</v>
      </c>
      <c r="F10" s="546" t="s">
        <v>624</v>
      </c>
      <c r="G10" s="546" t="s">
        <v>698</v>
      </c>
      <c r="H10" s="725" t="s">
        <v>699</v>
      </c>
      <c r="I10" s="726"/>
      <c r="J10" s="726"/>
      <c r="K10" s="726"/>
      <c r="L10" s="726"/>
      <c r="M10" s="726"/>
      <c r="N10" s="727"/>
      <c r="O10" s="546">
        <v>3.4</v>
      </c>
    </row>
    <row r="11" spans="1:15" s="531" customFormat="1" ht="26.4" customHeight="1">
      <c r="B11" s="533"/>
      <c r="C11" s="674" t="s">
        <v>749</v>
      </c>
      <c r="D11" s="683" t="s">
        <v>620</v>
      </c>
      <c r="E11" s="546" t="s">
        <v>748</v>
      </c>
      <c r="F11" s="546" t="s">
        <v>745</v>
      </c>
      <c r="G11" s="546" t="s">
        <v>698</v>
      </c>
      <c r="H11" s="725" t="s">
        <v>750</v>
      </c>
      <c r="I11" s="726"/>
      <c r="J11" s="726"/>
      <c r="K11" s="726"/>
      <c r="L11" s="726"/>
      <c r="M11" s="726"/>
      <c r="N11" s="727"/>
      <c r="O11" s="546">
        <v>3.5</v>
      </c>
    </row>
    <row r="12" spans="1:15" s="531" customFormat="1" ht="40.049999999999997" customHeight="1">
      <c r="B12" s="533"/>
      <c r="C12" s="674" t="s">
        <v>749</v>
      </c>
      <c r="D12" s="683" t="s">
        <v>620</v>
      </c>
      <c r="E12" s="546" t="s">
        <v>756</v>
      </c>
      <c r="F12" s="546" t="s">
        <v>757</v>
      </c>
      <c r="G12" s="546"/>
      <c r="H12" s="725" t="s">
        <v>764</v>
      </c>
      <c r="I12" s="726"/>
      <c r="J12" s="726"/>
      <c r="K12" s="726"/>
      <c r="L12" s="726"/>
      <c r="M12" s="726"/>
      <c r="N12" s="727"/>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22" t="s">
        <v>693</v>
      </c>
      <c r="F17" s="728"/>
      <c r="G17" s="728"/>
      <c r="H17" s="728"/>
      <c r="I17" s="728"/>
      <c r="J17" s="728"/>
      <c r="K17" s="728"/>
      <c r="L17" s="728"/>
      <c r="M17" s="728"/>
      <c r="N17" s="729"/>
    </row>
    <row r="18" spans="1:14" s="531" customFormat="1">
      <c r="B18" s="537"/>
      <c r="C18" s="674" t="s">
        <v>622</v>
      </c>
      <c r="D18" s="668" t="s">
        <v>694</v>
      </c>
      <c r="E18" s="722" t="s">
        <v>695</v>
      </c>
      <c r="F18" s="723"/>
      <c r="G18" s="723"/>
      <c r="H18" s="723"/>
      <c r="I18" s="723"/>
      <c r="J18" s="723"/>
      <c r="K18" s="723"/>
      <c r="L18" s="723"/>
      <c r="M18" s="723"/>
      <c r="N18" s="724"/>
    </row>
    <row r="19" spans="1:14" s="531" customFormat="1">
      <c r="B19" s="537"/>
      <c r="C19" s="674" t="s">
        <v>752</v>
      </c>
      <c r="D19" s="668" t="s">
        <v>751</v>
      </c>
      <c r="E19" s="722" t="s">
        <v>693</v>
      </c>
      <c r="F19" s="728"/>
      <c r="G19" s="728"/>
      <c r="H19" s="728"/>
      <c r="I19" s="728"/>
      <c r="J19" s="728"/>
      <c r="K19" s="728"/>
      <c r="L19" s="728"/>
      <c r="M19" s="728"/>
      <c r="N19" s="729"/>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16" t="s">
        <v>288</v>
      </c>
      <c r="C45" s="717"/>
      <c r="D45" s="718"/>
      <c r="E45" s="749" t="s">
        <v>258</v>
      </c>
      <c r="F45" s="749"/>
      <c r="G45" s="751" t="s">
        <v>289</v>
      </c>
      <c r="H45" s="751"/>
      <c r="I45" s="749" t="s">
        <v>271</v>
      </c>
      <c r="J45" s="749"/>
      <c r="K45" s="749"/>
      <c r="L45" s="749"/>
      <c r="M45" s="749"/>
    </row>
    <row r="46" spans="1:13" s="284" customFormat="1" ht="15" customHeight="1">
      <c r="A46" s="283"/>
      <c r="B46" s="719" t="s">
        <v>278</v>
      </c>
      <c r="C46" s="720"/>
      <c r="D46" s="721"/>
      <c r="E46" s="753"/>
      <c r="F46" s="754"/>
      <c r="G46" s="753"/>
      <c r="H46" s="754"/>
      <c r="I46" s="750"/>
      <c r="J46" s="750"/>
      <c r="K46" s="750"/>
      <c r="L46" s="750"/>
      <c r="M46" s="750"/>
    </row>
    <row r="47" spans="1:13" s="282" customFormat="1" ht="59.25" customHeight="1">
      <c r="A47" s="285"/>
      <c r="B47" s="710" t="s">
        <v>112</v>
      </c>
      <c r="C47" s="711"/>
      <c r="D47" s="712"/>
      <c r="E47" s="710" t="s">
        <v>264</v>
      </c>
      <c r="F47" s="712"/>
      <c r="G47" s="739" t="s">
        <v>283</v>
      </c>
      <c r="H47" s="741"/>
      <c r="I47" s="710" t="s">
        <v>362</v>
      </c>
      <c r="J47" s="711"/>
      <c r="K47" s="711"/>
      <c r="L47" s="711"/>
      <c r="M47" s="712"/>
    </row>
    <row r="48" spans="1:13" s="282" customFormat="1" ht="77.25" customHeight="1">
      <c r="A48" s="285"/>
      <c r="B48" s="713"/>
      <c r="C48" s="714"/>
      <c r="D48" s="715"/>
      <c r="E48" s="713"/>
      <c r="F48" s="715"/>
      <c r="G48" s="742"/>
      <c r="H48" s="744"/>
      <c r="I48" s="713" t="s">
        <v>295</v>
      </c>
      <c r="J48" s="714"/>
      <c r="K48" s="714"/>
      <c r="L48" s="714"/>
      <c r="M48" s="715"/>
    </row>
    <row r="49" spans="1:13" s="282" customFormat="1" ht="50.25" customHeight="1">
      <c r="A49" s="285"/>
      <c r="B49" s="752" t="s">
        <v>162</v>
      </c>
      <c r="C49" s="736"/>
      <c r="D49" s="737"/>
      <c r="E49" s="738" t="s">
        <v>259</v>
      </c>
      <c r="F49" s="738"/>
      <c r="G49" s="738" t="s">
        <v>260</v>
      </c>
      <c r="H49" s="738"/>
      <c r="I49" s="710" t="s">
        <v>362</v>
      </c>
      <c r="J49" s="711"/>
      <c r="K49" s="711"/>
      <c r="L49" s="711"/>
      <c r="M49" s="712"/>
    </row>
    <row r="50" spans="1:13" s="282" customFormat="1" ht="76.5" customHeight="1">
      <c r="A50" s="285"/>
      <c r="B50" s="752" t="s">
        <v>263</v>
      </c>
      <c r="C50" s="736"/>
      <c r="D50" s="737"/>
      <c r="E50" s="738" t="s">
        <v>259</v>
      </c>
      <c r="F50" s="738"/>
      <c r="G50" s="738" t="s">
        <v>261</v>
      </c>
      <c r="H50" s="738"/>
      <c r="I50" s="752" t="s">
        <v>363</v>
      </c>
      <c r="J50" s="736"/>
      <c r="K50" s="736"/>
      <c r="L50" s="736"/>
      <c r="M50" s="737"/>
    </row>
    <row r="51" spans="1:13" s="282" customFormat="1" ht="29.25" customHeight="1">
      <c r="A51" s="285"/>
      <c r="B51" s="752" t="s">
        <v>194</v>
      </c>
      <c r="C51" s="736"/>
      <c r="D51" s="737"/>
      <c r="E51" s="738" t="s">
        <v>259</v>
      </c>
      <c r="F51" s="738"/>
      <c r="G51" s="738" t="s">
        <v>262</v>
      </c>
      <c r="H51" s="738"/>
      <c r="I51" s="746"/>
      <c r="J51" s="747"/>
      <c r="K51" s="747"/>
      <c r="L51" s="747"/>
      <c r="M51" s="748"/>
    </row>
    <row r="52" spans="1:13" s="282" customFormat="1" ht="16.5" customHeight="1">
      <c r="B52" s="710" t="s">
        <v>195</v>
      </c>
      <c r="C52" s="711"/>
      <c r="D52" s="712"/>
      <c r="E52" s="710" t="s">
        <v>259</v>
      </c>
      <c r="F52" s="712"/>
      <c r="G52" s="710" t="s">
        <v>265</v>
      </c>
      <c r="H52" s="712"/>
      <c r="I52" s="710" t="s">
        <v>507</v>
      </c>
      <c r="J52" s="711"/>
      <c r="K52" s="711"/>
      <c r="L52" s="711"/>
      <c r="M52" s="712"/>
    </row>
    <row r="53" spans="1:13" s="282" customFormat="1" ht="13.5" customHeight="1">
      <c r="B53" s="762"/>
      <c r="C53" s="760"/>
      <c r="D53" s="763"/>
      <c r="E53" s="762"/>
      <c r="F53" s="763"/>
      <c r="G53" s="762"/>
      <c r="H53" s="763"/>
      <c r="I53" s="759" t="s">
        <v>509</v>
      </c>
      <c r="J53" s="760"/>
      <c r="K53" s="760"/>
      <c r="L53" s="760"/>
      <c r="M53" s="761"/>
    </row>
    <row r="54" spans="1:13" s="282" customFormat="1" ht="11.4" customHeight="1">
      <c r="B54" s="762"/>
      <c r="C54" s="760"/>
      <c r="D54" s="763"/>
      <c r="E54" s="762"/>
      <c r="F54" s="763"/>
      <c r="G54" s="762"/>
      <c r="H54" s="763"/>
      <c r="I54" s="759" t="s">
        <v>508</v>
      </c>
      <c r="J54" s="760"/>
      <c r="K54" s="760"/>
      <c r="L54" s="760"/>
      <c r="M54" s="761"/>
    </row>
    <row r="55" spans="1:13" s="282" customFormat="1" ht="11.4">
      <c r="B55" s="762"/>
      <c r="C55" s="760"/>
      <c r="D55" s="761"/>
      <c r="E55" s="762"/>
      <c r="F55" s="761"/>
      <c r="G55" s="762"/>
      <c r="H55" s="761"/>
      <c r="I55" s="759" t="s">
        <v>510</v>
      </c>
      <c r="J55" s="760"/>
      <c r="K55" s="760"/>
      <c r="L55" s="760"/>
      <c r="M55" s="763"/>
    </row>
    <row r="56" spans="1:13" s="282" customFormat="1" ht="11.4">
      <c r="B56" s="713"/>
      <c r="C56" s="714"/>
      <c r="D56" s="715"/>
      <c r="E56" s="713"/>
      <c r="F56" s="715"/>
      <c r="G56" s="713"/>
      <c r="H56" s="715"/>
      <c r="I56" s="742" t="s">
        <v>360</v>
      </c>
      <c r="J56" s="714"/>
      <c r="K56" s="714"/>
      <c r="L56" s="714"/>
      <c r="M56" s="715"/>
    </row>
    <row r="57" spans="1:13" s="282" customFormat="1" ht="15" customHeight="1">
      <c r="A57" s="285"/>
      <c r="B57" s="719" t="s">
        <v>280</v>
      </c>
      <c r="C57" s="720"/>
      <c r="D57" s="721"/>
      <c r="E57" s="734"/>
      <c r="F57" s="734"/>
      <c r="G57" s="734"/>
      <c r="H57" s="734"/>
      <c r="I57" s="767"/>
      <c r="J57" s="768"/>
      <c r="K57" s="768"/>
      <c r="L57" s="768"/>
      <c r="M57" s="769"/>
    </row>
    <row r="58" spans="1:13" s="282" customFormat="1" ht="56.25" customHeight="1">
      <c r="A58" s="285"/>
      <c r="B58" s="752" t="s">
        <v>279</v>
      </c>
      <c r="C58" s="736"/>
      <c r="D58" s="737"/>
      <c r="E58" s="738" t="s">
        <v>266</v>
      </c>
      <c r="F58" s="738"/>
      <c r="G58" s="738" t="s">
        <v>272</v>
      </c>
      <c r="H58" s="738"/>
      <c r="I58" s="752" t="s">
        <v>506</v>
      </c>
      <c r="J58" s="736"/>
      <c r="K58" s="736"/>
      <c r="L58" s="736"/>
      <c r="M58" s="737"/>
    </row>
    <row r="59" spans="1:13" s="282" customFormat="1" ht="27" customHeight="1">
      <c r="A59" s="285"/>
      <c r="B59" s="719" t="s">
        <v>287</v>
      </c>
      <c r="C59" s="720"/>
      <c r="D59" s="721"/>
      <c r="E59" s="733"/>
      <c r="F59" s="733"/>
      <c r="G59" s="733"/>
      <c r="H59" s="733"/>
      <c r="I59" s="734"/>
      <c r="J59" s="734"/>
      <c r="K59" s="734"/>
      <c r="L59" s="734"/>
      <c r="M59" s="734"/>
    </row>
    <row r="60" spans="1:13" s="282" customFormat="1" ht="37.5" customHeight="1">
      <c r="A60" s="285"/>
      <c r="B60" s="739" t="s">
        <v>291</v>
      </c>
      <c r="C60" s="740"/>
      <c r="D60" s="741"/>
      <c r="E60" s="710" t="s">
        <v>276</v>
      </c>
      <c r="F60" s="712"/>
      <c r="G60" s="710" t="s">
        <v>281</v>
      </c>
      <c r="H60" s="712"/>
      <c r="I60" s="770" t="s">
        <v>290</v>
      </c>
      <c r="J60" s="771"/>
      <c r="K60" s="771"/>
      <c r="L60" s="771"/>
      <c r="M60" s="772"/>
    </row>
    <row r="61" spans="1:13" s="282" customFormat="1" ht="61.5" customHeight="1">
      <c r="A61" s="285"/>
      <c r="B61" s="742"/>
      <c r="C61" s="743"/>
      <c r="D61" s="744"/>
      <c r="E61" s="713"/>
      <c r="F61" s="715"/>
      <c r="G61" s="713"/>
      <c r="H61" s="715"/>
      <c r="I61" s="764" t="s">
        <v>369</v>
      </c>
      <c r="J61" s="765"/>
      <c r="K61" s="765"/>
      <c r="L61" s="765"/>
      <c r="M61" s="766"/>
    </row>
    <row r="62" spans="1:13" s="282" customFormat="1" ht="57.75" customHeight="1">
      <c r="A62" s="285"/>
      <c r="B62" s="735" t="s">
        <v>292</v>
      </c>
      <c r="C62" s="736"/>
      <c r="D62" s="737"/>
      <c r="E62" s="738" t="s">
        <v>755</v>
      </c>
      <c r="F62" s="738"/>
      <c r="G62" s="738" t="s">
        <v>282</v>
      </c>
      <c r="H62" s="738"/>
      <c r="I62" s="773" t="s">
        <v>293</v>
      </c>
      <c r="J62" s="774"/>
      <c r="K62" s="774"/>
      <c r="L62" s="774"/>
      <c r="M62" s="775"/>
    </row>
    <row r="63" spans="1:13" s="282" customFormat="1" ht="29.25" customHeight="1">
      <c r="A63" s="285"/>
      <c r="B63" s="735" t="s">
        <v>273</v>
      </c>
      <c r="C63" s="736"/>
      <c r="D63" s="737"/>
      <c r="E63" s="738" t="s">
        <v>755</v>
      </c>
      <c r="F63" s="738"/>
      <c r="G63" s="738" t="s">
        <v>282</v>
      </c>
      <c r="H63" s="738"/>
      <c r="I63" s="745"/>
      <c r="J63" s="745"/>
      <c r="K63" s="745"/>
      <c r="L63" s="745"/>
      <c r="M63" s="745"/>
    </row>
    <row r="64" spans="1:13" s="282" customFormat="1" ht="15" customHeight="1">
      <c r="A64" s="285"/>
      <c r="B64" s="719" t="s">
        <v>286</v>
      </c>
      <c r="C64" s="720"/>
      <c r="D64" s="721"/>
      <c r="E64" s="733"/>
      <c r="F64" s="733"/>
      <c r="G64" s="733"/>
      <c r="H64" s="733"/>
      <c r="I64" s="734"/>
      <c r="J64" s="734"/>
      <c r="K64" s="734"/>
      <c r="L64" s="734"/>
      <c r="M64" s="734"/>
    </row>
    <row r="65" spans="1:13" s="282" customFormat="1" ht="50.25" customHeight="1">
      <c r="A65" s="285"/>
      <c r="B65" s="710" t="s">
        <v>171</v>
      </c>
      <c r="C65" s="711"/>
      <c r="D65" s="712"/>
      <c r="E65" s="755" t="s">
        <v>294</v>
      </c>
      <c r="F65" s="756"/>
      <c r="G65" s="710"/>
      <c r="H65" s="712"/>
      <c r="I65" s="710" t="s">
        <v>298</v>
      </c>
      <c r="J65" s="711"/>
      <c r="K65" s="711"/>
      <c r="L65" s="711"/>
      <c r="M65" s="712"/>
    </row>
    <row r="66" spans="1:13" s="282" customFormat="1" ht="42" customHeight="1">
      <c r="A66" s="285"/>
      <c r="B66" s="713"/>
      <c r="C66" s="714"/>
      <c r="D66" s="715"/>
      <c r="E66" s="757" t="s">
        <v>754</v>
      </c>
      <c r="F66" s="758"/>
      <c r="G66" s="713"/>
      <c r="H66" s="715"/>
      <c r="I66" s="713"/>
      <c r="J66" s="714"/>
      <c r="K66" s="714"/>
      <c r="L66" s="714"/>
      <c r="M66" s="715"/>
    </row>
    <row r="67" spans="1:13" s="282" customFormat="1" ht="68.25" customHeight="1">
      <c r="A67" s="285"/>
      <c r="B67" s="710" t="s">
        <v>172</v>
      </c>
      <c r="C67" s="711"/>
      <c r="D67" s="712"/>
      <c r="E67" s="710" t="s">
        <v>259</v>
      </c>
      <c r="F67" s="712"/>
      <c r="G67" s="710" t="s">
        <v>296</v>
      </c>
      <c r="H67" s="712"/>
      <c r="I67" s="770" t="s">
        <v>370</v>
      </c>
      <c r="J67" s="771"/>
      <c r="K67" s="771"/>
      <c r="L67" s="771"/>
      <c r="M67" s="772"/>
    </row>
    <row r="68" spans="1:13" s="282" customFormat="1" ht="55.5" customHeight="1">
      <c r="A68" s="285"/>
      <c r="B68" s="713"/>
      <c r="C68" s="714"/>
      <c r="D68" s="715"/>
      <c r="E68" s="713" t="s">
        <v>582</v>
      </c>
      <c r="F68" s="715"/>
      <c r="G68" s="713"/>
      <c r="H68" s="715"/>
      <c r="I68" s="764" t="s">
        <v>372</v>
      </c>
      <c r="J68" s="765"/>
      <c r="K68" s="765"/>
      <c r="L68" s="765"/>
      <c r="M68" s="766"/>
    </row>
    <row r="69" spans="1:13" s="282" customFormat="1" ht="15" customHeight="1">
      <c r="A69" s="285"/>
      <c r="B69" s="719" t="s">
        <v>285</v>
      </c>
      <c r="C69" s="720"/>
      <c r="D69" s="721"/>
      <c r="E69" s="733"/>
      <c r="F69" s="733"/>
      <c r="G69" s="733"/>
      <c r="H69" s="733"/>
      <c r="I69" s="734"/>
      <c r="J69" s="734"/>
      <c r="K69" s="734"/>
      <c r="L69" s="734"/>
      <c r="M69" s="734"/>
    </row>
    <row r="70" spans="1:13" s="282" customFormat="1" ht="39" customHeight="1">
      <c r="A70" s="285"/>
      <c r="B70" s="738" t="s">
        <v>269</v>
      </c>
      <c r="C70" s="738"/>
      <c r="D70" s="738"/>
      <c r="E70" s="738" t="s">
        <v>264</v>
      </c>
      <c r="F70" s="738"/>
      <c r="G70" s="776" t="s">
        <v>284</v>
      </c>
      <c r="H70" s="738"/>
      <c r="I70" s="745"/>
      <c r="J70" s="745"/>
      <c r="K70" s="745"/>
      <c r="L70" s="745"/>
      <c r="M70" s="745"/>
    </row>
    <row r="71" spans="1:13" s="282" customFormat="1" ht="30.75" customHeight="1">
      <c r="A71" s="285"/>
      <c r="B71" s="738" t="s">
        <v>174</v>
      </c>
      <c r="C71" s="738"/>
      <c r="D71" s="738"/>
      <c r="E71" s="738" t="s">
        <v>580</v>
      </c>
      <c r="F71" s="738"/>
      <c r="G71" s="738" t="s">
        <v>88</v>
      </c>
      <c r="H71" s="738"/>
      <c r="I71" s="745"/>
      <c r="J71" s="745"/>
      <c r="K71" s="745"/>
      <c r="L71" s="745"/>
      <c r="M71" s="745"/>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 ref="E68:F68"/>
    <mergeCell ref="I65:M66"/>
    <mergeCell ref="I60:M60"/>
    <mergeCell ref="I62:M62"/>
    <mergeCell ref="G67:H68"/>
    <mergeCell ref="I58:M58"/>
    <mergeCell ref="G57:H57"/>
    <mergeCell ref="G59:H59"/>
    <mergeCell ref="I59:M59"/>
    <mergeCell ref="I57:M57"/>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B49:D49"/>
    <mergeCell ref="B58:D58"/>
    <mergeCell ref="E58:F58"/>
    <mergeCell ref="G58:H58"/>
    <mergeCell ref="E50:F50"/>
    <mergeCell ref="B50:D50"/>
    <mergeCell ref="B51:D51"/>
    <mergeCell ref="E51:F51"/>
    <mergeCell ref="G51:H51"/>
    <mergeCell ref="B65:D66"/>
    <mergeCell ref="E65:F65"/>
    <mergeCell ref="G65:H65"/>
    <mergeCell ref="G66:H66"/>
    <mergeCell ref="E66:F66"/>
    <mergeCell ref="I50:M50"/>
    <mergeCell ref="E46:F46"/>
    <mergeCell ref="G46:H46"/>
    <mergeCell ref="G47:H48"/>
    <mergeCell ref="E47:F48"/>
    <mergeCell ref="I49:M49"/>
    <mergeCell ref="G49:H49"/>
    <mergeCell ref="G50:H50"/>
    <mergeCell ref="I47:M47"/>
    <mergeCell ref="I48:M48"/>
    <mergeCell ref="H7:N7"/>
    <mergeCell ref="E17:N17"/>
    <mergeCell ref="E45:F45"/>
    <mergeCell ref="G45:H45"/>
    <mergeCell ref="H8:N8"/>
    <mergeCell ref="H9:N9"/>
    <mergeCell ref="H10:N10"/>
    <mergeCell ref="H12:N12"/>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C8:C9"/>
    <mergeCell ref="D8:D9"/>
    <mergeCell ref="E8:E9"/>
    <mergeCell ref="B47:D48"/>
    <mergeCell ref="B45:D45"/>
    <mergeCell ref="B46:D46"/>
    <mergeCell ref="E18:N18"/>
    <mergeCell ref="H11:N11"/>
    <mergeCell ref="E19:N19"/>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-6.1103774809277143</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-6.1103774809277143</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-6.1103774809277143</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-6.1103774809277143</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-6.1103774809277143</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-1.3100095553113575</v>
      </c>
      <c r="S47" s="616">
        <f t="shared" si="8"/>
        <v>-1.3100095553113575</v>
      </c>
      <c r="T47" s="616">
        <f t="shared" si="8"/>
        <v>-1.3100095553113575</v>
      </c>
      <c r="U47" s="616">
        <f t="shared" si="8"/>
        <v>-1.3100095553113575</v>
      </c>
      <c r="V47" s="623">
        <f t="shared" si="8"/>
        <v>-1.3100095553113575</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-1.3100095553113575</v>
      </c>
      <c r="S52" s="616">
        <f t="shared" ref="S52" si="9">S47*S51</f>
        <v>-1.2644879877522757</v>
      </c>
      <c r="T52" s="616">
        <f t="shared" ref="T52" si="10">T47*T51</f>
        <v>-1.2205482507261347</v>
      </c>
      <c r="U52" s="616">
        <f t="shared" ref="U52" si="11">U47*U51</f>
        <v>-1.1781353771487786</v>
      </c>
      <c r="V52" s="621">
        <f t="shared" ref="V52" si="12">V47*V51</f>
        <v>-1.1371963099891687</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3">S48*S51</f>
        <v>0</v>
      </c>
      <c r="T53" s="616">
        <f t="shared" si="13"/>
        <v>0</v>
      </c>
      <c r="U53" s="616">
        <f t="shared" si="13"/>
        <v>0</v>
      </c>
      <c r="V53" s="621">
        <f t="shared" si="13"/>
        <v>0</v>
      </c>
    </row>
    <row r="54" spans="1:22" s="37" customFormat="1">
      <c r="C54" s="131"/>
      <c r="D54" s="104" t="s">
        <v>57</v>
      </c>
      <c r="E54" s="643" t="s">
        <v>557</v>
      </c>
      <c r="F54" s="131"/>
      <c r="G54" s="148"/>
      <c r="H54" s="148"/>
      <c r="I54" s="148"/>
      <c r="J54" s="106"/>
      <c r="K54" s="106"/>
      <c r="L54" s="106"/>
      <c r="M54" s="106"/>
      <c r="N54" s="612"/>
      <c r="O54" s="203"/>
      <c r="P54" s="622">
        <f>SUM(R52:V52)</f>
        <v>-6.110377480927716</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-6.1103774809277143</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7">IF(S$62+1&lt;=$P$61,$P59/$P$61,0)</f>
        <v>0</v>
      </c>
      <c r="T64" s="616">
        <f t="shared" si="17"/>
        <v>0</v>
      </c>
      <c r="U64" s="616">
        <f t="shared" si="17"/>
        <v>0</v>
      </c>
      <c r="V64" s="623">
        <f t="shared" si="17"/>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0</v>
      </c>
      <c r="S65" s="616">
        <f t="shared" si="18"/>
        <v>0</v>
      </c>
      <c r="T65" s="616">
        <f t="shared" si="18"/>
        <v>0</v>
      </c>
      <c r="U65" s="616">
        <f t="shared" si="18"/>
        <v>0</v>
      </c>
      <c r="V65" s="623">
        <f t="shared" si="18"/>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 si="19">S64*S68</f>
        <v>0</v>
      </c>
      <c r="T69" s="616">
        <f t="shared" ref="T69" si="20">T64*T68</f>
        <v>0</v>
      </c>
      <c r="U69" s="616">
        <f t="shared" ref="U69" si="21">U64*U68</f>
        <v>0</v>
      </c>
      <c r="V69" s="621">
        <f t="shared" ref="V69" si="22">V64*V68</f>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23">S65*S68</f>
        <v>0</v>
      </c>
      <c r="T70" s="616">
        <f t="shared" si="23"/>
        <v>0</v>
      </c>
      <c r="U70" s="616">
        <f t="shared" si="23"/>
        <v>0</v>
      </c>
      <c r="V70" s="621">
        <f t="shared" si="23"/>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-6.1103774809277143</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2" si="26">IF(S$62+1&lt;=$P$78,$P76/$P$78,0) * (1+$P$79)^S$80</f>
        <v>0</v>
      </c>
      <c r="T82" s="616">
        <f t="shared" si="26"/>
        <v>0</v>
      </c>
      <c r="U82" s="616">
        <f t="shared" si="26"/>
        <v>0</v>
      </c>
      <c r="V82" s="623">
        <f t="shared" si="26"/>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ref="S83:V83" si="27">IF(S$62+1&lt;=$P$78,$P77/$P$78,0) * (1+$P$79)^S$80</f>
        <v>0</v>
      </c>
      <c r="T83" s="616">
        <f t="shared" si="27"/>
        <v>0</v>
      </c>
      <c r="U83" s="616">
        <f t="shared" si="27"/>
        <v>0</v>
      </c>
      <c r="V83" s="623">
        <f t="shared" si="27"/>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 si="28">S82*S86</f>
        <v>0</v>
      </c>
      <c r="T87" s="616">
        <f t="shared" ref="T87" si="29">T82*T86</f>
        <v>0</v>
      </c>
      <c r="U87" s="616">
        <f t="shared" ref="U87" si="30">U82*U86</f>
        <v>0</v>
      </c>
      <c r="V87" s="621">
        <f t="shared" ref="V87" si="31">V82*V86</f>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32">S83*S86</f>
        <v>0</v>
      </c>
      <c r="T88" s="616">
        <f t="shared" si="32"/>
        <v>0</v>
      </c>
      <c r="U88" s="616">
        <f t="shared" si="32"/>
        <v>0</v>
      </c>
      <c r="V88" s="621">
        <f t="shared" si="3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-1.0105249543762798</v>
      </c>
      <c r="S94" s="616">
        <f>Calc!K196</f>
        <v>-2.2778623641155189</v>
      </c>
      <c r="T94" s="616">
        <f>Calc!L196</f>
        <v>-1.9522536887287691</v>
      </c>
      <c r="U94" s="616">
        <f>Calc!M196</f>
        <v>-0.8395702337348202</v>
      </c>
      <c r="V94" s="623">
        <f>Calc!N196</f>
        <v>-3.0166239972325204E-2</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0</v>
      </c>
      <c r="S95" s="616">
        <f>Calc!K197</f>
        <v>0</v>
      </c>
      <c r="T95" s="616">
        <f>Calc!L197</f>
        <v>0</v>
      </c>
      <c r="U95" s="616">
        <f>Calc!M197</f>
        <v>0</v>
      </c>
      <c r="V95" s="623">
        <f>Calc!N197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-1.0105249543762798</v>
      </c>
      <c r="S99" s="616">
        <f t="shared" ref="S99" si="33">S94*S98</f>
        <v>-2.1987088456713502</v>
      </c>
      <c r="T99" s="616">
        <f t="shared" ref="T99" si="34">T94*T98</f>
        <v>-1.8189331635716233</v>
      </c>
      <c r="U99" s="616">
        <f t="shared" ref="U99" si="35">U94*U98</f>
        <v>-0.75505357190235844</v>
      </c>
      <c r="V99" s="621">
        <f t="shared" ref="V99" si="36">V94*V98</f>
        <v>-2.6186783633515197E-2</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37">S95*S98</f>
        <v>0</v>
      </c>
      <c r="T100" s="616">
        <f t="shared" si="37"/>
        <v>0</v>
      </c>
      <c r="U100" s="616">
        <f t="shared" si="37"/>
        <v>0</v>
      </c>
      <c r="V100" s="621">
        <f t="shared" si="37"/>
        <v>0</v>
      </c>
    </row>
    <row r="101" spans="1:22" s="37" customFormat="1">
      <c r="C101" s="131"/>
      <c r="D101" s="104" t="s">
        <v>57</v>
      </c>
      <c r="E101" s="643" t="s">
        <v>557</v>
      </c>
      <c r="F101" s="131"/>
      <c r="G101" s="148"/>
      <c r="H101" s="148"/>
      <c r="I101" s="148"/>
      <c r="J101" s="106"/>
      <c r="K101" s="106"/>
      <c r="L101" s="106"/>
      <c r="M101" s="106"/>
      <c r="N101" s="612"/>
      <c r="O101" s="203"/>
      <c r="P101" s="622">
        <f>SUM(R99:V99)</f>
        <v>-5.8094073191551274</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-1.0105249543762798</v>
      </c>
      <c r="S106" s="616">
        <f>Calc!K196</f>
        <v>-2.2778623641155189</v>
      </c>
      <c r="T106" s="616">
        <f>Calc!L196</f>
        <v>-1.9522536887287691</v>
      </c>
      <c r="U106" s="616">
        <f>Calc!M196</f>
        <v>-0.8395702337348202</v>
      </c>
      <c r="V106" s="623">
        <f>Calc!N196</f>
        <v>-3.0166239972325204E-2</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0</v>
      </c>
      <c r="S107" s="616">
        <f>Calc!K197</f>
        <v>0</v>
      </c>
      <c r="T107" s="616">
        <f>Calc!L197</f>
        <v>0</v>
      </c>
      <c r="U107" s="616">
        <f>Calc!M197</f>
        <v>0</v>
      </c>
      <c r="V107" s="623">
        <f>Calc!N197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-1.0105249543762798</v>
      </c>
      <c r="S111" s="616">
        <f t="shared" ref="S111" si="38">S106*S110</f>
        <v>-2.1987088456713502</v>
      </c>
      <c r="T111" s="616">
        <f t="shared" ref="T111" si="39">T106*T110</f>
        <v>-1.8189331635716233</v>
      </c>
      <c r="U111" s="616">
        <f t="shared" ref="U111" si="40">U106*U110</f>
        <v>-0.75505357190235844</v>
      </c>
      <c r="V111" s="621">
        <f t="shared" ref="V111" si="41">V106*V110</f>
        <v>-2.6186783633515197E-2</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42">S107*S110</f>
        <v>0</v>
      </c>
      <c r="T112" s="616">
        <f t="shared" si="42"/>
        <v>0</v>
      </c>
      <c r="U112" s="616">
        <f t="shared" si="42"/>
        <v>0</v>
      </c>
      <c r="V112" s="621">
        <f t="shared" si="42"/>
        <v>0</v>
      </c>
    </row>
    <row r="113" spans="3:22" s="37" customFormat="1">
      <c r="C113" s="131"/>
      <c r="D113" s="104" t="s">
        <v>57</v>
      </c>
      <c r="E113" s="643" t="s">
        <v>557</v>
      </c>
      <c r="F113" s="131"/>
      <c r="G113" s="148"/>
      <c r="H113" s="148"/>
      <c r="I113" s="148"/>
      <c r="J113" s="106"/>
      <c r="K113" s="106"/>
      <c r="L113" s="106"/>
      <c r="M113" s="106"/>
      <c r="N113" s="612"/>
      <c r="O113" s="203"/>
      <c r="P113" s="622">
        <f>SUM(R111:V111)</f>
        <v>-5.8094073191551274</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-5.8094073191551274</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-6.1103774809277143</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1.0518073781434141</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-1.0628776028110078</v>
      </c>
      <c r="S123" s="616">
        <f t="shared" si="43"/>
        <v>-2.3958724409719028</v>
      </c>
      <c r="T123" s="616">
        <f t="shared" si="43"/>
        <v>-2.0533948338126153</v>
      </c>
      <c r="U123" s="616">
        <f t="shared" si="43"/>
        <v>-0.88306616631187462</v>
      </c>
      <c r="V123" s="621">
        <f t="shared" si="43"/>
        <v>-3.1729073773736426E-2</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43"/>
        <v>#DIV/0!</v>
      </c>
      <c r="S124" s="616" t="e">
        <f t="shared" si="43"/>
        <v>#DIV/0!</v>
      </c>
      <c r="T124" s="616" t="e">
        <f t="shared" si="43"/>
        <v>#DIV/0!</v>
      </c>
      <c r="U124" s="616" t="e">
        <f t="shared" si="43"/>
        <v>#DIV/0!</v>
      </c>
      <c r="V124" s="621" t="e">
        <f t="shared" si="43"/>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-1.0628776028110078</v>
      </c>
      <c r="S128" s="616">
        <f t="shared" ref="S128" si="44">S123*S127</f>
        <v>-2.3126181862663153</v>
      </c>
      <c r="T128" s="616">
        <f t="shared" ref="T128" si="45">T123*T127</f>
        <v>-1.9131673217943748</v>
      </c>
      <c r="U128" s="616">
        <f t="shared" ref="U128" si="46">U123*U127</f>
        <v>-0.79417091782043947</v>
      </c>
      <c r="V128" s="621">
        <f t="shared" ref="V128" si="47">V123*V127</f>
        <v>-2.7543452235576485E-2</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48">S124*S127</f>
        <v>#DIV/0!</v>
      </c>
      <c r="T129" s="616" t="e">
        <f t="shared" si="48"/>
        <v>#DIV/0!</v>
      </c>
      <c r="U129" s="616" t="e">
        <f t="shared" si="48"/>
        <v>#DIV/0!</v>
      </c>
      <c r="V129" s="621" t="e">
        <f t="shared" si="48"/>
        <v>#DIV/0!</v>
      </c>
    </row>
    <row r="130" spans="1:22" s="37" customFormat="1">
      <c r="C130" s="131"/>
      <c r="D130" s="131" t="s">
        <v>57</v>
      </c>
      <c r="E130" s="643" t="s">
        <v>557</v>
      </c>
      <c r="F130" s="131"/>
      <c r="G130" s="148"/>
      <c r="H130" s="148"/>
      <c r="I130" s="148"/>
      <c r="J130" s="106"/>
      <c r="K130" s="106"/>
      <c r="L130" s="106"/>
      <c r="M130" s="106"/>
      <c r="N130" s="612"/>
      <c r="O130" s="203"/>
      <c r="P130" s="622">
        <f>SUM(R128:V128)</f>
        <v>-6.1103774809277143</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-6.1103774809277143</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-1.3100095553113575</v>
      </c>
      <c r="S138" s="616">
        <f>S47</f>
        <v>-1.3100095553113575</v>
      </c>
      <c r="T138" s="616">
        <f>T47</f>
        <v>-1.3100095553113575</v>
      </c>
      <c r="U138" s="616">
        <f>U47</f>
        <v>-1.3100095553113575</v>
      </c>
      <c r="V138" s="621">
        <f>V47</f>
        <v>-1.3100095553113575</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-1.0105249543762798</v>
      </c>
      <c r="S141" s="616">
        <f>S94</f>
        <v>-2.2778623641155189</v>
      </c>
      <c r="T141" s="616">
        <f>T94</f>
        <v>-1.9522536887287691</v>
      </c>
      <c r="U141" s="616">
        <f>U94</f>
        <v>-0.8395702337348202</v>
      </c>
      <c r="V141" s="621">
        <f>V94</f>
        <v>-3.0166239972325204E-2</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-1.0628776028110078</v>
      </c>
      <c r="S142" s="616">
        <f t="shared" si="50"/>
        <v>-2.3958724409719028</v>
      </c>
      <c r="T142" s="616">
        <f t="shared" si="50"/>
        <v>-2.0533948338126153</v>
      </c>
      <c r="U142" s="616">
        <f t="shared" si="50"/>
        <v>-0.88306616631187462</v>
      </c>
      <c r="V142" s="621">
        <f t="shared" si="50"/>
        <v>-3.1729073773736426E-2</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-1.3100095553113575</v>
      </c>
      <c r="S143" s="630">
        <f t="shared" ref="S143:V143" si="51">CHOOSE($P$135+1,S137,S138,S139,S140,S141,S142)</f>
        <v>-1.3100095553113575</v>
      </c>
      <c r="T143" s="630">
        <f t="shared" si="51"/>
        <v>-1.3100095553113575</v>
      </c>
      <c r="U143" s="630">
        <f t="shared" si="51"/>
        <v>-1.3100095553113575</v>
      </c>
      <c r="V143" s="631">
        <f t="shared" si="51"/>
        <v>-1.3100095553113575</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53">R124</f>
        <v>#DIV/0!</v>
      </c>
      <c r="S150" s="616" t="e">
        <f t="shared" si="53"/>
        <v>#DIV/0!</v>
      </c>
      <c r="T150" s="616" t="e">
        <f t="shared" si="53"/>
        <v>#DIV/0!</v>
      </c>
      <c r="U150" s="616" t="e">
        <f t="shared" si="53"/>
        <v>#DIV/0!</v>
      </c>
      <c r="V150" s="621" t="e">
        <f t="shared" si="53"/>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 si="54">CHOOSE($P$135+1,S145,S146,S147,S148,S149,S150)</f>
        <v>0</v>
      </c>
      <c r="T151" s="630">
        <f t="shared" ref="T151" si="55">CHOOSE($P$135+1,T145,T146,T147,T148,T149,T150)</f>
        <v>0</v>
      </c>
      <c r="U151" s="630">
        <f t="shared" ref="U151" si="56">CHOOSE($P$135+1,U145,U146,U147,U148,U149,U150)</f>
        <v>0</v>
      </c>
      <c r="V151" s="631">
        <f t="shared" ref="V151" si="57">CHOOSE($P$135+1,V145,V146,V147,V148,V149,V150)</f>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-1.3100095553113575</v>
      </c>
      <c r="S156" s="627">
        <f t="shared" ref="S156:V156" si="58">S143</f>
        <v>-1.3100095553113575</v>
      </c>
      <c r="T156" s="627">
        <f t="shared" si="58"/>
        <v>-1.3100095553113575</v>
      </c>
      <c r="U156" s="627">
        <f t="shared" si="58"/>
        <v>-1.3100095553113575</v>
      </c>
      <c r="V156" s="628">
        <f t="shared" si="58"/>
        <v>-1.3100095553113575</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59">S151</f>
        <v>0</v>
      </c>
      <c r="T157" s="627">
        <f t="shared" si="59"/>
        <v>0</v>
      </c>
      <c r="U157" s="627">
        <f t="shared" si="59"/>
        <v>0</v>
      </c>
      <c r="V157" s="628">
        <f t="shared" si="59"/>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BRL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21.591000000000001</v>
      </c>
      <c r="K16" s="121">
        <f>'Input FD'!K10</f>
        <v>25.234000000000002</v>
      </c>
      <c r="L16" s="121">
        <f>'Input FD'!L10</f>
        <v>25.286999999999999</v>
      </c>
      <c r="M16" s="121">
        <f>'Input FD'!M10</f>
        <v>27.077000000000002</v>
      </c>
      <c r="N16" s="121">
        <f>'Input FD'!N10</f>
        <v>26.503</v>
      </c>
      <c r="O16" s="113"/>
      <c r="P16" s="113"/>
      <c r="Q16" s="113"/>
      <c r="R16" s="113"/>
      <c r="S16" s="113"/>
      <c r="T16" s="115"/>
      <c r="U16" s="122">
        <f t="shared" ref="U16:U34" si="0">SUM(J16:N16)</f>
        <v>125.69199999999999</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14.125999999999999</v>
      </c>
      <c r="K17" s="121">
        <f>'Input FD'!K11</f>
        <v>17.931000000000001</v>
      </c>
      <c r="L17" s="121">
        <f>'Input FD'!L11</f>
        <v>15.067</v>
      </c>
      <c r="M17" s="121">
        <f>'Input FD'!M11</f>
        <v>7.7969999999999997</v>
      </c>
      <c r="N17" s="121">
        <f>'Input FD'!N11</f>
        <v>5.9359999999999999</v>
      </c>
      <c r="O17" s="113"/>
      <c r="P17" s="113"/>
      <c r="Q17" s="113"/>
      <c r="R17" s="113"/>
      <c r="S17" s="113"/>
      <c r="T17" s="115"/>
      <c r="U17" s="122">
        <f t="shared" si="0"/>
        <v>60.856999999999999</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10.823</v>
      </c>
      <c r="K18" s="121">
        <f>'Input FD'!K12</f>
        <v>17.779</v>
      </c>
      <c r="L18" s="121">
        <f>'Input FD'!L12</f>
        <v>11.446999999999999</v>
      </c>
      <c r="M18" s="121">
        <f>'Input FD'!M12</f>
        <v>14.250999999999999</v>
      </c>
      <c r="N18" s="121">
        <f>'Input FD'!N12</f>
        <v>22.138999999999999</v>
      </c>
      <c r="O18" s="113"/>
      <c r="P18" s="113"/>
      <c r="Q18" s="113"/>
      <c r="R18" s="113"/>
      <c r="S18" s="113"/>
      <c r="T18" s="115"/>
      <c r="U18" s="122">
        <f t="shared" si="0"/>
        <v>76.438999999999993</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10.878</v>
      </c>
      <c r="K19" s="121">
        <f>'Input FD'!K13</f>
        <v>16.831</v>
      </c>
      <c r="L19" s="121">
        <f>'Input FD'!L13</f>
        <v>18.053000000000001</v>
      </c>
      <c r="M19" s="121">
        <f>'Input FD'!M13</f>
        <v>12.182</v>
      </c>
      <c r="N19" s="121">
        <f>'Input FD'!N13</f>
        <v>5.9379999999999997</v>
      </c>
      <c r="O19" s="113"/>
      <c r="P19" s="113"/>
      <c r="Q19" s="113"/>
      <c r="R19" s="113"/>
      <c r="S19" s="113"/>
      <c r="T19" s="115"/>
      <c r="U19" s="122">
        <f t="shared" si="0"/>
        <v>63.882000000000005</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-2.1970000000000001</v>
      </c>
      <c r="K20" s="121">
        <f>-'Input FD'!K14</f>
        <v>-3.2570000000000001</v>
      </c>
      <c r="L20" s="121">
        <f>-'Input FD'!L14</f>
        <v>-2.198</v>
      </c>
      <c r="M20" s="121">
        <f>-'Input FD'!M14</f>
        <v>-1.8380000000000001</v>
      </c>
      <c r="N20" s="121">
        <f>-'Input FD'!N14</f>
        <v>-2.758</v>
      </c>
      <c r="O20" s="113"/>
      <c r="P20" s="113"/>
      <c r="Q20" s="113"/>
      <c r="R20" s="113"/>
      <c r="S20" s="113"/>
      <c r="T20" s="115"/>
      <c r="U20" s="122">
        <f t="shared" si="0"/>
        <v>-12.248000000000001</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1.2336934802411399</v>
      </c>
      <c r="K21" s="121">
        <f>-'Input FD'!K17</f>
        <v>2.0322837964087701</v>
      </c>
      <c r="L21" s="121">
        <f>-'Input FD'!L17</f>
        <v>-2.0103855804304902</v>
      </c>
      <c r="M21" s="121">
        <f>-'Input FD'!M17</f>
        <v>-2.0006427750176901</v>
      </c>
      <c r="N21" s="121">
        <f>-'Input FD'!N17</f>
        <v>-2.4350749212017302</v>
      </c>
      <c r="O21" s="113"/>
      <c r="P21" s="113"/>
      <c r="Q21" s="113"/>
      <c r="R21" s="113"/>
      <c r="S21" s="113"/>
      <c r="T21" s="115"/>
      <c r="U21" s="122">
        <f t="shared" ref="U21" si="1">SUM(J21:N21)</f>
        <v>-3.1801260000000005</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56.454693480241133</v>
      </c>
      <c r="K24" s="121">
        <f>Calc!K55</f>
        <v>76.550283796408777</v>
      </c>
      <c r="L24" s="121">
        <f>Calc!L55</f>
        <v>65.645614419569512</v>
      </c>
      <c r="M24" s="121">
        <f>Calc!M55</f>
        <v>57.468357224982313</v>
      </c>
      <c r="N24" s="121">
        <f>Calc!N55</f>
        <v>55.322925078798271</v>
      </c>
      <c r="O24" s="113"/>
      <c r="P24" s="113"/>
      <c r="Q24" s="113"/>
      <c r="R24" s="113"/>
      <c r="S24" s="113"/>
      <c r="T24" s="115"/>
      <c r="U24" s="122">
        <f t="shared" si="0"/>
        <v>311.44187400000004</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3"/>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3"/>
        <v>0</v>
      </c>
    </row>
    <row r="34" spans="1:28" s="117" customFormat="1" ht="17.399999999999999">
      <c r="A34" s="110"/>
      <c r="B34" s="118" t="s">
        <v>237</v>
      </c>
      <c r="C34" s="118"/>
      <c r="D34" s="113"/>
      <c r="E34" s="113" t="str">
        <f>Calc!E66</f>
        <v>Sewerage: Company bid capex (gross of adjustments)</v>
      </c>
      <c r="F34" s="113"/>
      <c r="G34" s="113"/>
      <c r="H34" s="113"/>
      <c r="I34" s="113"/>
      <c r="J34" s="121">
        <f>Calc!J66</f>
        <v>0</v>
      </c>
      <c r="K34" s="121">
        <f>Calc!K66</f>
        <v>0</v>
      </c>
      <c r="L34" s="121">
        <f>Calc!L66</f>
        <v>0</v>
      </c>
      <c r="M34" s="121">
        <f>Calc!M66</f>
        <v>0</v>
      </c>
      <c r="N34" s="121">
        <f>Calc!N66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16.923408944391301</v>
      </c>
      <c r="K37" s="121">
        <f>'Input FD'!K30</f>
        <v>19.760385971784899</v>
      </c>
      <c r="L37" s="121">
        <f>'Input FD'!L30</f>
        <v>19.823722925913799</v>
      </c>
      <c r="M37" s="121">
        <f>'Input FD'!M30</f>
        <v>21.167441797505301</v>
      </c>
      <c r="N37" s="121">
        <f>'Input FD'!N30</f>
        <v>20.986649173977799</v>
      </c>
      <c r="O37" s="113"/>
      <c r="P37" s="113"/>
      <c r="Q37" s="113"/>
      <c r="R37" s="113"/>
      <c r="S37" s="113"/>
      <c r="T37" s="115"/>
      <c r="U37" s="122">
        <f t="shared" ref="U37:U51" si="4">SUM(J37:N37)</f>
        <v>98.661608813573096</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13.352425777721299</v>
      </c>
      <c r="K38" s="121">
        <f>'Input FD'!K31</f>
        <v>16.7731250605488</v>
      </c>
      <c r="L38" s="121">
        <f>'Input FD'!L31</f>
        <v>14.120046151652501</v>
      </c>
      <c r="M38" s="121">
        <f>'Input FD'!M31</f>
        <v>7.4963418469051302</v>
      </c>
      <c r="N38" s="121">
        <f>'Input FD'!N31</f>
        <v>5.7951506849097196</v>
      </c>
      <c r="O38" s="113"/>
      <c r="P38" s="113"/>
      <c r="Q38" s="113"/>
      <c r="R38" s="113"/>
      <c r="S38" s="113"/>
      <c r="T38" s="115"/>
      <c r="U38" s="122">
        <f t="shared" si="4"/>
        <v>57.537089521737457</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8.8255752976846704</v>
      </c>
      <c r="K39" s="121">
        <f>'Input FD'!K32</f>
        <v>13.465797331332</v>
      </c>
      <c r="L39" s="121">
        <f>'Input FD'!L32</f>
        <v>6.6768268320489801</v>
      </c>
      <c r="M39" s="121">
        <f>'Input FD'!M32</f>
        <v>6.9561178457821802</v>
      </c>
      <c r="N39" s="121">
        <f>'Input FD'!N32</f>
        <v>2.5018963795191</v>
      </c>
      <c r="O39" s="113"/>
      <c r="P39" s="113"/>
      <c r="Q39" s="113"/>
      <c r="R39" s="113"/>
      <c r="S39" s="113"/>
      <c r="T39" s="115"/>
      <c r="U39" s="122">
        <f t="shared" si="4"/>
        <v>38.426213686366935</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8.4580519266306506</v>
      </c>
      <c r="K40" s="121">
        <f>'Input FD'!K33</f>
        <v>13.8156909705161</v>
      </c>
      <c r="L40" s="121">
        <f>'Input FD'!L33</f>
        <v>14.1464381782716</v>
      </c>
      <c r="M40" s="121">
        <f>'Input FD'!M33</f>
        <v>9.87942316127622</v>
      </c>
      <c r="N40" s="121">
        <f>'Input FD'!N33</f>
        <v>2.5423694084206301</v>
      </c>
      <c r="O40" s="113"/>
      <c r="P40" s="113"/>
      <c r="Q40" s="113"/>
      <c r="R40" s="113"/>
      <c r="S40" s="113"/>
      <c r="T40" s="115"/>
      <c r="U40" s="122">
        <f t="shared" si="4"/>
        <v>48.841973645115203</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47.559461946427923</v>
      </c>
      <c r="K43" s="121">
        <f>Calc!K56</f>
        <v>63.814999334181799</v>
      </c>
      <c r="L43" s="121">
        <f>Calc!L56</f>
        <v>54.767034087886884</v>
      </c>
      <c r="M43" s="121">
        <f>Calc!M56</f>
        <v>45.499324651468832</v>
      </c>
      <c r="N43" s="121">
        <f>Calc!N56</f>
        <v>31.826065646827246</v>
      </c>
      <c r="O43" s="113"/>
      <c r="P43" s="113"/>
      <c r="Q43" s="113"/>
      <c r="R43" s="113"/>
      <c r="S43" s="113"/>
      <c r="T43" s="115"/>
      <c r="U43" s="122">
        <f t="shared" si="4"/>
        <v>243.46688566679268</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4"/>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4"/>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4"/>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4"/>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ref="U49:U50" si="6">SUM(J49:N49)</f>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6"/>
        <v>0</v>
      </c>
    </row>
    <row r="51" spans="1:27" s="117" customFormat="1" ht="17.399999999999999">
      <c r="A51" s="110"/>
      <c r="B51" s="119" t="s">
        <v>217</v>
      </c>
      <c r="C51" s="118"/>
      <c r="D51" s="113"/>
      <c r="E51" s="113" t="str">
        <f>Calc!E67</f>
        <v>Sewerage: Baseline capex (gross of adjustments)</v>
      </c>
      <c r="F51" s="113"/>
      <c r="G51" s="120"/>
      <c r="H51" s="120"/>
      <c r="I51" s="120"/>
      <c r="J51" s="121">
        <f>Calc!J67</f>
        <v>0</v>
      </c>
      <c r="K51" s="121">
        <f>Calc!K67</f>
        <v>0</v>
      </c>
      <c r="L51" s="121">
        <f>Calc!L67</f>
        <v>0</v>
      </c>
      <c r="M51" s="121">
        <f>Calc!M67</f>
        <v>0</v>
      </c>
      <c r="N51" s="121">
        <f>Calc!N67</f>
        <v>0</v>
      </c>
      <c r="O51" s="113"/>
      <c r="P51" s="113"/>
      <c r="Q51" s="113"/>
      <c r="R51" s="113"/>
      <c r="S51" s="113"/>
      <c r="T51" s="115"/>
      <c r="U51" s="122">
        <f t="shared" si="4"/>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18.104646099500236</v>
      </c>
      <c r="K54" s="121">
        <f>Calc!K39</f>
        <v>21.139641308925558</v>
      </c>
      <c r="L54" s="121">
        <f>Calc!L39</f>
        <v>21.20739911961795</v>
      </c>
      <c r="M54" s="121">
        <f>Calc!M39</f>
        <v>22.644908235383099</v>
      </c>
      <c r="N54" s="121">
        <f>Calc!N39</f>
        <v>22.451496466092348</v>
      </c>
      <c r="O54" s="113"/>
      <c r="P54" s="113"/>
      <c r="Q54" s="113"/>
      <c r="R54" s="113"/>
      <c r="S54" s="113"/>
      <c r="T54" s="115"/>
      <c r="U54" s="122">
        <f>SUM(J54:N54)</f>
        <v>105.54809122951919</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14.284411850462625</v>
      </c>
      <c r="K55" s="121">
        <f>Calc!K40</f>
        <v>17.943872549657687</v>
      </c>
      <c r="L55" s="121">
        <f>Calc!L40</f>
        <v>15.105611364960932</v>
      </c>
      <c r="M55" s="121">
        <f>Calc!M40</f>
        <v>8.0195790709218038</v>
      </c>
      <c r="N55" s="121">
        <f>Calc!N40</f>
        <v>6.1996464535201588</v>
      </c>
      <c r="O55" s="113"/>
      <c r="P55" s="113"/>
      <c r="Q55" s="113"/>
      <c r="R55" s="113"/>
      <c r="S55" s="113"/>
      <c r="T55" s="115"/>
      <c r="U55" s="122">
        <f>SUM(J55:N55)</f>
        <v>61.553121289523219</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9.4415916978728713</v>
      </c>
      <c r="K56" s="121">
        <f>Calc!K41</f>
        <v>14.405696626042817</v>
      </c>
      <c r="L56" s="121">
        <f>Calc!L41</f>
        <v>7.1428627210451143</v>
      </c>
      <c r="M56" s="121">
        <f>Calc!M41</f>
        <v>7.4416479704606013</v>
      </c>
      <c r="N56" s="121">
        <f>Calc!N41</f>
        <v>2.6765262647527091</v>
      </c>
      <c r="O56" s="113"/>
      <c r="P56" s="113"/>
      <c r="Q56" s="113"/>
      <c r="R56" s="113"/>
      <c r="S56" s="113"/>
      <c r="T56" s="115"/>
      <c r="U56" s="122">
        <f>SUM(J56:N56)</f>
        <v>41.108325280174114</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9.0484155601282605</v>
      </c>
      <c r="K57" s="121">
        <f>Calc!K42</f>
        <v>14.780012494122914</v>
      </c>
      <c r="L57" s="121">
        <f>Calc!L42</f>
        <v>15.133845528855302</v>
      </c>
      <c r="M57" s="121">
        <f>Calc!M42</f>
        <v>10.568997096852057</v>
      </c>
      <c r="N57" s="121">
        <f>Calc!N42</f>
        <v>2.7198242709194802</v>
      </c>
      <c r="O57" s="113"/>
      <c r="P57" s="113"/>
      <c r="Q57" s="113"/>
      <c r="R57" s="113"/>
      <c r="S57" s="113"/>
      <c r="T57" s="115"/>
      <c r="U57" s="122">
        <f>SUM(J57:N57)</f>
        <v>52.25109495087802</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50.879065207963997</v>
      </c>
      <c r="K60" s="121">
        <f>Calc!K57</f>
        <v>68.269222978748985</v>
      </c>
      <c r="L60" s="121">
        <f>Calc!L57</f>
        <v>58.589718734479298</v>
      </c>
      <c r="M60" s="121">
        <f>Calc!M57</f>
        <v>48.675132373617565</v>
      </c>
      <c r="N60" s="121">
        <f>Calc!N57</f>
        <v>34.047493455284695</v>
      </c>
      <c r="O60" s="113"/>
      <c r="P60" s="113"/>
      <c r="Q60" s="113"/>
      <c r="R60" s="113"/>
      <c r="S60" s="113"/>
      <c r="T60" s="115"/>
      <c r="U60" s="122">
        <f>SUM(J60:N60)</f>
        <v>260.46063275009453</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0</v>
      </c>
      <c r="K62" s="121">
        <f>Calc!K46</f>
        <v>0</v>
      </c>
      <c r="L62" s="121">
        <f>Calc!L46</f>
        <v>0</v>
      </c>
      <c r="M62" s="121">
        <f>Calc!M46</f>
        <v>0</v>
      </c>
      <c r="N62" s="121">
        <f>Calc!N46</f>
        <v>0</v>
      </c>
      <c r="O62" s="113"/>
      <c r="P62" s="113"/>
      <c r="Q62" s="113"/>
      <c r="R62" s="113"/>
      <c r="S62" s="113"/>
      <c r="T62" s="115"/>
      <c r="U62" s="122">
        <f>SUM(J62:N62)</f>
        <v>0</v>
      </c>
    </row>
    <row r="63" spans="1:27" s="117" customFormat="1" ht="17.399999999999999">
      <c r="A63" s="110"/>
      <c r="B63" s="119" t="s">
        <v>159</v>
      </c>
      <c r="C63" s="119"/>
      <c r="D63" s="113"/>
      <c r="E63" s="113" t="str">
        <f>Calc!E47</f>
        <v>Sewerage: MNI</v>
      </c>
      <c r="F63" s="113"/>
      <c r="G63" s="120"/>
      <c r="H63" s="120"/>
      <c r="I63" s="120"/>
      <c r="J63" s="121">
        <f>Calc!J47</f>
        <v>0</v>
      </c>
      <c r="K63" s="121">
        <f>Calc!K47</f>
        <v>0</v>
      </c>
      <c r="L63" s="121">
        <f>Calc!L47</f>
        <v>0</v>
      </c>
      <c r="M63" s="121">
        <f>Calc!M47</f>
        <v>0</v>
      </c>
      <c r="N63" s="121">
        <f>Calc!N47</f>
        <v>0</v>
      </c>
      <c r="O63" s="113"/>
      <c r="P63" s="113"/>
      <c r="Q63" s="113"/>
      <c r="R63" s="113"/>
      <c r="S63" s="113"/>
      <c r="T63" s="115"/>
      <c r="U63" s="122">
        <f>SUM(J63:N63)</f>
        <v>0</v>
      </c>
    </row>
    <row r="64" spans="1:27" s="117" customFormat="1" ht="17.399999999999999">
      <c r="A64" s="110"/>
      <c r="B64" s="119" t="s">
        <v>160</v>
      </c>
      <c r="C64" s="119"/>
      <c r="D64" s="113"/>
      <c r="E64" s="113" t="str">
        <f>Calc!E48</f>
        <v>Sewerage: Infrastructure enhancements</v>
      </c>
      <c r="F64" s="113"/>
      <c r="G64" s="120"/>
      <c r="H64" s="120"/>
      <c r="I64" s="120"/>
      <c r="J64" s="121">
        <f>Calc!J48</f>
        <v>0</v>
      </c>
      <c r="K64" s="121">
        <f>Calc!K48</f>
        <v>0</v>
      </c>
      <c r="L64" s="121">
        <f>Calc!L48</f>
        <v>0</v>
      </c>
      <c r="M64" s="121">
        <f>Calc!M48</f>
        <v>0</v>
      </c>
      <c r="N64" s="121">
        <f>Calc!N48</f>
        <v>0</v>
      </c>
      <c r="O64" s="113"/>
      <c r="P64" s="113"/>
      <c r="Q64" s="113"/>
      <c r="R64" s="113"/>
      <c r="S64" s="113"/>
      <c r="T64" s="115"/>
      <c r="U64" s="122">
        <f>SUM(J64:N64)</f>
        <v>0</v>
      </c>
    </row>
    <row r="65" spans="1:21" s="117" customFormat="1" ht="17.399999999999999">
      <c r="A65" s="110"/>
      <c r="B65" s="119" t="s">
        <v>238</v>
      </c>
      <c r="C65" s="119"/>
      <c r="D65" s="113"/>
      <c r="E65" s="113" t="str">
        <f>Calc!E49</f>
        <v>Sewerage: Non-infrastructure enhancements</v>
      </c>
      <c r="F65" s="113"/>
      <c r="G65" s="120"/>
      <c r="H65" s="120"/>
      <c r="I65" s="120"/>
      <c r="J65" s="121">
        <f>Calc!J49</f>
        <v>0</v>
      </c>
      <c r="K65" s="121">
        <f>Calc!K49</f>
        <v>0</v>
      </c>
      <c r="L65" s="121">
        <f>Calc!L49</f>
        <v>0</v>
      </c>
      <c r="M65" s="121">
        <f>Calc!M49</f>
        <v>0</v>
      </c>
      <c r="N65" s="121">
        <f>Calc!N49</f>
        <v>0</v>
      </c>
      <c r="O65" s="113"/>
      <c r="P65" s="113"/>
      <c r="Q65" s="113"/>
      <c r="R65" s="113"/>
      <c r="S65" s="113"/>
      <c r="T65" s="115"/>
      <c r="U65" s="122">
        <f>SUM(J65:N65)</f>
        <v>0</v>
      </c>
    </row>
    <row r="66" spans="1:21" s="117" customFormat="1" ht="17.399999999999999">
      <c r="A66" s="110"/>
      <c r="B66" s="119" t="s">
        <v>239</v>
      </c>
      <c r="C66" s="119"/>
      <c r="D66" s="113"/>
      <c r="E66" s="113" t="str">
        <f>Calc!E50</f>
        <v>Sewerage: Large projects infrastructure</v>
      </c>
      <c r="F66" s="113"/>
      <c r="G66" s="120"/>
      <c r="H66" s="120"/>
      <c r="I66" s="120"/>
      <c r="J66" s="121">
        <f>Calc!J50</f>
        <v>0</v>
      </c>
      <c r="K66" s="121">
        <f>Calc!K50</f>
        <v>0</v>
      </c>
      <c r="L66" s="121">
        <f>Calc!L50</f>
        <v>0</v>
      </c>
      <c r="M66" s="121">
        <f>Calc!M50</f>
        <v>0</v>
      </c>
      <c r="N66" s="121">
        <f>Calc!N50</f>
        <v>0</v>
      </c>
      <c r="O66" s="113"/>
      <c r="P66" s="113"/>
      <c r="Q66" s="113"/>
      <c r="R66" s="113"/>
      <c r="S66" s="113"/>
      <c r="T66" s="115"/>
      <c r="U66" s="122">
        <f t="shared" ref="U66:U67" si="8">SUM(J66:N66)</f>
        <v>0</v>
      </c>
    </row>
    <row r="67" spans="1:21" s="117" customFormat="1" ht="17.399999999999999">
      <c r="A67" s="110"/>
      <c r="B67" s="119" t="s">
        <v>240</v>
      </c>
      <c r="C67" s="119"/>
      <c r="D67" s="113"/>
      <c r="E67" s="113" t="str">
        <f>Calc!E51</f>
        <v>Sewerage: Large projects non-infrastructure</v>
      </c>
      <c r="F67" s="113"/>
      <c r="G67" s="120"/>
      <c r="H67" s="120"/>
      <c r="I67" s="120"/>
      <c r="J67" s="121">
        <f>Calc!J51</f>
        <v>0</v>
      </c>
      <c r="K67" s="121">
        <f>Calc!K51</f>
        <v>0</v>
      </c>
      <c r="L67" s="121">
        <f>Calc!L51</f>
        <v>0</v>
      </c>
      <c r="M67" s="121">
        <f>Calc!M51</f>
        <v>0</v>
      </c>
      <c r="N67" s="121">
        <f>Calc!N51</f>
        <v>0</v>
      </c>
      <c r="O67" s="113"/>
      <c r="P67" s="113"/>
      <c r="Q67" s="113"/>
      <c r="R67" s="113"/>
      <c r="S67" s="113"/>
      <c r="T67" s="115"/>
      <c r="U67" s="122">
        <f t="shared" si="8"/>
        <v>0</v>
      </c>
    </row>
    <row r="68" spans="1:21" s="117" customFormat="1" ht="17.399999999999999">
      <c r="A68" s="110"/>
      <c r="B68" s="119" t="s">
        <v>241</v>
      </c>
      <c r="C68" s="118"/>
      <c r="D68" s="113"/>
      <c r="E68" s="113" t="str">
        <f>Calc!E68</f>
        <v>Sewerage: Allowance capex (gross of adjustments)</v>
      </c>
      <c r="F68" s="113"/>
      <c r="G68" s="120"/>
      <c r="H68" s="120"/>
      <c r="I68" s="120"/>
      <c r="J68" s="121">
        <f>Calc!J68</f>
        <v>0</v>
      </c>
      <c r="K68" s="121">
        <f>Calc!K68</f>
        <v>0</v>
      </c>
      <c r="L68" s="121">
        <f>Calc!L68</f>
        <v>0</v>
      </c>
      <c r="M68" s="121">
        <f>Calc!M68</f>
        <v>0</v>
      </c>
      <c r="N68" s="121">
        <f>Calc!N68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127.91960317192274</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-1.7254566772867099</v>
      </c>
      <c r="K73" s="121">
        <f>Calc!K127</f>
        <v>-1.7254566772867099</v>
      </c>
      <c r="L73" s="121">
        <f>Calc!L127</f>
        <v>-1.7254566772867099</v>
      </c>
      <c r="M73" s="121">
        <f>Calc!M127</f>
        <v>-1.7254566772867099</v>
      </c>
      <c r="N73" s="121">
        <f>Calc!N127</f>
        <v>-1.7254566772867099</v>
      </c>
      <c r="O73" s="113"/>
      <c r="P73" s="113"/>
      <c r="Q73" s="113"/>
      <c r="R73" s="113"/>
      <c r="S73" s="113"/>
      <c r="T73" s="115"/>
      <c r="U73" s="122">
        <f>SUM(J73:N73)</f>
        <v>-8.6272833864335503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0</v>
      </c>
      <c r="K76" s="121">
        <f>Calc!K128</f>
        <v>0</v>
      </c>
      <c r="L76" s="121">
        <f>Calc!L128</f>
        <v>0</v>
      </c>
      <c r="M76" s="121">
        <f>Calc!M128</f>
        <v>0</v>
      </c>
      <c r="N76" s="121">
        <f>Calc!N128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BRL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56.454693480241133</v>
      </c>
      <c r="K16" s="121">
        <f>Calc!K55</f>
        <v>76.550283796408777</v>
      </c>
      <c r="L16" s="121">
        <f>Calc!L55</f>
        <v>65.645614419569512</v>
      </c>
      <c r="M16" s="121">
        <f>Calc!M55</f>
        <v>57.468357224982313</v>
      </c>
      <c r="N16" s="121">
        <f>Calc!N55</f>
        <v>55.322925078798271</v>
      </c>
      <c r="O16" s="113"/>
      <c r="P16" s="113"/>
      <c r="Q16" s="113"/>
      <c r="R16" s="113"/>
      <c r="S16" s="113"/>
      <c r="T16" s="115"/>
      <c r="U16" s="295">
        <f>SUM(J16:N16)</f>
        <v>311.44187400000004</v>
      </c>
    </row>
    <row r="17" spans="1:21" s="117" customFormat="1" ht="17.399999999999999">
      <c r="A17" s="110"/>
      <c r="B17" s="118" t="s">
        <v>131</v>
      </c>
      <c r="C17" s="119"/>
      <c r="D17" s="113"/>
      <c r="E17" s="124" t="str">
        <f>Calc!E56</f>
        <v>Water: Baseline capex (gross of adjustments)</v>
      </c>
      <c r="F17" s="124"/>
      <c r="G17" s="113"/>
      <c r="H17" s="120"/>
      <c r="I17" s="120"/>
      <c r="J17" s="121">
        <f>Calc!J56</f>
        <v>47.559461946427923</v>
      </c>
      <c r="K17" s="121">
        <f>Calc!K56</f>
        <v>63.814999334181799</v>
      </c>
      <c r="L17" s="121">
        <f>Calc!L56</f>
        <v>54.767034087886884</v>
      </c>
      <c r="M17" s="121">
        <f>Calc!M56</f>
        <v>45.499324651468832</v>
      </c>
      <c r="N17" s="121">
        <f>Calc!N56</f>
        <v>31.826065646827246</v>
      </c>
      <c r="O17" s="113"/>
      <c r="P17" s="113"/>
      <c r="Q17" s="113"/>
      <c r="R17" s="113"/>
      <c r="S17" s="113"/>
      <c r="T17" s="115"/>
      <c r="U17" s="295">
        <f t="shared" ref="U17:U18" si="0">SUM(J17:N17)</f>
        <v>243.46688566679268</v>
      </c>
    </row>
    <row r="18" spans="1:21" s="117" customFormat="1" ht="17.399999999999999">
      <c r="A18" s="110"/>
      <c r="B18" s="118" t="s">
        <v>132</v>
      </c>
      <c r="C18" s="119"/>
      <c r="D18" s="113"/>
      <c r="E18" s="124" t="str">
        <f>Calc!E57</f>
        <v>Water: Allowance capex (gross of adjustments)</v>
      </c>
      <c r="F18" s="124"/>
      <c r="G18" s="113"/>
      <c r="H18" s="286"/>
      <c r="I18" s="120"/>
      <c r="J18" s="121">
        <f>Calc!J57</f>
        <v>50.879065207963997</v>
      </c>
      <c r="K18" s="121">
        <f>Calc!K57</f>
        <v>68.269222978748985</v>
      </c>
      <c r="L18" s="121">
        <f>Calc!L57</f>
        <v>58.589718734479298</v>
      </c>
      <c r="M18" s="121">
        <f>Calc!M57</f>
        <v>48.675132373617565</v>
      </c>
      <c r="N18" s="121">
        <f>Calc!N57</f>
        <v>34.047493455284695</v>
      </c>
      <c r="O18" s="113"/>
      <c r="P18" s="113"/>
      <c r="Q18" s="113"/>
      <c r="R18" s="113"/>
      <c r="S18" s="113"/>
      <c r="T18" s="115"/>
      <c r="U18" s="295">
        <f t="shared" si="0"/>
        <v>260.46063275009453</v>
      </c>
    </row>
    <row r="19" spans="1:21" s="117" customFormat="1" ht="17.399999999999999">
      <c r="A19" s="110"/>
      <c r="B19" s="118" t="s">
        <v>133</v>
      </c>
      <c r="C19" s="119"/>
      <c r="D19" s="113"/>
      <c r="E19" s="124" t="str">
        <f>Calc!E94</f>
        <v>Water: CIS bid ratio</v>
      </c>
      <c r="F19" s="124"/>
      <c r="G19" s="301">
        <f>Calc!G94</f>
        <v>127.91960317192274</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v>
      </c>
      <c r="K21" s="121">
        <f>Calc!K59</f>
        <v>0</v>
      </c>
      <c r="L21" s="121">
        <f>Calc!L59</f>
        <v>0</v>
      </c>
      <c r="M21" s="121">
        <f>Calc!M59</f>
        <v>0</v>
      </c>
      <c r="N21" s="121">
        <f>Calc!N59</f>
        <v>0</v>
      </c>
      <c r="O21" s="113"/>
      <c r="P21" s="113"/>
      <c r="Q21" s="113"/>
      <c r="R21" s="113"/>
      <c r="S21" s="113"/>
      <c r="T21" s="115"/>
      <c r="U21" s="295">
        <f t="shared" ref="U21:U22" si="1">SUM(J21:N21)</f>
        <v>0</v>
      </c>
    </row>
    <row r="22" spans="1:21" s="117" customFormat="1" ht="17.399999999999999">
      <c r="A22" s="110"/>
      <c r="B22" s="118" t="s">
        <v>135</v>
      </c>
      <c r="C22" s="119"/>
      <c r="D22" s="113"/>
      <c r="E22" s="113" t="str">
        <f>Calc!E60</f>
        <v>Water: Adjustments to baseline capex</v>
      </c>
      <c r="F22" s="113"/>
      <c r="G22" s="113"/>
      <c r="H22" s="120"/>
      <c r="I22" s="120"/>
      <c r="J22" s="121">
        <f>Calc!J60</f>
        <v>0</v>
      </c>
      <c r="K22" s="121">
        <f>Calc!K60</f>
        <v>0</v>
      </c>
      <c r="L22" s="121">
        <f>Calc!L60</f>
        <v>0</v>
      </c>
      <c r="M22" s="121">
        <f>Calc!M60</f>
        <v>0</v>
      </c>
      <c r="N22" s="121">
        <f>Calc!N60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56.454693480241133</v>
      </c>
      <c r="K24" s="121">
        <f>Calc!K62</f>
        <v>76.550283796408777</v>
      </c>
      <c r="L24" s="121">
        <f>Calc!L62</f>
        <v>65.645614419569512</v>
      </c>
      <c r="M24" s="121">
        <f>Calc!M62</f>
        <v>57.468357224982313</v>
      </c>
      <c r="N24" s="121">
        <f>Calc!N62</f>
        <v>55.322925078798271</v>
      </c>
      <c r="O24" s="113"/>
      <c r="P24" s="113"/>
      <c r="Q24" s="113"/>
      <c r="R24" s="113"/>
      <c r="S24" s="113"/>
      <c r="T24" s="115"/>
      <c r="U24" s="295">
        <f t="shared" ref="U24:U26" si="2">SUM(J24:N24)</f>
        <v>311.44187400000004</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47.559461946427923</v>
      </c>
      <c r="K25" s="121">
        <f>Calc!K63</f>
        <v>63.814999334181799</v>
      </c>
      <c r="L25" s="121">
        <f>Calc!L63</f>
        <v>54.767034087886884</v>
      </c>
      <c r="M25" s="121">
        <f>Calc!M63</f>
        <v>45.499324651468832</v>
      </c>
      <c r="N25" s="121">
        <f>Calc!N63</f>
        <v>31.826065646827246</v>
      </c>
      <c r="O25" s="113"/>
      <c r="P25" s="113"/>
      <c r="Q25" s="113"/>
      <c r="R25" s="113"/>
      <c r="S25" s="113"/>
      <c r="T25" s="115"/>
      <c r="U25" s="295">
        <f t="shared" si="2"/>
        <v>243.46688566679268</v>
      </c>
    </row>
    <row r="26" spans="1:21" s="117" customFormat="1" ht="17.399999999999999">
      <c r="A26" s="110"/>
      <c r="B26" s="118" t="s">
        <v>138</v>
      </c>
      <c r="C26" s="119"/>
      <c r="D26" s="113"/>
      <c r="E26" s="113" t="str">
        <f>Calc!E64</f>
        <v>Water: Allowance capex (net of adjustments)</v>
      </c>
      <c r="F26" s="113"/>
      <c r="G26" s="113"/>
      <c r="H26" s="120"/>
      <c r="I26" s="120"/>
      <c r="J26" s="121">
        <f>Calc!J64</f>
        <v>50.879065207963997</v>
      </c>
      <c r="K26" s="121">
        <f>Calc!K64</f>
        <v>68.269222978748971</v>
      </c>
      <c r="L26" s="121">
        <f>Calc!L64</f>
        <v>58.589718734479305</v>
      </c>
      <c r="M26" s="121">
        <f>Calc!M64</f>
        <v>48.675132373617565</v>
      </c>
      <c r="N26" s="121">
        <f>Calc!N64</f>
        <v>34.047493455284695</v>
      </c>
      <c r="O26" s="113"/>
      <c r="P26" s="113"/>
      <c r="Q26" s="113"/>
      <c r="R26" s="113"/>
      <c r="S26" s="113"/>
      <c r="T26" s="115"/>
      <c r="U26" s="295">
        <f t="shared" si="2"/>
        <v>260.46063275009453</v>
      </c>
    </row>
    <row r="27" spans="1:21" s="117" customFormat="1" ht="17.399999999999999">
      <c r="A27" s="110"/>
      <c r="B27" s="118" t="s">
        <v>139</v>
      </c>
      <c r="C27" s="119"/>
      <c r="D27" s="113"/>
      <c r="E27" s="113" t="str">
        <f>Calc!E106</f>
        <v>Water: Restated CIS bid ratio</v>
      </c>
      <c r="F27" s="113"/>
      <c r="G27" s="301">
        <f>Calc!G106</f>
        <v>127.91960317192274</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50.163144438902997</v>
      </c>
      <c r="K30" s="121">
        <f>Calc!K79</f>
        <v>66.46145440261337</v>
      </c>
      <c r="L30" s="121">
        <f>Calc!L79</f>
        <v>57.108487196254245</v>
      </c>
      <c r="M30" s="121">
        <f>Calc!M79</f>
        <v>50.099253728230345</v>
      </c>
      <c r="N30" s="121">
        <f>Calc!N79</f>
        <v>48.478136614465264</v>
      </c>
      <c r="O30" s="113"/>
      <c r="P30" s="113"/>
      <c r="Q30" s="113"/>
      <c r="R30" s="113"/>
      <c r="S30" s="113"/>
      <c r="T30" s="115"/>
      <c r="U30" s="295">
        <f t="shared" ref="U30:U33" si="3">SUM(J30:N30)</f>
        <v>272.31047638046618</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42.259235007451935</v>
      </c>
      <c r="K31" s="121">
        <f>Calc!K80</f>
        <v>55.404597581001994</v>
      </c>
      <c r="L31" s="121">
        <f>Calc!L80</f>
        <v>47.644652162057085</v>
      </c>
      <c r="M31" s="121">
        <f>Calc!M80</f>
        <v>39.66499688259993</v>
      </c>
      <c r="N31" s="121">
        <f>Calc!N80</f>
        <v>27.888408939517799</v>
      </c>
      <c r="O31" s="113"/>
      <c r="P31" s="113"/>
      <c r="Q31" s="113"/>
      <c r="R31" s="113"/>
      <c r="S31" s="113"/>
      <c r="T31" s="115"/>
      <c r="U31" s="295">
        <f t="shared" si="3"/>
        <v>212.86189057262874</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45.208887686844648</v>
      </c>
      <c r="K32" s="121">
        <f>Calc!K81</f>
        <v>59.271783526906113</v>
      </c>
      <c r="L32" s="121">
        <f>Calc!L81</f>
        <v>50.970201616129394</v>
      </c>
      <c r="M32" s="121">
        <f>Calc!M81</f>
        <v>42.433574314544288</v>
      </c>
      <c r="N32" s="121">
        <f>Calc!N81</f>
        <v>29.834992216236898</v>
      </c>
      <c r="O32" s="113"/>
      <c r="P32" s="113"/>
      <c r="Q32" s="113"/>
      <c r="R32" s="113"/>
      <c r="S32" s="113"/>
      <c r="T32" s="115"/>
      <c r="U32" s="295">
        <f t="shared" si="3"/>
        <v>227.71943936066134</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18.470459359016843</v>
      </c>
      <c r="K33" s="121">
        <f>Calc!K82</f>
        <v>49.496888767950573</v>
      </c>
      <c r="L33" s="121">
        <f>Calc!L82</f>
        <v>72.080175028098608</v>
      </c>
      <c r="M33" s="121">
        <f>Calc!M82</f>
        <v>59.669038334216282</v>
      </c>
      <c r="N33" s="121">
        <f>Calc!N82</f>
        <v>42.807670561226971</v>
      </c>
      <c r="O33" s="113"/>
      <c r="P33" s="113"/>
      <c r="Q33" s="113"/>
      <c r="R33" s="113"/>
      <c r="S33" s="113"/>
      <c r="T33" s="115"/>
      <c r="U33" s="295">
        <f t="shared" si="3"/>
        <v>242.52423205050928</v>
      </c>
    </row>
    <row r="34" spans="1:21" s="117" customFormat="1" ht="17.399999999999999">
      <c r="A34" s="110"/>
      <c r="B34" s="118" t="s">
        <v>145</v>
      </c>
      <c r="C34" s="118"/>
      <c r="D34" s="113"/>
      <c r="E34" s="113" t="str">
        <f>Calc!E116</f>
        <v>Water: CIS outturn ratio</v>
      </c>
      <c r="F34" s="113"/>
      <c r="G34" s="301">
        <f>Calc!G116</f>
        <v>113.93501739465182</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-8.9060670899952399</v>
      </c>
    </row>
    <row r="38" spans="1:21" s="117" customFormat="1" ht="17.399999999999999">
      <c r="A38" s="110"/>
      <c r="B38" s="118" t="s">
        <v>152</v>
      </c>
      <c r="C38" s="119"/>
      <c r="D38" s="113"/>
      <c r="E38" s="113" t="str">
        <f>Calc!E127</f>
        <v>Water: Additional income (applied at FD)</v>
      </c>
      <c r="F38" s="113"/>
      <c r="G38" s="113"/>
      <c r="H38" s="113"/>
      <c r="I38" s="113"/>
      <c r="J38" s="121">
        <f>Calc!J127</f>
        <v>-1.7254566772867099</v>
      </c>
      <c r="K38" s="121">
        <f>Calc!K127</f>
        <v>-1.7254566772867099</v>
      </c>
      <c r="L38" s="121">
        <f>Calc!L127</f>
        <v>-1.7254566772867099</v>
      </c>
      <c r="M38" s="121">
        <f>Calc!M127</f>
        <v>-1.7254566772867099</v>
      </c>
      <c r="N38" s="121">
        <f>Calc!N127</f>
        <v>-1.7254566772867099</v>
      </c>
      <c r="O38" s="113"/>
      <c r="P38" s="113"/>
      <c r="Q38" s="113"/>
      <c r="R38" s="113"/>
      <c r="S38" s="113"/>
      <c r="T38" s="115"/>
      <c r="U38" s="295">
        <f t="shared" ref="U38" si="4">SUM(J38:N38)</f>
        <v>-8.6272833864335503</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-0.27878370356168958</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0</v>
      </c>
      <c r="K45" s="121">
        <f>Calc!K66</f>
        <v>0</v>
      </c>
      <c r="L45" s="121">
        <f>Calc!L66</f>
        <v>0</v>
      </c>
      <c r="M45" s="121">
        <f>Calc!M66</f>
        <v>0</v>
      </c>
      <c r="N45" s="121">
        <f>Calc!N66</f>
        <v>0</v>
      </c>
      <c r="O45" s="113"/>
      <c r="P45" s="113"/>
      <c r="Q45" s="113"/>
      <c r="R45" s="113"/>
      <c r="S45" s="113"/>
      <c r="T45" s="115"/>
      <c r="U45" s="295">
        <f>SUM(J45:N45)</f>
        <v>0</v>
      </c>
    </row>
    <row r="46" spans="1:21" s="117" customFormat="1" ht="17.399999999999999">
      <c r="A46" s="110"/>
      <c r="B46" s="118" t="s">
        <v>327</v>
      </c>
      <c r="C46" s="119"/>
      <c r="D46" s="113"/>
      <c r="E46" s="124" t="str">
        <f>Calc!E67</f>
        <v>Sewerage: Baseline capex (gross of adjustments)</v>
      </c>
      <c r="F46" s="124"/>
      <c r="G46" s="113"/>
      <c r="H46" s="120"/>
      <c r="I46" s="120"/>
      <c r="J46" s="121">
        <f>Calc!J67</f>
        <v>0</v>
      </c>
      <c r="K46" s="121">
        <f>Calc!K67</f>
        <v>0</v>
      </c>
      <c r="L46" s="121">
        <f>Calc!L67</f>
        <v>0</v>
      </c>
      <c r="M46" s="121">
        <f>Calc!M67</f>
        <v>0</v>
      </c>
      <c r="N46" s="121">
        <f>Calc!N67</f>
        <v>0</v>
      </c>
      <c r="O46" s="113"/>
      <c r="P46" s="113"/>
      <c r="Q46" s="113"/>
      <c r="R46" s="113"/>
      <c r="S46" s="113"/>
      <c r="T46" s="115"/>
      <c r="U46" s="295">
        <f t="shared" ref="U46:U47" si="5">SUM(J46:N46)</f>
        <v>0</v>
      </c>
    </row>
    <row r="47" spans="1:21" s="117" customFormat="1" ht="17.399999999999999">
      <c r="A47" s="110"/>
      <c r="B47" s="118" t="s">
        <v>328</v>
      </c>
      <c r="C47" s="119"/>
      <c r="D47" s="113"/>
      <c r="E47" s="124" t="str">
        <f>Calc!E68</f>
        <v>Sewerage: Allowance capex (gross of adjustments)</v>
      </c>
      <c r="F47" s="124"/>
      <c r="G47" s="113"/>
      <c r="H47" s="286"/>
      <c r="I47" s="120"/>
      <c r="J47" s="121">
        <f>Calc!J68</f>
        <v>0</v>
      </c>
      <c r="K47" s="121">
        <f>Calc!K68</f>
        <v>0</v>
      </c>
      <c r="L47" s="121">
        <f>Calc!L68</f>
        <v>0</v>
      </c>
      <c r="M47" s="121">
        <f>Calc!M68</f>
        <v>0</v>
      </c>
      <c r="N47" s="121">
        <f>Calc!N68</f>
        <v>0</v>
      </c>
      <c r="O47" s="113"/>
      <c r="P47" s="113"/>
      <c r="Q47" s="113"/>
      <c r="R47" s="113"/>
      <c r="S47" s="113"/>
      <c r="T47" s="115"/>
      <c r="U47" s="295">
        <f t="shared" si="5"/>
        <v>0</v>
      </c>
    </row>
    <row r="48" spans="1:21" s="117" customFormat="1" ht="17.399999999999999">
      <c r="A48" s="110"/>
      <c r="B48" s="118" t="s">
        <v>329</v>
      </c>
      <c r="C48" s="119"/>
      <c r="D48" s="113"/>
      <c r="E48" s="124" t="str">
        <f>Calc!E99</f>
        <v>Sewerage: CIS bid ratio</v>
      </c>
      <c r="F48" s="124"/>
      <c r="G48" s="301">
        <f>Calc!G99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0</v>
      </c>
      <c r="K50" s="121">
        <f>Calc!K70</f>
        <v>0</v>
      </c>
      <c r="L50" s="121">
        <f>Calc!L70</f>
        <v>0</v>
      </c>
      <c r="M50" s="121">
        <f>Calc!M70</f>
        <v>0</v>
      </c>
      <c r="N50" s="121">
        <f>Calc!N70</f>
        <v>0</v>
      </c>
      <c r="O50" s="113"/>
      <c r="P50" s="113"/>
      <c r="Q50" s="113"/>
      <c r="R50" s="113"/>
      <c r="S50" s="113"/>
      <c r="T50" s="115"/>
      <c r="U50" s="295">
        <f t="shared" ref="U50:U51" si="6">SUM(J50:N50)</f>
        <v>0</v>
      </c>
    </row>
    <row r="51" spans="1:21" s="117" customFormat="1" ht="17.399999999999999">
      <c r="A51" s="110"/>
      <c r="B51" s="118" t="s">
        <v>331</v>
      </c>
      <c r="C51" s="119"/>
      <c r="D51" s="113"/>
      <c r="E51" s="113" t="str">
        <f>Calc!E71</f>
        <v>Sewerage: Adjustments to baseline capex</v>
      </c>
      <c r="F51" s="113"/>
      <c r="G51" s="113"/>
      <c r="H51" s="120"/>
      <c r="I51" s="120"/>
      <c r="J51" s="121">
        <f>Calc!J71</f>
        <v>0</v>
      </c>
      <c r="K51" s="121">
        <f>Calc!K71</f>
        <v>0</v>
      </c>
      <c r="L51" s="121">
        <f>Calc!L71</f>
        <v>0</v>
      </c>
      <c r="M51" s="121">
        <f>Calc!M71</f>
        <v>0</v>
      </c>
      <c r="N51" s="121">
        <f>Calc!N71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0</v>
      </c>
      <c r="K53" s="121">
        <f>Calc!K73</f>
        <v>0</v>
      </c>
      <c r="L53" s="121">
        <f>Calc!L73</f>
        <v>0</v>
      </c>
      <c r="M53" s="121">
        <f>Calc!M73</f>
        <v>0</v>
      </c>
      <c r="N53" s="121">
        <f>Calc!N73</f>
        <v>0</v>
      </c>
      <c r="O53" s="113"/>
      <c r="P53" s="113"/>
      <c r="Q53" s="113"/>
      <c r="R53" s="113"/>
      <c r="S53" s="113"/>
      <c r="T53" s="115"/>
      <c r="U53" s="295">
        <f t="shared" ref="U53:U55" si="7">SUM(J53:N53)</f>
        <v>0</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0</v>
      </c>
      <c r="K54" s="121">
        <f>Calc!K74</f>
        <v>0</v>
      </c>
      <c r="L54" s="121">
        <f>Calc!L74</f>
        <v>0</v>
      </c>
      <c r="M54" s="121">
        <f>Calc!M74</f>
        <v>0</v>
      </c>
      <c r="N54" s="121">
        <f>Calc!N74</f>
        <v>0</v>
      </c>
      <c r="O54" s="113"/>
      <c r="P54" s="113"/>
      <c r="Q54" s="113"/>
      <c r="R54" s="113"/>
      <c r="S54" s="113"/>
      <c r="T54" s="115"/>
      <c r="U54" s="295">
        <f t="shared" si="7"/>
        <v>0</v>
      </c>
    </row>
    <row r="55" spans="1:21" s="117" customFormat="1" ht="17.399999999999999">
      <c r="A55" s="110"/>
      <c r="B55" s="118" t="s">
        <v>334</v>
      </c>
      <c r="C55" s="119"/>
      <c r="D55" s="113"/>
      <c r="E55" s="113" t="str">
        <f>Calc!E75</f>
        <v>Sewerage: Allowance capex (net of adjustments)</v>
      </c>
      <c r="F55" s="113"/>
      <c r="G55" s="113"/>
      <c r="H55" s="120"/>
      <c r="I55" s="120"/>
      <c r="J55" s="121">
        <f>Calc!J75</f>
        <v>0</v>
      </c>
      <c r="K55" s="121">
        <f>Calc!K75</f>
        <v>0</v>
      </c>
      <c r="L55" s="121">
        <f>Calc!L75</f>
        <v>0</v>
      </c>
      <c r="M55" s="121">
        <f>Calc!M75</f>
        <v>0</v>
      </c>
      <c r="N55" s="121">
        <f>Calc!N75</f>
        <v>0</v>
      </c>
      <c r="O55" s="113"/>
      <c r="P55" s="113"/>
      <c r="Q55" s="113"/>
      <c r="R55" s="113"/>
      <c r="S55" s="113"/>
      <c r="T55" s="115"/>
      <c r="U55" s="295">
        <f t="shared" si="7"/>
        <v>0</v>
      </c>
    </row>
    <row r="56" spans="1:21" s="117" customFormat="1" ht="17.399999999999999">
      <c r="A56" s="110"/>
      <c r="B56" s="118" t="s">
        <v>335</v>
      </c>
      <c r="C56" s="119"/>
      <c r="D56" s="113"/>
      <c r="E56" s="113" t="str">
        <f>Calc!E110</f>
        <v>Sewerage: Restated CIS bid ratio</v>
      </c>
      <c r="F56" s="113"/>
      <c r="G56" s="301">
        <f>Calc!G110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0</v>
      </c>
      <c r="K59" s="121">
        <f>Calc!K84</f>
        <v>0</v>
      </c>
      <c r="L59" s="121">
        <f>Calc!L84</f>
        <v>0</v>
      </c>
      <c r="M59" s="121">
        <f>Calc!M84</f>
        <v>0</v>
      </c>
      <c r="N59" s="121">
        <f>Calc!N84</f>
        <v>0</v>
      </c>
      <c r="O59" s="113"/>
      <c r="P59" s="113"/>
      <c r="Q59" s="113"/>
      <c r="R59" s="113"/>
      <c r="S59" s="113"/>
      <c r="T59" s="115"/>
      <c r="U59" s="295">
        <f t="shared" ref="U59:U62" si="8">SUM(J59:N59)</f>
        <v>0</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0</v>
      </c>
      <c r="K60" s="121">
        <f>Calc!K85</f>
        <v>0</v>
      </c>
      <c r="L60" s="121">
        <f>Calc!L85</f>
        <v>0</v>
      </c>
      <c r="M60" s="121">
        <f>Calc!M85</f>
        <v>0</v>
      </c>
      <c r="N60" s="121">
        <f>Calc!N85</f>
        <v>0</v>
      </c>
      <c r="O60" s="113"/>
      <c r="P60" s="113"/>
      <c r="Q60" s="113"/>
      <c r="R60" s="113"/>
      <c r="S60" s="113"/>
      <c r="T60" s="115"/>
      <c r="U60" s="295">
        <f t="shared" si="8"/>
        <v>0</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0</v>
      </c>
      <c r="K61" s="121">
        <f>Calc!K86</f>
        <v>0</v>
      </c>
      <c r="L61" s="121">
        <f>Calc!L86</f>
        <v>0</v>
      </c>
      <c r="M61" s="121">
        <f>Calc!M86</f>
        <v>0</v>
      </c>
      <c r="N61" s="121">
        <f>Calc!N86</f>
        <v>0</v>
      </c>
      <c r="O61" s="113"/>
      <c r="P61" s="113"/>
      <c r="Q61" s="113"/>
      <c r="R61" s="113"/>
      <c r="S61" s="113"/>
      <c r="T61" s="115"/>
      <c r="U61" s="295">
        <f t="shared" si="8"/>
        <v>0</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0</v>
      </c>
      <c r="K62" s="121">
        <f>Calc!K87</f>
        <v>0</v>
      </c>
      <c r="L62" s="121">
        <f>Calc!L87</f>
        <v>0</v>
      </c>
      <c r="M62" s="121">
        <f>Calc!M87</f>
        <v>0</v>
      </c>
      <c r="N62" s="121">
        <f>Calc!N87</f>
        <v>0</v>
      </c>
      <c r="O62" s="113"/>
      <c r="P62" s="113"/>
      <c r="Q62" s="113"/>
      <c r="R62" s="113"/>
      <c r="S62" s="113"/>
      <c r="T62" s="115"/>
      <c r="U62" s="295">
        <f t="shared" si="8"/>
        <v>0</v>
      </c>
    </row>
    <row r="63" spans="1:21" s="117" customFormat="1" ht="17.399999999999999">
      <c r="A63" s="110"/>
      <c r="B63" s="118" t="s">
        <v>340</v>
      </c>
      <c r="C63" s="118"/>
      <c r="D63" s="113"/>
      <c r="E63" s="113" t="str">
        <f>Calc!E119</f>
        <v>Sewerage: CIS outturn ratio</v>
      </c>
      <c r="F63" s="113"/>
      <c r="G63" s="301">
        <f>Calc!G119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0</v>
      </c>
    </row>
    <row r="67" spans="1:24" s="117" customFormat="1" ht="17.399999999999999">
      <c r="A67" s="110"/>
      <c r="B67" s="118" t="s">
        <v>342</v>
      </c>
      <c r="C67" s="119"/>
      <c r="D67" s="113"/>
      <c r="E67" s="113" t="str">
        <f>Calc!E128</f>
        <v>Sewerage: Additional income (applied at FD)</v>
      </c>
      <c r="F67" s="113"/>
      <c r="G67" s="113"/>
      <c r="H67" s="113"/>
      <c r="I67" s="113"/>
      <c r="J67" s="121">
        <f>Calc!J128</f>
        <v>0</v>
      </c>
      <c r="K67" s="121">
        <f>Calc!K128</f>
        <v>0</v>
      </c>
      <c r="L67" s="121">
        <f>Calc!L128</f>
        <v>0</v>
      </c>
      <c r="M67" s="121">
        <f>Calc!M128</f>
        <v>0</v>
      </c>
      <c r="N67" s="121">
        <f>Calc!N128</f>
        <v>0</v>
      </c>
      <c r="O67" s="113"/>
      <c r="P67" s="113"/>
      <c r="Q67" s="113"/>
      <c r="R67" s="113"/>
      <c r="S67" s="113"/>
      <c r="T67" s="115"/>
      <c r="U67" s="295">
        <f t="shared" ref="U67" si="9">SUM(J67:N67)</f>
        <v>0</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BRL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13.875098374208227</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-5.2092523662375889</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-6.1103774809277143</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17"/>
  <sheetViews>
    <sheetView showGridLines="0" zoomScale="70" zoomScaleNormal="7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258.20287999999999</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2.5700000000001388E-2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0.80785956634824141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117.095825</v>
      </c>
      <c r="N17" s="375">
        <f>IF('Input FD'!N106=0,M17*(1+'Input FD'!N107),'Input FD'!N106)</f>
        <v>120.72579557500001</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1.0520738993710692</v>
      </c>
      <c r="N18" s="377">
        <f t="shared" si="4"/>
        <v>1.0846881902515724</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87.17711127899004</v>
      </c>
      <c r="N20" s="375">
        <f>((N17/'Input FD'!$G$117)/(N13/'Input FD'!$G$116))*100</f>
        <v>87.62757309996941</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0.87177111278990038</v>
      </c>
      <c r="N21" s="377">
        <f t="shared" si="5"/>
        <v>0.87627573099969414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4.5782571583752318E-3</v>
      </c>
      <c r="J25" s="359">
        <f>IF(J$5=1,0,'Input FD'!J111/'Input FD'!I111-1)</f>
        <v>3.1000000000001693E-2</v>
      </c>
      <c r="K25" s="359">
        <f>IF(K$5=1,0,'Input FD'!K111/'Input FD'!J111-1)</f>
        <v>2.7000000000000135E-2</v>
      </c>
      <c r="L25" s="359">
        <f>IF(L$5=1,0,'Input FD'!L111/'Input FD'!K111-1)</f>
        <v>2.8999999999997028E-2</v>
      </c>
      <c r="M25" s="359">
        <f>IF(M$5=1,0,'Input FD'!M111/'Input FD'!L111-1)</f>
        <v>3.1000000000003247E-2</v>
      </c>
      <c r="N25" s="376">
        <f>IF(N$5=1,0,'Input FD'!N111/'Input FD'!M111-1)</f>
        <v>2.7999999999996916E-2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0.96674648540089592</v>
      </c>
      <c r="J26" s="144">
        <f>'Input FD'!$G$111/'Input FD'!J111</f>
        <v>0.93767845334713329</v>
      </c>
      <c r="K26" s="144">
        <f>'Input FD'!$G$111/'Input FD'!K111</f>
        <v>0.91302673159409264</v>
      </c>
      <c r="L26" s="144">
        <f>'Input FD'!$G$111/'Input FD'!L111</f>
        <v>0.88729517161719651</v>
      </c>
      <c r="M26" s="144">
        <f>'Input FD'!$G$111/'Input FD'!M111</f>
        <v>0.86061607334354395</v>
      </c>
      <c r="N26" s="377">
        <f>'Input FD'!$G$111/'Input FD'!N111</f>
        <v>0.83717516862212693</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108.90705</v>
      </c>
      <c r="I28" s="134">
        <f>IF('Input FD'!I113=0,H28*(1+'Input FD'!I114),'Input FD'!I113)</f>
        <v>102.48153405000001</v>
      </c>
      <c r="J28" s="135">
        <f>IF('Input FD'!J113=0,I28*(1+'Input FD'!J114),'Input FD'!J113)</f>
        <v>106.42707311092501</v>
      </c>
      <c r="K28" s="135">
        <f>IF('Input FD'!K113=0,J28*(1+'Input FD'!K114),'Input FD'!K113)</f>
        <v>110.09880713325192</v>
      </c>
      <c r="L28" s="135">
        <f>IF('Input FD'!L113=0,K28*(1+'Input FD'!L114),'Input FD'!L113)</f>
        <v>114.11741359361562</v>
      </c>
      <c r="M28" s="135">
        <f>IF('Input FD'!M113=0,L28*(1+'Input FD'!M114),'Input FD'!M113)</f>
        <v>118.51093401696983</v>
      </c>
      <c r="N28" s="375">
        <f>IF('Input FD'!N113=0,M28*(1+'Input FD'!N114),'Input FD'!N113)</f>
        <v>122.71807217457227</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0.97850000000000004</v>
      </c>
      <c r="I29" s="143">
        <f>IF(OR(I$5&lt;4,'Input FD'!$O$152=0),I28/$G$28,H29*(1+('Input FD'!I$111/'Input FD'!H$111-1)))</f>
        <v>0.9207685000000001</v>
      </c>
      <c r="J29" s="152">
        <f>IF(OR(J$5&lt;4,'Input FD'!$O$152=0),J28/$G$28,I29*(1+('Input FD'!J$111/'Input FD'!I$111-1)))</f>
        <v>0.95621808725000013</v>
      </c>
      <c r="K29" s="152">
        <f>IF(OR(K$5&lt;4,'Input FD'!$O$152=0),K28/$G$28,J29*(1+('Input FD'!K$111/'Input FD'!J$111-1)))</f>
        <v>0.98920761126012513</v>
      </c>
      <c r="L29" s="152">
        <f>IF(OR(L$5&lt;4,'Input FD'!$O$152=0),L28/$G$28,K29*(1+('Input FD'!L$111/'Input FD'!K$111-1)))</f>
        <v>1.0253136890711196</v>
      </c>
      <c r="M29" s="152">
        <f>IF(OR(M$5&lt;4,'Input FD'!$O$152=0),M28/$G$28,L29*(1+('Input FD'!M$111/'Input FD'!L$111-1)))</f>
        <v>1.0647882661003578</v>
      </c>
      <c r="N29" s="379">
        <f>IF(OR(N$5&lt;4,'Input FD'!$O$152=0),N28/$G$28,M29*(1+('Input FD'!N$111/'Input FD'!M$111-1)))</f>
        <v>1.1025882495469208</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95.029229068053382</v>
      </c>
      <c r="I31" s="134">
        <f>IF(OR(I$5&lt;4,'Input FD'!$O$152=0),((I28/'Input FD'!$G$117)/('Input FD'!I111/'Input FD'!$G$116))*100,H31)</f>
        <v>89.014971124285907</v>
      </c>
      <c r="J31" s="135">
        <f>IF(OR(J$5&lt;4,'Input FD'!$O$152=0),((J28/'Input FD'!$G$117)/('Input FD'!J111/'Input FD'!$G$116))*100,I31)</f>
        <v>89.662509711513849</v>
      </c>
      <c r="K31" s="135">
        <f>IF(OR(K$5&lt;4,'Input FD'!$O$152=0),((K28/'Input FD'!$G$117)/('Input FD'!K111/'Input FD'!$G$116))*100,J31)</f>
        <v>90.317299217683626</v>
      </c>
      <c r="L31" s="135">
        <f>IF(OR(L$5&lt;4,'Input FD'!$O$152=0),((L28/'Input FD'!$G$117)/('Input FD'!L111/'Input FD'!$G$116))*100,K31)</f>
        <v>90.975588570582445</v>
      </c>
      <c r="M31" s="135">
        <f>IF(OR(M$5&lt;4,'Input FD'!$O$152=0),((M28/'Input FD'!$G$117)/('Input FD'!M111/'Input FD'!$G$116))*100,L31)</f>
        <v>91.637389651357509</v>
      </c>
      <c r="N31" s="375">
        <f>IF(OR(N$5&lt;4,'Input FD'!$O$152=0),((N28/'Input FD'!$G$117)/('Input FD'!N111/'Input FD'!$G$116))*100,M31)</f>
        <v>92.305950373522379</v>
      </c>
      <c r="O31" s="361"/>
      <c r="P31" s="150"/>
      <c r="Q31" s="131"/>
      <c r="R31" s="137" t="s">
        <v>75</v>
      </c>
    </row>
    <row r="32" spans="1:18" s="138" customFormat="1">
      <c r="C32" s="139"/>
      <c r="D32" s="140" t="s">
        <v>58</v>
      </c>
      <c r="E32" s="141" t="s">
        <v>395</v>
      </c>
      <c r="F32" s="131"/>
      <c r="G32" s="143">
        <f>G31/$G$31</f>
        <v>1</v>
      </c>
      <c r="H32" s="143">
        <f t="shared" ref="H32:N32" si="6">H31/$G$31</f>
        <v>0.95029229068052923</v>
      </c>
      <c r="I32" s="143">
        <f t="shared" si="6"/>
        <v>0.8901497112428548</v>
      </c>
      <c r="J32" s="152">
        <f>J31/$G$31</f>
        <v>0.89662509711513416</v>
      </c>
      <c r="K32" s="152">
        <f t="shared" si="6"/>
        <v>0.90317299217683189</v>
      </c>
      <c r="L32" s="152">
        <f t="shared" si="6"/>
        <v>0.90975588570582011</v>
      </c>
      <c r="M32" s="152">
        <f t="shared" si="6"/>
        <v>0.91637389651357071</v>
      </c>
      <c r="N32" s="379">
        <f t="shared" si="6"/>
        <v>0.92305950373521928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18.104646099500236</v>
      </c>
      <c r="K39" s="156">
        <f>IF(OR(K$5&lt;4,K$5&gt;8),'Input FD'!K30,'Input FD'!K30*$G$95/100)</f>
        <v>21.139641308925558</v>
      </c>
      <c r="L39" s="156">
        <f>IF(OR(L$5&lt;4,L$5&gt;8),'Input FD'!L30,'Input FD'!L30*$G$95/100)</f>
        <v>21.20739911961795</v>
      </c>
      <c r="M39" s="156">
        <f>IF(OR(M$5&lt;4,M$5&gt;8),'Input FD'!M30,'Input FD'!M30*$G$95/100)</f>
        <v>22.644908235383099</v>
      </c>
      <c r="N39" s="365">
        <f>IF(OR(N$5&lt;4,N$5&gt;8),'Input FD'!N30,'Input FD'!N30*$G$95/100)</f>
        <v>22.451496466092348</v>
      </c>
      <c r="O39" s="157"/>
      <c r="P39" s="158"/>
      <c r="Q39" s="148"/>
      <c r="R39" s="147" t="s">
        <v>242</v>
      </c>
    </row>
    <row r="40" spans="1:23" s="37" customFormat="1">
      <c r="C40" s="131"/>
      <c r="D40" s="153" t="s">
        <v>57</v>
      </c>
      <c r="E40" s="154" t="s">
        <v>61</v>
      </c>
      <c r="F40" s="155"/>
      <c r="G40" s="148"/>
      <c r="H40" s="148"/>
      <c r="I40" s="148"/>
      <c r="J40" s="156">
        <f>IF(OR(J$5&lt;4,J$5&gt;8),'Input FD'!J31,'Input FD'!J31*$G$95/100)</f>
        <v>14.284411850462625</v>
      </c>
      <c r="K40" s="156">
        <f>IF(OR(K$5&lt;4,K$5&gt;8),'Input FD'!K31,'Input FD'!K31*$G$95/100)</f>
        <v>17.943872549657687</v>
      </c>
      <c r="L40" s="156">
        <f>IF(OR(L$5&lt;4,L$5&gt;8),'Input FD'!L31,'Input FD'!L31*$G$95/100)</f>
        <v>15.105611364960932</v>
      </c>
      <c r="M40" s="156">
        <f>IF(OR(M$5&lt;4,M$5&gt;8),'Input FD'!M31,'Input FD'!M31*$G$95/100)</f>
        <v>8.0195790709218038</v>
      </c>
      <c r="N40" s="365">
        <f>IF(OR(N$5&lt;4,N$5&gt;8),'Input FD'!N31,'Input FD'!N31*$G$95/100)</f>
        <v>6.1996464535201588</v>
      </c>
      <c r="O40" s="157"/>
      <c r="P40" s="158"/>
      <c r="Q40" s="148"/>
      <c r="R40" s="147" t="s">
        <v>242</v>
      </c>
    </row>
    <row r="41" spans="1:23" s="37" customFormat="1">
      <c r="C41" s="131"/>
      <c r="D41" s="153" t="s">
        <v>57</v>
      </c>
      <c r="E41" s="154" t="s">
        <v>63</v>
      </c>
      <c r="F41" s="155"/>
      <c r="G41" s="148"/>
      <c r="H41" s="148"/>
      <c r="I41" s="148"/>
      <c r="J41" s="156">
        <f>IF(OR(J$5&lt;4,J$5&gt;8),'Input FD'!J32,'Input FD'!J32*$G$95/100)</f>
        <v>9.4415916978728713</v>
      </c>
      <c r="K41" s="156">
        <f>IF(OR(K$5&lt;4,K$5&gt;8),'Input FD'!K32,'Input FD'!K32*$G$95/100)</f>
        <v>14.405696626042817</v>
      </c>
      <c r="L41" s="156">
        <f>IF(OR(L$5&lt;4,L$5&gt;8),'Input FD'!L32,'Input FD'!L32*$G$95/100)</f>
        <v>7.1428627210451143</v>
      </c>
      <c r="M41" s="156">
        <f>IF(OR(M$5&lt;4,M$5&gt;8),'Input FD'!M32,'Input FD'!M32*$G$95/100)</f>
        <v>7.4416479704606013</v>
      </c>
      <c r="N41" s="365">
        <f>IF(OR(N$5&lt;4,N$5&gt;8),'Input FD'!N32,'Input FD'!N32*$G$95/100)</f>
        <v>2.6765262647527091</v>
      </c>
      <c r="O41" s="157"/>
      <c r="P41" s="158"/>
      <c r="Q41" s="148"/>
      <c r="R41" s="147" t="s">
        <v>242</v>
      </c>
    </row>
    <row r="42" spans="1:23" s="37" customFormat="1">
      <c r="C42" s="131"/>
      <c r="D42" s="153" t="s">
        <v>57</v>
      </c>
      <c r="E42" s="154" t="s">
        <v>62</v>
      </c>
      <c r="F42" s="155"/>
      <c r="G42" s="148"/>
      <c r="H42" s="148"/>
      <c r="I42" s="148"/>
      <c r="J42" s="156">
        <f>IF(OR(J$5&lt;4,J$5&gt;8),'Input FD'!J33,'Input FD'!J33*$G$95/100)</f>
        <v>9.0484155601282605</v>
      </c>
      <c r="K42" s="156">
        <f>IF(OR(K$5&lt;4,K$5&gt;8),'Input FD'!K33,'Input FD'!K33*$G$95/100)</f>
        <v>14.780012494122914</v>
      </c>
      <c r="L42" s="156">
        <f>IF(OR(L$5&lt;4,L$5&gt;8),'Input FD'!L33,'Input FD'!L33*$G$95/100)</f>
        <v>15.133845528855302</v>
      </c>
      <c r="M42" s="156">
        <f>IF(OR(M$5&lt;4,M$5&gt;8),'Input FD'!M33,'Input FD'!M33*$G$95/100)</f>
        <v>10.568997096852057</v>
      </c>
      <c r="N42" s="365">
        <f>IF(OR(N$5&lt;4,N$5&gt;8),'Input FD'!N33,'Input FD'!N33*$G$95/100)</f>
        <v>2.7198242709194802</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56.454693480241133</v>
      </c>
      <c r="K55" s="156">
        <f>SUM('Input FD'!K10:K13)-'Input FD'!K14-'Input FD'!K17+'Input FD'!K15+'Input FD'!K16</f>
        <v>76.550283796408777</v>
      </c>
      <c r="L55" s="156">
        <f>SUM('Input FD'!L10:L13)-'Input FD'!L14-'Input FD'!L17+'Input FD'!L15+'Input FD'!L16</f>
        <v>65.645614419569512</v>
      </c>
      <c r="M55" s="156">
        <f>SUM('Input FD'!M10:M13)-'Input FD'!M14-'Input FD'!M17+'Input FD'!M15+'Input FD'!M16</f>
        <v>57.468357224982313</v>
      </c>
      <c r="N55" s="365">
        <f>SUM('Input FD'!N10:N13)-'Input FD'!N14-'Input FD'!N17+'Input FD'!N15+'Input FD'!N16</f>
        <v>55.322925078798271</v>
      </c>
      <c r="O55" s="157"/>
      <c r="P55" s="158"/>
      <c r="Q55" s="148"/>
      <c r="R55" s="147" t="s">
        <v>242</v>
      </c>
    </row>
    <row r="56" spans="1:18" s="37" customFormat="1">
      <c r="C56" s="131"/>
      <c r="D56" s="153" t="s">
        <v>57</v>
      </c>
      <c r="E56" s="154" t="s">
        <v>114</v>
      </c>
      <c r="F56" s="155"/>
      <c r="G56" s="148"/>
      <c r="H56" s="148"/>
      <c r="I56" s="148"/>
      <c r="J56" s="156">
        <f>SUM('Input FD'!J30:J35)</f>
        <v>47.559461946427923</v>
      </c>
      <c r="K56" s="156">
        <f>SUM('Input FD'!K30:K35)</f>
        <v>63.814999334181799</v>
      </c>
      <c r="L56" s="156">
        <f>SUM('Input FD'!L30:L35)</f>
        <v>54.767034087886884</v>
      </c>
      <c r="M56" s="156">
        <f>SUM('Input FD'!M30:M35)</f>
        <v>45.499324651468832</v>
      </c>
      <c r="N56" s="365">
        <f>SUM('Input FD'!N30:N35)</f>
        <v>31.826065646827246</v>
      </c>
      <c r="O56" s="157"/>
      <c r="P56" s="158"/>
      <c r="Q56" s="148"/>
      <c r="R56" s="147" t="s">
        <v>242</v>
      </c>
    </row>
    <row r="57" spans="1:18" s="37" customFormat="1">
      <c r="C57" s="131"/>
      <c r="D57" s="153" t="s">
        <v>57</v>
      </c>
      <c r="E57" s="154" t="s">
        <v>115</v>
      </c>
      <c r="F57" s="155"/>
      <c r="G57" s="148"/>
      <c r="H57" s="148"/>
      <c r="I57" s="148"/>
      <c r="J57" s="156">
        <f>SUM(J39:J44)</f>
        <v>50.879065207963997</v>
      </c>
      <c r="K57" s="156">
        <f t="shared" ref="K57:N57" si="7">SUM(K39:K44)</f>
        <v>68.269222978748985</v>
      </c>
      <c r="L57" s="156">
        <f t="shared" si="7"/>
        <v>58.589718734479298</v>
      </c>
      <c r="M57" s="156">
        <f t="shared" si="7"/>
        <v>48.675132373617565</v>
      </c>
      <c r="N57" s="365">
        <f t="shared" si="7"/>
        <v>34.047493455284695</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56.454693480241133</v>
      </c>
      <c r="K62" s="156">
        <f t="shared" ref="K62:N63" si="8">K55+K59</f>
        <v>76.550283796408777</v>
      </c>
      <c r="L62" s="156">
        <f t="shared" si="8"/>
        <v>65.645614419569512</v>
      </c>
      <c r="M62" s="156">
        <f t="shared" si="8"/>
        <v>57.468357224982313</v>
      </c>
      <c r="N62" s="365">
        <f t="shared" si="8"/>
        <v>55.322925078798271</v>
      </c>
      <c r="O62" s="157"/>
      <c r="P62" s="158"/>
      <c r="Q62" s="148"/>
      <c r="R62" s="147" t="s">
        <v>242</v>
      </c>
    </row>
    <row r="63" spans="1:18" s="37" customFormat="1">
      <c r="C63" s="131"/>
      <c r="D63" s="153" t="s">
        <v>57</v>
      </c>
      <c r="E63" s="154" t="s">
        <v>182</v>
      </c>
      <c r="F63" s="155"/>
      <c r="G63" s="148"/>
      <c r="H63" s="148"/>
      <c r="I63" s="148"/>
      <c r="J63" s="156">
        <f>J56+J60</f>
        <v>47.559461946427923</v>
      </c>
      <c r="K63" s="156">
        <f t="shared" si="8"/>
        <v>63.814999334181799</v>
      </c>
      <c r="L63" s="156">
        <f t="shared" si="8"/>
        <v>54.767034087886884</v>
      </c>
      <c r="M63" s="156">
        <f t="shared" si="8"/>
        <v>45.499324651468832</v>
      </c>
      <c r="N63" s="365">
        <f t="shared" si="8"/>
        <v>31.826065646827246</v>
      </c>
      <c r="O63" s="157"/>
      <c r="P63" s="158"/>
      <c r="Q63" s="148"/>
      <c r="R63" s="147" t="s">
        <v>242</v>
      </c>
    </row>
    <row r="64" spans="1:18" s="37" customFormat="1">
      <c r="C64" s="131"/>
      <c r="D64" s="153" t="s">
        <v>57</v>
      </c>
      <c r="E64" s="154" t="s">
        <v>250</v>
      </c>
      <c r="F64" s="155"/>
      <c r="G64" s="148"/>
      <c r="H64" s="148"/>
      <c r="I64" s="148"/>
      <c r="J64" s="156">
        <f>J63*$G$107/100</f>
        <v>50.879065207963997</v>
      </c>
      <c r="K64" s="156">
        <f t="shared" ref="K64:N64" si="9">K63*$G$107/100</f>
        <v>68.269222978748971</v>
      </c>
      <c r="L64" s="156">
        <f t="shared" si="9"/>
        <v>58.589718734479305</v>
      </c>
      <c r="M64" s="156">
        <f t="shared" si="9"/>
        <v>48.675132373617565</v>
      </c>
      <c r="N64" s="365">
        <f t="shared" si="9"/>
        <v>34.047493455284695</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50.163144438902997</v>
      </c>
      <c r="K79" s="156">
        <f t="shared" ref="K79:N81" si="13">K62*K$21</f>
        <v>66.46145440261337</v>
      </c>
      <c r="L79" s="156">
        <f t="shared" si="13"/>
        <v>57.108487196254245</v>
      </c>
      <c r="M79" s="156">
        <f t="shared" si="13"/>
        <v>50.099253728230345</v>
      </c>
      <c r="N79" s="365">
        <f t="shared" si="13"/>
        <v>48.478136614465264</v>
      </c>
      <c r="P79" s="136"/>
      <c r="Q79" s="131"/>
      <c r="R79" s="147" t="s">
        <v>242</v>
      </c>
    </row>
    <row r="80" spans="1:18" s="37" customFormat="1">
      <c r="C80" s="131"/>
      <c r="D80" s="153" t="s">
        <v>57</v>
      </c>
      <c r="E80" s="132" t="s">
        <v>317</v>
      </c>
      <c r="F80" s="161"/>
      <c r="G80" s="162"/>
      <c r="H80" s="162"/>
      <c r="I80" s="163"/>
      <c r="J80" s="156">
        <f>J63*J$21</f>
        <v>42.259235007451935</v>
      </c>
      <c r="K80" s="156">
        <f t="shared" si="13"/>
        <v>55.404597581001994</v>
      </c>
      <c r="L80" s="156">
        <f t="shared" si="13"/>
        <v>47.644652162057085</v>
      </c>
      <c r="M80" s="156">
        <f t="shared" si="13"/>
        <v>39.66499688259993</v>
      </c>
      <c r="N80" s="365">
        <f t="shared" si="13"/>
        <v>27.888408939517799</v>
      </c>
      <c r="P80" s="136"/>
      <c r="Q80" s="131"/>
      <c r="R80" s="147" t="s">
        <v>242</v>
      </c>
    </row>
    <row r="81" spans="1:18" s="37" customFormat="1">
      <c r="C81" s="131"/>
      <c r="D81" s="153" t="s">
        <v>57</v>
      </c>
      <c r="E81" s="132" t="s">
        <v>318</v>
      </c>
      <c r="F81" s="161"/>
      <c r="G81" s="162"/>
      <c r="H81" s="162"/>
      <c r="I81" s="163"/>
      <c r="J81" s="156">
        <f>J64*J$21</f>
        <v>45.208887686844648</v>
      </c>
      <c r="K81" s="156">
        <f t="shared" si="13"/>
        <v>59.271783526906113</v>
      </c>
      <c r="L81" s="156">
        <f t="shared" si="13"/>
        <v>50.970201616129394</v>
      </c>
      <c r="M81" s="156">
        <f t="shared" si="13"/>
        <v>42.433574314544288</v>
      </c>
      <c r="N81" s="365">
        <f t="shared" si="13"/>
        <v>29.834992216236898</v>
      </c>
      <c r="P81" s="136"/>
      <c r="Q81" s="131"/>
      <c r="R81" s="147" t="s">
        <v>242</v>
      </c>
    </row>
    <row r="82" spans="1:18" s="37" customFormat="1">
      <c r="C82" s="131"/>
      <c r="D82" s="153" t="s">
        <v>57</v>
      </c>
      <c r="E82" s="132" t="s">
        <v>110</v>
      </c>
      <c r="F82" s="164"/>
      <c r="G82" s="164"/>
      <c r="H82" s="164"/>
      <c r="I82" s="164"/>
      <c r="J82" s="156">
        <f>SUM('Input FD'!J65:J70)*J$15</f>
        <v>18.470459359016843</v>
      </c>
      <c r="K82" s="156">
        <f>SUM('Input FD'!K65:K70)*K$15</f>
        <v>49.496888767950573</v>
      </c>
      <c r="L82" s="156">
        <f>SUM('Input FD'!L65:L70)*L$15</f>
        <v>72.080175028098608</v>
      </c>
      <c r="M82" s="156">
        <f>SUM('Input FD'!M65:M70)*M$15</f>
        <v>59.669038334216282</v>
      </c>
      <c r="N82" s="365">
        <f>SUM('Input FD'!N65:N70)*N$15</f>
        <v>42.807670561226971</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127.91960317192274</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106.97990079298069</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0.16040198414038631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-3.0683505394912558</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127.91960317192274</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106.97990079298069</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0.16040198414038631</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113.93501739465182</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-4.1839650423270474</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-8.9060670899952399</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-1.7254566772867099</v>
      </c>
      <c r="K127" s="156">
        <f>IF('Input FD'!K49&lt;&gt;"",'Input FD'!K49,K56*$G$97/100)</f>
        <v>-1.7254566772867099</v>
      </c>
      <c r="L127" s="156">
        <f>IF('Input FD'!L49&lt;&gt;"",'Input FD'!L49,L56*$G$97/100)</f>
        <v>-1.7254566772867099</v>
      </c>
      <c r="M127" s="156">
        <f>IF('Input FD'!M49&lt;&gt;"",'Input FD'!M49,M56*$G$97/100)</f>
        <v>-1.7254566772867099</v>
      </c>
      <c r="N127" s="365">
        <f>IF('Input FD'!N49&lt;&gt;"",'Input FD'!N49,N56*$G$97/100)</f>
        <v>-1.7254566772867099</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-0.27878370356168958</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48.65148241422736</v>
      </c>
      <c r="K138" s="156">
        <f>(K57+'Input FD'!K83)*K$29</f>
        <v>67.532434985393124</v>
      </c>
      <c r="L138" s="156">
        <f>(L57+'Input FD'!L83)*L$29</f>
        <v>60.072840657288261</v>
      </c>
      <c r="M138" s="156">
        <f>(M57+'Input FD'!M83)*M$29</f>
        <v>51.828709802309639</v>
      </c>
      <c r="N138" s="365">
        <f>(N57+'Input FD'!N83)*N$29</f>
        <v>37.540366210322595</v>
      </c>
      <c r="O138" s="104"/>
      <c r="P138" s="136"/>
      <c r="Q138" s="104"/>
      <c r="R138" s="147" t="s">
        <v>87</v>
      </c>
      <c r="S138" s="147"/>
    </row>
    <row r="139" spans="1:19" s="37" customFormat="1">
      <c r="C139" s="104"/>
      <c r="D139" s="104" t="s">
        <v>57</v>
      </c>
      <c r="E139" s="104" t="s">
        <v>110</v>
      </c>
      <c r="F139" s="104"/>
      <c r="G139" s="104"/>
      <c r="H139" s="104"/>
      <c r="I139" s="104"/>
      <c r="J139" s="156">
        <f>SUM('Input FD'!J65:J70)</f>
        <v>20.053999999999998</v>
      </c>
      <c r="K139" s="156">
        <f>SUM('Input FD'!K65:K70)</f>
        <v>56.319000000000003</v>
      </c>
      <c r="L139" s="156">
        <f>SUM('Input FD'!L65:L70)</f>
        <v>84.548999999999992</v>
      </c>
      <c r="M139" s="156">
        <f>SUM('Input FD'!M65:M70)</f>
        <v>72.010000000000005</v>
      </c>
      <c r="N139" s="365">
        <f>SUM('Input FD'!N65:N70)</f>
        <v>52.989000000000004</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-27.148987424201124</v>
      </c>
      <c r="K140" s="672">
        <f>(K$139*K$15)-(K$138*K$26)</f>
        <v>-12.162029623353469</v>
      </c>
      <c r="L140" s="672">
        <f>(L$139*L$15)-(L$138*L$26)</f>
        <v>18.777833567557522</v>
      </c>
      <c r="M140" s="672">
        <f>(M$139*M$15)-(M$138*M$26)</f>
        <v>15.064417617690516</v>
      </c>
      <c r="N140" s="673">
        <f>(N$139*N$15)-(N$138*N$26)</f>
        <v>11.379808148963754</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0</v>
      </c>
      <c r="K142" s="156">
        <f>(K68+'Input FD'!K91)*K$29</f>
        <v>0</v>
      </c>
      <c r="L142" s="156">
        <f>(L68+'Input FD'!L91)*L$29</f>
        <v>0</v>
      </c>
      <c r="M142" s="156">
        <f>(M68+'Input FD'!M91)*M$29</f>
        <v>0</v>
      </c>
      <c r="N142" s="365">
        <f>(N68+'Input FD'!N91)*N$29</f>
        <v>0</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0</v>
      </c>
      <c r="K143" s="156">
        <f>IF('Input FD'!$O$151=1,0,SUM('Input FD'!K72:K77))</f>
        <v>0</v>
      </c>
      <c r="L143" s="156">
        <f>IF('Input FD'!$O$151=1,0,SUM('Input FD'!L72:L77))</f>
        <v>0</v>
      </c>
      <c r="M143" s="156">
        <f>IF('Input FD'!$O$151=1,0,SUM('Input FD'!M72:M77))</f>
        <v>0</v>
      </c>
      <c r="N143" s="365">
        <f>IF('Input FD'!$O$151=1,0,SUM('Input FD'!N72:N77))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264.22376567687598</v>
      </c>
      <c r="J148" s="156">
        <f>'Input FD'!J$54</f>
        <v>277.99080734748799</v>
      </c>
      <c r="K148" s="156">
        <f>'Input FD'!K$54</f>
        <v>306.874526251193</v>
      </c>
      <c r="L148" s="156">
        <f>'Input FD'!L$54</f>
        <v>326.25828972856698</v>
      </c>
      <c r="M148" s="156">
        <f>'Input FD'!M$54</f>
        <v>336.70611012907</v>
      </c>
      <c r="N148" s="365">
        <f>'Input FD'!N$54</f>
        <v>334.03593667583601</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5.9110422866571994</v>
      </c>
      <c r="Q149" s="161"/>
      <c r="R149" s="147" t="s">
        <v>242</v>
      </c>
    </row>
    <row r="150" spans="1:24" s="37" customFormat="1">
      <c r="A150" s="109"/>
      <c r="B150" s="109"/>
      <c r="C150" s="104"/>
      <c r="D150" s="104" t="s">
        <v>57</v>
      </c>
      <c r="E150" s="177" t="s">
        <v>386</v>
      </c>
      <c r="F150" s="131"/>
      <c r="G150" s="104"/>
      <c r="H150" s="104"/>
      <c r="I150" s="205"/>
      <c r="J150" s="156">
        <f>IF(J5=8,J148+$P$149,J148)</f>
        <v>277.99080734748799</v>
      </c>
      <c r="K150" s="156">
        <f>IF(K5=8,K148+$P$149,K148)</f>
        <v>306.874526251193</v>
      </c>
      <c r="L150" s="156">
        <f>IF(L5=8,L148+$P$149,L148)</f>
        <v>326.25828972856698</v>
      </c>
      <c r="M150" s="156">
        <f>IF(M5=8,M148+$P$149,M148)</f>
        <v>336.70611012907</v>
      </c>
      <c r="N150" s="365">
        <f>IF(N5=8,N148+$P$149,N148)</f>
        <v>339.94697896249323</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45.619446783217967</v>
      </c>
      <c r="L161" s="360">
        <f t="shared" si="16"/>
        <v>107.27836517452201</v>
      </c>
      <c r="M161" s="360">
        <f t="shared" si="16"/>
        <v>160.58070663506311</v>
      </c>
      <c r="N161" s="363">
        <f t="shared" si="16"/>
        <v>205.18532735158888</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45.619446783217967</v>
      </c>
      <c r="K162" s="360">
        <f t="shared" ref="K162:N162" si="17">K161+K138*K$26</f>
        <v>107.27836517452201</v>
      </c>
      <c r="L162" s="360">
        <f t="shared" si="17"/>
        <v>160.58070663506311</v>
      </c>
      <c r="M162" s="360">
        <f t="shared" si="17"/>
        <v>205.18532735158888</v>
      </c>
      <c r="N162" s="363">
        <f t="shared" si="17"/>
        <v>236.61318976385209</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22.809723391608983</v>
      </c>
      <c r="K163" s="360">
        <f t="shared" ref="K163:N163" si="18">(K162+K161)/2</f>
        <v>76.448905978869988</v>
      </c>
      <c r="L163" s="360">
        <f t="shared" si="18"/>
        <v>133.92953590479254</v>
      </c>
      <c r="M163" s="360">
        <f t="shared" si="18"/>
        <v>182.88301699332601</v>
      </c>
      <c r="N163" s="363">
        <f t="shared" si="18"/>
        <v>220.89925855772049</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18.470459359016843</v>
      </c>
      <c r="L171" s="360">
        <f t="shared" si="22"/>
        <v>67.967348126967408</v>
      </c>
      <c r="M171" s="360">
        <f t="shared" si="22"/>
        <v>140.04752315506602</v>
      </c>
      <c r="N171" s="363">
        <f t="shared" si="22"/>
        <v>199.7165614892823</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18.470459359016843</v>
      </c>
      <c r="K172" s="360">
        <f t="shared" ref="K172:N172" si="23">K171+K139*K$15</f>
        <v>67.967348126967408</v>
      </c>
      <c r="L172" s="360">
        <f t="shared" si="23"/>
        <v>140.04752315506602</v>
      </c>
      <c r="M172" s="360">
        <f t="shared" si="23"/>
        <v>199.7165614892823</v>
      </c>
      <c r="N172" s="363">
        <f t="shared" si="23"/>
        <v>242.52423205050928</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9.2352296795084214</v>
      </c>
      <c r="K173" s="360">
        <f t="shared" ref="K173:N173" si="24">(K172+K171)/2</f>
        <v>43.218903742992126</v>
      </c>
      <c r="L173" s="360">
        <f t="shared" si="24"/>
        <v>104.00743564101671</v>
      </c>
      <c r="M173" s="360">
        <f t="shared" si="24"/>
        <v>169.88204232217416</v>
      </c>
      <c r="N173" s="363">
        <f t="shared" si="24"/>
        <v>221.12039676989579</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-27.148987424201124</v>
      </c>
      <c r="K181" s="156">
        <f>(K$139*K$15)-(K$138*K$26)</f>
        <v>-12.162029623353469</v>
      </c>
      <c r="L181" s="156">
        <f>(L$139*L$15)-(L$138*L$26)</f>
        <v>18.777833567557522</v>
      </c>
      <c r="M181" s="156">
        <f>(M$139*M$15)-(M$138*M$26)</f>
        <v>15.064417617690516</v>
      </c>
      <c r="N181" s="365">
        <f>(N$139*N$15)-(N$138*N$26)</f>
        <v>11.379808148963754</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-0.65836294503687731</v>
      </c>
      <c r="K184" s="156">
        <f>(K173-K163)*'Input FD'!$O$59</f>
        <v>-1.6116551084400763</v>
      </c>
      <c r="L184" s="156">
        <f>(L173-L163)*'Input FD'!$O$59</f>
        <v>-1.4512218627931279</v>
      </c>
      <c r="M184" s="156">
        <f>(M173-M163)*'Input FD'!$O$59</f>
        <v>-0.63054727155086487</v>
      </c>
      <c r="N184" s="365">
        <f>(N173-N163)*'Input FD'!$O$59</f>
        <v>1.0725203290502279E-2</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-5.4458342063701988E-2</v>
      </c>
      <c r="K187" s="156">
        <f>$P$130*K63/SUM($J$63:$N$63)</f>
        <v>-7.3071875086610505E-2</v>
      </c>
      <c r="L187" s="156">
        <f>$P$130*L63/SUM($J$63:$N$63)</f>
        <v>-6.2711430157308179E-2</v>
      </c>
      <c r="M187" s="156">
        <f>$P$130*M63/SUM($J$63:$N$63)</f>
        <v>-5.2099365386601496E-2</v>
      </c>
      <c r="N187" s="365">
        <f>$P$130*N63/SUM($J$63:$N$63)</f>
        <v>-3.6442690867467417E-2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-0.71282128710057935</v>
      </c>
      <c r="K190" s="156">
        <f t="shared" ref="K190:N191" si="28">K187+K184</f>
        <v>-1.6847269835266867</v>
      </c>
      <c r="L190" s="156">
        <f t="shared" si="28"/>
        <v>-1.5139332929504361</v>
      </c>
      <c r="M190" s="156">
        <f t="shared" si="28"/>
        <v>-0.68264663693746641</v>
      </c>
      <c r="N190" s="365">
        <f t="shared" si="28"/>
        <v>-2.571748757696514E-2</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-0.86149825050211837</v>
      </c>
      <c r="K193" s="156">
        <f>IF('Input FD'!$O$156=0,(K190/(1+'Input FD'!$O$60)^K$6),(K190/(1+'Input FD'!$O$59)^K$6))</f>
        <v>-1.9419356573746007</v>
      </c>
      <c r="L193" s="156">
        <f>IF('Input FD'!$O$156=0,(L190/(1+'Input FD'!$O$60)^L$6),(L190/(1+'Input FD'!$O$59)^L$6))</f>
        <v>-1.6643459719549709</v>
      </c>
      <c r="M193" s="156">
        <f>IF('Input FD'!$O$156=0,(M190/(1+'Input FD'!$O$60)^M$6),(M190/(1+'Input FD'!$O$59)^M$6))</f>
        <v>-0.71575499882893356</v>
      </c>
      <c r="N193" s="664">
        <f>IF('Input FD'!$O$156=0,(N190/(1+'Input FD'!$O$60)^N$6),(N190/(1+'Input FD'!$O$59)^N$6))</f>
        <v>-2.571748757696514E-2</v>
      </c>
      <c r="O193" s="109"/>
      <c r="P193" s="622">
        <f>SUM(J193:N193)</f>
        <v>-5.2092523662375889</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-1.0105249543762798</v>
      </c>
      <c r="K196" s="156">
        <f t="shared" ref="K196:N197" si="29">K193*$L$13/$G$13</f>
        <v>-2.2778623641155189</v>
      </c>
      <c r="L196" s="156">
        <f t="shared" si="29"/>
        <v>-1.9522536887287691</v>
      </c>
      <c r="M196" s="156">
        <f t="shared" si="29"/>
        <v>-0.8395702337348202</v>
      </c>
      <c r="N196" s="365">
        <f t="shared" si="29"/>
        <v>-3.0166239972325204E-2</v>
      </c>
      <c r="O196" s="109"/>
      <c r="P196" s="622">
        <f>P193*$L$13/$G$13</f>
        <v>-6.1103774809277143</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6.9335668802102104</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-10.446687540623619</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-10.119678299271905</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-0.32700924135171405</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-5.0920027536973418</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-5.4190119950490558</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-6.1103774809277143</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-6.1103774809277143</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-6.1103774809277143</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-6.1103774809277143</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-6.1103774809277143</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-6.1103774809277143</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-1.3100095553113575</v>
      </c>
      <c r="S47" s="616">
        <f t="shared" si="8"/>
        <v>-1.3100095553113575</v>
      </c>
      <c r="T47" s="616">
        <f t="shared" si="8"/>
        <v>-1.3100095553113575</v>
      </c>
      <c r="U47" s="616">
        <f t="shared" si="8"/>
        <v>-1.3100095553113575</v>
      </c>
      <c r="V47" s="623">
        <f t="shared" si="8"/>
        <v>-1.3100095553113575</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-1.3100095553113575</v>
      </c>
      <c r="S52" s="616">
        <f t="shared" ref="S52:V52" si="9">S47*S51</f>
        <v>-1.2644879877522757</v>
      </c>
      <c r="T52" s="616">
        <f t="shared" si="9"/>
        <v>-1.2205482507261347</v>
      </c>
      <c r="U52" s="616">
        <f t="shared" si="9"/>
        <v>-1.1781353771487786</v>
      </c>
      <c r="V52" s="621">
        <f t="shared" si="9"/>
        <v>-1.1371963099891687</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-6.110377480927716</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-6.1103774809277143</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4">IF(S$62+1&lt;=$P$61,$P59/$P$61,0)</f>
        <v>0</v>
      </c>
      <c r="T64" s="616">
        <f t="shared" si="14"/>
        <v>0</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V69" si="16">S64*S68</f>
        <v>0</v>
      </c>
      <c r="T69" s="616">
        <f t="shared" si="16"/>
        <v>0</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-6.1103774809277143</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3" si="20">IF(S$62+1&lt;=$P$78,$P76/$P$78,0) * (1+$P$79)^S$80</f>
        <v>0</v>
      </c>
      <c r="T82" s="616">
        <f t="shared" si="20"/>
        <v>0</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V87" si="21">S82*S86</f>
        <v>0</v>
      </c>
      <c r="T87" s="616">
        <f t="shared" si="21"/>
        <v>0</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-1.0105249543762798</v>
      </c>
      <c r="S94" s="616">
        <f>'Calc2 FD'!K196</f>
        <v>-2.2778623641155189</v>
      </c>
      <c r="T94" s="616">
        <f>'Calc2 FD'!L196</f>
        <v>-1.9522536887287691</v>
      </c>
      <c r="U94" s="616">
        <f>'Calc2 FD'!M196</f>
        <v>-0.8395702337348202</v>
      </c>
      <c r="V94" s="623">
        <f>'Calc2 FD'!N196</f>
        <v>-3.0166239972325204E-2</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0</v>
      </c>
      <c r="S95" s="616">
        <f>'Calc2 FD'!K197</f>
        <v>0</v>
      </c>
      <c r="T95" s="616">
        <f>'Calc2 FD'!L197</f>
        <v>0</v>
      </c>
      <c r="U95" s="616">
        <f>'Calc2 FD'!M197</f>
        <v>0</v>
      </c>
      <c r="V95" s="623">
        <f>'Calc2 FD'!N197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-1.0105249543762798</v>
      </c>
      <c r="S99" s="616">
        <f t="shared" ref="S99:V99" si="23">S94*S98</f>
        <v>-2.1987088456713502</v>
      </c>
      <c r="T99" s="616">
        <f t="shared" si="23"/>
        <v>-1.8189331635716233</v>
      </c>
      <c r="U99" s="616">
        <f t="shared" si="23"/>
        <v>-0.75505357190235844</v>
      </c>
      <c r="V99" s="621">
        <f t="shared" si="23"/>
        <v>-2.6186783633515197E-2</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-5.8094073191551274</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-1.0105249543762798</v>
      </c>
      <c r="S106" s="616">
        <f>'Calc2 FD'!K196</f>
        <v>-2.2778623641155189</v>
      </c>
      <c r="T106" s="616">
        <f>'Calc2 FD'!L196</f>
        <v>-1.9522536887287691</v>
      </c>
      <c r="U106" s="616">
        <f>'Calc2 FD'!M196</f>
        <v>-0.8395702337348202</v>
      </c>
      <c r="V106" s="623">
        <f>'Calc2 FD'!N196</f>
        <v>-3.0166239972325204E-2</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0</v>
      </c>
      <c r="S107" s="616">
        <f>'Calc2 FD'!K197</f>
        <v>0</v>
      </c>
      <c r="T107" s="616">
        <f>'Calc2 FD'!L197</f>
        <v>0</v>
      </c>
      <c r="U107" s="616">
        <f>'Calc2 FD'!M197</f>
        <v>0</v>
      </c>
      <c r="V107" s="623">
        <f>'Calc2 FD'!N197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-1.0105249543762798</v>
      </c>
      <c r="S111" s="616">
        <f t="shared" ref="S111:V111" si="25">S106*S110</f>
        <v>-2.1987088456713502</v>
      </c>
      <c r="T111" s="616">
        <f t="shared" si="25"/>
        <v>-1.8189331635716233</v>
      </c>
      <c r="U111" s="616">
        <f t="shared" si="25"/>
        <v>-0.75505357190235844</v>
      </c>
      <c r="V111" s="621">
        <f t="shared" si="25"/>
        <v>-2.6186783633515197E-2</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-5.8094073191551274</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-5.8094073191551274</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-6.1103774809277143</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1.0518073781434141</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-1.0628776028110078</v>
      </c>
      <c r="S123" s="616">
        <f t="shared" si="27"/>
        <v>-2.3958724409719028</v>
      </c>
      <c r="T123" s="616">
        <f t="shared" si="27"/>
        <v>-2.0533948338126153</v>
      </c>
      <c r="U123" s="616">
        <f t="shared" si="27"/>
        <v>-0.88306616631187462</v>
      </c>
      <c r="V123" s="621">
        <f t="shared" si="27"/>
        <v>-3.1729073773736426E-2</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-1.0628776028110078</v>
      </c>
      <c r="S128" s="616">
        <f t="shared" ref="S128:V128" si="28">S123*S127</f>
        <v>-2.3126181862663153</v>
      </c>
      <c r="T128" s="616">
        <f t="shared" si="28"/>
        <v>-1.9131673217943748</v>
      </c>
      <c r="U128" s="616">
        <f t="shared" si="28"/>
        <v>-0.79417091782043947</v>
      </c>
      <c r="V128" s="621">
        <f t="shared" si="28"/>
        <v>-2.7543452235576485E-2</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-6.1103774809277143</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-6.1103774809277143</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-1.3100095553113575</v>
      </c>
      <c r="S138" s="616">
        <f>S47</f>
        <v>-1.3100095553113575</v>
      </c>
      <c r="T138" s="616">
        <f>T47</f>
        <v>-1.3100095553113575</v>
      </c>
      <c r="U138" s="616">
        <f>U47</f>
        <v>-1.3100095553113575</v>
      </c>
      <c r="V138" s="621">
        <f>V47</f>
        <v>-1.3100095553113575</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-1.0105249543762798</v>
      </c>
      <c r="S141" s="616">
        <f>S94</f>
        <v>-2.2778623641155189</v>
      </c>
      <c r="T141" s="616">
        <f>T94</f>
        <v>-1.9522536887287691</v>
      </c>
      <c r="U141" s="616">
        <f>U94</f>
        <v>-0.8395702337348202</v>
      </c>
      <c r="V141" s="621">
        <f>V94</f>
        <v>-3.0166239972325204E-2</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-1.0628776028110078</v>
      </c>
      <c r="S142" s="616">
        <f t="shared" si="31"/>
        <v>-2.3958724409719028</v>
      </c>
      <c r="T142" s="616">
        <f t="shared" si="31"/>
        <v>-2.0533948338126153</v>
      </c>
      <c r="U142" s="616">
        <f t="shared" si="31"/>
        <v>-0.88306616631187462</v>
      </c>
      <c r="V142" s="621">
        <f t="shared" si="31"/>
        <v>-3.1729073773736426E-2</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-1.3100095553113575</v>
      </c>
      <c r="S143" s="630">
        <f t="shared" ref="S143:V143" si="32">CHOOSE($P$135+1,S137,S138,S139,S140,S141,S142)</f>
        <v>-1.3100095553113575</v>
      </c>
      <c r="T143" s="630">
        <f t="shared" si="32"/>
        <v>-1.3100095553113575</v>
      </c>
      <c r="U143" s="630">
        <f t="shared" si="32"/>
        <v>-1.3100095553113575</v>
      </c>
      <c r="V143" s="631">
        <f t="shared" si="32"/>
        <v>-1.3100095553113575</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-1.3100095553113575</v>
      </c>
      <c r="S156" s="627">
        <f t="shared" ref="S156:V156" si="36">S143</f>
        <v>-1.3100095553113575</v>
      </c>
      <c r="T156" s="627">
        <f t="shared" si="36"/>
        <v>-1.3100095553113575</v>
      </c>
      <c r="U156" s="627">
        <f t="shared" si="36"/>
        <v>-1.3100095553113575</v>
      </c>
      <c r="V156" s="628">
        <f t="shared" si="36"/>
        <v>-1.3100095553113575</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BRL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21.591000000000001</v>
      </c>
      <c r="K16" s="121">
        <f>'Input FD'!K10</f>
        <v>25.234000000000002</v>
      </c>
      <c r="L16" s="121">
        <f>'Input FD'!L10</f>
        <v>25.286999999999999</v>
      </c>
      <c r="M16" s="121">
        <f>'Input FD'!M10</f>
        <v>27.077000000000002</v>
      </c>
      <c r="N16" s="121">
        <f>'Input FD'!N10</f>
        <v>26.503</v>
      </c>
      <c r="O16" s="113"/>
      <c r="P16" s="113"/>
      <c r="Q16" s="113"/>
      <c r="R16" s="113"/>
      <c r="S16" s="113"/>
      <c r="T16" s="115"/>
      <c r="U16" s="122">
        <f t="shared" ref="U16:U34" si="0">SUM(J16:N16)</f>
        <v>125.69199999999999</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14.125999999999999</v>
      </c>
      <c r="K17" s="121">
        <f>'Input FD'!K11</f>
        <v>17.931000000000001</v>
      </c>
      <c r="L17" s="121">
        <f>'Input FD'!L11</f>
        <v>15.067</v>
      </c>
      <c r="M17" s="121">
        <f>'Input FD'!M11</f>
        <v>7.7969999999999997</v>
      </c>
      <c r="N17" s="121">
        <f>'Input FD'!N11</f>
        <v>5.9359999999999999</v>
      </c>
      <c r="O17" s="113"/>
      <c r="P17" s="113"/>
      <c r="Q17" s="113"/>
      <c r="R17" s="113"/>
      <c r="S17" s="113"/>
      <c r="T17" s="115"/>
      <c r="U17" s="122">
        <f t="shared" si="0"/>
        <v>60.856999999999999</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10.823</v>
      </c>
      <c r="K18" s="121">
        <f>'Input FD'!K12</f>
        <v>17.779</v>
      </c>
      <c r="L18" s="121">
        <f>'Input FD'!L12</f>
        <v>11.446999999999999</v>
      </c>
      <c r="M18" s="121">
        <f>'Input FD'!M12</f>
        <v>14.250999999999999</v>
      </c>
      <c r="N18" s="121">
        <f>'Input FD'!N12</f>
        <v>22.138999999999999</v>
      </c>
      <c r="O18" s="113"/>
      <c r="P18" s="113"/>
      <c r="Q18" s="113"/>
      <c r="R18" s="113"/>
      <c r="S18" s="113"/>
      <c r="T18" s="115"/>
      <c r="U18" s="122">
        <f t="shared" si="0"/>
        <v>76.438999999999993</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10.878</v>
      </c>
      <c r="K19" s="121">
        <f>'Input FD'!K13</f>
        <v>16.831</v>
      </c>
      <c r="L19" s="121">
        <f>'Input FD'!L13</f>
        <v>18.053000000000001</v>
      </c>
      <c r="M19" s="121">
        <f>'Input FD'!M13</f>
        <v>12.182</v>
      </c>
      <c r="N19" s="121">
        <f>'Input FD'!N13</f>
        <v>5.9379999999999997</v>
      </c>
      <c r="O19" s="113"/>
      <c r="P19" s="113"/>
      <c r="Q19" s="113"/>
      <c r="R19" s="113"/>
      <c r="S19" s="113"/>
      <c r="T19" s="115"/>
      <c r="U19" s="122">
        <f t="shared" si="0"/>
        <v>63.882000000000005</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-2.1970000000000001</v>
      </c>
      <c r="K20" s="121">
        <f>-'Input FD'!K14</f>
        <v>-3.2570000000000001</v>
      </c>
      <c r="L20" s="121">
        <f>-'Input FD'!L14</f>
        <v>-2.198</v>
      </c>
      <c r="M20" s="121">
        <f>-'Input FD'!M14</f>
        <v>-1.8380000000000001</v>
      </c>
      <c r="N20" s="121">
        <f>-'Input FD'!N14</f>
        <v>-2.758</v>
      </c>
      <c r="O20" s="113"/>
      <c r="P20" s="113"/>
      <c r="Q20" s="113"/>
      <c r="R20" s="113"/>
      <c r="S20" s="113"/>
      <c r="T20" s="115"/>
      <c r="U20" s="122">
        <f t="shared" si="0"/>
        <v>-12.248000000000001</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1.2336934802411399</v>
      </c>
      <c r="K21" s="121">
        <f>-'Input FD'!K17</f>
        <v>2.0322837964087701</v>
      </c>
      <c r="L21" s="121">
        <f>-'Input FD'!L17</f>
        <v>-2.0103855804304902</v>
      </c>
      <c r="M21" s="121">
        <f>-'Input FD'!M17</f>
        <v>-2.0006427750176901</v>
      </c>
      <c r="N21" s="121">
        <f>-'Input FD'!N17</f>
        <v>-2.4350749212017302</v>
      </c>
      <c r="O21" s="113"/>
      <c r="P21" s="113"/>
      <c r="Q21" s="113"/>
      <c r="R21" s="113"/>
      <c r="S21" s="113"/>
      <c r="T21" s="115"/>
      <c r="U21" s="122">
        <f t="shared" ref="U21:U23" si="1">SUM(J21:N21)</f>
        <v>-3.1801260000000005</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56.454693480241133</v>
      </c>
      <c r="K24" s="121">
        <f>'Calc2 FD'!K55</f>
        <v>76.550283796408777</v>
      </c>
      <c r="L24" s="121">
        <f>'Calc2 FD'!L55</f>
        <v>65.645614419569512</v>
      </c>
      <c r="M24" s="121">
        <f>'Calc2 FD'!M55</f>
        <v>57.468357224982313</v>
      </c>
      <c r="N24" s="121">
        <f>'Calc2 FD'!N55</f>
        <v>55.322925078798271</v>
      </c>
      <c r="O24" s="113"/>
      <c r="P24" s="113"/>
      <c r="Q24" s="113"/>
      <c r="R24" s="113"/>
      <c r="S24" s="113"/>
      <c r="T24" s="115"/>
      <c r="U24" s="122">
        <f t="shared" si="0"/>
        <v>311.44187400000004</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2"/>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2"/>
        <v>0</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0</v>
      </c>
      <c r="K34" s="121">
        <f>'Calc2 FD'!K66</f>
        <v>0</v>
      </c>
      <c r="L34" s="121">
        <f>'Calc2 FD'!L66</f>
        <v>0</v>
      </c>
      <c r="M34" s="121">
        <f>'Calc2 FD'!M66</f>
        <v>0</v>
      </c>
      <c r="N34" s="121">
        <f>'Calc2 FD'!N66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16.923408944391301</v>
      </c>
      <c r="K37" s="121">
        <f>'Input FD'!K30</f>
        <v>19.760385971784899</v>
      </c>
      <c r="L37" s="121">
        <f>'Input FD'!L30</f>
        <v>19.823722925913799</v>
      </c>
      <c r="M37" s="121">
        <f>'Input FD'!M30</f>
        <v>21.167441797505301</v>
      </c>
      <c r="N37" s="121">
        <f>'Input FD'!N30</f>
        <v>20.986649173977799</v>
      </c>
      <c r="O37" s="113"/>
      <c r="P37" s="113"/>
      <c r="Q37" s="113"/>
      <c r="R37" s="113"/>
      <c r="S37" s="113"/>
      <c r="T37" s="115"/>
      <c r="U37" s="122">
        <f t="shared" ref="U37:U51" si="3">SUM(J37:N37)</f>
        <v>98.661608813573096</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13.352425777721299</v>
      </c>
      <c r="K38" s="121">
        <f>'Input FD'!K31</f>
        <v>16.7731250605488</v>
      </c>
      <c r="L38" s="121">
        <f>'Input FD'!L31</f>
        <v>14.120046151652501</v>
      </c>
      <c r="M38" s="121">
        <f>'Input FD'!M31</f>
        <v>7.4963418469051302</v>
      </c>
      <c r="N38" s="121">
        <f>'Input FD'!N31</f>
        <v>5.7951506849097196</v>
      </c>
      <c r="O38" s="113"/>
      <c r="P38" s="113"/>
      <c r="Q38" s="113"/>
      <c r="R38" s="113"/>
      <c r="S38" s="113"/>
      <c r="T38" s="115"/>
      <c r="U38" s="122">
        <f t="shared" si="3"/>
        <v>57.537089521737457</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8.8255752976846704</v>
      </c>
      <c r="K39" s="121">
        <f>'Input FD'!K32</f>
        <v>13.465797331332</v>
      </c>
      <c r="L39" s="121">
        <f>'Input FD'!L32</f>
        <v>6.6768268320489801</v>
      </c>
      <c r="M39" s="121">
        <f>'Input FD'!M32</f>
        <v>6.9561178457821802</v>
      </c>
      <c r="N39" s="121">
        <f>'Input FD'!N32</f>
        <v>2.5018963795191</v>
      </c>
      <c r="O39" s="113"/>
      <c r="P39" s="113"/>
      <c r="Q39" s="113"/>
      <c r="R39" s="113"/>
      <c r="S39" s="113"/>
      <c r="T39" s="115"/>
      <c r="U39" s="122">
        <f t="shared" si="3"/>
        <v>38.426213686366935</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8.4580519266306506</v>
      </c>
      <c r="K40" s="121">
        <f>'Input FD'!K33</f>
        <v>13.8156909705161</v>
      </c>
      <c r="L40" s="121">
        <f>'Input FD'!L33</f>
        <v>14.1464381782716</v>
      </c>
      <c r="M40" s="121">
        <f>'Input FD'!M33</f>
        <v>9.87942316127622</v>
      </c>
      <c r="N40" s="121">
        <f>'Input FD'!N33</f>
        <v>2.5423694084206301</v>
      </c>
      <c r="O40" s="113"/>
      <c r="P40" s="113"/>
      <c r="Q40" s="113"/>
      <c r="R40" s="113"/>
      <c r="S40" s="113"/>
      <c r="T40" s="115"/>
      <c r="U40" s="122">
        <f t="shared" si="3"/>
        <v>48.841973645115203</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47.559461946427923</v>
      </c>
      <c r="K43" s="121">
        <f>'Calc2 FD'!K56</f>
        <v>63.814999334181799</v>
      </c>
      <c r="L43" s="121">
        <f>'Calc2 FD'!L56</f>
        <v>54.767034087886884</v>
      </c>
      <c r="M43" s="121">
        <f>'Calc2 FD'!M56</f>
        <v>45.499324651468832</v>
      </c>
      <c r="N43" s="121">
        <f>'Calc2 FD'!N56</f>
        <v>31.826065646827246</v>
      </c>
      <c r="O43" s="113"/>
      <c r="P43" s="113"/>
      <c r="Q43" s="113"/>
      <c r="R43" s="113"/>
      <c r="S43" s="113"/>
      <c r="T43" s="115"/>
      <c r="U43" s="122">
        <f t="shared" si="3"/>
        <v>243.46688566679268</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3"/>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3"/>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3"/>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3"/>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si="3"/>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3"/>
        <v>0</v>
      </c>
    </row>
    <row r="51" spans="1:27" s="117" customFormat="1" ht="17.399999999999999">
      <c r="A51" s="110"/>
      <c r="B51" s="119" t="s">
        <v>217</v>
      </c>
      <c r="C51" s="118"/>
      <c r="D51" s="113"/>
      <c r="E51" s="113" t="str">
        <f>'Calc2 FD'!E67</f>
        <v>Sewerage: Baseline capex (gross of adjustments)</v>
      </c>
      <c r="F51" s="113"/>
      <c r="G51" s="120"/>
      <c r="H51" s="120"/>
      <c r="I51" s="120"/>
      <c r="J51" s="121">
        <f>'Calc2 FD'!J67</f>
        <v>0</v>
      </c>
      <c r="K51" s="121">
        <f>'Calc2 FD'!K67</f>
        <v>0</v>
      </c>
      <c r="L51" s="121">
        <f>'Calc2 FD'!L67</f>
        <v>0</v>
      </c>
      <c r="M51" s="121">
        <f>'Calc2 FD'!M67</f>
        <v>0</v>
      </c>
      <c r="N51" s="121">
        <f>'Calc2 FD'!N67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18.104646099500236</v>
      </c>
      <c r="K54" s="121">
        <f>'Calc2 FD'!K39</f>
        <v>21.139641308925558</v>
      </c>
      <c r="L54" s="121">
        <f>'Calc2 FD'!L39</f>
        <v>21.20739911961795</v>
      </c>
      <c r="M54" s="121">
        <f>'Calc2 FD'!M39</f>
        <v>22.644908235383099</v>
      </c>
      <c r="N54" s="121">
        <f>'Calc2 FD'!N39</f>
        <v>22.451496466092348</v>
      </c>
      <c r="O54" s="113"/>
      <c r="P54" s="113"/>
      <c r="Q54" s="113"/>
      <c r="R54" s="113"/>
      <c r="S54" s="113"/>
      <c r="T54" s="115"/>
      <c r="U54" s="122">
        <f>SUM(J54:N54)</f>
        <v>105.54809122951919</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14.284411850462625</v>
      </c>
      <c r="K55" s="121">
        <f>'Calc2 FD'!K40</f>
        <v>17.943872549657687</v>
      </c>
      <c r="L55" s="121">
        <f>'Calc2 FD'!L40</f>
        <v>15.105611364960932</v>
      </c>
      <c r="M55" s="121">
        <f>'Calc2 FD'!M40</f>
        <v>8.0195790709218038</v>
      </c>
      <c r="N55" s="121">
        <f>'Calc2 FD'!N40</f>
        <v>6.1996464535201588</v>
      </c>
      <c r="O55" s="113"/>
      <c r="P55" s="113"/>
      <c r="Q55" s="113"/>
      <c r="R55" s="113"/>
      <c r="S55" s="113"/>
      <c r="T55" s="115"/>
      <c r="U55" s="122">
        <f>SUM(J55:N55)</f>
        <v>61.553121289523219</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9.4415916978728713</v>
      </c>
      <c r="K56" s="121">
        <f>'Calc2 FD'!K41</f>
        <v>14.405696626042817</v>
      </c>
      <c r="L56" s="121">
        <f>'Calc2 FD'!L41</f>
        <v>7.1428627210451143</v>
      </c>
      <c r="M56" s="121">
        <f>'Calc2 FD'!M41</f>
        <v>7.4416479704606013</v>
      </c>
      <c r="N56" s="121">
        <f>'Calc2 FD'!N41</f>
        <v>2.6765262647527091</v>
      </c>
      <c r="O56" s="113"/>
      <c r="P56" s="113"/>
      <c r="Q56" s="113"/>
      <c r="R56" s="113"/>
      <c r="S56" s="113"/>
      <c r="T56" s="115"/>
      <c r="U56" s="122">
        <f>SUM(J56:N56)</f>
        <v>41.108325280174114</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9.0484155601282605</v>
      </c>
      <c r="K57" s="121">
        <f>'Calc2 FD'!K42</f>
        <v>14.780012494122914</v>
      </c>
      <c r="L57" s="121">
        <f>'Calc2 FD'!L42</f>
        <v>15.133845528855302</v>
      </c>
      <c r="M57" s="121">
        <f>'Calc2 FD'!M42</f>
        <v>10.568997096852057</v>
      </c>
      <c r="N57" s="121">
        <f>'Calc2 FD'!N42</f>
        <v>2.7198242709194802</v>
      </c>
      <c r="O57" s="113"/>
      <c r="P57" s="113"/>
      <c r="Q57" s="113"/>
      <c r="R57" s="113"/>
      <c r="S57" s="113"/>
      <c r="T57" s="115"/>
      <c r="U57" s="122">
        <f>SUM(J57:N57)</f>
        <v>52.25109495087802</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50.879065207963997</v>
      </c>
      <c r="K60" s="121">
        <f>'Calc2 FD'!K57</f>
        <v>68.269222978748985</v>
      </c>
      <c r="L60" s="121">
        <f>'Calc2 FD'!L57</f>
        <v>58.589718734479298</v>
      </c>
      <c r="M60" s="121">
        <f>'Calc2 FD'!M57</f>
        <v>48.675132373617565</v>
      </c>
      <c r="N60" s="121">
        <f>'Calc2 FD'!N57</f>
        <v>34.047493455284695</v>
      </c>
      <c r="O60" s="113"/>
      <c r="P60" s="113"/>
      <c r="Q60" s="113"/>
      <c r="R60" s="113"/>
      <c r="S60" s="113"/>
      <c r="T60" s="115"/>
      <c r="U60" s="122">
        <f>SUM(J60:N60)</f>
        <v>260.46063275009453</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0</v>
      </c>
      <c r="K62" s="121">
        <f>'Calc2 FD'!K46</f>
        <v>0</v>
      </c>
      <c r="L62" s="121">
        <f>'Calc2 FD'!L46</f>
        <v>0</v>
      </c>
      <c r="M62" s="121">
        <f>'Calc2 FD'!M46</f>
        <v>0</v>
      </c>
      <c r="N62" s="121">
        <f>'Calc2 FD'!N46</f>
        <v>0</v>
      </c>
      <c r="O62" s="113"/>
      <c r="P62" s="113"/>
      <c r="Q62" s="113"/>
      <c r="R62" s="113"/>
      <c r="S62" s="113"/>
      <c r="T62" s="115"/>
      <c r="U62" s="122">
        <f>SUM(J62:N62)</f>
        <v>0</v>
      </c>
    </row>
    <row r="63" spans="1:27" s="117" customFormat="1" ht="17.399999999999999">
      <c r="A63" s="110"/>
      <c r="B63" s="119" t="s">
        <v>159</v>
      </c>
      <c r="C63" s="119"/>
      <c r="D63" s="113"/>
      <c r="E63" s="113" t="str">
        <f>'Calc2 FD'!E47</f>
        <v>Sewerage: MNI</v>
      </c>
      <c r="F63" s="113"/>
      <c r="G63" s="120"/>
      <c r="H63" s="120"/>
      <c r="I63" s="120"/>
      <c r="J63" s="121">
        <f>'Calc2 FD'!J47</f>
        <v>0</v>
      </c>
      <c r="K63" s="121">
        <f>'Calc2 FD'!K47</f>
        <v>0</v>
      </c>
      <c r="L63" s="121">
        <f>'Calc2 FD'!L47</f>
        <v>0</v>
      </c>
      <c r="M63" s="121">
        <f>'Calc2 FD'!M47</f>
        <v>0</v>
      </c>
      <c r="N63" s="121">
        <f>'Calc2 FD'!N47</f>
        <v>0</v>
      </c>
      <c r="O63" s="113"/>
      <c r="P63" s="113"/>
      <c r="Q63" s="113"/>
      <c r="R63" s="113"/>
      <c r="S63" s="113"/>
      <c r="T63" s="115"/>
      <c r="U63" s="122">
        <f>SUM(J63:N63)</f>
        <v>0</v>
      </c>
    </row>
    <row r="64" spans="1:27" s="117" customFormat="1" ht="17.399999999999999">
      <c r="A64" s="110"/>
      <c r="B64" s="119" t="s">
        <v>160</v>
      </c>
      <c r="C64" s="119"/>
      <c r="D64" s="113"/>
      <c r="E64" s="113" t="str">
        <f>'Calc2 FD'!E48</f>
        <v>Sewerage: Infrastructure enhancements</v>
      </c>
      <c r="F64" s="113"/>
      <c r="G64" s="120"/>
      <c r="H64" s="120"/>
      <c r="I64" s="120"/>
      <c r="J64" s="121">
        <f>'Calc2 FD'!J48</f>
        <v>0</v>
      </c>
      <c r="K64" s="121">
        <f>'Calc2 FD'!K48</f>
        <v>0</v>
      </c>
      <c r="L64" s="121">
        <f>'Calc2 FD'!L48</f>
        <v>0</v>
      </c>
      <c r="M64" s="121">
        <f>'Calc2 FD'!M48</f>
        <v>0</v>
      </c>
      <c r="N64" s="121">
        <f>'Calc2 FD'!N48</f>
        <v>0</v>
      </c>
      <c r="O64" s="113"/>
      <c r="P64" s="113"/>
      <c r="Q64" s="113"/>
      <c r="R64" s="113"/>
      <c r="S64" s="113"/>
      <c r="T64" s="115"/>
      <c r="U64" s="122">
        <f>SUM(J64:N64)</f>
        <v>0</v>
      </c>
    </row>
    <row r="65" spans="1:21" s="117" customFormat="1" ht="17.399999999999999">
      <c r="A65" s="110"/>
      <c r="B65" s="119" t="s">
        <v>238</v>
      </c>
      <c r="C65" s="119"/>
      <c r="D65" s="113"/>
      <c r="E65" s="113" t="str">
        <f>'Calc2 FD'!E49</f>
        <v>Sewerage: Non-infrastructure enhancements</v>
      </c>
      <c r="F65" s="113"/>
      <c r="G65" s="120"/>
      <c r="H65" s="120"/>
      <c r="I65" s="120"/>
      <c r="J65" s="121">
        <f>'Calc2 FD'!J49</f>
        <v>0</v>
      </c>
      <c r="K65" s="121">
        <f>'Calc2 FD'!K49</f>
        <v>0</v>
      </c>
      <c r="L65" s="121">
        <f>'Calc2 FD'!L49</f>
        <v>0</v>
      </c>
      <c r="M65" s="121">
        <f>'Calc2 FD'!M49</f>
        <v>0</v>
      </c>
      <c r="N65" s="121">
        <f>'Calc2 FD'!N49</f>
        <v>0</v>
      </c>
      <c r="O65" s="113"/>
      <c r="P65" s="113"/>
      <c r="Q65" s="113"/>
      <c r="R65" s="113"/>
      <c r="S65" s="113"/>
      <c r="T65" s="115"/>
      <c r="U65" s="122">
        <f>SUM(J65:N65)</f>
        <v>0</v>
      </c>
    </row>
    <row r="66" spans="1:21" s="117" customFormat="1" ht="17.399999999999999">
      <c r="A66" s="110"/>
      <c r="B66" s="119" t="s">
        <v>239</v>
      </c>
      <c r="C66" s="119"/>
      <c r="D66" s="113"/>
      <c r="E66" s="113" t="str">
        <f>'Calc2 FD'!E50</f>
        <v>Sewerage: Large projects infrastructure</v>
      </c>
      <c r="F66" s="113"/>
      <c r="G66" s="120"/>
      <c r="H66" s="120"/>
      <c r="I66" s="120"/>
      <c r="J66" s="121">
        <f>'Calc2 FD'!J50</f>
        <v>0</v>
      </c>
      <c r="K66" s="121">
        <f>'Calc2 FD'!K50</f>
        <v>0</v>
      </c>
      <c r="L66" s="121">
        <f>'Calc2 FD'!L50</f>
        <v>0</v>
      </c>
      <c r="M66" s="121">
        <f>'Calc2 FD'!M50</f>
        <v>0</v>
      </c>
      <c r="N66" s="121">
        <f>'Calc2 FD'!N50</f>
        <v>0</v>
      </c>
      <c r="O66" s="113"/>
      <c r="P66" s="113"/>
      <c r="Q66" s="113"/>
      <c r="R66" s="113"/>
      <c r="S66" s="113"/>
      <c r="T66" s="115"/>
      <c r="U66" s="122">
        <f t="shared" ref="U66:U67" si="5">SUM(J66:N66)</f>
        <v>0</v>
      </c>
    </row>
    <row r="67" spans="1:21" s="117" customFormat="1" ht="17.399999999999999">
      <c r="A67" s="110"/>
      <c r="B67" s="119" t="s">
        <v>240</v>
      </c>
      <c r="C67" s="119"/>
      <c r="D67" s="113"/>
      <c r="E67" s="113" t="str">
        <f>'Calc2 FD'!E51</f>
        <v>Sewerage: Large projects non-infrastructure</v>
      </c>
      <c r="F67" s="113"/>
      <c r="G67" s="120"/>
      <c r="H67" s="120"/>
      <c r="I67" s="120"/>
      <c r="J67" s="121">
        <f>'Calc2 FD'!J51</f>
        <v>0</v>
      </c>
      <c r="K67" s="121">
        <f>'Calc2 FD'!K51</f>
        <v>0</v>
      </c>
      <c r="L67" s="121">
        <f>'Calc2 FD'!L51</f>
        <v>0</v>
      </c>
      <c r="M67" s="121">
        <f>'Calc2 FD'!M51</f>
        <v>0</v>
      </c>
      <c r="N67" s="121">
        <f>'Calc2 FD'!N51</f>
        <v>0</v>
      </c>
      <c r="O67" s="113"/>
      <c r="P67" s="113"/>
      <c r="Q67" s="113"/>
      <c r="R67" s="113"/>
      <c r="S67" s="113"/>
      <c r="T67" s="115"/>
      <c r="U67" s="122">
        <f t="shared" si="5"/>
        <v>0</v>
      </c>
    </row>
    <row r="68" spans="1:21" s="117" customFormat="1" ht="17.399999999999999">
      <c r="A68" s="110"/>
      <c r="B68" s="119" t="s">
        <v>241</v>
      </c>
      <c r="C68" s="118"/>
      <c r="D68" s="113"/>
      <c r="E68" s="113" t="str">
        <f>'Calc2 FD'!E68</f>
        <v>Sewerage: Allowance capex (gross of adjustments)</v>
      </c>
      <c r="F68" s="113"/>
      <c r="G68" s="120"/>
      <c r="H68" s="120"/>
      <c r="I68" s="120"/>
      <c r="J68" s="121">
        <f>'Calc2 FD'!J68</f>
        <v>0</v>
      </c>
      <c r="K68" s="121">
        <f>'Calc2 FD'!K68</f>
        <v>0</v>
      </c>
      <c r="L68" s="121">
        <f>'Calc2 FD'!L68</f>
        <v>0</v>
      </c>
      <c r="M68" s="121">
        <f>'Calc2 FD'!M68</f>
        <v>0</v>
      </c>
      <c r="N68" s="121">
        <f>'Calc2 FD'!N68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127.91960317192274</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-1.7254566772867099</v>
      </c>
      <c r="K73" s="121">
        <f>'Calc2 FD'!K127</f>
        <v>-1.7254566772867099</v>
      </c>
      <c r="L73" s="121">
        <f>'Calc2 FD'!L127</f>
        <v>-1.7254566772867099</v>
      </c>
      <c r="M73" s="121">
        <f>'Calc2 FD'!M127</f>
        <v>-1.7254566772867099</v>
      </c>
      <c r="N73" s="121">
        <f>'Calc2 FD'!N127</f>
        <v>-1.7254566772867099</v>
      </c>
      <c r="O73" s="113"/>
      <c r="P73" s="113"/>
      <c r="Q73" s="113"/>
      <c r="R73" s="113"/>
      <c r="S73" s="113"/>
      <c r="T73" s="115"/>
      <c r="U73" s="122">
        <f>SUM(J73:N73)</f>
        <v>-8.6272833864335503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0</v>
      </c>
      <c r="K76" s="121">
        <f>'Calc2 FD'!K128</f>
        <v>0</v>
      </c>
      <c r="L76" s="121">
        <f>'Calc2 FD'!L128</f>
        <v>0</v>
      </c>
      <c r="M76" s="121">
        <f>'Calc2 FD'!M128</f>
        <v>0</v>
      </c>
      <c r="N76" s="121">
        <f>'Calc2 FD'!N128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BRL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56.454693480241133</v>
      </c>
      <c r="K16" s="121">
        <f>'Calc2 FD'!K55</f>
        <v>76.550283796408777</v>
      </c>
      <c r="L16" s="121">
        <f>'Calc2 FD'!L55</f>
        <v>65.645614419569512</v>
      </c>
      <c r="M16" s="121">
        <f>'Calc2 FD'!M55</f>
        <v>57.468357224982313</v>
      </c>
      <c r="N16" s="121">
        <f>'Calc2 FD'!N55</f>
        <v>55.322925078798271</v>
      </c>
      <c r="O16" s="113"/>
      <c r="P16" s="113"/>
      <c r="Q16" s="113"/>
      <c r="R16" s="113"/>
      <c r="S16" s="113"/>
      <c r="T16" s="115"/>
      <c r="U16" s="295">
        <f>SUM(J16:N16)</f>
        <v>311.44187400000004</v>
      </c>
    </row>
    <row r="17" spans="1:21" s="117" customFormat="1" ht="17.399999999999999">
      <c r="A17" s="110"/>
      <c r="B17" s="118" t="s">
        <v>131</v>
      </c>
      <c r="C17" s="119"/>
      <c r="D17" s="113"/>
      <c r="E17" s="124" t="str">
        <f>'Calc2 FD'!E56</f>
        <v>Water: Baseline capex (gross of adjustments)</v>
      </c>
      <c r="F17" s="124"/>
      <c r="G17" s="113"/>
      <c r="H17" s="120"/>
      <c r="I17" s="120"/>
      <c r="J17" s="121">
        <f>'Calc2 FD'!J56</f>
        <v>47.559461946427923</v>
      </c>
      <c r="K17" s="121">
        <f>'Calc2 FD'!K56</f>
        <v>63.814999334181799</v>
      </c>
      <c r="L17" s="121">
        <f>'Calc2 FD'!L56</f>
        <v>54.767034087886884</v>
      </c>
      <c r="M17" s="121">
        <f>'Calc2 FD'!M56</f>
        <v>45.499324651468832</v>
      </c>
      <c r="N17" s="121">
        <f>'Calc2 FD'!N56</f>
        <v>31.826065646827246</v>
      </c>
      <c r="O17" s="113"/>
      <c r="P17" s="113"/>
      <c r="Q17" s="113"/>
      <c r="R17" s="113"/>
      <c r="S17" s="113"/>
      <c r="T17" s="115"/>
      <c r="U17" s="295">
        <f t="shared" ref="U17:U18" si="0">SUM(J17:N17)</f>
        <v>243.46688566679268</v>
      </c>
    </row>
    <row r="18" spans="1:21" s="117" customFormat="1" ht="17.399999999999999">
      <c r="A18" s="110"/>
      <c r="B18" s="118" t="s">
        <v>132</v>
      </c>
      <c r="C18" s="119"/>
      <c r="D18" s="113"/>
      <c r="E18" s="124" t="str">
        <f>'Calc2 FD'!E57</f>
        <v>Water: Allowance capex (gross of adjustments)</v>
      </c>
      <c r="F18" s="124"/>
      <c r="G18" s="113"/>
      <c r="H18" s="286"/>
      <c r="I18" s="120"/>
      <c r="J18" s="121">
        <f>'Calc2 FD'!J57</f>
        <v>50.879065207963997</v>
      </c>
      <c r="K18" s="121">
        <f>'Calc2 FD'!K57</f>
        <v>68.269222978748985</v>
      </c>
      <c r="L18" s="121">
        <f>'Calc2 FD'!L57</f>
        <v>58.589718734479298</v>
      </c>
      <c r="M18" s="121">
        <f>'Calc2 FD'!M57</f>
        <v>48.675132373617565</v>
      </c>
      <c r="N18" s="121">
        <f>'Calc2 FD'!N57</f>
        <v>34.047493455284695</v>
      </c>
      <c r="O18" s="113"/>
      <c r="P18" s="113"/>
      <c r="Q18" s="113"/>
      <c r="R18" s="113"/>
      <c r="S18" s="113"/>
      <c r="T18" s="115"/>
      <c r="U18" s="295">
        <f t="shared" si="0"/>
        <v>260.46063275009453</v>
      </c>
    </row>
    <row r="19" spans="1:21" s="117" customFormat="1" ht="17.399999999999999">
      <c r="A19" s="110"/>
      <c r="B19" s="118" t="s">
        <v>133</v>
      </c>
      <c r="C19" s="119"/>
      <c r="D19" s="113"/>
      <c r="E19" s="124" t="str">
        <f>'Calc2 FD'!E94</f>
        <v>Water: CIS bid ratio</v>
      </c>
      <c r="F19" s="124"/>
      <c r="G19" s="301">
        <f>'Calc2 FD'!G94</f>
        <v>127.91960317192274</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v>
      </c>
      <c r="K21" s="121">
        <f>'Calc2 FD'!K59</f>
        <v>0</v>
      </c>
      <c r="L21" s="121">
        <f>'Calc2 FD'!L59</f>
        <v>0</v>
      </c>
      <c r="M21" s="121">
        <f>'Calc2 FD'!M59</f>
        <v>0</v>
      </c>
      <c r="N21" s="121">
        <f>'Calc2 FD'!N59</f>
        <v>0</v>
      </c>
      <c r="O21" s="113"/>
      <c r="P21" s="113"/>
      <c r="Q21" s="113"/>
      <c r="R21" s="113"/>
      <c r="S21" s="113"/>
      <c r="T21" s="115"/>
      <c r="U21" s="295">
        <f t="shared" ref="U21:U22" si="1">SUM(J21:N21)</f>
        <v>0</v>
      </c>
    </row>
    <row r="22" spans="1:21" s="117" customFormat="1" ht="17.399999999999999">
      <c r="A22" s="110"/>
      <c r="B22" s="118" t="s">
        <v>135</v>
      </c>
      <c r="C22" s="119"/>
      <c r="D22" s="113"/>
      <c r="E22" s="113" t="str">
        <f>'Calc2 FD'!E60</f>
        <v>Water: Adjustments to baseline capex</v>
      </c>
      <c r="F22" s="113"/>
      <c r="G22" s="113"/>
      <c r="H22" s="120"/>
      <c r="I22" s="120"/>
      <c r="J22" s="121">
        <f>'Calc2 FD'!J60</f>
        <v>0</v>
      </c>
      <c r="K22" s="121">
        <f>'Calc2 FD'!K60</f>
        <v>0</v>
      </c>
      <c r="L22" s="121">
        <f>'Calc2 FD'!L60</f>
        <v>0</v>
      </c>
      <c r="M22" s="121">
        <f>'Calc2 FD'!M60</f>
        <v>0</v>
      </c>
      <c r="N22" s="121">
        <f>'Calc2 FD'!N60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56.454693480241133</v>
      </c>
      <c r="K24" s="121">
        <f>'Calc2 FD'!K62</f>
        <v>76.550283796408777</v>
      </c>
      <c r="L24" s="121">
        <f>'Calc2 FD'!L62</f>
        <v>65.645614419569512</v>
      </c>
      <c r="M24" s="121">
        <f>'Calc2 FD'!M62</f>
        <v>57.468357224982313</v>
      </c>
      <c r="N24" s="121">
        <f>'Calc2 FD'!N62</f>
        <v>55.322925078798271</v>
      </c>
      <c r="O24" s="113"/>
      <c r="P24" s="113"/>
      <c r="Q24" s="113"/>
      <c r="R24" s="113"/>
      <c r="S24" s="113"/>
      <c r="T24" s="115"/>
      <c r="U24" s="295">
        <f t="shared" ref="U24:U26" si="2">SUM(J24:N24)</f>
        <v>311.44187400000004</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47.559461946427923</v>
      </c>
      <c r="K25" s="121">
        <f>'Calc2 FD'!K63</f>
        <v>63.814999334181799</v>
      </c>
      <c r="L25" s="121">
        <f>'Calc2 FD'!L63</f>
        <v>54.767034087886884</v>
      </c>
      <c r="M25" s="121">
        <f>'Calc2 FD'!M63</f>
        <v>45.499324651468832</v>
      </c>
      <c r="N25" s="121">
        <f>'Calc2 FD'!N63</f>
        <v>31.826065646827246</v>
      </c>
      <c r="O25" s="113"/>
      <c r="P25" s="113"/>
      <c r="Q25" s="113"/>
      <c r="R25" s="113"/>
      <c r="S25" s="113"/>
      <c r="T25" s="115"/>
      <c r="U25" s="295">
        <f t="shared" si="2"/>
        <v>243.46688566679268</v>
      </c>
    </row>
    <row r="26" spans="1:21" s="117" customFormat="1" ht="17.399999999999999">
      <c r="A26" s="110"/>
      <c r="B26" s="118" t="s">
        <v>138</v>
      </c>
      <c r="C26" s="119"/>
      <c r="D26" s="113"/>
      <c r="E26" s="113" t="str">
        <f>'Calc2 FD'!E64</f>
        <v>Water: Allowance capex (net of adjustments)</v>
      </c>
      <c r="F26" s="113"/>
      <c r="G26" s="113"/>
      <c r="H26" s="120"/>
      <c r="I26" s="120"/>
      <c r="J26" s="121">
        <f>'Calc2 FD'!J64</f>
        <v>50.879065207963997</v>
      </c>
      <c r="K26" s="121">
        <f>'Calc2 FD'!K64</f>
        <v>68.269222978748971</v>
      </c>
      <c r="L26" s="121">
        <f>'Calc2 FD'!L64</f>
        <v>58.589718734479305</v>
      </c>
      <c r="M26" s="121">
        <f>'Calc2 FD'!M64</f>
        <v>48.675132373617565</v>
      </c>
      <c r="N26" s="121">
        <f>'Calc2 FD'!N64</f>
        <v>34.047493455284695</v>
      </c>
      <c r="O26" s="113"/>
      <c r="P26" s="113"/>
      <c r="Q26" s="113"/>
      <c r="R26" s="113"/>
      <c r="S26" s="113"/>
      <c r="T26" s="115"/>
      <c r="U26" s="295">
        <f t="shared" si="2"/>
        <v>260.46063275009453</v>
      </c>
    </row>
    <row r="27" spans="1:21" s="117" customFormat="1" ht="17.399999999999999">
      <c r="A27" s="110"/>
      <c r="B27" s="118" t="s">
        <v>139</v>
      </c>
      <c r="C27" s="119"/>
      <c r="D27" s="113"/>
      <c r="E27" s="113" t="str">
        <f>'Calc2 FD'!E106</f>
        <v>Water: Restated CIS bid ratio</v>
      </c>
      <c r="F27" s="113"/>
      <c r="G27" s="301">
        <f>'Calc2 FD'!G106</f>
        <v>127.91960317192274</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50.163144438902997</v>
      </c>
      <c r="K30" s="121">
        <f>'Calc2 FD'!K79</f>
        <v>66.46145440261337</v>
      </c>
      <c r="L30" s="121">
        <f>'Calc2 FD'!L79</f>
        <v>57.108487196254245</v>
      </c>
      <c r="M30" s="121">
        <f>'Calc2 FD'!M79</f>
        <v>50.099253728230345</v>
      </c>
      <c r="N30" s="121">
        <f>'Calc2 FD'!N79</f>
        <v>48.478136614465264</v>
      </c>
      <c r="O30" s="113"/>
      <c r="P30" s="113"/>
      <c r="Q30" s="113"/>
      <c r="R30" s="113"/>
      <c r="S30" s="113"/>
      <c r="T30" s="115"/>
      <c r="U30" s="295">
        <f t="shared" ref="U30:U33" si="3">SUM(J30:N30)</f>
        <v>272.31047638046618</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42.259235007451935</v>
      </c>
      <c r="K31" s="121">
        <f>'Calc2 FD'!K80</f>
        <v>55.404597581001994</v>
      </c>
      <c r="L31" s="121">
        <f>'Calc2 FD'!L80</f>
        <v>47.644652162057085</v>
      </c>
      <c r="M31" s="121">
        <f>'Calc2 FD'!M80</f>
        <v>39.66499688259993</v>
      </c>
      <c r="N31" s="121">
        <f>'Calc2 FD'!N80</f>
        <v>27.888408939517799</v>
      </c>
      <c r="O31" s="113"/>
      <c r="P31" s="113"/>
      <c r="Q31" s="113"/>
      <c r="R31" s="113"/>
      <c r="S31" s="113"/>
      <c r="T31" s="115"/>
      <c r="U31" s="295">
        <f t="shared" si="3"/>
        <v>212.86189057262874</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45.208887686844648</v>
      </c>
      <c r="K32" s="121">
        <f>'Calc2 FD'!K81</f>
        <v>59.271783526906113</v>
      </c>
      <c r="L32" s="121">
        <f>'Calc2 FD'!L81</f>
        <v>50.970201616129394</v>
      </c>
      <c r="M32" s="121">
        <f>'Calc2 FD'!M81</f>
        <v>42.433574314544288</v>
      </c>
      <c r="N32" s="121">
        <f>'Calc2 FD'!N81</f>
        <v>29.834992216236898</v>
      </c>
      <c r="O32" s="113"/>
      <c r="P32" s="113"/>
      <c r="Q32" s="113"/>
      <c r="R32" s="113"/>
      <c r="S32" s="113"/>
      <c r="T32" s="115"/>
      <c r="U32" s="295">
        <f t="shared" si="3"/>
        <v>227.71943936066134</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18.470459359016843</v>
      </c>
      <c r="K33" s="121">
        <f>'Calc2 FD'!K82</f>
        <v>49.496888767950573</v>
      </c>
      <c r="L33" s="121">
        <f>'Calc2 FD'!L82</f>
        <v>72.080175028098608</v>
      </c>
      <c r="M33" s="121">
        <f>'Calc2 FD'!M82</f>
        <v>59.669038334216282</v>
      </c>
      <c r="N33" s="121">
        <f>'Calc2 FD'!N82</f>
        <v>42.807670561226971</v>
      </c>
      <c r="O33" s="113"/>
      <c r="P33" s="113"/>
      <c r="Q33" s="113"/>
      <c r="R33" s="113"/>
      <c r="S33" s="113"/>
      <c r="T33" s="115"/>
      <c r="U33" s="295">
        <f t="shared" si="3"/>
        <v>242.52423205050928</v>
      </c>
    </row>
    <row r="34" spans="1:21" s="117" customFormat="1" ht="17.399999999999999">
      <c r="A34" s="110"/>
      <c r="B34" s="118" t="s">
        <v>145</v>
      </c>
      <c r="C34" s="118"/>
      <c r="D34" s="113"/>
      <c r="E34" s="113" t="str">
        <f>'Calc2 FD'!E116</f>
        <v>Water: CIS outturn ratio</v>
      </c>
      <c r="F34" s="113"/>
      <c r="G34" s="301">
        <f>'Calc2 FD'!G116</f>
        <v>113.93501739465182</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-8.9060670899952399</v>
      </c>
    </row>
    <row r="38" spans="1:21" s="117" customFormat="1" ht="17.399999999999999">
      <c r="A38" s="110"/>
      <c r="B38" s="118" t="s">
        <v>152</v>
      </c>
      <c r="C38" s="119"/>
      <c r="D38" s="113"/>
      <c r="E38" s="113" t="str">
        <f>'Calc2 FD'!E127</f>
        <v>Water: Additional income (applied at FD)</v>
      </c>
      <c r="F38" s="113"/>
      <c r="G38" s="113"/>
      <c r="H38" s="113"/>
      <c r="I38" s="113"/>
      <c r="J38" s="121">
        <f>'Calc2 FD'!J127</f>
        <v>-1.7254566772867099</v>
      </c>
      <c r="K38" s="121">
        <f>'Calc2 FD'!K127</f>
        <v>-1.7254566772867099</v>
      </c>
      <c r="L38" s="121">
        <f>'Calc2 FD'!L127</f>
        <v>-1.7254566772867099</v>
      </c>
      <c r="M38" s="121">
        <f>'Calc2 FD'!M127</f>
        <v>-1.7254566772867099</v>
      </c>
      <c r="N38" s="121">
        <f>'Calc2 FD'!N127</f>
        <v>-1.7254566772867099</v>
      </c>
      <c r="O38" s="113"/>
      <c r="P38" s="113"/>
      <c r="Q38" s="113"/>
      <c r="R38" s="113"/>
      <c r="S38" s="113"/>
      <c r="T38" s="115"/>
      <c r="U38" s="295">
        <f t="shared" ref="U38" si="4">SUM(J38:N38)</f>
        <v>-8.6272833864335503</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-0.27878370356168958</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0</v>
      </c>
      <c r="K45" s="121">
        <f>'Calc2 FD'!K66</f>
        <v>0</v>
      </c>
      <c r="L45" s="121">
        <f>'Calc2 FD'!L66</f>
        <v>0</v>
      </c>
      <c r="M45" s="121">
        <f>'Calc2 FD'!M66</f>
        <v>0</v>
      </c>
      <c r="N45" s="121">
        <f>'Calc2 FD'!N66</f>
        <v>0</v>
      </c>
      <c r="O45" s="113"/>
      <c r="P45" s="113"/>
      <c r="Q45" s="113"/>
      <c r="R45" s="113"/>
      <c r="S45" s="113"/>
      <c r="T45" s="115"/>
      <c r="U45" s="295">
        <f>SUM(J45:N45)</f>
        <v>0</v>
      </c>
    </row>
    <row r="46" spans="1:21" s="117" customFormat="1" ht="17.399999999999999">
      <c r="A46" s="110"/>
      <c r="B46" s="118" t="s">
        <v>327</v>
      </c>
      <c r="C46" s="119"/>
      <c r="D46" s="113"/>
      <c r="E46" s="124" t="str">
        <f>'Calc2 FD'!E67</f>
        <v>Sewerage: Baseline capex (gross of adjustments)</v>
      </c>
      <c r="F46" s="124"/>
      <c r="G46" s="113"/>
      <c r="H46" s="120"/>
      <c r="I46" s="120"/>
      <c r="J46" s="121">
        <f>'Calc2 FD'!J67</f>
        <v>0</v>
      </c>
      <c r="K46" s="121">
        <f>'Calc2 FD'!K67</f>
        <v>0</v>
      </c>
      <c r="L46" s="121">
        <f>'Calc2 FD'!L67</f>
        <v>0</v>
      </c>
      <c r="M46" s="121">
        <f>'Calc2 FD'!M67</f>
        <v>0</v>
      </c>
      <c r="N46" s="121">
        <f>'Calc2 FD'!N67</f>
        <v>0</v>
      </c>
      <c r="O46" s="113"/>
      <c r="P46" s="113"/>
      <c r="Q46" s="113"/>
      <c r="R46" s="113"/>
      <c r="S46" s="113"/>
      <c r="T46" s="115"/>
      <c r="U46" s="295">
        <f t="shared" ref="U46:U47" si="5">SUM(J46:N46)</f>
        <v>0</v>
      </c>
    </row>
    <row r="47" spans="1:21" s="117" customFormat="1" ht="17.399999999999999">
      <c r="A47" s="110"/>
      <c r="B47" s="118" t="s">
        <v>328</v>
      </c>
      <c r="C47" s="119"/>
      <c r="D47" s="113"/>
      <c r="E47" s="124" t="str">
        <f>'Calc2 FD'!E68</f>
        <v>Sewerage: Allowance capex (gross of adjustments)</v>
      </c>
      <c r="F47" s="124"/>
      <c r="G47" s="113"/>
      <c r="H47" s="286"/>
      <c r="I47" s="120"/>
      <c r="J47" s="121">
        <f>'Calc2 FD'!J68</f>
        <v>0</v>
      </c>
      <c r="K47" s="121">
        <f>'Calc2 FD'!K68</f>
        <v>0</v>
      </c>
      <c r="L47" s="121">
        <f>'Calc2 FD'!L68</f>
        <v>0</v>
      </c>
      <c r="M47" s="121">
        <f>'Calc2 FD'!M68</f>
        <v>0</v>
      </c>
      <c r="N47" s="121">
        <f>'Calc2 FD'!N68</f>
        <v>0</v>
      </c>
      <c r="O47" s="113"/>
      <c r="P47" s="113"/>
      <c r="Q47" s="113"/>
      <c r="R47" s="113"/>
      <c r="S47" s="113"/>
      <c r="T47" s="115"/>
      <c r="U47" s="295">
        <f t="shared" si="5"/>
        <v>0</v>
      </c>
    </row>
    <row r="48" spans="1:21" s="117" customFormat="1" ht="17.399999999999999">
      <c r="A48" s="110"/>
      <c r="B48" s="118" t="s">
        <v>329</v>
      </c>
      <c r="C48" s="119"/>
      <c r="D48" s="113"/>
      <c r="E48" s="124" t="str">
        <f>'Calc2 FD'!E99</f>
        <v>Sewerage: CIS bid ratio</v>
      </c>
      <c r="F48" s="124"/>
      <c r="G48" s="301">
        <f>'Calc2 FD'!G99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0</v>
      </c>
      <c r="K50" s="121">
        <f>'Calc2 FD'!K70</f>
        <v>0</v>
      </c>
      <c r="L50" s="121">
        <f>'Calc2 FD'!L70</f>
        <v>0</v>
      </c>
      <c r="M50" s="121">
        <f>'Calc2 FD'!M70</f>
        <v>0</v>
      </c>
      <c r="N50" s="121">
        <f>'Calc2 FD'!N70</f>
        <v>0</v>
      </c>
      <c r="O50" s="113"/>
      <c r="P50" s="113"/>
      <c r="Q50" s="113"/>
      <c r="R50" s="113"/>
      <c r="S50" s="113"/>
      <c r="T50" s="115"/>
      <c r="U50" s="295">
        <f t="shared" ref="U50:U51" si="6">SUM(J50:N50)</f>
        <v>0</v>
      </c>
    </row>
    <row r="51" spans="1:21" s="117" customFormat="1" ht="17.399999999999999">
      <c r="A51" s="110"/>
      <c r="B51" s="118" t="s">
        <v>331</v>
      </c>
      <c r="C51" s="119"/>
      <c r="D51" s="113"/>
      <c r="E51" s="113" t="str">
        <f>'Calc2 FD'!E71</f>
        <v>Sewerage: Adjustments to baseline capex</v>
      </c>
      <c r="F51" s="113"/>
      <c r="G51" s="113"/>
      <c r="H51" s="120"/>
      <c r="I51" s="120"/>
      <c r="J51" s="121">
        <f>'Calc2 FD'!J71</f>
        <v>0</v>
      </c>
      <c r="K51" s="121">
        <f>'Calc2 FD'!K71</f>
        <v>0</v>
      </c>
      <c r="L51" s="121">
        <f>'Calc2 FD'!L71</f>
        <v>0</v>
      </c>
      <c r="M51" s="121">
        <f>'Calc2 FD'!M71</f>
        <v>0</v>
      </c>
      <c r="N51" s="121">
        <f>'Calc2 FD'!N71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0</v>
      </c>
      <c r="K53" s="121">
        <f>'Calc2 FD'!K73</f>
        <v>0</v>
      </c>
      <c r="L53" s="121">
        <f>'Calc2 FD'!L73</f>
        <v>0</v>
      </c>
      <c r="M53" s="121">
        <f>'Calc2 FD'!M73</f>
        <v>0</v>
      </c>
      <c r="N53" s="121">
        <f>'Calc2 FD'!N73</f>
        <v>0</v>
      </c>
      <c r="O53" s="113"/>
      <c r="P53" s="113"/>
      <c r="Q53" s="113"/>
      <c r="R53" s="113"/>
      <c r="S53" s="113"/>
      <c r="T53" s="115"/>
      <c r="U53" s="295">
        <f t="shared" ref="U53:U55" si="7">SUM(J53:N53)</f>
        <v>0</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0</v>
      </c>
      <c r="K54" s="121">
        <f>'Calc2 FD'!K74</f>
        <v>0</v>
      </c>
      <c r="L54" s="121">
        <f>'Calc2 FD'!L74</f>
        <v>0</v>
      </c>
      <c r="M54" s="121">
        <f>'Calc2 FD'!M74</f>
        <v>0</v>
      </c>
      <c r="N54" s="121">
        <f>'Calc2 FD'!N74</f>
        <v>0</v>
      </c>
      <c r="O54" s="113"/>
      <c r="P54" s="113"/>
      <c r="Q54" s="113"/>
      <c r="R54" s="113"/>
      <c r="S54" s="113"/>
      <c r="T54" s="115"/>
      <c r="U54" s="295">
        <f t="shared" si="7"/>
        <v>0</v>
      </c>
    </row>
    <row r="55" spans="1:21" s="117" customFormat="1" ht="17.399999999999999">
      <c r="A55" s="110"/>
      <c r="B55" s="118" t="s">
        <v>334</v>
      </c>
      <c r="C55" s="119"/>
      <c r="D55" s="113"/>
      <c r="E55" s="113" t="str">
        <f>'Calc2 FD'!E75</f>
        <v>Sewerage: Allowance capex (net of adjustments)</v>
      </c>
      <c r="F55" s="113"/>
      <c r="G55" s="113"/>
      <c r="H55" s="120"/>
      <c r="I55" s="120"/>
      <c r="J55" s="121">
        <f>'Calc2 FD'!J75</f>
        <v>0</v>
      </c>
      <c r="K55" s="121">
        <f>'Calc2 FD'!K75</f>
        <v>0</v>
      </c>
      <c r="L55" s="121">
        <f>'Calc2 FD'!L75</f>
        <v>0</v>
      </c>
      <c r="M55" s="121">
        <f>'Calc2 FD'!M75</f>
        <v>0</v>
      </c>
      <c r="N55" s="121">
        <f>'Calc2 FD'!N75</f>
        <v>0</v>
      </c>
      <c r="O55" s="113"/>
      <c r="P55" s="113"/>
      <c r="Q55" s="113"/>
      <c r="R55" s="113"/>
      <c r="S55" s="113"/>
      <c r="T55" s="115"/>
      <c r="U55" s="295">
        <f t="shared" si="7"/>
        <v>0</v>
      </c>
    </row>
    <row r="56" spans="1:21" s="117" customFormat="1" ht="17.399999999999999">
      <c r="A56" s="110"/>
      <c r="B56" s="118" t="s">
        <v>335</v>
      </c>
      <c r="C56" s="119"/>
      <c r="D56" s="113"/>
      <c r="E56" s="113" t="str">
        <f>'Calc2 FD'!E110</f>
        <v>Sewerage: Restated CIS bid ratio</v>
      </c>
      <c r="F56" s="113"/>
      <c r="G56" s="301">
        <f>'Calc2 FD'!G110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0</v>
      </c>
      <c r="K59" s="121">
        <f>'Calc2 FD'!K84</f>
        <v>0</v>
      </c>
      <c r="L59" s="121">
        <f>'Calc2 FD'!L84</f>
        <v>0</v>
      </c>
      <c r="M59" s="121">
        <f>'Calc2 FD'!M84</f>
        <v>0</v>
      </c>
      <c r="N59" s="121">
        <f>'Calc2 FD'!N84</f>
        <v>0</v>
      </c>
      <c r="O59" s="113"/>
      <c r="P59" s="113"/>
      <c r="Q59" s="113"/>
      <c r="R59" s="113"/>
      <c r="S59" s="113"/>
      <c r="T59" s="115"/>
      <c r="U59" s="295">
        <f t="shared" ref="U59:U62" si="8">SUM(J59:N59)</f>
        <v>0</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0</v>
      </c>
      <c r="K60" s="121">
        <f>'Calc2 FD'!K85</f>
        <v>0</v>
      </c>
      <c r="L60" s="121">
        <f>'Calc2 FD'!L85</f>
        <v>0</v>
      </c>
      <c r="M60" s="121">
        <f>'Calc2 FD'!M85</f>
        <v>0</v>
      </c>
      <c r="N60" s="121">
        <f>'Calc2 FD'!N85</f>
        <v>0</v>
      </c>
      <c r="O60" s="113"/>
      <c r="P60" s="113"/>
      <c r="Q60" s="113"/>
      <c r="R60" s="113"/>
      <c r="S60" s="113"/>
      <c r="T60" s="115"/>
      <c r="U60" s="295">
        <f t="shared" si="8"/>
        <v>0</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0</v>
      </c>
      <c r="K61" s="121">
        <f>'Calc2 FD'!K86</f>
        <v>0</v>
      </c>
      <c r="L61" s="121">
        <f>'Calc2 FD'!L86</f>
        <v>0</v>
      </c>
      <c r="M61" s="121">
        <f>'Calc2 FD'!M86</f>
        <v>0</v>
      </c>
      <c r="N61" s="121">
        <f>'Calc2 FD'!N86</f>
        <v>0</v>
      </c>
      <c r="O61" s="113"/>
      <c r="P61" s="113"/>
      <c r="Q61" s="113"/>
      <c r="R61" s="113"/>
      <c r="S61" s="113"/>
      <c r="T61" s="115"/>
      <c r="U61" s="295">
        <f t="shared" si="8"/>
        <v>0</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0</v>
      </c>
      <c r="K62" s="121">
        <f>'Calc2 FD'!K87</f>
        <v>0</v>
      </c>
      <c r="L62" s="121">
        <f>'Calc2 FD'!L87</f>
        <v>0</v>
      </c>
      <c r="M62" s="121">
        <f>'Calc2 FD'!M87</f>
        <v>0</v>
      </c>
      <c r="N62" s="121">
        <f>'Calc2 FD'!N87</f>
        <v>0</v>
      </c>
      <c r="O62" s="113"/>
      <c r="P62" s="113"/>
      <c r="Q62" s="113"/>
      <c r="R62" s="113"/>
      <c r="S62" s="113"/>
      <c r="T62" s="115"/>
      <c r="U62" s="295">
        <f t="shared" si="8"/>
        <v>0</v>
      </c>
    </row>
    <row r="63" spans="1:21" s="117" customFormat="1" ht="17.399999999999999">
      <c r="A63" s="110"/>
      <c r="B63" s="118" t="s">
        <v>340</v>
      </c>
      <c r="C63" s="118"/>
      <c r="D63" s="113"/>
      <c r="E63" s="113" t="str">
        <f>'Calc2 FD'!E119</f>
        <v>Sewerage: CIS outturn ratio</v>
      </c>
      <c r="F63" s="113"/>
      <c r="G63" s="301">
        <f>'Calc2 FD'!G119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0</v>
      </c>
    </row>
    <row r="67" spans="1:24" s="117" customFormat="1" ht="17.399999999999999">
      <c r="A67" s="110"/>
      <c r="B67" s="118" t="s">
        <v>342</v>
      </c>
      <c r="C67" s="119"/>
      <c r="D67" s="113"/>
      <c r="E67" s="113" t="str">
        <f>'Calc2 FD'!E128</f>
        <v>Sewerage: Additional income (applied at FD)</v>
      </c>
      <c r="F67" s="113"/>
      <c r="G67" s="113"/>
      <c r="H67" s="113"/>
      <c r="I67" s="113"/>
      <c r="J67" s="121">
        <f>'Calc2 FD'!J128</f>
        <v>0</v>
      </c>
      <c r="K67" s="121">
        <f>'Calc2 FD'!K128</f>
        <v>0</v>
      </c>
      <c r="L67" s="121">
        <f>'Calc2 FD'!L128</f>
        <v>0</v>
      </c>
      <c r="M67" s="121">
        <f>'Calc2 FD'!M128</f>
        <v>0</v>
      </c>
      <c r="N67" s="121">
        <f>'Calc2 FD'!N128</f>
        <v>0</v>
      </c>
      <c r="O67" s="113"/>
      <c r="P67" s="113"/>
      <c r="Q67" s="113"/>
      <c r="R67" s="113"/>
      <c r="S67" s="113"/>
      <c r="T67" s="115"/>
      <c r="U67" s="295">
        <f t="shared" ref="U67" si="9">SUM(J67:N67)</f>
        <v>0</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zoomScale="80" zoomScaleNormal="80" workbookViewId="0">
      <selection sqref="A1:S1"/>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7" t="s">
        <v>364</v>
      </c>
      <c r="B1" s="777"/>
      <c r="C1" s="777"/>
      <c r="D1" s="777"/>
      <c r="E1" s="777"/>
      <c r="F1" s="777"/>
      <c r="G1" s="777"/>
      <c r="H1" s="777"/>
      <c r="I1" s="777"/>
      <c r="J1" s="777"/>
      <c r="K1" s="777"/>
      <c r="L1" s="777"/>
      <c r="M1" s="777"/>
      <c r="N1" s="777"/>
      <c r="O1" s="777"/>
      <c r="P1" s="777"/>
      <c r="Q1" s="777"/>
      <c r="R1" s="777"/>
      <c r="S1" s="777"/>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BRL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5.9110422866571994</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-5.2092523662375889</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-6.1103774809277143</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4.441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21.591000000000001</v>
      </c>
      <c r="J4" s="566">
        <v>25.234000000000002</v>
      </c>
      <c r="K4" s="566">
        <v>25.286999999999999</v>
      </c>
      <c r="L4" s="566">
        <v>27.077000000000002</v>
      </c>
      <c r="M4" s="566">
        <v>26.503</v>
      </c>
      <c r="N4" s="566"/>
      <c r="O4" s="566"/>
    </row>
    <row r="5" spans="1:15">
      <c r="A5" t="s">
        <v>818</v>
      </c>
      <c r="B5" t="s">
        <v>452</v>
      </c>
      <c r="C5" t="s">
        <v>178</v>
      </c>
      <c r="D5" t="s">
        <v>497</v>
      </c>
      <c r="E5" t="s">
        <v>742</v>
      </c>
      <c r="F5" s="566"/>
      <c r="G5" s="566"/>
      <c r="H5" s="566"/>
      <c r="I5" s="566">
        <v>14.125999999999999</v>
      </c>
      <c r="J5" s="566">
        <v>17.931000000000001</v>
      </c>
      <c r="K5" s="566">
        <v>15.067</v>
      </c>
      <c r="L5" s="566">
        <v>7.7969999999999997</v>
      </c>
      <c r="M5" s="566">
        <v>5.9359999999999999</v>
      </c>
      <c r="N5" s="566"/>
      <c r="O5" s="566"/>
    </row>
    <row r="6" spans="1:15">
      <c r="A6" t="s">
        <v>818</v>
      </c>
      <c r="B6" t="s">
        <v>453</v>
      </c>
      <c r="C6" t="s">
        <v>123</v>
      </c>
      <c r="D6" t="s">
        <v>497</v>
      </c>
      <c r="E6" t="s">
        <v>742</v>
      </c>
      <c r="F6" s="566"/>
      <c r="G6" s="566"/>
      <c r="H6" s="566"/>
      <c r="I6" s="566">
        <v>10.823</v>
      </c>
      <c r="J6" s="566">
        <v>17.779</v>
      </c>
      <c r="K6" s="566">
        <v>11.446999999999999</v>
      </c>
      <c r="L6" s="566">
        <v>14.250999999999999</v>
      </c>
      <c r="M6" s="566">
        <v>22.138999999999999</v>
      </c>
      <c r="N6" s="566"/>
      <c r="O6" s="566"/>
    </row>
    <row r="7" spans="1:15">
      <c r="A7" t="s">
        <v>818</v>
      </c>
      <c r="B7" t="s">
        <v>454</v>
      </c>
      <c r="C7" t="s">
        <v>122</v>
      </c>
      <c r="D7" t="s">
        <v>497</v>
      </c>
      <c r="E7" t="s">
        <v>742</v>
      </c>
      <c r="F7" s="566"/>
      <c r="G7" s="566"/>
      <c r="H7" s="566"/>
      <c r="I7" s="566">
        <v>10.878</v>
      </c>
      <c r="J7" s="566">
        <v>16.831</v>
      </c>
      <c r="K7" s="566">
        <v>18.053000000000001</v>
      </c>
      <c r="L7" s="566">
        <v>12.182</v>
      </c>
      <c r="M7" s="566">
        <v>5.9379999999999997</v>
      </c>
      <c r="N7" s="566"/>
      <c r="O7" s="566"/>
    </row>
    <row r="8" spans="1:15">
      <c r="A8" t="s">
        <v>818</v>
      </c>
      <c r="B8" t="s">
        <v>455</v>
      </c>
      <c r="C8" t="s">
        <v>190</v>
      </c>
      <c r="D8" t="s">
        <v>497</v>
      </c>
      <c r="E8" t="s">
        <v>742</v>
      </c>
      <c r="F8" s="566"/>
      <c r="G8" s="566"/>
      <c r="H8" s="566"/>
      <c r="I8" s="566">
        <v>2.1970000000000001</v>
      </c>
      <c r="J8" s="566">
        <v>3.2570000000000001</v>
      </c>
      <c r="K8" s="566">
        <v>2.198</v>
      </c>
      <c r="L8" s="566">
        <v>1.8380000000000001</v>
      </c>
      <c r="M8" s="566">
        <v>2.758</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-1.2336934802411399</v>
      </c>
      <c r="J11" s="566">
        <v>-2.0322837964087701</v>
      </c>
      <c r="K11" s="566">
        <v>2.0103855804304902</v>
      </c>
      <c r="L11" s="566">
        <v>2.0006427750176901</v>
      </c>
      <c r="M11" s="566">
        <v>2.4350749212017302</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10.663</v>
      </c>
      <c r="G20" s="566">
        <v>10.631425351129</v>
      </c>
      <c r="H20" s="566">
        <v>8.2194367298960707</v>
      </c>
      <c r="I20" s="566">
        <v>16.923408944391301</v>
      </c>
      <c r="J20" s="566">
        <v>19.760385971784899</v>
      </c>
      <c r="K20" s="566">
        <v>19.823722925913799</v>
      </c>
      <c r="L20" s="566">
        <v>21.167441797505301</v>
      </c>
      <c r="M20" s="566">
        <v>20.986649173977799</v>
      </c>
      <c r="N20" s="566"/>
      <c r="O20" s="566"/>
    </row>
    <row r="21" spans="1:15">
      <c r="A21" t="s">
        <v>818</v>
      </c>
      <c r="B21" t="s">
        <v>529</v>
      </c>
      <c r="C21" t="s">
        <v>512</v>
      </c>
      <c r="D21" t="s">
        <v>497</v>
      </c>
      <c r="E21" t="s">
        <v>742</v>
      </c>
      <c r="F21" s="566">
        <v>11.788</v>
      </c>
      <c r="G21" s="566">
        <v>8.9551527896329599</v>
      </c>
      <c r="H21" s="566">
        <v>4.9121333832747496</v>
      </c>
      <c r="I21" s="566">
        <v>13.352425777721299</v>
      </c>
      <c r="J21" s="566">
        <v>16.7731250605488</v>
      </c>
      <c r="K21" s="566">
        <v>14.120046151652501</v>
      </c>
      <c r="L21" s="566">
        <v>7.4963418469051302</v>
      </c>
      <c r="M21" s="566">
        <v>5.7951506849097196</v>
      </c>
      <c r="N21" s="566"/>
      <c r="O21" s="566"/>
    </row>
    <row r="22" spans="1:15">
      <c r="A22" t="s">
        <v>818</v>
      </c>
      <c r="B22" t="s">
        <v>1</v>
      </c>
      <c r="C22" t="s">
        <v>513</v>
      </c>
      <c r="D22" t="s">
        <v>497</v>
      </c>
      <c r="E22" t="s">
        <v>742</v>
      </c>
      <c r="F22" s="566">
        <v>5.4558673273142704</v>
      </c>
      <c r="G22" s="566">
        <v>3.0442489584911701</v>
      </c>
      <c r="H22" s="566">
        <v>2.9850620460673598</v>
      </c>
      <c r="I22" s="566">
        <v>8.8255752976846704</v>
      </c>
      <c r="J22" s="566">
        <v>13.465797331332</v>
      </c>
      <c r="K22" s="566">
        <v>6.6768268320489801</v>
      </c>
      <c r="L22" s="566">
        <v>6.9561178457821802</v>
      </c>
      <c r="M22" s="566">
        <v>2.5018963795191</v>
      </c>
      <c r="N22" s="566"/>
      <c r="O22" s="566"/>
    </row>
    <row r="23" spans="1:15">
      <c r="A23" t="s">
        <v>818</v>
      </c>
      <c r="B23" t="s">
        <v>5</v>
      </c>
      <c r="C23" t="s">
        <v>514</v>
      </c>
      <c r="D23" t="s">
        <v>497</v>
      </c>
      <c r="E23" t="s">
        <v>742</v>
      </c>
      <c r="F23" s="566">
        <v>16.722132672685699</v>
      </c>
      <c r="G23" s="566">
        <v>4.2006978871672498</v>
      </c>
      <c r="H23" s="566">
        <v>4.2328060585437797</v>
      </c>
      <c r="I23" s="566">
        <v>8.4580519266306506</v>
      </c>
      <c r="J23" s="566">
        <v>13.8156909705161</v>
      </c>
      <c r="K23" s="566">
        <v>14.1464381782716</v>
      </c>
      <c r="L23" s="566">
        <v>9.87942316127622</v>
      </c>
      <c r="M23" s="566">
        <v>2.5423694084206301</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127.919602677488</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-1.7254566772867099</v>
      </c>
      <c r="J34" s="566">
        <v>-1.7254566772867099</v>
      </c>
      <c r="K34" s="566">
        <v>-1.7254566772867099</v>
      </c>
      <c r="L34" s="566">
        <v>-1.7254566772867099</v>
      </c>
      <c r="M34" s="566">
        <v>-1.7254566772867099</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273.410063875341</v>
      </c>
      <c r="G36" s="566">
        <v>264.839478149679</v>
      </c>
      <c r="H36" s="566">
        <v>264.22376567687598</v>
      </c>
      <c r="I36" s="566">
        <v>277.99080734748799</v>
      </c>
      <c r="J36" s="566">
        <v>306.874526251193</v>
      </c>
      <c r="K36" s="566">
        <v>326.25828972856698</v>
      </c>
      <c r="L36" s="566">
        <v>336.70611012907</v>
      </c>
      <c r="M36" s="566">
        <v>334.03593667583601</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6.5000000000000002E-2</v>
      </c>
      <c r="G38" s="568">
        <v>5.5E-2</v>
      </c>
      <c r="H38" s="568">
        <v>5.5E-2</v>
      </c>
      <c r="I38" s="568">
        <v>4.8500000000000001E-2</v>
      </c>
      <c r="J38" s="568">
        <v>4.8500000000000001E-2</v>
      </c>
      <c r="K38" s="568">
        <v>4.8500000000000001E-2</v>
      </c>
      <c r="L38" s="568">
        <v>4.8500000000000001E-2</v>
      </c>
      <c r="M38" s="568">
        <v>4.8500000000000001E-2</v>
      </c>
      <c r="N38" s="568">
        <v>4.8500000000000001E-2</v>
      </c>
      <c r="O38" s="568"/>
    </row>
    <row r="39" spans="1:15">
      <c r="A39" t="s">
        <v>818</v>
      </c>
      <c r="B39" t="s">
        <v>533</v>
      </c>
      <c r="C39" t="s">
        <v>504</v>
      </c>
      <c r="D39" t="s">
        <v>499</v>
      </c>
      <c r="E39" t="s">
        <v>742</v>
      </c>
      <c r="F39" s="570"/>
      <c r="G39" s="570"/>
      <c r="H39" s="570"/>
      <c r="I39" s="570"/>
      <c r="J39" s="570"/>
      <c r="K39" s="570"/>
      <c r="L39" s="570"/>
      <c r="M39" s="570"/>
      <c r="N39" s="570">
        <v>5.9700000000000003E-2</v>
      </c>
      <c r="O39" s="570"/>
    </row>
    <row r="40" spans="1:15">
      <c r="A40" t="s">
        <v>818</v>
      </c>
      <c r="B40" t="s">
        <v>424</v>
      </c>
      <c r="C40" t="s">
        <v>8</v>
      </c>
      <c r="D40" t="s">
        <v>497</v>
      </c>
      <c r="E40" t="s">
        <v>742</v>
      </c>
      <c r="F40" s="566"/>
      <c r="G40" s="566"/>
      <c r="H40" s="566"/>
      <c r="I40" s="566">
        <v>9.8149999999999995</v>
      </c>
      <c r="J40" s="566">
        <v>23.376000000000001</v>
      </c>
      <c r="K40" s="566">
        <v>36.125999999999998</v>
      </c>
      <c r="L40" s="566">
        <v>33.591000000000001</v>
      </c>
      <c r="M40" s="566">
        <v>25.793977890000001</v>
      </c>
      <c r="N40" s="566"/>
      <c r="O40" s="566"/>
    </row>
    <row r="41" spans="1:15">
      <c r="A41" t="s">
        <v>818</v>
      </c>
      <c r="B41" t="s">
        <v>425</v>
      </c>
      <c r="C41" t="s">
        <v>65</v>
      </c>
      <c r="D41" t="s">
        <v>497</v>
      </c>
      <c r="E41" t="s">
        <v>742</v>
      </c>
      <c r="F41" s="566"/>
      <c r="G41" s="566"/>
      <c r="H41" s="566"/>
      <c r="I41" s="566">
        <v>5.399</v>
      </c>
      <c r="J41" s="566">
        <v>14.273</v>
      </c>
      <c r="K41" s="566">
        <v>19.132000000000001</v>
      </c>
      <c r="L41" s="566">
        <v>18.521000000000001</v>
      </c>
      <c r="M41" s="566">
        <v>18.287430499999999</v>
      </c>
      <c r="N41" s="566"/>
      <c r="O41" s="566"/>
    </row>
    <row r="42" spans="1:15">
      <c r="A42" t="s">
        <v>818</v>
      </c>
      <c r="B42" t="s">
        <v>426</v>
      </c>
      <c r="C42" t="s">
        <v>382</v>
      </c>
      <c r="D42" t="s">
        <v>497</v>
      </c>
      <c r="E42" t="s">
        <v>742</v>
      </c>
      <c r="F42" s="566"/>
      <c r="G42" s="566"/>
      <c r="H42" s="566"/>
      <c r="I42" s="566">
        <v>0.57299999999999995</v>
      </c>
      <c r="J42" s="566">
        <v>8.4570000000000007</v>
      </c>
      <c r="K42" s="566">
        <v>14.913</v>
      </c>
      <c r="L42" s="566">
        <v>5.1319999999999997</v>
      </c>
      <c r="M42" s="566">
        <v>2.13027313</v>
      </c>
      <c r="N42" s="566"/>
      <c r="O42" s="566"/>
    </row>
    <row r="43" spans="1:15">
      <c r="A43" t="s">
        <v>818</v>
      </c>
      <c r="B43" t="s">
        <v>427</v>
      </c>
      <c r="C43" t="s">
        <v>383</v>
      </c>
      <c r="D43" t="s">
        <v>497</v>
      </c>
      <c r="E43" t="s">
        <v>742</v>
      </c>
      <c r="F43" s="566"/>
      <c r="G43" s="566"/>
      <c r="H43" s="566"/>
      <c r="I43" s="566">
        <v>4.2670000000000003</v>
      </c>
      <c r="J43" s="566">
        <v>10.212999999999999</v>
      </c>
      <c r="K43" s="566">
        <v>14.378</v>
      </c>
      <c r="L43" s="566">
        <v>14.766</v>
      </c>
      <c r="M43" s="566">
        <v>8.7361794899999996</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3.1E-2</v>
      </c>
      <c r="M65" s="568">
        <v>3.1E-2</v>
      </c>
      <c r="N65" s="568"/>
      <c r="O65" s="568"/>
    </row>
    <row r="66" spans="1:15">
      <c r="A66" t="s">
        <v>818</v>
      </c>
      <c r="B66" t="s">
        <v>89</v>
      </c>
      <c r="C66" t="s">
        <v>91</v>
      </c>
      <c r="D66" t="s">
        <v>518</v>
      </c>
      <c r="E66" t="s">
        <v>742</v>
      </c>
      <c r="F66" s="569">
        <v>208.59166666666599</v>
      </c>
      <c r="G66" s="569">
        <v>214.78333333333299</v>
      </c>
      <c r="H66" s="569">
        <v>215.766666666666</v>
      </c>
      <c r="I66" s="569">
        <v>222.45543333333299</v>
      </c>
      <c r="J66" s="569">
        <v>228.461730033333</v>
      </c>
      <c r="K66" s="569">
        <v>235.087120204299</v>
      </c>
      <c r="L66" s="569">
        <v>242.37482093063301</v>
      </c>
      <c r="M66" s="569">
        <v>249.16131591669</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-2.1499999999999998E-2</v>
      </c>
      <c r="H68" s="568">
        <v>-5.8999999999999997E-2</v>
      </c>
      <c r="I68" s="568">
        <v>3.85E-2</v>
      </c>
      <c r="J68" s="568">
        <v>3.4500000000000003E-2</v>
      </c>
      <c r="K68" s="568">
        <v>3.6499999999999998E-2</v>
      </c>
      <c r="L68" s="568">
        <v>3.85E-2</v>
      </c>
      <c r="M68" s="568">
        <v>3.5499999999999997E-2</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3.6699999999999899E-2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21.591000000000001</v>
      </c>
      <c r="K10" s="221">
        <f>INDEX('F_Inputs BYR'!$B$4:$N$90,MATCH($C10,'F_Inputs BYR'!$B$4:$B$90,0),MATCH(K$2,'F_Inputs BYR'!$B$2:$N$2,0))</f>
        <v>25.234000000000002</v>
      </c>
      <c r="L10" s="221">
        <f>INDEX('F_Inputs BYR'!$B$4:$N$90,MATCH($C10,'F_Inputs BYR'!$B$4:$B$90,0),MATCH(L$2,'F_Inputs BYR'!$B$2:$N$2,0))</f>
        <v>25.286999999999999</v>
      </c>
      <c r="M10" s="221">
        <f>INDEX('F_Inputs BYR'!$B$4:$N$90,MATCH($C10,'F_Inputs BYR'!$B$4:$B$90,0),MATCH(M$2,'F_Inputs BYR'!$B$2:$N$2,0))</f>
        <v>27.077000000000002</v>
      </c>
      <c r="N10" s="395">
        <f>INDEX('F_Inputs BYR'!$B$4:$N$90,MATCH($C10,'F_Inputs BYR'!$B$4:$B$90,0),MATCH(N$2,'F_Inputs BYR'!$B$2:$N$2,0))</f>
        <v>26.503</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14.125999999999999</v>
      </c>
      <c r="K11" s="221">
        <f>INDEX('F_Inputs BYR'!$B$4:$N$90,MATCH($C11,'F_Inputs BYR'!$B$4:$B$90,0),MATCH(K$2,'F_Inputs BYR'!$B$2:$N$2,0))</f>
        <v>17.931000000000001</v>
      </c>
      <c r="L11" s="221">
        <f>INDEX('F_Inputs BYR'!$B$4:$N$90,MATCH($C11,'F_Inputs BYR'!$B$4:$B$90,0),MATCH(L$2,'F_Inputs BYR'!$B$2:$N$2,0))</f>
        <v>15.067</v>
      </c>
      <c r="M11" s="221">
        <f>INDEX('F_Inputs BYR'!$B$4:$N$90,MATCH($C11,'F_Inputs BYR'!$B$4:$B$90,0),MATCH(M$2,'F_Inputs BYR'!$B$2:$N$2,0))</f>
        <v>7.7969999999999997</v>
      </c>
      <c r="N11" s="395">
        <f>INDEX('F_Inputs BYR'!$B$4:$N$90,MATCH($C11,'F_Inputs BYR'!$B$4:$B$90,0),MATCH(N$2,'F_Inputs BYR'!$B$2:$N$2,0))</f>
        <v>5.9359999999999999</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10.823</v>
      </c>
      <c r="K12" s="221">
        <f>INDEX('F_Inputs BYR'!$B$4:$N$90,MATCH($C12,'F_Inputs BYR'!$B$4:$B$90,0),MATCH(K$2,'F_Inputs BYR'!$B$2:$N$2,0))</f>
        <v>17.779</v>
      </c>
      <c r="L12" s="221">
        <f>INDEX('F_Inputs BYR'!$B$4:$N$90,MATCH($C12,'F_Inputs BYR'!$B$4:$B$90,0),MATCH(L$2,'F_Inputs BYR'!$B$2:$N$2,0))</f>
        <v>11.446999999999999</v>
      </c>
      <c r="M12" s="221">
        <f>INDEX('F_Inputs BYR'!$B$4:$N$90,MATCH($C12,'F_Inputs BYR'!$B$4:$B$90,0),MATCH(M$2,'F_Inputs BYR'!$B$2:$N$2,0))</f>
        <v>14.250999999999999</v>
      </c>
      <c r="N12" s="395">
        <f>INDEX('F_Inputs BYR'!$B$4:$N$90,MATCH($C12,'F_Inputs BYR'!$B$4:$B$90,0),MATCH(N$2,'F_Inputs BYR'!$B$2:$N$2,0))</f>
        <v>22.138999999999999</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10.878</v>
      </c>
      <c r="K13" s="221">
        <f>INDEX('F_Inputs BYR'!$B$4:$N$90,MATCH($C13,'F_Inputs BYR'!$B$4:$B$90,0),MATCH(K$2,'F_Inputs BYR'!$B$2:$N$2,0))</f>
        <v>16.831</v>
      </c>
      <c r="L13" s="221">
        <f>INDEX('F_Inputs BYR'!$B$4:$N$90,MATCH($C13,'F_Inputs BYR'!$B$4:$B$90,0),MATCH(L$2,'F_Inputs BYR'!$B$2:$N$2,0))</f>
        <v>18.053000000000001</v>
      </c>
      <c r="M13" s="221">
        <f>INDEX('F_Inputs BYR'!$B$4:$N$90,MATCH($C13,'F_Inputs BYR'!$B$4:$B$90,0),MATCH(M$2,'F_Inputs BYR'!$B$2:$N$2,0))</f>
        <v>12.182</v>
      </c>
      <c r="N13" s="395">
        <f>INDEX('F_Inputs BYR'!$B$4:$N$90,MATCH($C13,'F_Inputs BYR'!$B$4:$B$90,0),MATCH(N$2,'F_Inputs BYR'!$B$2:$N$2,0))</f>
        <v>5.9379999999999997</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2.1970000000000001</v>
      </c>
      <c r="K14" s="221">
        <f>INDEX('F_Inputs BYR'!$B$4:$N$90,MATCH($C14,'F_Inputs BYR'!$B$4:$B$90,0),MATCH(K$2,'F_Inputs BYR'!$B$2:$N$2,0))</f>
        <v>3.2570000000000001</v>
      </c>
      <c r="L14" s="221">
        <f>INDEX('F_Inputs BYR'!$B$4:$N$90,MATCH($C14,'F_Inputs BYR'!$B$4:$B$90,0),MATCH(L$2,'F_Inputs BYR'!$B$2:$N$2,0))</f>
        <v>2.198</v>
      </c>
      <c r="M14" s="221">
        <f>INDEX('F_Inputs BYR'!$B$4:$N$90,MATCH($C14,'F_Inputs BYR'!$B$4:$B$90,0),MATCH(M$2,'F_Inputs BYR'!$B$2:$N$2,0))</f>
        <v>1.8380000000000001</v>
      </c>
      <c r="N14" s="395">
        <f>INDEX('F_Inputs BYR'!$B$4:$N$90,MATCH($C14,'F_Inputs BYR'!$B$4:$B$90,0),MATCH(N$2,'F_Inputs BYR'!$B$2:$N$2,0))</f>
        <v>2.758</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-1.2336934802411399</v>
      </c>
      <c r="K17" s="221">
        <f>INDEX('F_Inputs BYR'!$B$4:$N$90,MATCH($C17,'F_Inputs BYR'!$B$4:$B$90,0),MATCH(K$2,'F_Inputs BYR'!$B$2:$N$2,0))</f>
        <v>-2.0322837964087701</v>
      </c>
      <c r="L17" s="221">
        <f>INDEX('F_Inputs BYR'!$B$4:$N$90,MATCH($C17,'F_Inputs BYR'!$B$4:$B$90,0),MATCH(L$2,'F_Inputs BYR'!$B$2:$N$2,0))</f>
        <v>2.0103855804304902</v>
      </c>
      <c r="M17" s="221">
        <f>INDEX('F_Inputs BYR'!$B$4:$N$90,MATCH($C17,'F_Inputs BYR'!$B$4:$B$90,0),MATCH(M$2,'F_Inputs BYR'!$B$2:$N$2,0))</f>
        <v>2.0006427750176901</v>
      </c>
      <c r="N17" s="395">
        <f>INDEX('F_Inputs BYR'!$B$4:$N$90,MATCH($C17,'F_Inputs BYR'!$B$4:$B$90,0),MATCH(N$2,'F_Inputs BYR'!$B$2:$N$2,0))</f>
        <v>2.4350749212017302</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0</v>
      </c>
      <c r="K19" s="221">
        <f>INDEX('F_Inputs BYR'!$B$4:$N$90,MATCH($C19,'F_Inputs BYR'!$B$4:$B$90,0),MATCH(K$2,'F_Inputs BYR'!$B$2:$N$2,0))</f>
        <v>0</v>
      </c>
      <c r="L19" s="221">
        <f>INDEX('F_Inputs BYR'!$B$4:$N$90,MATCH($C19,'F_Inputs BYR'!$B$4:$B$90,0),MATCH(L$2,'F_Inputs BYR'!$B$2:$N$2,0))</f>
        <v>0</v>
      </c>
      <c r="M19" s="221">
        <f>INDEX('F_Inputs BYR'!$B$4:$N$90,MATCH($C19,'F_Inputs BYR'!$B$4:$B$90,0),MATCH(M$2,'F_Inputs BYR'!$B$2:$N$2,0))</f>
        <v>0</v>
      </c>
      <c r="N19" s="395">
        <f>INDEX('F_Inputs BYR'!$B$4:$N$90,MATCH($C19,'F_Inputs BYR'!$B$4:$B$90,0),MATCH(N$2,'F_Inputs BYR'!$B$2:$N$2,0))</f>
        <v>0</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0</v>
      </c>
      <c r="K20" s="221">
        <f>INDEX('F_Inputs BYR'!$B$4:$N$90,MATCH($C20,'F_Inputs BYR'!$B$4:$B$90,0),MATCH(K$2,'F_Inputs BYR'!$B$2:$N$2,0))</f>
        <v>0</v>
      </c>
      <c r="L20" s="221">
        <f>INDEX('F_Inputs BYR'!$B$4:$N$90,MATCH($C20,'F_Inputs BYR'!$B$4:$B$90,0),MATCH(L$2,'F_Inputs BYR'!$B$2:$N$2,0))</f>
        <v>0</v>
      </c>
      <c r="M20" s="221">
        <f>INDEX('F_Inputs BYR'!$B$4:$N$90,MATCH($C20,'F_Inputs BYR'!$B$4:$B$90,0),MATCH(M$2,'F_Inputs BYR'!$B$2:$N$2,0))</f>
        <v>0</v>
      </c>
      <c r="N20" s="395">
        <f>INDEX('F_Inputs BYR'!$B$4:$N$90,MATCH($C20,'F_Inputs BYR'!$B$4:$B$90,0),MATCH(N$2,'F_Inputs BYR'!$B$2:$N$2,0))</f>
        <v>0</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0</v>
      </c>
      <c r="K21" s="221">
        <f>INDEX('F_Inputs BYR'!$B$4:$N$90,MATCH($C21,'F_Inputs BYR'!$B$4:$B$90,0),MATCH(K$2,'F_Inputs BYR'!$B$2:$N$2,0))</f>
        <v>0</v>
      </c>
      <c r="L21" s="221">
        <f>INDEX('F_Inputs BYR'!$B$4:$N$90,MATCH($C21,'F_Inputs BYR'!$B$4:$B$90,0),MATCH(L$2,'F_Inputs BYR'!$B$2:$N$2,0))</f>
        <v>0</v>
      </c>
      <c r="M21" s="221">
        <f>INDEX('F_Inputs BYR'!$B$4:$N$90,MATCH($C21,'F_Inputs BYR'!$B$4:$B$90,0),MATCH(M$2,'F_Inputs BYR'!$B$2:$N$2,0))</f>
        <v>0</v>
      </c>
      <c r="N21" s="395">
        <f>INDEX('F_Inputs BYR'!$B$4:$N$90,MATCH($C21,'F_Inputs BYR'!$B$4:$B$90,0),MATCH(N$2,'F_Inputs BYR'!$B$2:$N$2,0))</f>
        <v>0</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0</v>
      </c>
      <c r="K22" s="221">
        <f>INDEX('F_Inputs BYR'!$B$4:$N$90,MATCH($C22,'F_Inputs BYR'!$B$4:$B$90,0),MATCH(K$2,'F_Inputs BYR'!$B$2:$N$2,0))</f>
        <v>0</v>
      </c>
      <c r="L22" s="221">
        <f>INDEX('F_Inputs BYR'!$B$4:$N$90,MATCH($C22,'F_Inputs BYR'!$B$4:$B$90,0),MATCH(L$2,'F_Inputs BYR'!$B$2:$N$2,0))</f>
        <v>0</v>
      </c>
      <c r="M22" s="221">
        <f>INDEX('F_Inputs BYR'!$B$4:$N$90,MATCH($C22,'F_Inputs BYR'!$B$4:$B$90,0),MATCH(M$2,'F_Inputs BYR'!$B$2:$N$2,0))</f>
        <v>0</v>
      </c>
      <c r="N22" s="395">
        <f>INDEX('F_Inputs BYR'!$B$4:$N$90,MATCH($C22,'F_Inputs BYR'!$B$4:$B$90,0),MATCH(N$2,'F_Inputs BYR'!$B$2:$N$2,0))</f>
        <v>0</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0</v>
      </c>
      <c r="K23" s="221">
        <f>INDEX('F_Inputs BYR'!$B$4:$N$90,MATCH($C23,'F_Inputs BYR'!$B$4:$B$90,0),MATCH(K$2,'F_Inputs BYR'!$B$2:$N$2,0))</f>
        <v>0</v>
      </c>
      <c r="L23" s="221">
        <f>INDEX('F_Inputs BYR'!$B$4:$N$90,MATCH($C23,'F_Inputs BYR'!$B$4:$B$90,0),MATCH(L$2,'F_Inputs BYR'!$B$2:$N$2,0))</f>
        <v>0</v>
      </c>
      <c r="M23" s="221">
        <f>INDEX('F_Inputs BYR'!$B$4:$N$90,MATCH($C23,'F_Inputs BYR'!$B$4:$B$90,0),MATCH(M$2,'F_Inputs BYR'!$B$2:$N$2,0))</f>
        <v>0</v>
      </c>
      <c r="N23" s="395">
        <f>INDEX('F_Inputs BYR'!$B$4:$N$90,MATCH($C23,'F_Inputs BYR'!$B$4:$B$90,0),MATCH(N$2,'F_Inputs BYR'!$B$2:$N$2,0))</f>
        <v>0</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0</v>
      </c>
      <c r="K24" s="221">
        <f>INDEX('F_Inputs BYR'!$B$4:$N$90,MATCH($C24,'F_Inputs BYR'!$B$4:$B$90,0),MATCH(K$2,'F_Inputs BYR'!$B$2:$N$2,0))</f>
        <v>0</v>
      </c>
      <c r="L24" s="221">
        <f>INDEX('F_Inputs BYR'!$B$4:$N$90,MATCH($C24,'F_Inputs BYR'!$B$4:$B$90,0),MATCH(L$2,'F_Inputs BYR'!$B$2:$N$2,0))</f>
        <v>0</v>
      </c>
      <c r="M24" s="221">
        <f>INDEX('F_Inputs BYR'!$B$4:$N$90,MATCH($C24,'F_Inputs BYR'!$B$4:$B$90,0),MATCH(M$2,'F_Inputs BYR'!$B$2:$N$2,0))</f>
        <v>0</v>
      </c>
      <c r="N24" s="395">
        <f>INDEX('F_Inputs BYR'!$B$4:$N$90,MATCH($C24,'F_Inputs BYR'!$B$4:$B$90,0),MATCH(N$2,'F_Inputs BYR'!$B$2:$N$2,0))</f>
        <v>0</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0</v>
      </c>
      <c r="K25" s="221">
        <f>INDEX('F_Inputs BYR'!$B$4:$N$90,MATCH($C25,'F_Inputs BYR'!$B$4:$B$90,0),MATCH(K$2,'F_Inputs BYR'!$B$2:$N$2,0))</f>
        <v>0</v>
      </c>
      <c r="L25" s="221">
        <f>INDEX('F_Inputs BYR'!$B$4:$N$90,MATCH($C25,'F_Inputs BYR'!$B$4:$B$90,0),MATCH(L$2,'F_Inputs BYR'!$B$2:$N$2,0))</f>
        <v>0</v>
      </c>
      <c r="M25" s="221">
        <f>INDEX('F_Inputs BYR'!$B$4:$N$90,MATCH($C25,'F_Inputs BYR'!$B$4:$B$90,0),MATCH(M$2,'F_Inputs BYR'!$B$2:$N$2,0))</f>
        <v>0</v>
      </c>
      <c r="N25" s="395">
        <f>INDEX('F_Inputs BYR'!$B$4:$N$90,MATCH($C25,'F_Inputs BYR'!$B$4:$B$90,0),MATCH(N$2,'F_Inputs BYR'!$B$2:$N$2,0))</f>
        <v>0</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16.923408944391301</v>
      </c>
      <c r="K30" s="221">
        <f>INDEX('F_Inputs BYR'!$B$4:$N$90,MATCH($C30,'F_Inputs BYR'!$B$4:$B$90,0),MATCH(K$2,'F_Inputs BYR'!$B$2:$N$2,0))</f>
        <v>19.760385971784899</v>
      </c>
      <c r="L30" s="221">
        <f>INDEX('F_Inputs BYR'!$B$4:$N$90,MATCH($C30,'F_Inputs BYR'!$B$4:$B$90,0),MATCH(L$2,'F_Inputs BYR'!$B$2:$N$2,0))</f>
        <v>19.823722925913799</v>
      </c>
      <c r="M30" s="221">
        <f>INDEX('F_Inputs BYR'!$B$4:$N$90,MATCH($C30,'F_Inputs BYR'!$B$4:$B$90,0),MATCH(M$2,'F_Inputs BYR'!$B$2:$N$2,0))</f>
        <v>21.167441797505301</v>
      </c>
      <c r="N30" s="395">
        <f>INDEX('F_Inputs BYR'!$B$4:$N$90,MATCH($C30,'F_Inputs BYR'!$B$4:$B$90,0),MATCH(N$2,'F_Inputs BYR'!$B$2:$N$2,0))</f>
        <v>20.986649173977799</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13.352425777721299</v>
      </c>
      <c r="K31" s="221">
        <f>INDEX('F_Inputs BYR'!$B$4:$N$90,MATCH($C31,'F_Inputs BYR'!$B$4:$B$90,0),MATCH(K$2,'F_Inputs BYR'!$B$2:$N$2,0))</f>
        <v>16.7731250605488</v>
      </c>
      <c r="L31" s="221">
        <f>INDEX('F_Inputs BYR'!$B$4:$N$90,MATCH($C31,'F_Inputs BYR'!$B$4:$B$90,0),MATCH(L$2,'F_Inputs BYR'!$B$2:$N$2,0))</f>
        <v>14.120046151652501</v>
      </c>
      <c r="M31" s="221">
        <f>INDEX('F_Inputs BYR'!$B$4:$N$90,MATCH($C31,'F_Inputs BYR'!$B$4:$B$90,0),MATCH(M$2,'F_Inputs BYR'!$B$2:$N$2,0))</f>
        <v>7.4963418469051302</v>
      </c>
      <c r="N31" s="395">
        <f>INDEX('F_Inputs BYR'!$B$4:$N$90,MATCH($C31,'F_Inputs BYR'!$B$4:$B$90,0),MATCH(N$2,'F_Inputs BYR'!$B$2:$N$2,0))</f>
        <v>5.7951506849097196</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8.8255752976846704</v>
      </c>
      <c r="K32" s="221">
        <f>INDEX('F_Inputs BYR'!$B$4:$N$90,MATCH($C32,'F_Inputs BYR'!$B$4:$B$90,0),MATCH(K$2,'F_Inputs BYR'!$B$2:$N$2,0))</f>
        <v>13.465797331332</v>
      </c>
      <c r="L32" s="221">
        <f>INDEX('F_Inputs BYR'!$B$4:$N$90,MATCH($C32,'F_Inputs BYR'!$B$4:$B$90,0),MATCH(L$2,'F_Inputs BYR'!$B$2:$N$2,0))</f>
        <v>6.6768268320489801</v>
      </c>
      <c r="M32" s="221">
        <f>INDEX('F_Inputs BYR'!$B$4:$N$90,MATCH($C32,'F_Inputs BYR'!$B$4:$B$90,0),MATCH(M$2,'F_Inputs BYR'!$B$2:$N$2,0))</f>
        <v>6.9561178457821802</v>
      </c>
      <c r="N32" s="395">
        <f>INDEX('F_Inputs BYR'!$B$4:$N$90,MATCH($C32,'F_Inputs BYR'!$B$4:$B$90,0),MATCH(N$2,'F_Inputs BYR'!$B$2:$N$2,0))</f>
        <v>2.5018963795191</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8.4580519266306506</v>
      </c>
      <c r="K33" s="221">
        <f>INDEX('F_Inputs BYR'!$B$4:$N$90,MATCH($C33,'F_Inputs BYR'!$B$4:$B$90,0),MATCH(K$2,'F_Inputs BYR'!$B$2:$N$2,0))</f>
        <v>13.8156909705161</v>
      </c>
      <c r="L33" s="221">
        <f>INDEX('F_Inputs BYR'!$B$4:$N$90,MATCH($C33,'F_Inputs BYR'!$B$4:$B$90,0),MATCH(L$2,'F_Inputs BYR'!$B$2:$N$2,0))</f>
        <v>14.1464381782716</v>
      </c>
      <c r="M33" s="221">
        <f>INDEX('F_Inputs BYR'!$B$4:$N$90,MATCH($C33,'F_Inputs BYR'!$B$4:$B$90,0),MATCH(M$2,'F_Inputs BYR'!$B$2:$N$2,0))</f>
        <v>9.87942316127622</v>
      </c>
      <c r="N33" s="395">
        <f>INDEX('F_Inputs BYR'!$B$4:$N$90,MATCH($C33,'F_Inputs BYR'!$B$4:$B$90,0),MATCH(N$2,'F_Inputs BYR'!$B$2:$N$2,0))</f>
        <v>2.5423694084206301</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0</v>
      </c>
      <c r="K37" s="221">
        <f>INDEX('F_Inputs BYR'!$B$4:$N$90,MATCH($C37,'F_Inputs BYR'!$B$4:$B$90,0),MATCH(K$2,'F_Inputs BYR'!$B$2:$N$2,0))</f>
        <v>0</v>
      </c>
      <c r="L37" s="221">
        <f>INDEX('F_Inputs BYR'!$B$4:$N$90,MATCH($C37,'F_Inputs BYR'!$B$4:$B$90,0),MATCH(L$2,'F_Inputs BYR'!$B$2:$N$2,0))</f>
        <v>0</v>
      </c>
      <c r="M37" s="221">
        <f>INDEX('F_Inputs BYR'!$B$4:$N$90,MATCH($C37,'F_Inputs BYR'!$B$4:$B$90,0),MATCH(M$2,'F_Inputs BYR'!$B$2:$N$2,0))</f>
        <v>0</v>
      </c>
      <c r="N37" s="395">
        <f>INDEX('F_Inputs BYR'!$B$4:$N$90,MATCH($C37,'F_Inputs BYR'!$B$4:$B$90,0),MATCH(N$2,'F_Inputs BYR'!$B$2:$N$2,0))</f>
        <v>0</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0</v>
      </c>
      <c r="K38" s="221">
        <f>INDEX('F_Inputs BYR'!$B$4:$N$90,MATCH($C38,'F_Inputs BYR'!$B$4:$B$90,0),MATCH(K$2,'F_Inputs BYR'!$B$2:$N$2,0))</f>
        <v>0</v>
      </c>
      <c r="L38" s="221">
        <f>INDEX('F_Inputs BYR'!$B$4:$N$90,MATCH($C38,'F_Inputs BYR'!$B$4:$B$90,0),MATCH(L$2,'F_Inputs BYR'!$B$2:$N$2,0))</f>
        <v>0</v>
      </c>
      <c r="M38" s="221">
        <f>INDEX('F_Inputs BYR'!$B$4:$N$90,MATCH($C38,'F_Inputs BYR'!$B$4:$B$90,0),MATCH(M$2,'F_Inputs BYR'!$B$2:$N$2,0))</f>
        <v>0</v>
      </c>
      <c r="N38" s="395">
        <f>INDEX('F_Inputs BYR'!$B$4:$N$90,MATCH($C38,'F_Inputs BYR'!$B$4:$B$90,0),MATCH(N$2,'F_Inputs BYR'!$B$2:$N$2,0))</f>
        <v>0</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0</v>
      </c>
      <c r="K39" s="221">
        <f>INDEX('F_Inputs BYR'!$B$4:$N$90,MATCH($C39,'F_Inputs BYR'!$B$4:$B$90,0),MATCH(K$2,'F_Inputs BYR'!$B$2:$N$2,0))</f>
        <v>0</v>
      </c>
      <c r="L39" s="221">
        <f>INDEX('F_Inputs BYR'!$B$4:$N$90,MATCH($C39,'F_Inputs BYR'!$B$4:$B$90,0),MATCH(L$2,'F_Inputs BYR'!$B$2:$N$2,0))</f>
        <v>0</v>
      </c>
      <c r="M39" s="221">
        <f>INDEX('F_Inputs BYR'!$B$4:$N$90,MATCH($C39,'F_Inputs BYR'!$B$4:$B$90,0),MATCH(M$2,'F_Inputs BYR'!$B$2:$N$2,0))</f>
        <v>0</v>
      </c>
      <c r="N39" s="395">
        <f>INDEX('F_Inputs BYR'!$B$4:$N$90,MATCH($C39,'F_Inputs BYR'!$B$4:$B$90,0),MATCH(N$2,'F_Inputs BYR'!$B$2:$N$2,0))</f>
        <v>0</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0</v>
      </c>
      <c r="K40" s="221">
        <f>INDEX('F_Inputs BYR'!$B$4:$N$90,MATCH($C40,'F_Inputs BYR'!$B$4:$B$90,0),MATCH(K$2,'F_Inputs BYR'!$B$2:$N$2,0))</f>
        <v>0</v>
      </c>
      <c r="L40" s="221">
        <f>INDEX('F_Inputs BYR'!$B$4:$N$90,MATCH($C40,'F_Inputs BYR'!$B$4:$B$90,0),MATCH(L$2,'F_Inputs BYR'!$B$2:$N$2,0))</f>
        <v>0</v>
      </c>
      <c r="M40" s="221">
        <f>INDEX('F_Inputs BYR'!$B$4:$N$90,MATCH($C40,'F_Inputs BYR'!$B$4:$B$90,0),MATCH(M$2,'F_Inputs BYR'!$B$2:$N$2,0))</f>
        <v>0</v>
      </c>
      <c r="N40" s="395">
        <f>INDEX('F_Inputs BYR'!$B$4:$N$90,MATCH($C40,'F_Inputs BYR'!$B$4:$B$90,0),MATCH(N$2,'F_Inputs BYR'!$B$2:$N$2,0))</f>
        <v>0</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0</v>
      </c>
      <c r="K41" s="221">
        <f>INDEX('F_Inputs BYR'!$B$4:$N$90,MATCH($C41,'F_Inputs BYR'!$B$4:$B$90,0),MATCH(K$2,'F_Inputs BYR'!$B$2:$N$2,0))</f>
        <v>0</v>
      </c>
      <c r="L41" s="221">
        <f>INDEX('F_Inputs BYR'!$B$4:$N$90,MATCH($C41,'F_Inputs BYR'!$B$4:$B$90,0),MATCH(L$2,'F_Inputs BYR'!$B$2:$N$2,0))</f>
        <v>0</v>
      </c>
      <c r="M41" s="221">
        <f>INDEX('F_Inputs BYR'!$B$4:$N$90,MATCH($C41,'F_Inputs BYR'!$B$4:$B$90,0),MATCH(M$2,'F_Inputs BYR'!$B$2:$N$2,0))</f>
        <v>0</v>
      </c>
      <c r="N41" s="395">
        <f>INDEX('F_Inputs BYR'!$B$4:$N$90,MATCH($C41,'F_Inputs BYR'!$B$4:$B$90,0),MATCH(N$2,'F_Inputs BYR'!$B$2:$N$2,0))</f>
        <v>0</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0</v>
      </c>
      <c r="K42" s="221">
        <f>INDEX('F_Inputs BYR'!$B$4:$N$90,MATCH($C42,'F_Inputs BYR'!$B$4:$B$90,0),MATCH(K$2,'F_Inputs BYR'!$B$2:$N$2,0))</f>
        <v>0</v>
      </c>
      <c r="L42" s="221">
        <f>INDEX('F_Inputs BYR'!$B$4:$N$90,MATCH($C42,'F_Inputs BYR'!$B$4:$B$90,0),MATCH(L$2,'F_Inputs BYR'!$B$2:$N$2,0))</f>
        <v>0</v>
      </c>
      <c r="M42" s="221">
        <f>INDEX('F_Inputs BYR'!$B$4:$N$90,MATCH($C42,'F_Inputs BYR'!$B$4:$B$90,0),MATCH(M$2,'F_Inputs BYR'!$B$2:$N$2,0))</f>
        <v>0</v>
      </c>
      <c r="N42" s="395">
        <f>INDEX('F_Inputs BYR'!$B$4:$N$90,MATCH($C42,'F_Inputs BYR'!$B$4:$B$90,0),MATCH(N$2,'F_Inputs BYR'!$B$2:$N$2,0))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-1.7254566772867099</v>
      </c>
      <c r="K49" s="221">
        <f>IF(INDEX('F_Inputs BYR'!$B$4:$N$90,MATCH($C49,'F_Inputs BYR'!$B$4:$B$90,0),MATCH(K$2,'F_Inputs BYR'!$B$2:$N$2,0))="","",INDEX('F_Inputs BYR'!$B$4:$N$90,MATCH($C49,'F_Inputs BYR'!$B$4:$B$90,0),MATCH(K$2,'F_Inputs BYR'!$B$2:$N$2,0)))</f>
        <v>-1.7254566772867099</v>
      </c>
      <c r="L49" s="221">
        <f>IF(INDEX('F_Inputs BYR'!$B$4:$N$90,MATCH($C49,'F_Inputs BYR'!$B$4:$B$90,0),MATCH(L$2,'F_Inputs BYR'!$B$2:$N$2,0))="","",INDEX('F_Inputs BYR'!$B$4:$N$90,MATCH($C49,'F_Inputs BYR'!$B$4:$B$90,0),MATCH(L$2,'F_Inputs BYR'!$B$2:$N$2,0)))</f>
        <v>-1.7254566772867099</v>
      </c>
      <c r="M49" s="221">
        <f>IF(INDEX('F_Inputs BYR'!$B$4:$N$90,MATCH($C49,'F_Inputs BYR'!$B$4:$B$90,0),MATCH(M$2,'F_Inputs BYR'!$B$2:$N$2,0))="","",INDEX('F_Inputs BYR'!$B$4:$N$90,MATCH($C49,'F_Inputs BYR'!$B$4:$B$90,0),MATCH(M$2,'F_Inputs BYR'!$B$2:$N$2,0)))</f>
        <v>-1.7254566772867099</v>
      </c>
      <c r="N49" s="395">
        <f>IF(INDEX('F_Inputs BYR'!$B$4:$N$90,MATCH($C49,'F_Inputs BYR'!$B$4:$B$90,0),MATCH(N$2,'F_Inputs BYR'!$B$2:$N$2,0))="","",INDEX('F_Inputs BYR'!$B$4:$N$90,MATCH($C49,'F_Inputs BYR'!$B$4:$B$90,0),MATCH(N$2,'F_Inputs BYR'!$B$2:$N$2,0)))</f>
        <v>-1.7254566772867099</v>
      </c>
      <c r="O49" s="217"/>
      <c r="P49" s="217"/>
      <c r="Q49" s="217"/>
      <c r="R49" s="222" t="s">
        <v>242</v>
      </c>
    </row>
    <row r="50" spans="1:18" s="138" customFormat="1">
      <c r="A50" s="432"/>
      <c r="B50" s="213"/>
      <c r="C50" s="154" t="s">
        <v>211</v>
      </c>
      <c r="D50" s="153" t="s">
        <v>57</v>
      </c>
      <c r="E50" s="216" t="s">
        <v>419</v>
      </c>
      <c r="F50" s="217"/>
      <c r="G50" s="223"/>
      <c r="H50" s="223"/>
      <c r="I50" s="223"/>
      <c r="J50" s="221" t="str">
        <f>IF(INDEX('F_Inputs BYR'!$B$4:$N$90,MATCH($C50,'F_Inputs BYR'!$B$4:$B$90,0),MATCH(J$2,'F_Inputs BYR'!$B$2:$N$2,0))="","",INDEX('F_Inputs BYR'!$B$4:$N$90,MATCH($C50,'F_Inputs BYR'!$B$4:$B$90,0),MATCH(J$2,'F_Inputs BYR'!$B$2:$N$2,0)))</f>
        <v/>
      </c>
      <c r="K50" s="221" t="str">
        <f>IF(INDEX('F_Inputs BYR'!$B$4:$N$90,MATCH($C50,'F_Inputs BYR'!$B$4:$B$90,0),MATCH(K$2,'F_Inputs BYR'!$B$2:$N$2,0))="","",INDEX('F_Inputs BYR'!$B$4:$N$90,MATCH($C50,'F_Inputs BYR'!$B$4:$B$90,0),MATCH(K$2,'F_Inputs BYR'!$B$2:$N$2,0)))</f>
        <v/>
      </c>
      <c r="L50" s="221" t="str">
        <f>IF(INDEX('F_Inputs BYR'!$B$4:$N$90,MATCH($C50,'F_Inputs BYR'!$B$4:$B$90,0),MATCH(L$2,'F_Inputs BYR'!$B$2:$N$2,0))="","",INDEX('F_Inputs BYR'!$B$4:$N$90,MATCH($C50,'F_Inputs BYR'!$B$4:$B$90,0),MATCH(L$2,'F_Inputs BYR'!$B$2:$N$2,0)))</f>
        <v/>
      </c>
      <c r="M50" s="221" t="str">
        <f>IF(INDEX('F_Inputs BYR'!$B$4:$N$90,MATCH($C50,'F_Inputs BYR'!$B$4:$B$90,0),MATCH(M$2,'F_Inputs BYR'!$B$2:$N$2,0))="","",INDEX('F_Inputs BYR'!$B$4:$N$90,MATCH($C50,'F_Inputs BYR'!$B$4:$B$90,0),MATCH(M$2,'F_Inputs BYR'!$B$2:$N$2,0)))</f>
        <v/>
      </c>
      <c r="N50" s="395" t="str">
        <f>IF(INDEX('F_Inputs BYR'!$B$4:$N$90,MATCH($C50,'F_Inputs BYR'!$B$4:$B$90,0),MATCH(N$2,'F_Inputs BYR'!$B$2:$N$2,0))="","",INDEX('F_Inputs BYR'!$B$4:$N$90,MATCH($C50,'F_Inputs BYR'!$B$4:$B$90,0),MATCH(N$2,'F_Inputs BYR'!$B$2:$N$2,0)))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264.22376567687598</v>
      </c>
      <c r="J54" s="221">
        <f>INDEX('F_Inputs BYR'!$B$4:$N$90,MATCH($C54,'F_Inputs BYR'!$B$4:$B$90,0),MATCH(J$2,'F_Inputs BYR'!$B$2:$N$2,0))</f>
        <v>277.99080734748799</v>
      </c>
      <c r="K54" s="221">
        <f>INDEX('F_Inputs BYR'!$B$4:$N$90,MATCH($C54,'F_Inputs BYR'!$B$4:$B$90,0),MATCH(K$2,'F_Inputs BYR'!$B$2:$N$2,0))</f>
        <v>306.874526251193</v>
      </c>
      <c r="L54" s="221">
        <f>INDEX('F_Inputs BYR'!$B$4:$N$90,MATCH($C54,'F_Inputs BYR'!$B$4:$B$90,0),MATCH(L$2,'F_Inputs BYR'!$B$2:$N$2,0))</f>
        <v>326.25828972856698</v>
      </c>
      <c r="M54" s="221">
        <f>INDEX('F_Inputs BYR'!$B$4:$N$90,MATCH($C54,'F_Inputs BYR'!$B$4:$B$90,0),MATCH(M$2,'F_Inputs BYR'!$B$2:$N$2,0))</f>
        <v>336.70611012907</v>
      </c>
      <c r="N54" s="395">
        <f>INDEX('F_Inputs BYR'!$B$4:$N$90,MATCH($C54,'F_Inputs BYR'!$B$4:$B$90,0),MATCH(N$2,'F_Inputs BYR'!$B$2:$N$2,0))</f>
        <v>334.03593667583601</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0</v>
      </c>
      <c r="J55" s="221">
        <f>INDEX('F_Inputs BYR'!$B$4:$N$90,MATCH($C55,'F_Inputs BYR'!$B$4:$B$90,0),MATCH(J$2,'F_Inputs BYR'!$B$2:$N$2,0))</f>
        <v>0</v>
      </c>
      <c r="K55" s="221">
        <f>INDEX('F_Inputs BYR'!$B$4:$N$90,MATCH($C55,'F_Inputs BYR'!$B$4:$B$90,0),MATCH(K$2,'F_Inputs BYR'!$B$2:$N$2,0))</f>
        <v>0</v>
      </c>
      <c r="L55" s="221">
        <f>INDEX('F_Inputs BYR'!$B$4:$N$90,MATCH($C55,'F_Inputs BYR'!$B$4:$B$90,0),MATCH(L$2,'F_Inputs BYR'!$B$2:$N$2,0))</f>
        <v>0</v>
      </c>
      <c r="M55" s="221">
        <f>INDEX('F_Inputs BYR'!$B$4:$N$90,MATCH($C55,'F_Inputs BYR'!$B$4:$B$90,0),MATCH(M$2,'F_Inputs BYR'!$B$2:$N$2,0))</f>
        <v>0</v>
      </c>
      <c r="N55" s="395">
        <f>INDEX('F_Inputs BYR'!$B$4:$N$90,MATCH($C55,'F_Inputs BYR'!$B$4:$B$90,0),MATCH(N$2,'F_Inputs BYR'!$B$2:$N$2,0))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4.8500000000000001E-2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5.9700000000000003E-2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9.8149999999999995</v>
      </c>
      <c r="K65" s="221">
        <f>INDEX('F_Inputs BYR'!$B$4:$N$90,MATCH($C65,'F_Inputs BYR'!$B$4:$B$90,0),MATCH(K$2,'F_Inputs BYR'!$B$2:$N$2,0))</f>
        <v>23.376000000000001</v>
      </c>
      <c r="L65" s="221">
        <f>INDEX('F_Inputs BYR'!$B$4:$N$90,MATCH($C65,'F_Inputs BYR'!$B$4:$B$90,0),MATCH(L$2,'F_Inputs BYR'!$B$2:$N$2,0))</f>
        <v>36.125999999999998</v>
      </c>
      <c r="M65" s="221">
        <f>INDEX('F_Inputs BYR'!$B$4:$N$90,MATCH($C65,'F_Inputs BYR'!$B$4:$B$90,0),MATCH(M$2,'F_Inputs BYR'!$B$2:$N$2,0))</f>
        <v>33.591000000000001</v>
      </c>
      <c r="N65" s="395">
        <f>INDEX('F_Inputs BYR'!$B$4:$N$90,MATCH($C65,'F_Inputs BYR'!$B$4:$B$90,0),MATCH(N$2,'F_Inputs BYR'!$B$2:$N$2,0))</f>
        <v>25.793977890000001</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5.399</v>
      </c>
      <c r="K66" s="221">
        <f>INDEX('F_Inputs BYR'!$B$4:$N$90,MATCH($C66,'F_Inputs BYR'!$B$4:$B$90,0),MATCH(K$2,'F_Inputs BYR'!$B$2:$N$2,0))</f>
        <v>14.273</v>
      </c>
      <c r="L66" s="221">
        <f>INDEX('F_Inputs BYR'!$B$4:$N$90,MATCH($C66,'F_Inputs BYR'!$B$4:$B$90,0),MATCH(L$2,'F_Inputs BYR'!$B$2:$N$2,0))</f>
        <v>19.132000000000001</v>
      </c>
      <c r="M66" s="221">
        <f>INDEX('F_Inputs BYR'!$B$4:$N$90,MATCH($C66,'F_Inputs BYR'!$B$4:$B$90,0),MATCH(M$2,'F_Inputs BYR'!$B$2:$N$2,0))</f>
        <v>18.521000000000001</v>
      </c>
      <c r="N66" s="395">
        <f>INDEX('F_Inputs BYR'!$B$4:$N$90,MATCH($C66,'F_Inputs BYR'!$B$4:$B$90,0),MATCH(N$2,'F_Inputs BYR'!$B$2:$N$2,0))</f>
        <v>18.287430499999999</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0.57299999999999995</v>
      </c>
      <c r="K67" s="221">
        <f>INDEX('F_Inputs BYR'!$B$4:$N$90,MATCH($C67,'F_Inputs BYR'!$B$4:$B$90,0),MATCH(K$2,'F_Inputs BYR'!$B$2:$N$2,0))</f>
        <v>8.4570000000000007</v>
      </c>
      <c r="L67" s="221">
        <f>INDEX('F_Inputs BYR'!$B$4:$N$90,MATCH($C67,'F_Inputs BYR'!$B$4:$B$90,0),MATCH(L$2,'F_Inputs BYR'!$B$2:$N$2,0))</f>
        <v>14.913</v>
      </c>
      <c r="M67" s="221">
        <f>INDEX('F_Inputs BYR'!$B$4:$N$90,MATCH($C67,'F_Inputs BYR'!$B$4:$B$90,0),MATCH(M$2,'F_Inputs BYR'!$B$2:$N$2,0))</f>
        <v>5.1319999999999997</v>
      </c>
      <c r="N67" s="395">
        <f>INDEX('F_Inputs BYR'!$B$4:$N$90,MATCH($C67,'F_Inputs BYR'!$B$4:$B$90,0),MATCH(N$2,'F_Inputs BYR'!$B$2:$N$2,0))</f>
        <v>2.13027313</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4.2670000000000003</v>
      </c>
      <c r="K68" s="221">
        <f>INDEX('F_Inputs BYR'!$B$4:$N$90,MATCH($C68,'F_Inputs BYR'!$B$4:$B$90,0),MATCH(K$2,'F_Inputs BYR'!$B$2:$N$2,0))</f>
        <v>10.212999999999999</v>
      </c>
      <c r="L68" s="221">
        <f>INDEX('F_Inputs BYR'!$B$4:$N$90,MATCH($C68,'F_Inputs BYR'!$B$4:$B$90,0),MATCH(L$2,'F_Inputs BYR'!$B$2:$N$2,0))</f>
        <v>14.378</v>
      </c>
      <c r="M68" s="221">
        <f>INDEX('F_Inputs BYR'!$B$4:$N$90,MATCH($C68,'F_Inputs BYR'!$B$4:$B$90,0),MATCH(M$2,'F_Inputs BYR'!$B$2:$N$2,0))</f>
        <v>14.766</v>
      </c>
      <c r="N68" s="395">
        <f>INDEX('F_Inputs BYR'!$B$4:$N$90,MATCH($C68,'F_Inputs BYR'!$B$4:$B$90,0),MATCH(N$2,'F_Inputs BYR'!$B$2:$N$2,0))</f>
        <v>8.7361794899999996</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0</v>
      </c>
      <c r="K72" s="221">
        <f>INDEX('F_Inputs BYR'!$B$4:$N$90,MATCH($C72,'F_Inputs BYR'!$B$4:$B$90,0),MATCH(K$2,'F_Inputs BYR'!$B$2:$N$2,0))</f>
        <v>0</v>
      </c>
      <c r="L72" s="221">
        <f>INDEX('F_Inputs BYR'!$B$4:$N$90,MATCH($C72,'F_Inputs BYR'!$B$4:$B$90,0),MATCH(L$2,'F_Inputs BYR'!$B$2:$N$2,0))</f>
        <v>0</v>
      </c>
      <c r="M72" s="221">
        <f>INDEX('F_Inputs BYR'!$B$4:$N$90,MATCH($C72,'F_Inputs BYR'!$B$4:$B$90,0),MATCH(M$2,'F_Inputs BYR'!$B$2:$N$2,0))</f>
        <v>0</v>
      </c>
      <c r="N72" s="395">
        <f>INDEX('F_Inputs BYR'!$B$4:$N$90,MATCH($C72,'F_Inputs BYR'!$B$4:$B$90,0),MATCH(N$2,'F_Inputs BYR'!$B$2:$N$2,0))</f>
        <v>0</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0</v>
      </c>
      <c r="K73" s="221">
        <f>INDEX('F_Inputs BYR'!$B$4:$N$90,MATCH($C73,'F_Inputs BYR'!$B$4:$B$90,0),MATCH(K$2,'F_Inputs BYR'!$B$2:$N$2,0))</f>
        <v>0</v>
      </c>
      <c r="L73" s="221">
        <f>INDEX('F_Inputs BYR'!$B$4:$N$90,MATCH($C73,'F_Inputs BYR'!$B$4:$B$90,0),MATCH(L$2,'F_Inputs BYR'!$B$2:$N$2,0))</f>
        <v>0</v>
      </c>
      <c r="M73" s="221">
        <f>INDEX('F_Inputs BYR'!$B$4:$N$90,MATCH($C73,'F_Inputs BYR'!$B$4:$B$90,0),MATCH(M$2,'F_Inputs BYR'!$B$2:$N$2,0))</f>
        <v>0</v>
      </c>
      <c r="N73" s="395">
        <f>INDEX('F_Inputs BYR'!$B$4:$N$90,MATCH($C73,'F_Inputs BYR'!$B$4:$B$90,0),MATCH(N$2,'F_Inputs BYR'!$B$2:$N$2,0))</f>
        <v>0</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0</v>
      </c>
      <c r="K74" s="221">
        <f>INDEX('F_Inputs BYR'!$B$4:$N$90,MATCH($C74,'F_Inputs BYR'!$B$4:$B$90,0),MATCH(K$2,'F_Inputs BYR'!$B$2:$N$2,0))</f>
        <v>0</v>
      </c>
      <c r="L74" s="221">
        <f>INDEX('F_Inputs BYR'!$B$4:$N$90,MATCH($C74,'F_Inputs BYR'!$B$4:$B$90,0),MATCH(L$2,'F_Inputs BYR'!$B$2:$N$2,0))</f>
        <v>0</v>
      </c>
      <c r="M74" s="221">
        <f>INDEX('F_Inputs BYR'!$B$4:$N$90,MATCH($C74,'F_Inputs BYR'!$B$4:$B$90,0),MATCH(M$2,'F_Inputs BYR'!$B$2:$N$2,0))</f>
        <v>0</v>
      </c>
      <c r="N74" s="395">
        <f>INDEX('F_Inputs BYR'!$B$4:$N$90,MATCH($C74,'F_Inputs BYR'!$B$4:$B$90,0),MATCH(N$2,'F_Inputs BYR'!$B$2:$N$2,0))</f>
        <v>0</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0</v>
      </c>
      <c r="K75" s="221">
        <f>INDEX('F_Inputs BYR'!$B$4:$N$90,MATCH($C75,'F_Inputs BYR'!$B$4:$B$90,0),MATCH(K$2,'F_Inputs BYR'!$B$2:$N$2,0))</f>
        <v>0</v>
      </c>
      <c r="L75" s="221">
        <f>INDEX('F_Inputs BYR'!$B$4:$N$90,MATCH($C75,'F_Inputs BYR'!$B$4:$B$90,0),MATCH(L$2,'F_Inputs BYR'!$B$2:$N$2,0))</f>
        <v>0</v>
      </c>
      <c r="M75" s="221">
        <f>INDEX('F_Inputs BYR'!$B$4:$N$90,MATCH($C75,'F_Inputs BYR'!$B$4:$B$90,0),MATCH(M$2,'F_Inputs BYR'!$B$2:$N$2,0))</f>
        <v>0</v>
      </c>
      <c r="N75" s="395">
        <f>INDEX('F_Inputs BYR'!$B$4:$N$90,MATCH($C75,'F_Inputs BYR'!$B$4:$B$90,0),MATCH(N$2,'F_Inputs BYR'!$B$2:$N$2,0))</f>
        <v>0</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0</v>
      </c>
      <c r="K76" s="221">
        <f>INDEX('F_Inputs BYR'!$B$4:$N$90,MATCH($C76,'F_Inputs BYR'!$B$4:$B$90,0),MATCH(K$2,'F_Inputs BYR'!$B$2:$N$2,0))</f>
        <v>0</v>
      </c>
      <c r="L76" s="221">
        <f>INDEX('F_Inputs BYR'!$B$4:$N$90,MATCH($C76,'F_Inputs BYR'!$B$4:$B$90,0),MATCH(L$2,'F_Inputs BYR'!$B$2:$N$2,0))</f>
        <v>0</v>
      </c>
      <c r="M76" s="221">
        <f>INDEX('F_Inputs BYR'!$B$4:$N$90,MATCH($C76,'F_Inputs BYR'!$B$4:$B$90,0),MATCH(M$2,'F_Inputs BYR'!$B$2:$N$2,0))</f>
        <v>0</v>
      </c>
      <c r="N76" s="395">
        <f>INDEX('F_Inputs BYR'!$B$4:$N$90,MATCH($C76,'F_Inputs BYR'!$B$4:$B$90,0),MATCH(N$2,'F_Inputs BYR'!$B$2:$N$2,0))</f>
        <v>0</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0</v>
      </c>
      <c r="K77" s="221">
        <f>INDEX('F_Inputs BYR'!$B$4:$N$90,MATCH($C77,'F_Inputs BYR'!$B$4:$B$90,0),MATCH(K$2,'F_Inputs BYR'!$B$2:$N$2,0))</f>
        <v>0</v>
      </c>
      <c r="L77" s="221">
        <f>INDEX('F_Inputs BYR'!$B$4:$N$90,MATCH($C77,'F_Inputs BYR'!$B$4:$B$90,0),MATCH(L$2,'F_Inputs BYR'!$B$2:$N$2,0))</f>
        <v>0</v>
      </c>
      <c r="M77" s="221">
        <f>INDEX('F_Inputs BYR'!$B$4:$N$90,MATCH($C77,'F_Inputs BYR'!$B$4:$B$90,0),MATCH(M$2,'F_Inputs BYR'!$B$2:$N$2,0))</f>
        <v>0</v>
      </c>
      <c r="N77" s="395">
        <f>INDEX('F_Inputs BYR'!$B$4:$N$90,MATCH($C77,'F_Inputs BYR'!$B$4:$B$90,0),MATCH(N$2,'F_Inputs BYR'!$B$2:$N$2,0))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BYR'!$B$4:$N$90,MATCH($C85,'F_Inputs BYR'!$B$4:$B$90,0),MATCH(J$2,'F_Inputs BYR'!$B$2:$N$2,0))</f>
        <v>0</v>
      </c>
      <c r="K85" s="221">
        <f>INDEX('F_Inputs BYR'!$B$4:$N$90,MATCH($C85,'F_Inputs BYR'!$B$4:$B$90,0),MATCH(K$2,'F_Inputs BYR'!$B$2:$N$2,0))</f>
        <v>0</v>
      </c>
      <c r="L85" s="221">
        <f>INDEX('F_Inputs BYR'!$B$4:$N$90,MATCH($C85,'F_Inputs BYR'!$B$4:$B$90,0),MATCH(L$2,'F_Inputs BYR'!$B$2:$N$2,0))</f>
        <v>0</v>
      </c>
      <c r="M85" s="221">
        <f>INDEX('F_Inputs BYR'!$B$4:$N$90,MATCH($C85,'F_Inputs BYR'!$B$4:$B$90,0),MATCH(M$2,'F_Inputs BYR'!$B$2:$N$2,0))</f>
        <v>0</v>
      </c>
      <c r="N85" s="395">
        <f>INDEX('F_Inputs BYR'!$B$4:$N$90,MATCH($C85,'F_Inputs BYR'!$B$4:$B$90,0),MATCH(N$2,'F_Inputs BYR'!$B$2:$N$2,0))</f>
        <v>0</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v>
      </c>
      <c r="K86" s="221">
        <f>INDEX('F_Inputs BYR'!$B$4:$N$90,MATCH($C86,'F_Inputs BYR'!$B$4:$B$90,0),MATCH(K$2,'F_Inputs BYR'!$B$2:$N$2,0))</f>
        <v>0</v>
      </c>
      <c r="L86" s="221">
        <f>INDEX('F_Inputs BYR'!$B$4:$N$90,MATCH($C86,'F_Inputs BYR'!$B$4:$B$90,0),MATCH(L$2,'F_Inputs BYR'!$B$2:$N$2,0))</f>
        <v>0</v>
      </c>
      <c r="M86" s="221">
        <f>INDEX('F_Inputs BYR'!$B$4:$N$90,MATCH($C86,'F_Inputs BYR'!$B$4:$B$90,0),MATCH(M$2,'F_Inputs BYR'!$B$2:$N$2,0))</f>
        <v>0</v>
      </c>
      <c r="N86" s="395">
        <f>INDEX('F_Inputs BYR'!$B$4:$N$90,MATCH($C86,'F_Inputs BYR'!$B$4:$B$90,0),MATCH(N$2,'F_Inputs BYR'!$B$2:$N$2,0))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0</v>
      </c>
      <c r="K88" s="221">
        <f>INDEX('F_Inputs BYR'!$B$4:$N$90,MATCH($C88,'F_Inputs BYR'!$B$4:$B$90,0),MATCH(K$2,'F_Inputs BYR'!$B$2:$N$2,0))</f>
        <v>0</v>
      </c>
      <c r="L88" s="221">
        <f>INDEX('F_Inputs BYR'!$B$4:$N$90,MATCH($C88,'F_Inputs BYR'!$B$4:$B$90,0),MATCH(L$2,'F_Inputs BYR'!$B$2:$N$2,0))</f>
        <v>0</v>
      </c>
      <c r="M88" s="221">
        <f>INDEX('F_Inputs BYR'!$B$4:$N$90,MATCH($C88,'F_Inputs BYR'!$B$4:$B$90,0),MATCH(M$2,'F_Inputs BYR'!$B$2:$N$2,0))</f>
        <v>0</v>
      </c>
      <c r="N88" s="395">
        <f>INDEX('F_Inputs BYR'!$B$4:$N$90,MATCH($C88,'F_Inputs BYR'!$B$4:$B$90,0),MATCH(N$2,'F_Inputs BYR'!$B$2:$N$2,0))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0</v>
      </c>
      <c r="K93" s="221">
        <f>INDEX('F_Inputs BYR'!$B$4:$N$90,MATCH($C93,'F_Inputs BYR'!$B$4:$B$90,0),MATCH(K$2,'F_Inputs BYR'!$B$2:$N$2,0))</f>
        <v>0</v>
      </c>
      <c r="L93" s="221">
        <f>INDEX('F_Inputs BYR'!$B$4:$N$90,MATCH($C93,'F_Inputs BYR'!$B$4:$B$90,0),MATCH(L$2,'F_Inputs BYR'!$B$2:$N$2,0))</f>
        <v>0</v>
      </c>
      <c r="M93" s="221">
        <f>INDEX('F_Inputs BYR'!$B$4:$N$90,MATCH($C93,'F_Inputs BYR'!$B$4:$B$90,0),MATCH(M$2,'F_Inputs BYR'!$B$2:$N$2,0))</f>
        <v>0</v>
      </c>
      <c r="N93" s="395">
        <f>INDEX('F_Inputs BYR'!$B$4:$N$90,MATCH($C93,'F_Inputs BYR'!$B$4:$B$90,0),MATCH(N$2,'F_Inputs BYR'!$B$2:$N$2,0))</f>
        <v>0</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0</v>
      </c>
      <c r="K94" s="221">
        <f>INDEX('F_Inputs BYR'!$B$4:$N$90,MATCH($C94,'F_Inputs BYR'!$B$4:$B$90,0),MATCH(K$2,'F_Inputs BYR'!$B$2:$N$2,0))</f>
        <v>0</v>
      </c>
      <c r="L94" s="221">
        <f>INDEX('F_Inputs BYR'!$B$4:$N$90,MATCH($C94,'F_Inputs BYR'!$B$4:$B$90,0),MATCH(L$2,'F_Inputs BYR'!$B$2:$N$2,0))</f>
        <v>0</v>
      </c>
      <c r="M94" s="221">
        <f>INDEX('F_Inputs BYR'!$B$4:$N$90,MATCH($C94,'F_Inputs BYR'!$B$4:$B$90,0),MATCH(M$2,'F_Inputs BYR'!$B$2:$N$2,0))</f>
        <v>0</v>
      </c>
      <c r="N94" s="395">
        <f>INDEX('F_Inputs BYR'!$B$4:$N$90,MATCH($C94,'F_Inputs BYR'!$B$4:$B$90,0),MATCH(N$2,'F_Inputs BYR'!$B$2:$N$2,0))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v>
      </c>
      <c r="K96" s="221">
        <f>INDEX('F_Inputs BYR'!$B$4:$N$90,MATCH($C96,'F_Inputs BYR'!$B$4:$B$90,0),MATCH(K$2,'F_Inputs BYR'!$B$2:$N$2,0))</f>
        <v>0</v>
      </c>
      <c r="L96" s="221">
        <f>INDEX('F_Inputs BYR'!$B$4:$N$90,MATCH($C96,'F_Inputs BYR'!$B$4:$B$90,0),MATCH(L$2,'F_Inputs BYR'!$B$2:$N$2,0))</f>
        <v>0</v>
      </c>
      <c r="M96" s="221">
        <f>INDEX('F_Inputs BYR'!$B$4:$N$90,MATCH($C96,'F_Inputs BYR'!$B$4:$B$90,0),MATCH(M$2,'F_Inputs BYR'!$B$2:$N$2,0))</f>
        <v>0</v>
      </c>
      <c r="N96" s="395">
        <f>INDEX('F_Inputs BYR'!$B$4:$N$90,MATCH($C96,'F_Inputs BYR'!$B$4:$B$90,0),MATCH(N$2,'F_Inputs BYR'!$B$2:$N$2,0))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3.1E-2</v>
      </c>
      <c r="N107" s="416">
        <f>INDEX('F_Inputs BYR'!$B$4:$N$90,MATCH($C107,'F_Inputs BYR'!$B$4:$B$90,0),MATCH(N$2,'F_Inputs BYR'!$B$2:$N$2,0))</f>
        <v>3.1E-2</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215.766666666666</v>
      </c>
      <c r="J111" s="564">
        <f>INDEX('F_Inputs BYR'!$B$4:$N$90,MATCH($C111,'F_Inputs BYR'!$B$4:$B$90,0),MATCH(J$2,'F_Inputs BYR'!$B$2:$N$2,0))</f>
        <v>222.45543333333299</v>
      </c>
      <c r="K111" s="564">
        <f>INDEX('F_Inputs BYR'!$B$4:$N$90,MATCH($C111,'F_Inputs BYR'!$B$4:$B$90,0),MATCH(K$2,'F_Inputs BYR'!$B$2:$N$2,0))</f>
        <v>228.461730033333</v>
      </c>
      <c r="L111" s="564">
        <f>INDEX('F_Inputs BYR'!$B$4:$N$90,MATCH($C111,'F_Inputs BYR'!$B$4:$B$90,0),MATCH(L$2,'F_Inputs BYR'!$B$2:$N$2,0))</f>
        <v>235.087120204299</v>
      </c>
      <c r="M111" s="564">
        <f>INDEX('F_Inputs BYR'!$B$4:$N$90,MATCH($C111,'F_Inputs BYR'!$B$4:$B$90,0),MATCH(M$2,'F_Inputs BYR'!$B$2:$N$2,0))</f>
        <v>242.37482093063301</v>
      </c>
      <c r="N111" s="565">
        <f>INDEX('F_Inputs BYR'!$B$4:$N$90,MATCH($C111,'F_Inputs BYR'!$B$4:$B$90,0),MATCH(N$2,'F_Inputs BYR'!$B$2:$N$2,0))</f>
        <v>249.16131591669</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-2.1499999999999998E-2</v>
      </c>
      <c r="I114" s="355">
        <f>INDEX('F_Inputs BYR'!$B$4:$N$90,MATCH($C114,'F_Inputs BYR'!$B$4:$B$90,0),MATCH(I$2,'F_Inputs BYR'!$B$2:$N$2,0))</f>
        <v>-5.8999999999999997E-2</v>
      </c>
      <c r="J114" s="355">
        <f>INDEX('F_Inputs BYR'!$B$4:$N$90,MATCH($C114,'F_Inputs BYR'!$B$4:$B$90,0),MATCH(J$2,'F_Inputs BYR'!$B$2:$N$2,0))</f>
        <v>3.85E-2</v>
      </c>
      <c r="K114" s="355">
        <f>INDEX('F_Inputs BYR'!$B$4:$N$90,MATCH($C114,'F_Inputs BYR'!$B$4:$B$90,0),MATCH(K$2,'F_Inputs BYR'!$B$2:$N$2,0))</f>
        <v>3.4500000000000003E-2</v>
      </c>
      <c r="L114" s="355">
        <f>INDEX('F_Inputs BYR'!$B$4:$N$90,MATCH($C114,'F_Inputs BYR'!$B$4:$B$90,0),MATCH(L$2,'F_Inputs BYR'!$B$2:$N$2,0))</f>
        <v>3.6499999999999998E-2</v>
      </c>
      <c r="M114" s="355">
        <f>INDEX('F_Inputs BYR'!$B$4:$N$90,MATCH($C114,'F_Inputs BYR'!$B$4:$B$90,0),MATCH(M$2,'F_Inputs BYR'!$B$2:$N$2,0))</f>
        <v>3.85E-2</v>
      </c>
      <c r="N114" s="416">
        <f>INDEX('F_Inputs BYR'!$B$4:$N$90,MATCH($C114,'F_Inputs BYR'!$B$4:$B$90,0),MATCH(N$2,'F_Inputs BYR'!$B$2:$N$2,0))</f>
        <v>3.5499999999999997E-2</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825</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3.6699999999999899E-2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1</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0</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4.5782571583752318E-3</v>
      </c>
      <c r="J25" s="359">
        <f>IF(J$5=1,0,'Input BYR'!J111/'Input BYR'!I111-1)</f>
        <v>3.1000000000001693E-2</v>
      </c>
      <c r="K25" s="359">
        <f>IF(K$5=1,0,'Input BYR'!K111/'Input BYR'!J111-1)</f>
        <v>2.7000000000000135E-2</v>
      </c>
      <c r="L25" s="359">
        <f>IF(L$5=1,0,'Input BYR'!L111/'Input BYR'!K111-1)</f>
        <v>2.8999999999997028E-2</v>
      </c>
      <c r="M25" s="359">
        <f>IF(M$5=1,0,'Input BYR'!M111/'Input BYR'!L111-1)</f>
        <v>3.1000000000003247E-2</v>
      </c>
      <c r="N25" s="376">
        <f>IF(N$5=1,0,'Input BYR'!N111/'Input BYR'!M111-1)</f>
        <v>2.7999999999996916E-2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0.96674648540089592</v>
      </c>
      <c r="J26" s="144">
        <f>'Input BYR'!$G$111/'Input BYR'!J111</f>
        <v>0.93767845334713329</v>
      </c>
      <c r="K26" s="144">
        <f>'Input BYR'!$G$111/'Input BYR'!K111</f>
        <v>0.91302673159409264</v>
      </c>
      <c r="L26" s="144">
        <f>'Input BYR'!$G$111/'Input BYR'!L111</f>
        <v>0.88729517161719651</v>
      </c>
      <c r="M26" s="144">
        <f>'Input BYR'!$G$111/'Input BYR'!M111</f>
        <v>0.86061607334354395</v>
      </c>
      <c r="N26" s="377">
        <f>'Input BYR'!$G$111/'Input BYR'!N111</f>
        <v>0.83717516862212693</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108.90705</v>
      </c>
      <c r="I28" s="134">
        <f>IF('Input BYR'!I113=0,H28*(1+'Input BYR'!I114),'Input BYR'!I113)</f>
        <v>102.48153405000001</v>
      </c>
      <c r="J28" s="135">
        <f>IF('Input BYR'!J113=0,I28*(1+'Input BYR'!J114),'Input BYR'!J113)</f>
        <v>106.42707311092501</v>
      </c>
      <c r="K28" s="135">
        <f>IF('Input BYR'!K113=0,J28*(1+'Input BYR'!K114),'Input BYR'!K113)</f>
        <v>110.09880713325192</v>
      </c>
      <c r="L28" s="135">
        <f>IF('Input BYR'!L113=0,K28*(1+'Input BYR'!L114),'Input BYR'!L113)</f>
        <v>114.11741359361562</v>
      </c>
      <c r="M28" s="135">
        <f>IF('Input BYR'!M113=0,L28*(1+'Input BYR'!M114),'Input BYR'!M113)</f>
        <v>118.51093401696983</v>
      </c>
      <c r="N28" s="375">
        <f>IF('Input BYR'!N113=0,M28*(1+'Input BYR'!N114),'Input BYR'!N113)</f>
        <v>122.71807217457227</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0.97850000000000004</v>
      </c>
      <c r="I29" s="143">
        <f>IF(OR(I$5&lt;4,'Input BYR'!$O$152=0),I28/$G$28,H29*(1+('Input BYR'!I$111/'Input BYR'!H$111-1)))</f>
        <v>0.9207685000000001</v>
      </c>
      <c r="J29" s="152">
        <f>IF(OR(J$5&lt;4,'Input BYR'!$O$152=0),J28/$G$28,I29*(1+('Input BYR'!J$111/'Input BYR'!I$111-1)))</f>
        <v>0.95621808725000013</v>
      </c>
      <c r="K29" s="152">
        <f>IF(OR(K$5&lt;4,'Input BYR'!$O$152=0),K28/$G$28,J29*(1+('Input BYR'!K$111/'Input BYR'!J$111-1)))</f>
        <v>0.98920761126012513</v>
      </c>
      <c r="L29" s="152">
        <f>IF(OR(L$5&lt;4,'Input BYR'!$O$152=0),L28/$G$28,K29*(1+('Input BYR'!L$111/'Input BYR'!K$111-1)))</f>
        <v>1.0253136890711196</v>
      </c>
      <c r="M29" s="152">
        <f>IF(OR(M$5&lt;4,'Input BYR'!$O$152=0),M28/$G$28,L29*(1+('Input BYR'!M$111/'Input BYR'!L$111-1)))</f>
        <v>1.0647882661003578</v>
      </c>
      <c r="N29" s="379">
        <f>IF(OR(N$5&lt;4,'Input BYR'!$O$152=0),N28/$G$28,M29*(1+('Input BYR'!N$111/'Input BYR'!M$111-1)))</f>
        <v>1.1025882495469208</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95.029229068053382</v>
      </c>
      <c r="I31" s="134">
        <f>IF(OR(I$5&lt;4,'Input BYR'!$O$152=0),((I28/'Input BYR'!$G$117)/('Input BYR'!I111/'Input BYR'!$G$116))*100,H31)</f>
        <v>89.014971124285907</v>
      </c>
      <c r="J31" s="135">
        <f>IF(OR(J$5&lt;4,'Input BYR'!$O$152=0),((J28/'Input BYR'!$G$117)/('Input BYR'!J111/'Input BYR'!$G$116))*100,I31)</f>
        <v>89.662509711513849</v>
      </c>
      <c r="K31" s="135">
        <f>IF(OR(K$5&lt;4,'Input BYR'!$O$152=0),((K28/'Input BYR'!$G$117)/('Input BYR'!K111/'Input BYR'!$G$116))*100,J31)</f>
        <v>90.317299217683626</v>
      </c>
      <c r="L31" s="135">
        <f>IF(OR(L$5&lt;4,'Input BYR'!$O$152=0),((L28/'Input BYR'!$G$117)/('Input BYR'!L111/'Input BYR'!$G$116))*100,K31)</f>
        <v>90.975588570582445</v>
      </c>
      <c r="M31" s="135">
        <f>IF(OR(M$5&lt;4,'Input BYR'!$O$152=0),((M28/'Input BYR'!$G$117)/('Input BYR'!M111/'Input BYR'!$G$116))*100,L31)</f>
        <v>91.637389651357509</v>
      </c>
      <c r="N31" s="375">
        <f>IF(OR(N$5&lt;4,'Input BYR'!$O$152=0),((N28/'Input BYR'!$G$117)/('Input BYR'!N111/'Input BYR'!$G$116))*100,M31)</f>
        <v>92.305950373522379</v>
      </c>
      <c r="O31" s="361"/>
      <c r="P31" s="150"/>
      <c r="Q31" s="131"/>
      <c r="R31" s="137" t="s">
        <v>75</v>
      </c>
    </row>
    <row r="32" spans="1:18" s="138" customFormat="1">
      <c r="C32" s="139"/>
      <c r="D32" s="140" t="s">
        <v>58</v>
      </c>
      <c r="E32" s="141" t="s">
        <v>395</v>
      </c>
      <c r="F32" s="131"/>
      <c r="G32" s="143">
        <f>G31/$G$31</f>
        <v>1</v>
      </c>
      <c r="H32" s="143">
        <f t="shared" ref="H32:N32" si="6">H31/$G$31</f>
        <v>0.95029229068052923</v>
      </c>
      <c r="I32" s="143">
        <f t="shared" si="6"/>
        <v>0.8901497112428548</v>
      </c>
      <c r="J32" s="152">
        <f>J31/$G$31</f>
        <v>0.89662509711513416</v>
      </c>
      <c r="K32" s="152">
        <f t="shared" si="6"/>
        <v>0.90317299217683189</v>
      </c>
      <c r="L32" s="152">
        <f t="shared" si="6"/>
        <v>0.90975588570582011</v>
      </c>
      <c r="M32" s="152">
        <f t="shared" si="6"/>
        <v>0.91637389651357071</v>
      </c>
      <c r="N32" s="379">
        <f t="shared" si="6"/>
        <v>0.92305950373521928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18.104646099500236</v>
      </c>
      <c r="K39" s="156">
        <f>IF(OR(K$5&lt;4,K$5&gt;8),'Input BYR'!K30,'Input BYR'!K30*$G$95/100)</f>
        <v>21.139641308925558</v>
      </c>
      <c r="L39" s="156">
        <f>IF(OR(L$5&lt;4,L$5&gt;8),'Input BYR'!L30,'Input BYR'!L30*$G$95/100)</f>
        <v>21.20739911961795</v>
      </c>
      <c r="M39" s="156">
        <f>IF(OR(M$5&lt;4,M$5&gt;8),'Input BYR'!M30,'Input BYR'!M30*$G$95/100)</f>
        <v>22.644908235383099</v>
      </c>
      <c r="N39" s="365">
        <f>IF(OR(N$5&lt;4,N$5&gt;8),'Input BYR'!N30,'Input BYR'!N30*$G$95/100)</f>
        <v>22.451496466092348</v>
      </c>
      <c r="O39" s="157"/>
      <c r="P39" s="158"/>
      <c r="Q39" s="148"/>
      <c r="R39" s="147" t="s">
        <v>242</v>
      </c>
    </row>
    <row r="40" spans="1:23" s="37" customFormat="1">
      <c r="C40" s="131"/>
      <c r="D40" s="153" t="s">
        <v>57</v>
      </c>
      <c r="E40" s="154" t="s">
        <v>61</v>
      </c>
      <c r="F40" s="155"/>
      <c r="G40" s="148"/>
      <c r="H40" s="148"/>
      <c r="I40" s="148"/>
      <c r="J40" s="156">
        <f>IF(OR(J$5&lt;4,J$5&gt;8),'Input BYR'!J31,'Input BYR'!J31*$G$95/100)</f>
        <v>14.284411850462625</v>
      </c>
      <c r="K40" s="156">
        <f>IF(OR(K$5&lt;4,K$5&gt;8),'Input BYR'!K31,'Input BYR'!K31*$G$95/100)</f>
        <v>17.943872549657687</v>
      </c>
      <c r="L40" s="156">
        <f>IF(OR(L$5&lt;4,L$5&gt;8),'Input BYR'!L31,'Input BYR'!L31*$G$95/100)</f>
        <v>15.105611364960932</v>
      </c>
      <c r="M40" s="156">
        <f>IF(OR(M$5&lt;4,M$5&gt;8),'Input BYR'!M31,'Input BYR'!M31*$G$95/100)</f>
        <v>8.0195790709218038</v>
      </c>
      <c r="N40" s="365">
        <f>IF(OR(N$5&lt;4,N$5&gt;8),'Input BYR'!N31,'Input BYR'!N31*$G$95/100)</f>
        <v>6.1996464535201588</v>
      </c>
      <c r="O40" s="157"/>
      <c r="P40" s="158"/>
      <c r="Q40" s="148"/>
      <c r="R40" s="147" t="s">
        <v>242</v>
      </c>
    </row>
    <row r="41" spans="1:23" s="37" customFormat="1">
      <c r="C41" s="131"/>
      <c r="D41" s="153" t="s">
        <v>57</v>
      </c>
      <c r="E41" s="154" t="s">
        <v>63</v>
      </c>
      <c r="F41" s="155"/>
      <c r="G41" s="148"/>
      <c r="H41" s="148"/>
      <c r="I41" s="148"/>
      <c r="J41" s="156">
        <f>IF(OR(J$5&lt;4,J$5&gt;8),'Input BYR'!J32,'Input BYR'!J32*$G$95/100)</f>
        <v>9.4415916978728713</v>
      </c>
      <c r="K41" s="156">
        <f>IF(OR(K$5&lt;4,K$5&gt;8),'Input BYR'!K32,'Input BYR'!K32*$G$95/100)</f>
        <v>14.405696626042817</v>
      </c>
      <c r="L41" s="156">
        <f>IF(OR(L$5&lt;4,L$5&gt;8),'Input BYR'!L32,'Input BYR'!L32*$G$95/100)</f>
        <v>7.1428627210451143</v>
      </c>
      <c r="M41" s="156">
        <f>IF(OR(M$5&lt;4,M$5&gt;8),'Input BYR'!M32,'Input BYR'!M32*$G$95/100)</f>
        <v>7.4416479704606013</v>
      </c>
      <c r="N41" s="365">
        <f>IF(OR(N$5&lt;4,N$5&gt;8),'Input BYR'!N32,'Input BYR'!N32*$G$95/100)</f>
        <v>2.6765262647527091</v>
      </c>
      <c r="O41" s="157"/>
      <c r="P41" s="158"/>
      <c r="Q41" s="148"/>
      <c r="R41" s="147" t="s">
        <v>242</v>
      </c>
    </row>
    <row r="42" spans="1:23" s="37" customFormat="1">
      <c r="C42" s="131"/>
      <c r="D42" s="153" t="s">
        <v>57</v>
      </c>
      <c r="E42" s="154" t="s">
        <v>62</v>
      </c>
      <c r="F42" s="155"/>
      <c r="G42" s="148"/>
      <c r="H42" s="148"/>
      <c r="I42" s="148"/>
      <c r="J42" s="156">
        <f>IF(OR(J$5&lt;4,J$5&gt;8),'Input BYR'!J33,'Input BYR'!J33*$G$95/100)</f>
        <v>9.0484155601282605</v>
      </c>
      <c r="K42" s="156">
        <f>IF(OR(K$5&lt;4,K$5&gt;8),'Input BYR'!K33,'Input BYR'!K33*$G$95/100)</f>
        <v>14.780012494122914</v>
      </c>
      <c r="L42" s="156">
        <f>IF(OR(L$5&lt;4,L$5&gt;8),'Input BYR'!L33,'Input BYR'!L33*$G$95/100)</f>
        <v>15.133845528855302</v>
      </c>
      <c r="M42" s="156">
        <f>IF(OR(M$5&lt;4,M$5&gt;8),'Input BYR'!M33,'Input BYR'!M33*$G$95/100)</f>
        <v>10.568997096852057</v>
      </c>
      <c r="N42" s="365">
        <f>IF(OR(N$5&lt;4,N$5&gt;8),'Input BYR'!N33,'Input BYR'!N33*$G$95/100)</f>
        <v>2.7198242709194802</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0</v>
      </c>
      <c r="K46" s="156">
        <f>IF('Input BYR'!$O$151=1,0,IF(OR(K$5&lt;4,K$5&gt;8),'Input BYR'!K37,'Input BYR'!K37*$G$100/100))</f>
        <v>0</v>
      </c>
      <c r="L46" s="156">
        <f>IF('Input BYR'!$O$151=1,0,IF(OR(L$5&lt;4,L$5&gt;8),'Input BYR'!L37,'Input BYR'!L37*$G$100/100))</f>
        <v>0</v>
      </c>
      <c r="M46" s="156">
        <f>IF('Input BYR'!$O$151=1,0,IF(OR(M$5&lt;4,M$5&gt;8),'Input BYR'!M37,'Input BYR'!M37*$G$100/100))</f>
        <v>0</v>
      </c>
      <c r="N46" s="365">
        <f>IF('Input BYR'!$O$151=1,0,IF(OR(N$5&lt;4,N$5&gt;8),'Input BYR'!N37,'Input BYR'!N37*$G$100/100))</f>
        <v>0</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0</v>
      </c>
      <c r="K47" s="156">
        <f>IF('Input BYR'!$O$151=1,0,IF(OR(K$5&lt;4,K$5&gt;8),'Input BYR'!K38,'Input BYR'!K38*$G$100/100))</f>
        <v>0</v>
      </c>
      <c r="L47" s="156">
        <f>IF('Input BYR'!$O$151=1,0,IF(OR(L$5&lt;4,L$5&gt;8),'Input BYR'!L38,'Input BYR'!L38*$G$100/100))</f>
        <v>0</v>
      </c>
      <c r="M47" s="156">
        <f>IF('Input BYR'!$O$151=1,0,IF(OR(M$5&lt;4,M$5&gt;8),'Input BYR'!M38,'Input BYR'!M38*$G$100/100))</f>
        <v>0</v>
      </c>
      <c r="N47" s="365">
        <f>IF('Input BYR'!$O$151=1,0,IF(OR(N$5&lt;4,N$5&gt;8),'Input BYR'!N38,'Input BYR'!N38*$G$100/100))</f>
        <v>0</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0</v>
      </c>
      <c r="K48" s="156">
        <f>IF('Input BYR'!$O$151=1,0,IF(OR(K$5&lt;4,K$5&gt;8),'Input BYR'!K39,'Input BYR'!K39*$G$100/100))</f>
        <v>0</v>
      </c>
      <c r="L48" s="156">
        <f>IF('Input BYR'!$O$151=1,0,IF(OR(L$5&lt;4,L$5&gt;8),'Input BYR'!L39,'Input BYR'!L39*$G$100/100))</f>
        <v>0</v>
      </c>
      <c r="M48" s="156">
        <f>IF('Input BYR'!$O$151=1,0,IF(OR(M$5&lt;4,M$5&gt;8),'Input BYR'!M39,'Input BYR'!M39*$G$100/100))</f>
        <v>0</v>
      </c>
      <c r="N48" s="365">
        <f>IF('Input BYR'!$O$151=1,0,IF(OR(N$5&lt;4,N$5&gt;8),'Input BYR'!N39,'Input BYR'!N39*$G$100/100))</f>
        <v>0</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0</v>
      </c>
      <c r="K49" s="156">
        <f>IF('Input BYR'!$O$151=1,0,IF(OR(K$5&lt;4,K$5&gt;8),'Input BYR'!K40,'Input BYR'!K40*$G$100/100))</f>
        <v>0</v>
      </c>
      <c r="L49" s="156">
        <f>IF('Input BYR'!$O$151=1,0,IF(OR(L$5&lt;4,L$5&gt;8),'Input BYR'!L40,'Input BYR'!L40*$G$100/100))</f>
        <v>0</v>
      </c>
      <c r="M49" s="156">
        <f>IF('Input BYR'!$O$151=1,0,IF(OR(M$5&lt;4,M$5&gt;8),'Input BYR'!M40,'Input BYR'!M40*$G$100/100))</f>
        <v>0</v>
      </c>
      <c r="N49" s="365">
        <f>IF('Input BYR'!$O$151=1,0,IF(OR(N$5&lt;4,N$5&gt;8),'Input BYR'!N40,'Input BYR'!N40*$G$100/100))</f>
        <v>0</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0</v>
      </c>
      <c r="K50" s="156">
        <f>IF('Input BYR'!$O$151=1,0,IF(OR(K$5&lt;4,K$5&gt;8),'Input BYR'!K41,'Input BYR'!K41*$G$100/100))</f>
        <v>0</v>
      </c>
      <c r="L50" s="156">
        <f>IF('Input BYR'!$O$151=1,0,IF(OR(L$5&lt;4,L$5&gt;8),'Input BYR'!L41,'Input BYR'!L41*$G$100/100))</f>
        <v>0</v>
      </c>
      <c r="M50" s="156">
        <f>IF('Input BYR'!$O$151=1,0,IF(OR(M$5&lt;4,M$5&gt;8),'Input BYR'!M41,'Input BYR'!M41*$G$100/100))</f>
        <v>0</v>
      </c>
      <c r="N50" s="365">
        <f>IF('Input BYR'!$O$151=1,0,IF(OR(N$5&lt;4,N$5&gt;8),'Input BYR'!N41,'Input BYR'!N41*$G$100/100))</f>
        <v>0</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0</v>
      </c>
      <c r="K51" s="156">
        <f>IF('Input BYR'!$O$151=1,0,IF(OR(K$5&lt;4,K$5&gt;8),'Input BYR'!K42,'Input BYR'!K42*$G$100/100))</f>
        <v>0</v>
      </c>
      <c r="L51" s="156">
        <f>IF('Input BYR'!$O$151=1,0,IF(OR(L$5&lt;4,L$5&gt;8),'Input BYR'!L42,'Input BYR'!L42*$G$100/100))</f>
        <v>0</v>
      </c>
      <c r="M51" s="156">
        <f>IF('Input BYR'!$O$151=1,0,IF(OR(M$5&lt;4,M$5&gt;8),'Input BYR'!M42,'Input BYR'!M42*$G$100/100))</f>
        <v>0</v>
      </c>
      <c r="N51" s="365">
        <f>IF('Input BYR'!$O$151=1,0,IF(OR(N$5&lt;4,N$5&gt;8),'Input BYR'!N42,'Input BYR'!N42*$G$100/100))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56.454693480241133</v>
      </c>
      <c r="K55" s="156">
        <f>SUM('Input BYR'!K10:K13)-'Input BYR'!K14-'Input BYR'!K17+'Input BYR'!K15+'Input BYR'!K16</f>
        <v>76.550283796408777</v>
      </c>
      <c r="L55" s="156">
        <f>SUM('Input BYR'!L10:L13)-'Input BYR'!L14-'Input BYR'!L17+'Input BYR'!L15+'Input BYR'!L16</f>
        <v>65.645614419569512</v>
      </c>
      <c r="M55" s="156">
        <f>SUM('Input BYR'!M10:M13)-'Input BYR'!M14-'Input BYR'!M17+'Input BYR'!M15+'Input BYR'!M16</f>
        <v>57.468357224982313</v>
      </c>
      <c r="N55" s="365">
        <f>SUM('Input BYR'!N10:N13)-'Input BYR'!N14-'Input BYR'!N17+'Input BYR'!N15+'Input BYR'!N16</f>
        <v>55.322925078798271</v>
      </c>
      <c r="O55" s="157"/>
      <c r="P55" s="158"/>
      <c r="Q55" s="148"/>
      <c r="R55" s="147" t="s">
        <v>242</v>
      </c>
    </row>
    <row r="56" spans="1:18" s="37" customFormat="1">
      <c r="C56" s="131"/>
      <c r="D56" s="153" t="s">
        <v>57</v>
      </c>
      <c r="E56" s="154" t="s">
        <v>114</v>
      </c>
      <c r="F56" s="155"/>
      <c r="G56" s="148"/>
      <c r="H56" s="148"/>
      <c r="I56" s="148"/>
      <c r="J56" s="156">
        <f>SUM('Input BYR'!J30:J35)</f>
        <v>47.559461946427923</v>
      </c>
      <c r="K56" s="156">
        <f>SUM('Input BYR'!K30:K35)</f>
        <v>63.814999334181799</v>
      </c>
      <c r="L56" s="156">
        <f>SUM('Input BYR'!L30:L35)</f>
        <v>54.767034087886884</v>
      </c>
      <c r="M56" s="156">
        <f>SUM('Input BYR'!M30:M35)</f>
        <v>45.499324651468832</v>
      </c>
      <c r="N56" s="365">
        <f>SUM('Input BYR'!N30:N35)</f>
        <v>31.826065646827246</v>
      </c>
      <c r="O56" s="157"/>
      <c r="P56" s="158"/>
      <c r="Q56" s="148"/>
      <c r="R56" s="147" t="s">
        <v>242</v>
      </c>
    </row>
    <row r="57" spans="1:18" s="37" customFormat="1">
      <c r="C57" s="131"/>
      <c r="D57" s="153" t="s">
        <v>57</v>
      </c>
      <c r="E57" s="154" t="s">
        <v>115</v>
      </c>
      <c r="F57" s="155"/>
      <c r="G57" s="148"/>
      <c r="H57" s="148"/>
      <c r="I57" s="148"/>
      <c r="J57" s="156">
        <f>SUM(J39:J44)</f>
        <v>50.879065207963997</v>
      </c>
      <c r="K57" s="156">
        <f t="shared" ref="K57:N57" si="7">SUM(K39:K44)</f>
        <v>68.269222978748985</v>
      </c>
      <c r="L57" s="156">
        <f t="shared" si="7"/>
        <v>58.589718734479298</v>
      </c>
      <c r="M57" s="156">
        <f t="shared" si="7"/>
        <v>48.675132373617565</v>
      </c>
      <c r="N57" s="365">
        <f t="shared" si="7"/>
        <v>34.047493455284695</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v>
      </c>
      <c r="K59" s="156">
        <f>'Input BYR'!K85+'Input BYR'!K82</f>
        <v>0</v>
      </c>
      <c r="L59" s="156">
        <f>'Input BYR'!L85+'Input BYR'!L82</f>
        <v>0</v>
      </c>
      <c r="M59" s="156">
        <f>'Input BYR'!M85+'Input BYR'!M82</f>
        <v>0</v>
      </c>
      <c r="N59" s="365">
        <f>'Input BYR'!N85+'Input BYR'!N82</f>
        <v>0</v>
      </c>
      <c r="O59" s="157"/>
      <c r="P59" s="158"/>
      <c r="Q59" s="148"/>
      <c r="R59" s="147" t="s">
        <v>242</v>
      </c>
    </row>
    <row r="60" spans="1:18" s="37" customFormat="1">
      <c r="C60" s="131"/>
      <c r="D60" s="153" t="s">
        <v>57</v>
      </c>
      <c r="E60" s="154" t="s">
        <v>107</v>
      </c>
      <c r="F60" s="155"/>
      <c r="G60" s="148"/>
      <c r="H60" s="148"/>
      <c r="I60" s="148"/>
      <c r="J60" s="156">
        <f>'Input BYR'!J86+'Input BYR'!J88+'Input BYR'!J83</f>
        <v>0</v>
      </c>
      <c r="K60" s="156">
        <f>'Input BYR'!K86+'Input BYR'!K88+'Input BYR'!K83</f>
        <v>0</v>
      </c>
      <c r="L60" s="156">
        <f>'Input BYR'!L86+'Input BYR'!L88+'Input BYR'!L83</f>
        <v>0</v>
      </c>
      <c r="M60" s="156">
        <f>'Input BYR'!M86+'Input BYR'!M88+'Input BYR'!M83</f>
        <v>0</v>
      </c>
      <c r="N60" s="365">
        <f>'Input BYR'!N86+'Input BYR'!N88+'Input BYR'!N83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56.454693480241133</v>
      </c>
      <c r="K62" s="156">
        <f t="shared" ref="K62:N63" si="8">K55+K59</f>
        <v>76.550283796408777</v>
      </c>
      <c r="L62" s="156">
        <f t="shared" si="8"/>
        <v>65.645614419569512</v>
      </c>
      <c r="M62" s="156">
        <f t="shared" si="8"/>
        <v>57.468357224982313</v>
      </c>
      <c r="N62" s="365">
        <f t="shared" si="8"/>
        <v>55.322925078798271</v>
      </c>
      <c r="O62" s="157"/>
      <c r="P62" s="158"/>
      <c r="Q62" s="148"/>
      <c r="R62" s="147" t="s">
        <v>242</v>
      </c>
    </row>
    <row r="63" spans="1:18" s="37" customFormat="1">
      <c r="C63" s="131"/>
      <c r="D63" s="153" t="s">
        <v>57</v>
      </c>
      <c r="E63" s="154" t="s">
        <v>182</v>
      </c>
      <c r="F63" s="155"/>
      <c r="G63" s="148"/>
      <c r="H63" s="148"/>
      <c r="I63" s="148"/>
      <c r="J63" s="156">
        <f>J56+J60</f>
        <v>47.559461946427923</v>
      </c>
      <c r="K63" s="156">
        <f t="shared" si="8"/>
        <v>63.814999334181799</v>
      </c>
      <c r="L63" s="156">
        <f t="shared" si="8"/>
        <v>54.767034087886884</v>
      </c>
      <c r="M63" s="156">
        <f t="shared" si="8"/>
        <v>45.499324651468832</v>
      </c>
      <c r="N63" s="365">
        <f t="shared" si="8"/>
        <v>31.826065646827246</v>
      </c>
      <c r="O63" s="157"/>
      <c r="P63" s="158"/>
      <c r="Q63" s="148"/>
      <c r="R63" s="147" t="s">
        <v>242</v>
      </c>
    </row>
    <row r="64" spans="1:18" s="37" customFormat="1">
      <c r="C64" s="131"/>
      <c r="D64" s="153" t="s">
        <v>57</v>
      </c>
      <c r="E64" s="154" t="s">
        <v>250</v>
      </c>
      <c r="F64" s="155"/>
      <c r="G64" s="148"/>
      <c r="H64" s="148"/>
      <c r="I64" s="148"/>
      <c r="J64" s="156">
        <f>J63*$G$107/100</f>
        <v>50.879065207963997</v>
      </c>
      <c r="K64" s="156">
        <f t="shared" ref="K64:N64" si="9">K63*$G$107/100</f>
        <v>68.269222978748971</v>
      </c>
      <c r="L64" s="156">
        <f t="shared" si="9"/>
        <v>58.589718734479305</v>
      </c>
      <c r="M64" s="156">
        <f t="shared" si="9"/>
        <v>48.675132373617565</v>
      </c>
      <c r="N64" s="365">
        <f t="shared" si="9"/>
        <v>34.047493455284695</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0</v>
      </c>
      <c r="K66" s="156">
        <f>IF('Input BYR'!$O$151=1,0,SUM('Input BYR'!K19:K22)-'Input BYR'!K23-'Input BYR'!K26+'Input BYR'!K24+'Input BYR'!K25)</f>
        <v>0</v>
      </c>
      <c r="L66" s="156">
        <f>IF('Input BYR'!$O$151=1,0,SUM('Input BYR'!L19:L22)-'Input BYR'!L23-'Input BYR'!L26+'Input BYR'!L24+'Input BYR'!L25)</f>
        <v>0</v>
      </c>
      <c r="M66" s="156">
        <f>IF('Input BYR'!$O$151=1,0,SUM('Input BYR'!M19:M22)-'Input BYR'!M23-'Input BYR'!M26+'Input BYR'!M24+'Input BYR'!M25)</f>
        <v>0</v>
      </c>
      <c r="N66" s="365">
        <f>IF('Input BYR'!$O$151=1,0,SUM('Input BYR'!N19:N22)-'Input BYR'!N23-'Input BYR'!N26+'Input BYR'!N24+'Input BYR'!N25)</f>
        <v>0</v>
      </c>
      <c r="O66" s="157"/>
      <c r="P66" s="158"/>
      <c r="Q66" s="148"/>
      <c r="R66" s="147" t="s">
        <v>242</v>
      </c>
    </row>
    <row r="67" spans="1:18" s="37" customFormat="1">
      <c r="C67" s="131"/>
      <c r="D67" s="153" t="s">
        <v>57</v>
      </c>
      <c r="E67" s="154" t="s">
        <v>117</v>
      </c>
      <c r="F67" s="155"/>
      <c r="G67" s="148"/>
      <c r="H67" s="148"/>
      <c r="I67" s="148"/>
      <c r="J67" s="156">
        <f>IF('Input BYR'!$O$151=1,0,SUM('Input BYR'!J37:J42))</f>
        <v>0</v>
      </c>
      <c r="K67" s="156">
        <f>IF('Input BYR'!$O$151=1,0,SUM('Input BYR'!K37:K42))</f>
        <v>0</v>
      </c>
      <c r="L67" s="156">
        <f>IF('Input BYR'!$O$151=1,0,SUM('Input BYR'!L37:L42))</f>
        <v>0</v>
      </c>
      <c r="M67" s="156">
        <f>IF('Input BYR'!$O$151=1,0,SUM('Input BYR'!M37:M42))</f>
        <v>0</v>
      </c>
      <c r="N67" s="365">
        <f>IF('Input BYR'!$O$151=1,0,SUM('Input BYR'!N37:N42))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0</v>
      </c>
      <c r="K70" s="156">
        <f>'Input BYR'!K93+'Input BYR'!K90</f>
        <v>0</v>
      </c>
      <c r="L70" s="156">
        <f>'Input BYR'!L93+'Input BYR'!L90</f>
        <v>0</v>
      </c>
      <c r="M70" s="156">
        <f>'Input BYR'!M93+'Input BYR'!M90</f>
        <v>0</v>
      </c>
      <c r="N70" s="365">
        <f>'Input BYR'!N93+'Input BYR'!N90</f>
        <v>0</v>
      </c>
      <c r="P70" s="136"/>
      <c r="Q70" s="131"/>
      <c r="R70" s="147" t="s">
        <v>242</v>
      </c>
    </row>
    <row r="71" spans="1:18" s="37" customFormat="1">
      <c r="C71" s="131"/>
      <c r="D71" s="153" t="s">
        <v>57</v>
      </c>
      <c r="E71" s="132" t="s">
        <v>120</v>
      </c>
      <c r="F71" s="131"/>
      <c r="G71" s="131"/>
      <c r="H71" s="131"/>
      <c r="I71" s="131"/>
      <c r="J71" s="156">
        <f>'Input BYR'!J94+'Input BYR'!J96+'Input BYR'!J91</f>
        <v>0</v>
      </c>
      <c r="K71" s="156">
        <f>'Input BYR'!K94+'Input BYR'!K96+'Input BYR'!K91</f>
        <v>0</v>
      </c>
      <c r="L71" s="156">
        <f>'Input BYR'!L94+'Input BYR'!L96+'Input BYR'!L91</f>
        <v>0</v>
      </c>
      <c r="M71" s="156">
        <f>'Input BYR'!M94+'Input BYR'!M96+'Input BYR'!M91</f>
        <v>0</v>
      </c>
      <c r="N71" s="365">
        <f>'Input BYR'!N94+'Input BYR'!N96+'Input BYR'!N91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50.163144438902997</v>
      </c>
      <c r="K79" s="156">
        <f t="shared" ref="K79:N81" si="13">K62*K$21</f>
        <v>66.46145440261337</v>
      </c>
      <c r="L79" s="156">
        <f t="shared" si="13"/>
        <v>57.045633919568942</v>
      </c>
      <c r="M79" s="156">
        <f t="shared" si="13"/>
        <v>50.646546621788318</v>
      </c>
      <c r="N79" s="365">
        <f t="shared" si="13"/>
        <v>49.212323913634172</v>
      </c>
      <c r="P79" s="136"/>
      <c r="Q79" s="131"/>
      <c r="R79" s="147" t="s">
        <v>242</v>
      </c>
    </row>
    <row r="80" spans="1:18" s="37" customFormat="1">
      <c r="C80" s="131"/>
      <c r="D80" s="153" t="s">
        <v>57</v>
      </c>
      <c r="E80" s="132" t="s">
        <v>317</v>
      </c>
      <c r="F80" s="161"/>
      <c r="G80" s="162"/>
      <c r="H80" s="162"/>
      <c r="I80" s="163"/>
      <c r="J80" s="156">
        <f>J63*J$21</f>
        <v>42.259235007451935</v>
      </c>
      <c r="K80" s="156">
        <f t="shared" si="13"/>
        <v>55.404597581001994</v>
      </c>
      <c r="L80" s="156">
        <f t="shared" si="13"/>
        <v>47.592214728464668</v>
      </c>
      <c r="M80" s="156">
        <f t="shared" si="13"/>
        <v>40.098304153694343</v>
      </c>
      <c r="N80" s="365">
        <f t="shared" si="13"/>
        <v>28.310770793073715</v>
      </c>
      <c r="P80" s="136"/>
      <c r="Q80" s="131"/>
      <c r="R80" s="147" t="s">
        <v>242</v>
      </c>
    </row>
    <row r="81" spans="1:18" s="37" customFormat="1">
      <c r="C81" s="131"/>
      <c r="D81" s="153" t="s">
        <v>57</v>
      </c>
      <c r="E81" s="132" t="s">
        <v>318</v>
      </c>
      <c r="F81" s="161"/>
      <c r="G81" s="162"/>
      <c r="H81" s="162"/>
      <c r="I81" s="163"/>
      <c r="J81" s="156">
        <f>J64*J$21</f>
        <v>45.208887686844648</v>
      </c>
      <c r="K81" s="156">
        <f t="shared" si="13"/>
        <v>59.271783526906113</v>
      </c>
      <c r="L81" s="156">
        <f t="shared" si="13"/>
        <v>50.914104101693844</v>
      </c>
      <c r="M81" s="156">
        <f t="shared" si="13"/>
        <v>42.89712600328987</v>
      </c>
      <c r="N81" s="365">
        <f t="shared" si="13"/>
        <v>30.286834508158414</v>
      </c>
      <c r="P81" s="136"/>
      <c r="Q81" s="131"/>
      <c r="R81" s="147" t="s">
        <v>242</v>
      </c>
    </row>
    <row r="82" spans="1:18" s="37" customFormat="1">
      <c r="C82" s="131"/>
      <c r="D82" s="153" t="s">
        <v>57</v>
      </c>
      <c r="E82" s="132" t="s">
        <v>110</v>
      </c>
      <c r="F82" s="164"/>
      <c r="G82" s="164"/>
      <c r="H82" s="164"/>
      <c r="I82" s="164"/>
      <c r="J82" s="156">
        <f>SUM('Input BYR'!J65:J70)*J$15</f>
        <v>18.470459359016843</v>
      </c>
      <c r="K82" s="156">
        <f>SUM('Input BYR'!K65:K70)*K$15</f>
        <v>49.496888767950573</v>
      </c>
      <c r="L82" s="156">
        <f>SUM('Input BYR'!L65:L70)*L$15</f>
        <v>72.080175028098608</v>
      </c>
      <c r="M82" s="156">
        <f>SUM('Input BYR'!M65:M70)*M$15</f>
        <v>59.669038334216282</v>
      </c>
      <c r="N82" s="365">
        <f>SUM('Input BYR'!N65:N70)*N$15</f>
        <v>44.655841199393194</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BYR'!$O$151=1,0,SUM('Input BYR'!J72:J77)*J$15)</f>
        <v>0</v>
      </c>
      <c r="K87" s="156">
        <f>IF('Input BYR'!$O$151=1,0,SUM('Input BYR'!K72:K77)*K$15)</f>
        <v>0</v>
      </c>
      <c r="L87" s="156">
        <f>IF('Input BYR'!$O$151=1,0,SUM('Input BYR'!L72:L77)*L$15)</f>
        <v>0</v>
      </c>
      <c r="M87" s="156">
        <f>IF('Input BYR'!$O$151=1,0,SUM('Input BYR'!M72:M77)*M$15)</f>
        <v>0</v>
      </c>
      <c r="N87" s="365">
        <f>IF('Input BYR'!$O$151=1,0,SUM('Input BYR'!N72:N77)*N$15)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127.91960317192274</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106.97990079298069</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0.16040198414038631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-3.0683505394912558</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127.91960317192274</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106.97990079298069</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0.16040198414038631</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114.37168598209146</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-4.254007550164145</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-9.0893304331646814</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-1.7254566772867099</v>
      </c>
      <c r="K127" s="156">
        <f>IF('Input BYR'!K49&lt;&gt;"",'Input BYR'!K49,K56*$G$97/100)</f>
        <v>-1.7254566772867099</v>
      </c>
      <c r="L127" s="156">
        <f>IF('Input BYR'!L49&lt;&gt;"",'Input BYR'!L49,L56*$G$97/100)</f>
        <v>-1.7254566772867099</v>
      </c>
      <c r="M127" s="156">
        <f>IF('Input BYR'!M49&lt;&gt;"",'Input BYR'!M49,M56*$G$97/100)</f>
        <v>-1.7254566772867099</v>
      </c>
      <c r="N127" s="365">
        <f>IF('Input BYR'!N49&lt;&gt;"",'Input BYR'!N49,N56*$G$97/100)</f>
        <v>-1.7254566772867099</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0</v>
      </c>
      <c r="K128" s="156">
        <f>IF('Input BYR'!K50&lt;&gt;"",'Input BYR'!K50,K67*$G$102/100)</f>
        <v>0</v>
      </c>
      <c r="L128" s="156">
        <f>IF('Input BYR'!L50&lt;&gt;"",'Input BYR'!L50,L67*$G$102/100)</f>
        <v>0</v>
      </c>
      <c r="M128" s="156">
        <f>IF('Input BYR'!M50&lt;&gt;"",'Input BYR'!M50,M67*$G$102/100)</f>
        <v>0</v>
      </c>
      <c r="N128" s="365">
        <f>IF('Input BYR'!N50&lt;&gt;"",'Input BYR'!N50,N67*$G$102/100)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-0.46204704673113106</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48.65148241422736</v>
      </c>
      <c r="K138" s="156">
        <f>(K57+'Input BYR'!K83)*K$29</f>
        <v>67.532434985393124</v>
      </c>
      <c r="L138" s="156">
        <f>(L57+'Input BYR'!L83)*L$29</f>
        <v>60.072840657288261</v>
      </c>
      <c r="M138" s="156">
        <f>(M57+'Input BYR'!M83)*M$29</f>
        <v>51.828709802309639</v>
      </c>
      <c r="N138" s="365">
        <f>(N57+'Input BYR'!N83)*N$29</f>
        <v>37.540366210322595</v>
      </c>
      <c r="O138" s="104"/>
      <c r="P138" s="136"/>
      <c r="Q138" s="104"/>
      <c r="R138" s="147" t="s">
        <v>87</v>
      </c>
      <c r="S138" s="147"/>
    </row>
    <row r="139" spans="1:19" s="37" customFormat="1">
      <c r="C139" s="131"/>
      <c r="D139" s="104" t="s">
        <v>57</v>
      </c>
      <c r="E139" s="104" t="s">
        <v>110</v>
      </c>
      <c r="F139" s="104"/>
      <c r="G139" s="104"/>
      <c r="H139" s="104"/>
      <c r="I139" s="104"/>
      <c r="J139" s="156">
        <f>SUM('Input BYR'!J65:J70)</f>
        <v>20.053999999999998</v>
      </c>
      <c r="K139" s="156">
        <f>SUM('Input BYR'!K65:K70)</f>
        <v>56.319000000000003</v>
      </c>
      <c r="L139" s="156">
        <f>SUM('Input BYR'!L65:L70)</f>
        <v>84.548999999999992</v>
      </c>
      <c r="M139" s="156">
        <f>SUM('Input BYR'!M65:M70)</f>
        <v>72.010000000000005</v>
      </c>
      <c r="N139" s="365">
        <f>SUM('Input BYR'!N65:N70)</f>
        <v>54.947861009999997</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-27.148987424201124</v>
      </c>
      <c r="K140" s="672">
        <f>(K$139*K$15)-(K$138*K$26)</f>
        <v>-12.162029623353469</v>
      </c>
      <c r="L140" s="672">
        <f>(L$139*L$15)-(L$138*L$26)</f>
        <v>18.777833567557522</v>
      </c>
      <c r="M140" s="672">
        <f>(M$139*M$15)-(M$138*M$26)</f>
        <v>15.064417617690516</v>
      </c>
      <c r="N140" s="673">
        <f>(N$139*N$15)-(N$138*N$26)</f>
        <v>13.227978787129977</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0</v>
      </c>
      <c r="K142" s="156">
        <f>(K68+'Input BYR'!K91)*K$29</f>
        <v>0</v>
      </c>
      <c r="L142" s="156">
        <f>(L68+'Input BYR'!L91)*L$29</f>
        <v>0</v>
      </c>
      <c r="M142" s="156">
        <f>(M68+'Input BYR'!M91)*M$29</f>
        <v>0</v>
      </c>
      <c r="N142" s="365">
        <f>(N68+'Input BYR'!N91)*N$29</f>
        <v>0</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0</v>
      </c>
      <c r="K143" s="156">
        <f>IF('Input BYR'!$O$151=1,0,SUM('Input BYR'!K72:K77))</f>
        <v>0</v>
      </c>
      <c r="L143" s="156">
        <f>IF('Input BYR'!$O$151=1,0,SUM('Input BYR'!L72:L77))</f>
        <v>0</v>
      </c>
      <c r="M143" s="156">
        <f>IF('Input BYR'!$O$151=1,0,SUM('Input BYR'!M72:M77))</f>
        <v>0</v>
      </c>
      <c r="N143" s="365">
        <f>IF('Input BYR'!$O$151=1,0,SUM('Input BYR'!N72:N77))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264.22376567687598</v>
      </c>
      <c r="J148" s="156">
        <f>'Input BYR'!J$54</f>
        <v>277.99080734748799</v>
      </c>
      <c r="K148" s="156">
        <f>'Input BYR'!K$54</f>
        <v>306.874526251193</v>
      </c>
      <c r="L148" s="156">
        <f>'Input BYR'!L$54</f>
        <v>326.25828972856698</v>
      </c>
      <c r="M148" s="156">
        <f>'Input BYR'!M$54</f>
        <v>336.70611012907</v>
      </c>
      <c r="N148" s="365">
        <f>'Input BYR'!N$54</f>
        <v>334.03593667583601</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7.759212924823423</v>
      </c>
      <c r="Q149" s="161"/>
      <c r="R149" s="147" t="s">
        <v>242</v>
      </c>
    </row>
    <row r="150" spans="1:24" s="37" customFormat="1">
      <c r="A150" s="109"/>
      <c r="B150" s="109"/>
      <c r="C150" s="104"/>
      <c r="D150" s="104" t="s">
        <v>57</v>
      </c>
      <c r="E150" s="177" t="s">
        <v>386</v>
      </c>
      <c r="F150" s="131"/>
      <c r="G150" s="104"/>
      <c r="H150" s="104"/>
      <c r="I150" s="205"/>
      <c r="J150" s="156">
        <f>IF(J5=8,J148+$P$149,J148)</f>
        <v>277.99080734748799</v>
      </c>
      <c r="K150" s="156">
        <f>IF(K5=8,K148+$P$149,K148)</f>
        <v>306.874526251193</v>
      </c>
      <c r="L150" s="156">
        <f>IF(L5=8,L148+$P$149,L148)</f>
        <v>326.25828972856698</v>
      </c>
      <c r="M150" s="156">
        <f>IF(M5=8,M148+$P$149,M148)</f>
        <v>336.70611012907</v>
      </c>
      <c r="N150" s="365">
        <f>IF(N5=8,N148+$P$149,N148)</f>
        <v>341.79514960065944</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0</v>
      </c>
      <c r="J152" s="156">
        <f>'Input BYR'!J$55</f>
        <v>0</v>
      </c>
      <c r="K152" s="156">
        <f>'Input BYR'!K$55</f>
        <v>0</v>
      </c>
      <c r="L152" s="156">
        <f>'Input BYR'!L$55</f>
        <v>0</v>
      </c>
      <c r="M152" s="156">
        <f>'Input BYR'!M$55</f>
        <v>0</v>
      </c>
      <c r="N152" s="365">
        <f>'Input BYR'!N$55</f>
        <v>0</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45.619446783217967</v>
      </c>
      <c r="L161" s="360">
        <f t="shared" si="16"/>
        <v>107.27836517452201</v>
      </c>
      <c r="M161" s="360">
        <f t="shared" si="16"/>
        <v>160.58070663506311</v>
      </c>
      <c r="N161" s="363">
        <f t="shared" si="16"/>
        <v>205.18532735158888</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45.619446783217967</v>
      </c>
      <c r="K162" s="360">
        <f t="shared" ref="K162:N162" si="17">K161+K138*K$26</f>
        <v>107.27836517452201</v>
      </c>
      <c r="L162" s="360">
        <f t="shared" si="17"/>
        <v>160.58070663506311</v>
      </c>
      <c r="M162" s="360">
        <f t="shared" si="17"/>
        <v>205.18532735158888</v>
      </c>
      <c r="N162" s="363">
        <f t="shared" si="17"/>
        <v>236.61318976385209</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22.809723391608983</v>
      </c>
      <c r="K163" s="360">
        <f t="shared" ref="K163:N163" si="18">(K162+K161)/2</f>
        <v>76.448905978869988</v>
      </c>
      <c r="L163" s="360">
        <f t="shared" si="18"/>
        <v>133.92953590479254</v>
      </c>
      <c r="M163" s="360">
        <f t="shared" si="18"/>
        <v>182.88301699332601</v>
      </c>
      <c r="N163" s="363">
        <f t="shared" si="18"/>
        <v>220.89925855772049</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18.470459359016843</v>
      </c>
      <c r="L171" s="360">
        <f t="shared" si="22"/>
        <v>67.967348126967408</v>
      </c>
      <c r="M171" s="360">
        <f t="shared" si="22"/>
        <v>140.04752315506602</v>
      </c>
      <c r="N171" s="363">
        <f t="shared" si="22"/>
        <v>199.7165614892823</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18.470459359016843</v>
      </c>
      <c r="K172" s="360">
        <f t="shared" ref="K172:N172" si="23">K171+K139*K$15</f>
        <v>67.967348126967408</v>
      </c>
      <c r="L172" s="360">
        <f t="shared" si="23"/>
        <v>140.04752315506602</v>
      </c>
      <c r="M172" s="360">
        <f t="shared" si="23"/>
        <v>199.7165614892823</v>
      </c>
      <c r="N172" s="363">
        <f t="shared" si="23"/>
        <v>244.37240268867549</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9.2352296795084214</v>
      </c>
      <c r="K173" s="360">
        <f t="shared" ref="K173:N173" si="24">(K172+K171)/2</f>
        <v>43.218903742992126</v>
      </c>
      <c r="L173" s="360">
        <f t="shared" si="24"/>
        <v>104.00743564101671</v>
      </c>
      <c r="M173" s="360">
        <f t="shared" si="24"/>
        <v>169.88204232217416</v>
      </c>
      <c r="N173" s="363">
        <f t="shared" si="24"/>
        <v>222.0444820889789</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-27.148987424201124</v>
      </c>
      <c r="K181" s="156">
        <f>(K$139*K$15)-(K$138*K$26)</f>
        <v>-12.162029623353469</v>
      </c>
      <c r="L181" s="156">
        <f>(L$139*L$15)-(L$138*L$26)</f>
        <v>18.777833567557522</v>
      </c>
      <c r="M181" s="156">
        <f>(M$139*M$15)-(M$138*M$26)</f>
        <v>15.064417617690516</v>
      </c>
      <c r="N181" s="365">
        <f>(N$139*N$15)-(N$138*N$26)</f>
        <v>13.227978787129977</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-0.65836294503687731</v>
      </c>
      <c r="K184" s="156">
        <f>(K173-K163)*'Input BYR'!$O$59</f>
        <v>-1.6116551084400763</v>
      </c>
      <c r="L184" s="156">
        <f>(L173-L163)*'Input BYR'!$O$59</f>
        <v>-1.4512218627931279</v>
      </c>
      <c r="M184" s="156">
        <f>(M173-M163)*'Input BYR'!$O$59</f>
        <v>-0.63054727155086487</v>
      </c>
      <c r="N184" s="365">
        <f>(N173-N163)*'Input BYR'!$O$59</f>
        <v>5.5543341266032858E-2</v>
      </c>
      <c r="O184" s="157"/>
      <c r="P184" s="158"/>
      <c r="Q184" s="148"/>
      <c r="R184" s="147" t="s">
        <v>242</v>
      </c>
    </row>
    <row r="185" spans="1:24" s="37" customFormat="1">
      <c r="C185" s="131"/>
      <c r="D185" s="153" t="s">
        <v>57</v>
      </c>
      <c r="E185" s="154" t="s">
        <v>249</v>
      </c>
      <c r="F185" s="155"/>
      <c r="G185" s="148"/>
      <c r="H185" s="148"/>
      <c r="I185" s="148"/>
      <c r="J185" s="156">
        <f>(J177-J167)*'Input BYR'!$O$59</f>
        <v>0</v>
      </c>
      <c r="K185" s="156">
        <f>(K177-K167)*'Input BYR'!$O$59</f>
        <v>0</v>
      </c>
      <c r="L185" s="156">
        <f>(L177-L167)*'Input BYR'!$O$59</f>
        <v>0</v>
      </c>
      <c r="M185" s="156">
        <f>(M177-M167)*'Input BYR'!$O$59</f>
        <v>0</v>
      </c>
      <c r="N185" s="365">
        <f>(N177-N167)*'Input BYR'!$O$59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-9.0257485638285478E-2</v>
      </c>
      <c r="K187" s="156">
        <f>$P$130*K63/SUM($J$63:$N$63)</f>
        <v>-0.12110695012487865</v>
      </c>
      <c r="L187" s="156">
        <f>$P$130*L63/SUM($J$63:$N$63)</f>
        <v>-0.10393588552803651</v>
      </c>
      <c r="M187" s="156">
        <f>$P$130*M63/SUM($J$63:$N$63)</f>
        <v>-8.6347794386477023E-2</v>
      </c>
      <c r="N187" s="365">
        <f>$P$130*N63/SUM($J$63:$N$63)</f>
        <v>-6.0398931053453404E-2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-0.74862043067516282</v>
      </c>
      <c r="K190" s="156">
        <f t="shared" ref="K190:N191" si="28">K187+K184</f>
        <v>-1.732762058564955</v>
      </c>
      <c r="L190" s="156">
        <f t="shared" si="28"/>
        <v>-1.5551577483211645</v>
      </c>
      <c r="M190" s="156">
        <f t="shared" si="28"/>
        <v>-0.71689506593734187</v>
      </c>
      <c r="N190" s="365">
        <f t="shared" si="28"/>
        <v>-4.8555897874205459E-3</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-0.9047642136784203</v>
      </c>
      <c r="K193" s="156">
        <f>IF('Input BYR'!$O$156=0,(K190/(1+'Input BYR'!$O$60)^K$6),(K190/(1+'Input BYR'!$O$59)^K$6))</f>
        <v>-1.9973042873862183</v>
      </c>
      <c r="L193" s="156">
        <f>IF('Input BYR'!$O$156=0,(L190/(1+'Input BYR'!$O$60)^L$6),(L190/(1+'Input BYR'!$O$59)^L$6))</f>
        <v>-1.7096661697218056</v>
      </c>
      <c r="M193" s="156">
        <f>IF('Input BYR'!$O$156=0,(M190/(1+'Input BYR'!$O$60)^M$6),(M190/(1+'Input BYR'!$O$59)^M$6))</f>
        <v>-0.75166447663530289</v>
      </c>
      <c r="N193" s="664">
        <f>IF('Input BYR'!$O$156=0,(N190/(1+'Input BYR'!$O$60)^N$6),(N190/(1+'Input BYR'!$O$59)^N$6))</f>
        <v>-4.8555897874205459E-3</v>
      </c>
      <c r="O193" s="109"/>
      <c r="P193" s="622">
        <f>SUM(J193:N193)</f>
        <v>-5.3682547372091678</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0</v>
      </c>
      <c r="K194" s="156">
        <f>IF('Input BYR'!$O$156=0,(K191/(1+'Input BYR'!$O$60)^K$6),(K191/(1+'Input BYR'!$O$59)^K$6))</f>
        <v>0</v>
      </c>
      <c r="L194" s="156">
        <f>IF('Input BYR'!$O$156=0,(L191/(1+'Input BYR'!$O$60)^L$6),(L191/(1+'Input BYR'!$O$59)^L$6))</f>
        <v>0</v>
      </c>
      <c r="M194" s="156">
        <f>IF('Input BYR'!$O$156=0,(M191/(1+'Input BYR'!$O$60)^M$6),(M191/(1+'Input BYR'!$O$59)^M$6))</f>
        <v>0</v>
      </c>
      <c r="N194" s="664">
        <f>IF('Input BYR'!$O$156=0,(N191/(1+'Input BYR'!$O$60)^N$6),(N191/(1+'Input BYR'!$O$59)^N$6))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-1.0612753017383267</v>
      </c>
      <c r="K196" s="156">
        <f t="shared" ref="K196:N197" si="29">K193*$L$13/$G$13</f>
        <v>-2.3428089641623053</v>
      </c>
      <c r="L196" s="156">
        <f t="shared" si="29"/>
        <v>-2.0054136234749653</v>
      </c>
      <c r="M196" s="156">
        <f t="shared" si="29"/>
        <v>-0.88169153044181592</v>
      </c>
      <c r="N196" s="365">
        <f t="shared" si="29"/>
        <v>-5.6955364047962297E-3</v>
      </c>
      <c r="O196" s="109"/>
      <c r="P196" s="622">
        <f>P193*$L$13/$G$13</f>
        <v>-6.2968849562222093</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9.1014442365762509</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-10.661652784473164</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-10.119678299271905</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-0.54197448520125913</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-5.0394317278054661</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-5.5814062130067255</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-6.2968849562222093</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-6.2968849562222093</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3.6699999999999899E-2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0.9645992090286486</v>
      </c>
      <c r="T20" s="610">
        <f t="shared" si="4"/>
        <v>0.93045163405869458</v>
      </c>
      <c r="U20" s="610">
        <f t="shared" si="4"/>
        <v>0.89751291025243052</v>
      </c>
      <c r="V20" s="611">
        <f t="shared" si="4"/>
        <v>0.86574024332249488</v>
      </c>
    </row>
    <row r="21" spans="1:22" s="138" customFormat="1">
      <c r="C21" s="139"/>
      <c r="D21" s="153" t="s">
        <v>556</v>
      </c>
      <c r="E21" s="645" t="s">
        <v>570</v>
      </c>
      <c r="F21" s="142"/>
      <c r="G21" s="134"/>
      <c r="H21" s="134"/>
      <c r="I21" s="134"/>
      <c r="J21" s="135"/>
      <c r="K21" s="135"/>
      <c r="L21" s="135"/>
      <c r="M21" s="135"/>
      <c r="N21" s="608"/>
      <c r="O21" s="37"/>
      <c r="P21" s="613">
        <f>SUM(R20:V20)</f>
        <v>4.6583039966622692</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-6.2968849562222093</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0.9645992090286486</v>
      </c>
      <c r="T35" s="616">
        <f>T$20</f>
        <v>0.93045163405869458</v>
      </c>
      <c r="U35" s="616">
        <f>U$20</f>
        <v>0.89751291025243052</v>
      </c>
      <c r="V35" s="621">
        <f>V$20</f>
        <v>0.86574024332249488</v>
      </c>
    </row>
    <row r="36" spans="1:22" s="37" customFormat="1">
      <c r="C36" s="131"/>
      <c r="D36" s="104" t="s">
        <v>57</v>
      </c>
      <c r="E36" s="643" t="s">
        <v>411</v>
      </c>
      <c r="F36" s="131"/>
      <c r="G36" s="148"/>
      <c r="H36" s="148"/>
      <c r="I36" s="148"/>
      <c r="J36" s="106"/>
      <c r="K36" s="106"/>
      <c r="L36" s="106"/>
      <c r="M36" s="106"/>
      <c r="N36" s="612"/>
      <c r="O36" s="203"/>
      <c r="P36" s="136"/>
      <c r="Q36" s="131"/>
      <c r="R36" s="603">
        <f>R31*R35</f>
        <v>-6.2968849562222093</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-6.2968849562222093</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-6.2968849562222093</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4.6583039966622692</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-1.3517548362524221</v>
      </c>
      <c r="S47" s="616">
        <f t="shared" si="8"/>
        <v>-1.3517548362524221</v>
      </c>
      <c r="T47" s="616">
        <f t="shared" si="8"/>
        <v>-1.3517548362524221</v>
      </c>
      <c r="U47" s="616">
        <f t="shared" si="8"/>
        <v>-1.3517548362524221</v>
      </c>
      <c r="V47" s="623">
        <f t="shared" si="8"/>
        <v>-1.3517548362524221</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0.9645992090286486</v>
      </c>
      <c r="T51" s="616">
        <f>T$20</f>
        <v>0.93045163405869458</v>
      </c>
      <c r="U51" s="616">
        <f>U$20</f>
        <v>0.89751291025243052</v>
      </c>
      <c r="V51" s="621">
        <f>V$20</f>
        <v>0.86574024332249488</v>
      </c>
    </row>
    <row r="52" spans="1:22" s="37" customFormat="1">
      <c r="C52" s="131"/>
      <c r="D52" s="104" t="s">
        <v>57</v>
      </c>
      <c r="E52" s="643" t="s">
        <v>411</v>
      </c>
      <c r="F52" s="131"/>
      <c r="G52" s="148"/>
      <c r="H52" s="148"/>
      <c r="I52" s="148"/>
      <c r="J52" s="106"/>
      <c r="K52" s="106"/>
      <c r="L52" s="106"/>
      <c r="M52" s="106"/>
      <c r="N52" s="612"/>
      <c r="O52" s="203"/>
      <c r="P52" s="136"/>
      <c r="Q52" s="131"/>
      <c r="R52" s="603">
        <f>R47*R51</f>
        <v>-1.3517548362524221</v>
      </c>
      <c r="S52" s="616">
        <f t="shared" ref="S52:V52" si="9">S47*S51</f>
        <v>-1.3039016458497368</v>
      </c>
      <c r="T52" s="616">
        <f t="shared" si="9"/>
        <v>-1.2577424962378092</v>
      </c>
      <c r="U52" s="616">
        <f t="shared" si="9"/>
        <v>-1.213217417032709</v>
      </c>
      <c r="V52" s="621">
        <f t="shared" si="9"/>
        <v>-1.1702685608495311</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-6.2968849562222085</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-6.2968849562222093</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4">IF(S$62+1&lt;=$P$61,$P59/$P$61,0)</f>
        <v>0</v>
      </c>
      <c r="T64" s="616">
        <f t="shared" si="14"/>
        <v>0</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0.9645992090286486</v>
      </c>
      <c r="T68" s="616">
        <f>T$20</f>
        <v>0.93045163405869458</v>
      </c>
      <c r="U68" s="616">
        <f>U$20</f>
        <v>0.89751291025243052</v>
      </c>
      <c r="V68" s="621">
        <f>V$20</f>
        <v>0.86574024332249488</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V69" si="16">S64*S68</f>
        <v>0</v>
      </c>
      <c r="T69" s="616">
        <f t="shared" si="16"/>
        <v>0</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-6.2968849562222093</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3.6699999999999899E-2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3" si="20">IF(S$62+1&lt;=$P$78,$P76/$P$78,0) * (1+$P$79)^S$80</f>
        <v>0</v>
      </c>
      <c r="T82" s="616">
        <f t="shared" si="20"/>
        <v>0</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0.9645992090286486</v>
      </c>
      <c r="T86" s="616">
        <f>T$20</f>
        <v>0.93045163405869458</v>
      </c>
      <c r="U86" s="616">
        <f>U$20</f>
        <v>0.89751291025243052</v>
      </c>
      <c r="V86" s="621">
        <f>V$20</f>
        <v>0.86574024332249488</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V87" si="21">S82*S86</f>
        <v>0</v>
      </c>
      <c r="T87" s="616">
        <f t="shared" si="21"/>
        <v>0</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-1.0612753017383267</v>
      </c>
      <c r="S94" s="616">
        <f>'Calc2 BYR'!K196</f>
        <v>-2.3428089641623053</v>
      </c>
      <c r="T94" s="616">
        <f>'Calc2 BYR'!L196</f>
        <v>-2.0054136234749653</v>
      </c>
      <c r="U94" s="616">
        <f>'Calc2 BYR'!M196</f>
        <v>-0.88169153044181592</v>
      </c>
      <c r="V94" s="623">
        <f>'Calc2 BYR'!N196</f>
        <v>-5.6955364047962297E-3</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0</v>
      </c>
      <c r="S95" s="616">
        <f>'Calc2 BYR'!K197</f>
        <v>0</v>
      </c>
      <c r="T95" s="616">
        <f>'Calc2 BYR'!L197</f>
        <v>0</v>
      </c>
      <c r="U95" s="616">
        <f>'Calc2 BYR'!M197</f>
        <v>0</v>
      </c>
      <c r="V95" s="623">
        <f>'Calc2 BYR'!N197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0.9645992090286486</v>
      </c>
      <c r="T98" s="616">
        <f>T$20</f>
        <v>0.93045163405869458</v>
      </c>
      <c r="U98" s="616">
        <f>U$20</f>
        <v>0.89751291025243052</v>
      </c>
      <c r="V98" s="621">
        <f>V$20</f>
        <v>0.86574024332249488</v>
      </c>
    </row>
    <row r="99" spans="1:22" s="37" customFormat="1">
      <c r="C99" s="131"/>
      <c r="D99" s="104" t="s">
        <v>57</v>
      </c>
      <c r="E99" s="643" t="s">
        <v>411</v>
      </c>
      <c r="F99" s="131"/>
      <c r="G99" s="148"/>
      <c r="H99" s="148"/>
      <c r="I99" s="148"/>
      <c r="J99" s="106"/>
      <c r="K99" s="106"/>
      <c r="L99" s="106"/>
      <c r="M99" s="106"/>
      <c r="N99" s="612"/>
      <c r="O99" s="203"/>
      <c r="P99" s="136"/>
      <c r="Q99" s="131"/>
      <c r="R99" s="603">
        <f>R94*R98</f>
        <v>-1.0612753017383267</v>
      </c>
      <c r="S99" s="616">
        <f t="shared" ref="S99:V99" si="23">S94*S98</f>
        <v>-2.2598716737361872</v>
      </c>
      <c r="T99" s="616">
        <f t="shared" si="23"/>
        <v>-1.8659403829258492</v>
      </c>
      <c r="U99" s="616">
        <f t="shared" si="23"/>
        <v>-0.79132953143175366</v>
      </c>
      <c r="V99" s="621">
        <f t="shared" si="23"/>
        <v>-4.9308550729404155E-3</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-5.9833477449050578</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-1.0612753017383267</v>
      </c>
      <c r="S106" s="616">
        <f>'Calc2 BYR'!K196</f>
        <v>-2.3428089641623053</v>
      </c>
      <c r="T106" s="616">
        <f>'Calc2 BYR'!L196</f>
        <v>-2.0054136234749653</v>
      </c>
      <c r="U106" s="616">
        <f>'Calc2 BYR'!M196</f>
        <v>-0.88169153044181592</v>
      </c>
      <c r="V106" s="623">
        <f>'Calc2 BYR'!N196</f>
        <v>-5.6955364047962297E-3</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0</v>
      </c>
      <c r="S107" s="616">
        <f>'Calc2 BYR'!K197</f>
        <v>0</v>
      </c>
      <c r="T107" s="616">
        <f>'Calc2 BYR'!L197</f>
        <v>0</v>
      </c>
      <c r="U107" s="616">
        <f>'Calc2 BYR'!M197</f>
        <v>0</v>
      </c>
      <c r="V107" s="623">
        <f>'Calc2 BYR'!N197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0.9645992090286486</v>
      </c>
      <c r="T110" s="616">
        <f>T$20</f>
        <v>0.93045163405869458</v>
      </c>
      <c r="U110" s="616">
        <f>U$20</f>
        <v>0.89751291025243052</v>
      </c>
      <c r="V110" s="621">
        <f>V$20</f>
        <v>0.86574024332249488</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-1.0612753017383267</v>
      </c>
      <c r="S111" s="616">
        <f t="shared" ref="S111:V111" si="25">S106*S110</f>
        <v>-2.2598716737361872</v>
      </c>
      <c r="T111" s="616">
        <f t="shared" si="25"/>
        <v>-1.8659403829258492</v>
      </c>
      <c r="U111" s="616">
        <f t="shared" si="25"/>
        <v>-0.79132953143175366</v>
      </c>
      <c r="V111" s="621">
        <f t="shared" si="25"/>
        <v>-4.9308550729404155E-3</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-5.9833477449050578</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-5.9833477449050578</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-6.2968849562222093</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1.05240163612154</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-1.1168878639247961</v>
      </c>
      <c r="S123" s="616">
        <f t="shared" si="27"/>
        <v>-2.4655759870046206</v>
      </c>
      <c r="T123" s="616">
        <f t="shared" si="27"/>
        <v>-2.1105005784454796</v>
      </c>
      <c r="U123" s="616">
        <f t="shared" si="27"/>
        <v>-0.92789360919147168</v>
      </c>
      <c r="V123" s="621">
        <f t="shared" si="27"/>
        <v>-5.9939918309973462E-3</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0.9645992090286486</v>
      </c>
      <c r="T127" s="616">
        <f>T$20</f>
        <v>0.93045163405869458</v>
      </c>
      <c r="U127" s="616">
        <f>U$20</f>
        <v>0.89751291025243052</v>
      </c>
      <c r="V127" s="621">
        <f>V$20</f>
        <v>0.86574024332249488</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-1.1168878639247961</v>
      </c>
      <c r="S128" s="616">
        <f t="shared" ref="S128:V128" si="28">S123*S127</f>
        <v>-2.3782926468646863</v>
      </c>
      <c r="T128" s="616">
        <f t="shared" si="28"/>
        <v>-1.9637187118964166</v>
      </c>
      <c r="U128" s="616">
        <f t="shared" si="28"/>
        <v>-0.83279649359006913</v>
      </c>
      <c r="V128" s="621">
        <f t="shared" si="28"/>
        <v>-5.1892399462406891E-3</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-6.2968849562222085</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-6.2968849562222093</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-1.3517548362524221</v>
      </c>
      <c r="S138" s="616">
        <f>S47</f>
        <v>-1.3517548362524221</v>
      </c>
      <c r="T138" s="616">
        <f>T47</f>
        <v>-1.3517548362524221</v>
      </c>
      <c r="U138" s="616">
        <f>U47</f>
        <v>-1.3517548362524221</v>
      </c>
      <c r="V138" s="621">
        <f>V47</f>
        <v>-1.3517548362524221</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-1.0612753017383267</v>
      </c>
      <c r="S141" s="616">
        <f>S94</f>
        <v>-2.3428089641623053</v>
      </c>
      <c r="T141" s="616">
        <f>T94</f>
        <v>-2.0054136234749653</v>
      </c>
      <c r="U141" s="616">
        <f>U94</f>
        <v>-0.88169153044181592</v>
      </c>
      <c r="V141" s="621">
        <f>V94</f>
        <v>-5.6955364047962297E-3</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-1.1168878639247961</v>
      </c>
      <c r="S142" s="616">
        <f t="shared" si="31"/>
        <v>-2.4655759870046206</v>
      </c>
      <c r="T142" s="616">
        <f t="shared" si="31"/>
        <v>-2.1105005784454796</v>
      </c>
      <c r="U142" s="616">
        <f t="shared" si="31"/>
        <v>-0.92789360919147168</v>
      </c>
      <c r="V142" s="621">
        <f t="shared" si="31"/>
        <v>-5.9939918309973462E-3</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-1.3517548362524221</v>
      </c>
      <c r="S143" s="630">
        <f t="shared" ref="S143:V143" si="32">CHOOSE($P$135+1,S137,S138,S139,S140,S141,S142)</f>
        <v>-1.3517548362524221</v>
      </c>
      <c r="T143" s="630">
        <f t="shared" si="32"/>
        <v>-1.3517548362524221</v>
      </c>
      <c r="U143" s="630">
        <f t="shared" si="32"/>
        <v>-1.3517548362524221</v>
      </c>
      <c r="V143" s="631">
        <f t="shared" si="32"/>
        <v>-1.3517548362524221</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-1.3517548362524221</v>
      </c>
      <c r="S156" s="627">
        <f t="shared" ref="S156:V156" si="36">S143</f>
        <v>-1.3517548362524221</v>
      </c>
      <c r="T156" s="627">
        <f t="shared" si="36"/>
        <v>-1.3517548362524221</v>
      </c>
      <c r="U156" s="627">
        <f t="shared" si="36"/>
        <v>-1.3517548362524221</v>
      </c>
      <c r="V156" s="628">
        <f t="shared" si="36"/>
        <v>-1.3517548362524221</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BRL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21.591000000000001</v>
      </c>
      <c r="K16" s="121">
        <f>'Input BYR'!K10</f>
        <v>25.234000000000002</v>
      </c>
      <c r="L16" s="121">
        <f>'Input BYR'!L10</f>
        <v>25.286999999999999</v>
      </c>
      <c r="M16" s="121">
        <f>'Input BYR'!M10</f>
        <v>27.077000000000002</v>
      </c>
      <c r="N16" s="121">
        <f>'Input BYR'!N10</f>
        <v>26.503</v>
      </c>
      <c r="O16" s="113"/>
      <c r="P16" s="113"/>
      <c r="Q16" s="113"/>
      <c r="R16" s="113"/>
      <c r="S16" s="113"/>
      <c r="T16" s="115"/>
      <c r="U16" s="122">
        <f t="shared" ref="U16:U34" si="0">SUM(J16:N16)</f>
        <v>125.69199999999999</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14.125999999999999</v>
      </c>
      <c r="K17" s="121">
        <f>'Input BYR'!K11</f>
        <v>17.931000000000001</v>
      </c>
      <c r="L17" s="121">
        <f>'Input BYR'!L11</f>
        <v>15.067</v>
      </c>
      <c r="M17" s="121">
        <f>'Input BYR'!M11</f>
        <v>7.7969999999999997</v>
      </c>
      <c r="N17" s="121">
        <f>'Input BYR'!N11</f>
        <v>5.9359999999999999</v>
      </c>
      <c r="O17" s="113"/>
      <c r="P17" s="113"/>
      <c r="Q17" s="113"/>
      <c r="R17" s="113"/>
      <c r="S17" s="113"/>
      <c r="T17" s="115"/>
      <c r="U17" s="122">
        <f t="shared" si="0"/>
        <v>60.856999999999999</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10.823</v>
      </c>
      <c r="K18" s="121">
        <f>'Input BYR'!K12</f>
        <v>17.779</v>
      </c>
      <c r="L18" s="121">
        <f>'Input BYR'!L12</f>
        <v>11.446999999999999</v>
      </c>
      <c r="M18" s="121">
        <f>'Input BYR'!M12</f>
        <v>14.250999999999999</v>
      </c>
      <c r="N18" s="121">
        <f>'Input BYR'!N12</f>
        <v>22.138999999999999</v>
      </c>
      <c r="O18" s="113"/>
      <c r="P18" s="113"/>
      <c r="Q18" s="113"/>
      <c r="R18" s="113"/>
      <c r="S18" s="113"/>
      <c r="T18" s="115"/>
      <c r="U18" s="122">
        <f t="shared" si="0"/>
        <v>76.438999999999993</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10.878</v>
      </c>
      <c r="K19" s="121">
        <f>'Input BYR'!K13</f>
        <v>16.831</v>
      </c>
      <c r="L19" s="121">
        <f>'Input BYR'!L13</f>
        <v>18.053000000000001</v>
      </c>
      <c r="M19" s="121">
        <f>'Input BYR'!M13</f>
        <v>12.182</v>
      </c>
      <c r="N19" s="121">
        <f>'Input BYR'!N13</f>
        <v>5.9379999999999997</v>
      </c>
      <c r="O19" s="113"/>
      <c r="P19" s="113"/>
      <c r="Q19" s="113"/>
      <c r="R19" s="113"/>
      <c r="S19" s="113"/>
      <c r="T19" s="115"/>
      <c r="U19" s="122">
        <f t="shared" si="0"/>
        <v>63.882000000000005</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-2.1970000000000001</v>
      </c>
      <c r="K20" s="121">
        <f>-'Input BYR'!K14</f>
        <v>-3.2570000000000001</v>
      </c>
      <c r="L20" s="121">
        <f>-'Input BYR'!L14</f>
        <v>-2.198</v>
      </c>
      <c r="M20" s="121">
        <f>-'Input BYR'!M14</f>
        <v>-1.8380000000000001</v>
      </c>
      <c r="N20" s="121">
        <f>-'Input BYR'!N14</f>
        <v>-2.758</v>
      </c>
      <c r="O20" s="113"/>
      <c r="P20" s="113"/>
      <c r="Q20" s="113"/>
      <c r="R20" s="113"/>
      <c r="S20" s="113"/>
      <c r="T20" s="115"/>
      <c r="U20" s="122">
        <f t="shared" si="0"/>
        <v>-12.248000000000001</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1.2336934802411399</v>
      </c>
      <c r="K21" s="121">
        <f>-'Input BYR'!K17</f>
        <v>2.0322837964087701</v>
      </c>
      <c r="L21" s="121">
        <f>-'Input BYR'!L17</f>
        <v>-2.0103855804304902</v>
      </c>
      <c r="M21" s="121">
        <f>-'Input BYR'!M17</f>
        <v>-2.0006427750176901</v>
      </c>
      <c r="N21" s="121">
        <f>-'Input BYR'!N17</f>
        <v>-2.4350749212017302</v>
      </c>
      <c r="O21" s="113"/>
      <c r="P21" s="113"/>
      <c r="Q21" s="113"/>
      <c r="R21" s="113"/>
      <c r="S21" s="113"/>
      <c r="T21" s="115"/>
      <c r="U21" s="122">
        <f t="shared" ref="U21:U23" si="1">SUM(J21:N21)</f>
        <v>-3.1801260000000005</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56.454693480241133</v>
      </c>
      <c r="K24" s="121">
        <f>'Calc2 BYR'!K55</f>
        <v>76.550283796408777</v>
      </c>
      <c r="L24" s="121">
        <f>'Calc2 BYR'!L55</f>
        <v>65.645614419569512</v>
      </c>
      <c r="M24" s="121">
        <f>'Calc2 BYR'!M55</f>
        <v>57.468357224982313</v>
      </c>
      <c r="N24" s="121">
        <f>'Calc2 BYR'!N55</f>
        <v>55.322925078798271</v>
      </c>
      <c r="O24" s="113"/>
      <c r="P24" s="113"/>
      <c r="Q24" s="113"/>
      <c r="R24" s="113"/>
      <c r="S24" s="113"/>
      <c r="T24" s="115"/>
      <c r="U24" s="122">
        <f t="shared" si="0"/>
        <v>311.44187400000004</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0</v>
      </c>
      <c r="K26" s="121">
        <f>'Input BYR'!K19</f>
        <v>0</v>
      </c>
      <c r="L26" s="121">
        <f>'Input BYR'!L19</f>
        <v>0</v>
      </c>
      <c r="M26" s="121">
        <f>'Input BYR'!M19</f>
        <v>0</v>
      </c>
      <c r="N26" s="121">
        <f>'Input BYR'!N19</f>
        <v>0</v>
      </c>
      <c r="O26" s="113"/>
      <c r="P26" s="113"/>
      <c r="Q26" s="113"/>
      <c r="R26" s="113"/>
      <c r="S26" s="113"/>
      <c r="T26" s="115"/>
      <c r="U26" s="122">
        <f t="shared" si="0"/>
        <v>0</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0</v>
      </c>
      <c r="K27" s="121">
        <f>'Input BYR'!K20</f>
        <v>0</v>
      </c>
      <c r="L27" s="121">
        <f>'Input BYR'!L20</f>
        <v>0</v>
      </c>
      <c r="M27" s="121">
        <f>'Input BYR'!M20</f>
        <v>0</v>
      </c>
      <c r="N27" s="121">
        <f>'Input BYR'!N20</f>
        <v>0</v>
      </c>
      <c r="O27" s="113"/>
      <c r="P27" s="113"/>
      <c r="Q27" s="113"/>
      <c r="R27" s="113"/>
      <c r="S27" s="113"/>
      <c r="T27" s="115"/>
      <c r="U27" s="122">
        <f t="shared" si="0"/>
        <v>0</v>
      </c>
    </row>
    <row r="28" spans="1:27" s="117" customFormat="1" ht="17.399999999999999">
      <c r="A28" s="110"/>
      <c r="B28" s="118" t="s">
        <v>141</v>
      </c>
      <c r="C28" s="119"/>
      <c r="D28" s="113"/>
      <c r="E28" s="113" t="str">
        <f>'Input BYR'!E21</f>
        <v>Sewerage: FBP infrastructure expenditure</v>
      </c>
      <c r="F28" s="113"/>
      <c r="G28" s="120"/>
      <c r="H28" s="120"/>
      <c r="I28" s="120"/>
      <c r="J28" s="121">
        <f>'Input BYR'!J21</f>
        <v>0</v>
      </c>
      <c r="K28" s="121">
        <f>'Input BYR'!K21</f>
        <v>0</v>
      </c>
      <c r="L28" s="121">
        <f>'Input BYR'!L21</f>
        <v>0</v>
      </c>
      <c r="M28" s="121">
        <f>'Input BYR'!M21</f>
        <v>0</v>
      </c>
      <c r="N28" s="121">
        <f>'Input BYR'!N21</f>
        <v>0</v>
      </c>
      <c r="O28" s="113"/>
      <c r="P28" s="113"/>
      <c r="Q28" s="113"/>
      <c r="R28" s="113"/>
      <c r="S28" s="113"/>
      <c r="T28" s="115"/>
      <c r="U28" s="122">
        <f t="shared" si="0"/>
        <v>0</v>
      </c>
    </row>
    <row r="29" spans="1:27" s="117" customFormat="1" ht="17.399999999999999">
      <c r="A29" s="110"/>
      <c r="B29" s="118" t="s">
        <v>212</v>
      </c>
      <c r="C29" s="118"/>
      <c r="D29" s="113"/>
      <c r="E29" s="113" t="str">
        <f>'Input BYR'!E22</f>
        <v>Sewerage: FBP non-infrastructure expenditure</v>
      </c>
      <c r="F29" s="113"/>
      <c r="G29" s="120"/>
      <c r="H29" s="120"/>
      <c r="I29" s="120"/>
      <c r="J29" s="121">
        <f>'Input BYR'!J22</f>
        <v>0</v>
      </c>
      <c r="K29" s="121">
        <f>'Input BYR'!K22</f>
        <v>0</v>
      </c>
      <c r="L29" s="121">
        <f>'Input BYR'!L22</f>
        <v>0</v>
      </c>
      <c r="M29" s="121">
        <f>'Input BYR'!M22</f>
        <v>0</v>
      </c>
      <c r="N29" s="121">
        <f>'Input BYR'!N22</f>
        <v>0</v>
      </c>
      <c r="O29" s="113"/>
      <c r="P29" s="113"/>
      <c r="Q29" s="113"/>
      <c r="R29" s="113"/>
      <c r="S29" s="113"/>
      <c r="T29" s="115"/>
      <c r="U29" s="122">
        <f t="shared" si="0"/>
        <v>0</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0</v>
      </c>
      <c r="K30" s="121">
        <f>-'Input BYR'!K23</f>
        <v>0</v>
      </c>
      <c r="L30" s="121">
        <f>-'Input BYR'!L23</f>
        <v>0</v>
      </c>
      <c r="M30" s="121">
        <f>-'Input BYR'!M23</f>
        <v>0</v>
      </c>
      <c r="N30" s="121">
        <f>-'Input BYR'!N23</f>
        <v>0</v>
      </c>
      <c r="O30" s="113"/>
      <c r="P30" s="113"/>
      <c r="Q30" s="113"/>
      <c r="R30" s="113"/>
      <c r="S30" s="113"/>
      <c r="T30" s="115"/>
      <c r="U30" s="122">
        <f t="shared" si="0"/>
        <v>0</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0</v>
      </c>
      <c r="K32" s="121">
        <f>'Input BYR'!K24</f>
        <v>0</v>
      </c>
      <c r="L32" s="121">
        <f>'Input BYR'!L24</f>
        <v>0</v>
      </c>
      <c r="M32" s="121">
        <f>'Input BYR'!M24</f>
        <v>0</v>
      </c>
      <c r="N32" s="121">
        <f>'Input BYR'!N24</f>
        <v>0</v>
      </c>
      <c r="O32" s="113"/>
      <c r="P32" s="113"/>
      <c r="Q32" s="113"/>
      <c r="R32" s="113"/>
      <c r="S32" s="113"/>
      <c r="T32" s="115"/>
      <c r="U32" s="122">
        <f t="shared" si="2"/>
        <v>0</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0</v>
      </c>
      <c r="K33" s="121">
        <f>'Input BYR'!K25</f>
        <v>0</v>
      </c>
      <c r="L33" s="121">
        <f>'Input BYR'!L25</f>
        <v>0</v>
      </c>
      <c r="M33" s="121">
        <f>'Input BYR'!M25</f>
        <v>0</v>
      </c>
      <c r="N33" s="121">
        <f>'Input BYR'!N25</f>
        <v>0</v>
      </c>
      <c r="O33" s="113"/>
      <c r="P33" s="113"/>
      <c r="Q33" s="113"/>
      <c r="R33" s="113"/>
      <c r="S33" s="113"/>
      <c r="T33" s="115"/>
      <c r="U33" s="122">
        <f t="shared" si="2"/>
        <v>0</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0</v>
      </c>
      <c r="K34" s="121">
        <f>'Calc2 BYR'!K66</f>
        <v>0</v>
      </c>
      <c r="L34" s="121">
        <f>'Calc2 BYR'!L66</f>
        <v>0</v>
      </c>
      <c r="M34" s="121">
        <f>'Calc2 BYR'!M66</f>
        <v>0</v>
      </c>
      <c r="N34" s="121">
        <f>'Calc2 BYR'!N66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16.923408944391301</v>
      </c>
      <c r="K37" s="121">
        <f>'Input BYR'!K30</f>
        <v>19.760385971784899</v>
      </c>
      <c r="L37" s="121">
        <f>'Input BYR'!L30</f>
        <v>19.823722925913799</v>
      </c>
      <c r="M37" s="121">
        <f>'Input BYR'!M30</f>
        <v>21.167441797505301</v>
      </c>
      <c r="N37" s="121">
        <f>'Input BYR'!N30</f>
        <v>20.986649173977799</v>
      </c>
      <c r="O37" s="113"/>
      <c r="P37" s="113"/>
      <c r="Q37" s="113"/>
      <c r="R37" s="113"/>
      <c r="S37" s="113"/>
      <c r="T37" s="115"/>
      <c r="U37" s="122">
        <f t="shared" ref="U37:U51" si="3">SUM(J37:N37)</f>
        <v>98.661608813573096</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13.352425777721299</v>
      </c>
      <c r="K38" s="121">
        <f>'Input BYR'!K31</f>
        <v>16.7731250605488</v>
      </c>
      <c r="L38" s="121">
        <f>'Input BYR'!L31</f>
        <v>14.120046151652501</v>
      </c>
      <c r="M38" s="121">
        <f>'Input BYR'!M31</f>
        <v>7.4963418469051302</v>
      </c>
      <c r="N38" s="121">
        <f>'Input BYR'!N31</f>
        <v>5.7951506849097196</v>
      </c>
      <c r="O38" s="113"/>
      <c r="P38" s="113"/>
      <c r="Q38" s="113"/>
      <c r="R38" s="113"/>
      <c r="S38" s="113"/>
      <c r="T38" s="115"/>
      <c r="U38" s="122">
        <f t="shared" si="3"/>
        <v>57.537089521737457</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8.8255752976846704</v>
      </c>
      <c r="K39" s="121">
        <f>'Input BYR'!K32</f>
        <v>13.465797331332</v>
      </c>
      <c r="L39" s="121">
        <f>'Input BYR'!L32</f>
        <v>6.6768268320489801</v>
      </c>
      <c r="M39" s="121">
        <f>'Input BYR'!M32</f>
        <v>6.9561178457821802</v>
      </c>
      <c r="N39" s="121">
        <f>'Input BYR'!N32</f>
        <v>2.5018963795191</v>
      </c>
      <c r="O39" s="113"/>
      <c r="P39" s="113"/>
      <c r="Q39" s="113"/>
      <c r="R39" s="113"/>
      <c r="S39" s="113"/>
      <c r="T39" s="115"/>
      <c r="U39" s="122">
        <f t="shared" si="3"/>
        <v>38.426213686366935</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8.4580519266306506</v>
      </c>
      <c r="K40" s="121">
        <f>'Input BYR'!K33</f>
        <v>13.8156909705161</v>
      </c>
      <c r="L40" s="121">
        <f>'Input BYR'!L33</f>
        <v>14.1464381782716</v>
      </c>
      <c r="M40" s="121">
        <f>'Input BYR'!M33</f>
        <v>9.87942316127622</v>
      </c>
      <c r="N40" s="121">
        <f>'Input BYR'!N33</f>
        <v>2.5423694084206301</v>
      </c>
      <c r="O40" s="113"/>
      <c r="P40" s="113"/>
      <c r="Q40" s="113"/>
      <c r="R40" s="113"/>
      <c r="S40" s="113"/>
      <c r="T40" s="115"/>
      <c r="U40" s="122">
        <f t="shared" si="3"/>
        <v>48.841973645115203</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47.559461946427923</v>
      </c>
      <c r="K43" s="121">
        <f>'Calc2 BYR'!K56</f>
        <v>63.814999334181799</v>
      </c>
      <c r="L43" s="121">
        <f>'Calc2 BYR'!L56</f>
        <v>54.767034087886884</v>
      </c>
      <c r="M43" s="121">
        <f>'Calc2 BYR'!M56</f>
        <v>45.499324651468832</v>
      </c>
      <c r="N43" s="121">
        <f>'Calc2 BYR'!N56</f>
        <v>31.826065646827246</v>
      </c>
      <c r="O43" s="113"/>
      <c r="P43" s="113"/>
      <c r="Q43" s="113"/>
      <c r="R43" s="113"/>
      <c r="S43" s="113"/>
      <c r="T43" s="115"/>
      <c r="U43" s="122">
        <f t="shared" si="3"/>
        <v>243.46688566679268</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0</v>
      </c>
      <c r="K45" s="121">
        <f>'Input BYR'!K37</f>
        <v>0</v>
      </c>
      <c r="L45" s="121">
        <f>'Input BYR'!L37</f>
        <v>0</v>
      </c>
      <c r="M45" s="121">
        <f>'Input BYR'!M37</f>
        <v>0</v>
      </c>
      <c r="N45" s="121">
        <f>'Input BYR'!N37</f>
        <v>0</v>
      </c>
      <c r="O45" s="113"/>
      <c r="P45" s="113"/>
      <c r="Q45" s="113"/>
      <c r="R45" s="113"/>
      <c r="S45" s="113"/>
      <c r="T45" s="115"/>
      <c r="U45" s="122">
        <f t="shared" si="3"/>
        <v>0</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0</v>
      </c>
      <c r="K46" s="121">
        <f>'Input BYR'!K38</f>
        <v>0</v>
      </c>
      <c r="L46" s="121">
        <f>'Input BYR'!L38</f>
        <v>0</v>
      </c>
      <c r="M46" s="121">
        <f>'Input BYR'!M38</f>
        <v>0</v>
      </c>
      <c r="N46" s="121">
        <f>'Input BYR'!N38</f>
        <v>0</v>
      </c>
      <c r="O46" s="113"/>
      <c r="P46" s="113"/>
      <c r="Q46" s="113"/>
      <c r="R46" s="113"/>
      <c r="S46" s="113"/>
      <c r="T46" s="115"/>
      <c r="U46" s="122">
        <f t="shared" si="3"/>
        <v>0</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0</v>
      </c>
      <c r="K47" s="121">
        <f>'Input BYR'!K39</f>
        <v>0</v>
      </c>
      <c r="L47" s="121">
        <f>'Input BYR'!L39</f>
        <v>0</v>
      </c>
      <c r="M47" s="121">
        <f>'Input BYR'!M39</f>
        <v>0</v>
      </c>
      <c r="N47" s="121">
        <f>'Input BYR'!N39</f>
        <v>0</v>
      </c>
      <c r="O47" s="113"/>
      <c r="P47" s="113"/>
      <c r="Q47" s="113"/>
      <c r="R47" s="113"/>
      <c r="S47" s="113"/>
      <c r="T47" s="115"/>
      <c r="U47" s="122">
        <f t="shared" si="3"/>
        <v>0</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0</v>
      </c>
      <c r="K48" s="121">
        <f>'Input BYR'!K40</f>
        <v>0</v>
      </c>
      <c r="L48" s="121">
        <f>'Input BYR'!L40</f>
        <v>0</v>
      </c>
      <c r="M48" s="121">
        <f>'Input BYR'!M40</f>
        <v>0</v>
      </c>
      <c r="N48" s="121">
        <f>'Input BYR'!N40</f>
        <v>0</v>
      </c>
      <c r="O48" s="113"/>
      <c r="P48" s="113"/>
      <c r="Q48" s="113"/>
      <c r="R48" s="113"/>
      <c r="S48" s="113"/>
      <c r="T48" s="115"/>
      <c r="U48" s="122">
        <f t="shared" si="3"/>
        <v>0</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0</v>
      </c>
      <c r="K49" s="121">
        <f>'Input BYR'!K41</f>
        <v>0</v>
      </c>
      <c r="L49" s="121">
        <f>'Input BYR'!L41</f>
        <v>0</v>
      </c>
      <c r="M49" s="121">
        <f>'Input BYR'!M41</f>
        <v>0</v>
      </c>
      <c r="N49" s="121">
        <f>'Input BYR'!N41</f>
        <v>0</v>
      </c>
      <c r="O49" s="113"/>
      <c r="P49" s="113"/>
      <c r="Q49" s="113"/>
      <c r="R49" s="113"/>
      <c r="S49" s="113"/>
      <c r="T49" s="115"/>
      <c r="U49" s="122">
        <f t="shared" si="3"/>
        <v>0</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0</v>
      </c>
      <c r="K50" s="121">
        <f>'Input BYR'!K42</f>
        <v>0</v>
      </c>
      <c r="L50" s="121">
        <f>'Input BYR'!L42</f>
        <v>0</v>
      </c>
      <c r="M50" s="121">
        <f>'Input BYR'!M42</f>
        <v>0</v>
      </c>
      <c r="N50" s="121">
        <f>'Input BYR'!N42</f>
        <v>0</v>
      </c>
      <c r="O50" s="113"/>
      <c r="P50" s="113"/>
      <c r="Q50" s="113"/>
      <c r="R50" s="113"/>
      <c r="S50" s="113"/>
      <c r="T50" s="115"/>
      <c r="U50" s="122">
        <f t="shared" si="3"/>
        <v>0</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0</v>
      </c>
      <c r="K51" s="121">
        <f>'Calc2 BYR'!K67</f>
        <v>0</v>
      </c>
      <c r="L51" s="121">
        <f>'Calc2 BYR'!L67</f>
        <v>0</v>
      </c>
      <c r="M51" s="121">
        <f>'Calc2 BYR'!M67</f>
        <v>0</v>
      </c>
      <c r="N51" s="121">
        <f>'Calc2 BYR'!N67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18.104646099500236</v>
      </c>
      <c r="K54" s="121">
        <f>'Calc2 BYR'!K39</f>
        <v>21.139641308925558</v>
      </c>
      <c r="L54" s="121">
        <f>'Calc2 BYR'!L39</f>
        <v>21.20739911961795</v>
      </c>
      <c r="M54" s="121">
        <f>'Calc2 BYR'!M39</f>
        <v>22.644908235383099</v>
      </c>
      <c r="N54" s="121">
        <f>'Calc2 BYR'!N39</f>
        <v>22.451496466092348</v>
      </c>
      <c r="O54" s="113"/>
      <c r="P54" s="113"/>
      <c r="Q54" s="113"/>
      <c r="R54" s="113"/>
      <c r="S54" s="113"/>
      <c r="T54" s="115"/>
      <c r="U54" s="122">
        <f>SUM(J54:N54)</f>
        <v>105.54809122951919</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14.284411850462625</v>
      </c>
      <c r="K55" s="121">
        <f>'Calc2 BYR'!K40</f>
        <v>17.943872549657687</v>
      </c>
      <c r="L55" s="121">
        <f>'Calc2 BYR'!L40</f>
        <v>15.105611364960932</v>
      </c>
      <c r="M55" s="121">
        <f>'Calc2 BYR'!M40</f>
        <v>8.0195790709218038</v>
      </c>
      <c r="N55" s="121">
        <f>'Calc2 BYR'!N40</f>
        <v>6.1996464535201588</v>
      </c>
      <c r="O55" s="113"/>
      <c r="P55" s="113"/>
      <c r="Q55" s="113"/>
      <c r="R55" s="113"/>
      <c r="S55" s="113"/>
      <c r="T55" s="115"/>
      <c r="U55" s="122">
        <f>SUM(J55:N55)</f>
        <v>61.553121289523219</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9.4415916978728713</v>
      </c>
      <c r="K56" s="121">
        <f>'Calc2 BYR'!K41</f>
        <v>14.405696626042817</v>
      </c>
      <c r="L56" s="121">
        <f>'Calc2 BYR'!L41</f>
        <v>7.1428627210451143</v>
      </c>
      <c r="M56" s="121">
        <f>'Calc2 BYR'!M41</f>
        <v>7.4416479704606013</v>
      </c>
      <c r="N56" s="121">
        <f>'Calc2 BYR'!N41</f>
        <v>2.6765262647527091</v>
      </c>
      <c r="O56" s="113"/>
      <c r="P56" s="113"/>
      <c r="Q56" s="113"/>
      <c r="R56" s="113"/>
      <c r="S56" s="113"/>
      <c r="T56" s="115"/>
      <c r="U56" s="122">
        <f>SUM(J56:N56)</f>
        <v>41.108325280174114</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9.0484155601282605</v>
      </c>
      <c r="K57" s="121">
        <f>'Calc2 BYR'!K42</f>
        <v>14.780012494122914</v>
      </c>
      <c r="L57" s="121">
        <f>'Calc2 BYR'!L42</f>
        <v>15.133845528855302</v>
      </c>
      <c r="M57" s="121">
        <f>'Calc2 BYR'!M42</f>
        <v>10.568997096852057</v>
      </c>
      <c r="N57" s="121">
        <f>'Calc2 BYR'!N42</f>
        <v>2.7198242709194802</v>
      </c>
      <c r="O57" s="113"/>
      <c r="P57" s="113"/>
      <c r="Q57" s="113"/>
      <c r="R57" s="113"/>
      <c r="S57" s="113"/>
      <c r="T57" s="115"/>
      <c r="U57" s="122">
        <f>SUM(J57:N57)</f>
        <v>52.25109495087802</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50.879065207963997</v>
      </c>
      <c r="K60" s="121">
        <f>'Calc2 BYR'!K57</f>
        <v>68.269222978748985</v>
      </c>
      <c r="L60" s="121">
        <f>'Calc2 BYR'!L57</f>
        <v>58.589718734479298</v>
      </c>
      <c r="M60" s="121">
        <f>'Calc2 BYR'!M57</f>
        <v>48.675132373617565</v>
      </c>
      <c r="N60" s="121">
        <f>'Calc2 BYR'!N57</f>
        <v>34.047493455284695</v>
      </c>
      <c r="O60" s="113"/>
      <c r="P60" s="113"/>
      <c r="Q60" s="113"/>
      <c r="R60" s="113"/>
      <c r="S60" s="113"/>
      <c r="T60" s="115"/>
      <c r="U60" s="122">
        <f>SUM(J60:N60)</f>
        <v>260.46063275009453</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0</v>
      </c>
      <c r="K62" s="121">
        <f>'Calc2 BYR'!K46</f>
        <v>0</v>
      </c>
      <c r="L62" s="121">
        <f>'Calc2 BYR'!L46</f>
        <v>0</v>
      </c>
      <c r="M62" s="121">
        <f>'Calc2 BYR'!M46</f>
        <v>0</v>
      </c>
      <c r="N62" s="121">
        <f>'Calc2 BYR'!N46</f>
        <v>0</v>
      </c>
      <c r="O62" s="113"/>
      <c r="P62" s="113"/>
      <c r="Q62" s="113"/>
      <c r="R62" s="113"/>
      <c r="S62" s="113"/>
      <c r="T62" s="115"/>
      <c r="U62" s="122">
        <f>SUM(J62:N62)</f>
        <v>0</v>
      </c>
    </row>
    <row r="63" spans="1:27" s="117" customFormat="1" ht="17.399999999999999">
      <c r="A63" s="110"/>
      <c r="B63" s="119" t="s">
        <v>159</v>
      </c>
      <c r="C63" s="119"/>
      <c r="D63" s="113"/>
      <c r="E63" s="113" t="str">
        <f>'Calc2 BYR'!E47</f>
        <v>Sewerage: MNI</v>
      </c>
      <c r="F63" s="113"/>
      <c r="G63" s="120"/>
      <c r="H63" s="120"/>
      <c r="I63" s="120"/>
      <c r="J63" s="121">
        <f>'Calc2 BYR'!J47</f>
        <v>0</v>
      </c>
      <c r="K63" s="121">
        <f>'Calc2 BYR'!K47</f>
        <v>0</v>
      </c>
      <c r="L63" s="121">
        <f>'Calc2 BYR'!L47</f>
        <v>0</v>
      </c>
      <c r="M63" s="121">
        <f>'Calc2 BYR'!M47</f>
        <v>0</v>
      </c>
      <c r="N63" s="121">
        <f>'Calc2 BYR'!N47</f>
        <v>0</v>
      </c>
      <c r="O63" s="113"/>
      <c r="P63" s="113"/>
      <c r="Q63" s="113"/>
      <c r="R63" s="113"/>
      <c r="S63" s="113"/>
      <c r="T63" s="115"/>
      <c r="U63" s="122">
        <f>SUM(J63:N63)</f>
        <v>0</v>
      </c>
    </row>
    <row r="64" spans="1:27" s="117" customFormat="1" ht="17.399999999999999">
      <c r="A64" s="110"/>
      <c r="B64" s="119" t="s">
        <v>160</v>
      </c>
      <c r="C64" s="119"/>
      <c r="D64" s="113"/>
      <c r="E64" s="113" t="str">
        <f>'Calc2 BYR'!E48</f>
        <v>Sewerage: Infrastructure enhancements</v>
      </c>
      <c r="F64" s="113"/>
      <c r="G64" s="120"/>
      <c r="H64" s="120"/>
      <c r="I64" s="120"/>
      <c r="J64" s="121">
        <f>'Calc2 BYR'!J48</f>
        <v>0</v>
      </c>
      <c r="K64" s="121">
        <f>'Calc2 BYR'!K48</f>
        <v>0</v>
      </c>
      <c r="L64" s="121">
        <f>'Calc2 BYR'!L48</f>
        <v>0</v>
      </c>
      <c r="M64" s="121">
        <f>'Calc2 BYR'!M48</f>
        <v>0</v>
      </c>
      <c r="N64" s="121">
        <f>'Calc2 BYR'!N48</f>
        <v>0</v>
      </c>
      <c r="O64" s="113"/>
      <c r="P64" s="113"/>
      <c r="Q64" s="113"/>
      <c r="R64" s="113"/>
      <c r="S64" s="113"/>
      <c r="T64" s="115"/>
      <c r="U64" s="122">
        <f>SUM(J64:N64)</f>
        <v>0</v>
      </c>
    </row>
    <row r="65" spans="1:21" s="117" customFormat="1" ht="17.399999999999999">
      <c r="A65" s="110"/>
      <c r="B65" s="119" t="s">
        <v>238</v>
      </c>
      <c r="C65" s="119"/>
      <c r="D65" s="113"/>
      <c r="E65" s="113" t="str">
        <f>'Calc2 BYR'!E49</f>
        <v>Sewerage: Non-infrastructure enhancements</v>
      </c>
      <c r="F65" s="113"/>
      <c r="G65" s="120"/>
      <c r="H65" s="120"/>
      <c r="I65" s="120"/>
      <c r="J65" s="121">
        <f>'Calc2 BYR'!J49</f>
        <v>0</v>
      </c>
      <c r="K65" s="121">
        <f>'Calc2 BYR'!K49</f>
        <v>0</v>
      </c>
      <c r="L65" s="121">
        <f>'Calc2 BYR'!L49</f>
        <v>0</v>
      </c>
      <c r="M65" s="121">
        <f>'Calc2 BYR'!M49</f>
        <v>0</v>
      </c>
      <c r="N65" s="121">
        <f>'Calc2 BYR'!N49</f>
        <v>0</v>
      </c>
      <c r="O65" s="113"/>
      <c r="P65" s="113"/>
      <c r="Q65" s="113"/>
      <c r="R65" s="113"/>
      <c r="S65" s="113"/>
      <c r="T65" s="115"/>
      <c r="U65" s="122">
        <f>SUM(J65:N65)</f>
        <v>0</v>
      </c>
    </row>
    <row r="66" spans="1:21" s="117" customFormat="1" ht="17.399999999999999">
      <c r="A66" s="110"/>
      <c r="B66" s="119" t="s">
        <v>239</v>
      </c>
      <c r="C66" s="119"/>
      <c r="D66" s="113"/>
      <c r="E66" s="113" t="str">
        <f>'Calc2 BYR'!E50</f>
        <v>Sewerage: Large projects infrastructure</v>
      </c>
      <c r="F66" s="113"/>
      <c r="G66" s="120"/>
      <c r="H66" s="120"/>
      <c r="I66" s="120"/>
      <c r="J66" s="121">
        <f>'Calc2 BYR'!J50</f>
        <v>0</v>
      </c>
      <c r="K66" s="121">
        <f>'Calc2 BYR'!K50</f>
        <v>0</v>
      </c>
      <c r="L66" s="121">
        <f>'Calc2 BYR'!L50</f>
        <v>0</v>
      </c>
      <c r="M66" s="121">
        <f>'Calc2 BYR'!M50</f>
        <v>0</v>
      </c>
      <c r="N66" s="121">
        <f>'Calc2 BYR'!N50</f>
        <v>0</v>
      </c>
      <c r="O66" s="113"/>
      <c r="P66" s="113"/>
      <c r="Q66" s="113"/>
      <c r="R66" s="113"/>
      <c r="S66" s="113"/>
      <c r="T66" s="115"/>
      <c r="U66" s="122">
        <f t="shared" ref="U66:U67" si="5">SUM(J66:N66)</f>
        <v>0</v>
      </c>
    </row>
    <row r="67" spans="1:21" s="117" customFormat="1" ht="17.399999999999999">
      <c r="A67" s="110"/>
      <c r="B67" s="119" t="s">
        <v>240</v>
      </c>
      <c r="C67" s="119"/>
      <c r="D67" s="113"/>
      <c r="E67" s="113" t="str">
        <f>'Calc2 BYR'!E51</f>
        <v>Sewerage: Large projects non-infrastructure</v>
      </c>
      <c r="F67" s="113"/>
      <c r="G67" s="120"/>
      <c r="H67" s="120"/>
      <c r="I67" s="120"/>
      <c r="J67" s="121">
        <f>'Calc2 BYR'!J51</f>
        <v>0</v>
      </c>
      <c r="K67" s="121">
        <f>'Calc2 BYR'!K51</f>
        <v>0</v>
      </c>
      <c r="L67" s="121">
        <f>'Calc2 BYR'!L51</f>
        <v>0</v>
      </c>
      <c r="M67" s="121">
        <f>'Calc2 BYR'!M51</f>
        <v>0</v>
      </c>
      <c r="N67" s="121">
        <f>'Calc2 BYR'!N51</f>
        <v>0</v>
      </c>
      <c r="O67" s="113"/>
      <c r="P67" s="113"/>
      <c r="Q67" s="113"/>
      <c r="R67" s="113"/>
      <c r="S67" s="113"/>
      <c r="T67" s="115"/>
      <c r="U67" s="122">
        <f t="shared" si="5"/>
        <v>0</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0</v>
      </c>
      <c r="K68" s="121">
        <f>'Calc2 BYR'!K68</f>
        <v>0</v>
      </c>
      <c r="L68" s="121">
        <f>'Calc2 BYR'!L68</f>
        <v>0</v>
      </c>
      <c r="M68" s="121">
        <f>'Calc2 BYR'!M68</f>
        <v>0</v>
      </c>
      <c r="N68" s="121">
        <f>'Calc2 BYR'!N68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127.91960317192274</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-1.7254566772867099</v>
      </c>
      <c r="K73" s="121">
        <f>'Calc2 BYR'!K127</f>
        <v>-1.7254566772867099</v>
      </c>
      <c r="L73" s="121">
        <f>'Calc2 BYR'!L127</f>
        <v>-1.7254566772867099</v>
      </c>
      <c r="M73" s="121">
        <f>'Calc2 BYR'!M127</f>
        <v>-1.7254566772867099</v>
      </c>
      <c r="N73" s="121">
        <f>'Calc2 BYR'!N127</f>
        <v>-1.7254566772867099</v>
      </c>
      <c r="O73" s="113"/>
      <c r="P73" s="113"/>
      <c r="Q73" s="113"/>
      <c r="R73" s="113"/>
      <c r="S73" s="113"/>
      <c r="T73" s="115"/>
      <c r="U73" s="122">
        <f>SUM(J73:N73)</f>
        <v>-8.6272833864335503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0</v>
      </c>
      <c r="K76" s="121">
        <f>'Calc2 BYR'!K128</f>
        <v>0</v>
      </c>
      <c r="L76" s="121">
        <f>'Calc2 BYR'!L128</f>
        <v>0</v>
      </c>
      <c r="M76" s="121">
        <f>'Calc2 BYR'!M128</f>
        <v>0</v>
      </c>
      <c r="N76" s="121">
        <f>'Calc2 BYR'!N128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BRL 2010-15 reconciliation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56.454693480241133</v>
      </c>
      <c r="K16" s="121">
        <f>'Calc2 BYR'!K55</f>
        <v>76.550283796408777</v>
      </c>
      <c r="L16" s="121">
        <f>'Calc2 BYR'!L55</f>
        <v>65.645614419569512</v>
      </c>
      <c r="M16" s="121">
        <f>'Calc2 BYR'!M55</f>
        <v>57.468357224982313</v>
      </c>
      <c r="N16" s="121">
        <f>'Calc2 BYR'!N55</f>
        <v>55.322925078798271</v>
      </c>
      <c r="O16" s="113"/>
      <c r="P16" s="113"/>
      <c r="Q16" s="113"/>
      <c r="R16" s="113"/>
      <c r="S16" s="113"/>
      <c r="T16" s="115"/>
      <c r="U16" s="295">
        <f>SUM(J16:N16)</f>
        <v>311.44187400000004</v>
      </c>
    </row>
    <row r="17" spans="1:21" s="117" customFormat="1" ht="17.399999999999999">
      <c r="A17" s="110"/>
      <c r="B17" s="118" t="s">
        <v>131</v>
      </c>
      <c r="C17" s="119"/>
      <c r="D17" s="113"/>
      <c r="E17" s="124" t="str">
        <f>'Calc2 BYR'!E56</f>
        <v>Water: Baseline capex (gross of adjustments)</v>
      </c>
      <c r="F17" s="124"/>
      <c r="G17" s="113"/>
      <c r="H17" s="120"/>
      <c r="I17" s="120"/>
      <c r="J17" s="121">
        <f>'Calc2 BYR'!J56</f>
        <v>47.559461946427923</v>
      </c>
      <c r="K17" s="121">
        <f>'Calc2 BYR'!K56</f>
        <v>63.814999334181799</v>
      </c>
      <c r="L17" s="121">
        <f>'Calc2 BYR'!L56</f>
        <v>54.767034087886884</v>
      </c>
      <c r="M17" s="121">
        <f>'Calc2 BYR'!M56</f>
        <v>45.499324651468832</v>
      </c>
      <c r="N17" s="121">
        <f>'Calc2 BYR'!N56</f>
        <v>31.826065646827246</v>
      </c>
      <c r="O17" s="113"/>
      <c r="P17" s="113"/>
      <c r="Q17" s="113"/>
      <c r="R17" s="113"/>
      <c r="S17" s="113"/>
      <c r="T17" s="115"/>
      <c r="U17" s="295">
        <f t="shared" ref="U17:U18" si="0">SUM(J17:N17)</f>
        <v>243.46688566679268</v>
      </c>
    </row>
    <row r="18" spans="1:21" s="117" customFormat="1" ht="17.399999999999999">
      <c r="A18" s="110"/>
      <c r="B18" s="118" t="s">
        <v>132</v>
      </c>
      <c r="C18" s="119"/>
      <c r="D18" s="113"/>
      <c r="E18" s="124" t="str">
        <f>'Calc2 BYR'!E57</f>
        <v>Water: Allowance capex (gross of adjustments)</v>
      </c>
      <c r="F18" s="124"/>
      <c r="G18" s="113"/>
      <c r="H18" s="286"/>
      <c r="I18" s="120"/>
      <c r="J18" s="121">
        <f>'Calc2 BYR'!J57</f>
        <v>50.879065207963997</v>
      </c>
      <c r="K18" s="121">
        <f>'Calc2 BYR'!K57</f>
        <v>68.269222978748985</v>
      </c>
      <c r="L18" s="121">
        <f>'Calc2 BYR'!L57</f>
        <v>58.589718734479298</v>
      </c>
      <c r="M18" s="121">
        <f>'Calc2 BYR'!M57</f>
        <v>48.675132373617565</v>
      </c>
      <c r="N18" s="121">
        <f>'Calc2 BYR'!N57</f>
        <v>34.047493455284695</v>
      </c>
      <c r="O18" s="113"/>
      <c r="P18" s="113"/>
      <c r="Q18" s="113"/>
      <c r="R18" s="113"/>
      <c r="S18" s="113"/>
      <c r="T18" s="115"/>
      <c r="U18" s="295">
        <f t="shared" si="0"/>
        <v>260.46063275009453</v>
      </c>
    </row>
    <row r="19" spans="1:21" s="117" customFormat="1" ht="17.399999999999999">
      <c r="A19" s="110"/>
      <c r="B19" s="118" t="s">
        <v>133</v>
      </c>
      <c r="C19" s="119"/>
      <c r="D19" s="113"/>
      <c r="E19" s="124" t="str">
        <f>'Calc2 BYR'!E94</f>
        <v>Water: CIS bid ratio</v>
      </c>
      <c r="F19" s="124"/>
      <c r="G19" s="301">
        <f>'Calc2 BYR'!G94</f>
        <v>127.91960317192274</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v>
      </c>
      <c r="K21" s="121">
        <f>'Calc2 BYR'!K59</f>
        <v>0</v>
      </c>
      <c r="L21" s="121">
        <f>'Calc2 BYR'!L59</f>
        <v>0</v>
      </c>
      <c r="M21" s="121">
        <f>'Calc2 BYR'!M59</f>
        <v>0</v>
      </c>
      <c r="N21" s="121">
        <f>'Calc2 BYR'!N59</f>
        <v>0</v>
      </c>
      <c r="O21" s="113"/>
      <c r="P21" s="113"/>
      <c r="Q21" s="113"/>
      <c r="R21" s="113"/>
      <c r="S21" s="113"/>
      <c r="T21" s="115"/>
      <c r="U21" s="295">
        <f t="shared" ref="U21:U22" si="1">SUM(J21:N21)</f>
        <v>0</v>
      </c>
    </row>
    <row r="22" spans="1:21" s="117" customFormat="1" ht="17.399999999999999">
      <c r="A22" s="110"/>
      <c r="B22" s="118" t="s">
        <v>135</v>
      </c>
      <c r="C22" s="119"/>
      <c r="D22" s="113"/>
      <c r="E22" s="113" t="str">
        <f>'Calc2 BYR'!E60</f>
        <v>Water: Adjustments to baseline capex</v>
      </c>
      <c r="F22" s="113"/>
      <c r="G22" s="113"/>
      <c r="H22" s="120"/>
      <c r="I22" s="120"/>
      <c r="J22" s="121">
        <f>'Calc2 BYR'!J60</f>
        <v>0</v>
      </c>
      <c r="K22" s="121">
        <f>'Calc2 BYR'!K60</f>
        <v>0</v>
      </c>
      <c r="L22" s="121">
        <f>'Calc2 BYR'!L60</f>
        <v>0</v>
      </c>
      <c r="M22" s="121">
        <f>'Calc2 BYR'!M60</f>
        <v>0</v>
      </c>
      <c r="N22" s="121">
        <f>'Calc2 BYR'!N60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56.454693480241133</v>
      </c>
      <c r="K24" s="121">
        <f>'Calc2 BYR'!K62</f>
        <v>76.550283796408777</v>
      </c>
      <c r="L24" s="121">
        <f>'Calc2 BYR'!L62</f>
        <v>65.645614419569512</v>
      </c>
      <c r="M24" s="121">
        <f>'Calc2 BYR'!M62</f>
        <v>57.468357224982313</v>
      </c>
      <c r="N24" s="121">
        <f>'Calc2 BYR'!N62</f>
        <v>55.322925078798271</v>
      </c>
      <c r="O24" s="113"/>
      <c r="P24" s="113"/>
      <c r="Q24" s="113"/>
      <c r="R24" s="113"/>
      <c r="S24" s="113"/>
      <c r="T24" s="115"/>
      <c r="U24" s="295">
        <f t="shared" ref="U24:U26" si="2">SUM(J24:N24)</f>
        <v>311.44187400000004</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47.559461946427923</v>
      </c>
      <c r="K25" s="121">
        <f>'Calc2 BYR'!K63</f>
        <v>63.814999334181799</v>
      </c>
      <c r="L25" s="121">
        <f>'Calc2 BYR'!L63</f>
        <v>54.767034087886884</v>
      </c>
      <c r="M25" s="121">
        <f>'Calc2 BYR'!M63</f>
        <v>45.499324651468832</v>
      </c>
      <c r="N25" s="121">
        <f>'Calc2 BYR'!N63</f>
        <v>31.826065646827246</v>
      </c>
      <c r="O25" s="113"/>
      <c r="P25" s="113"/>
      <c r="Q25" s="113"/>
      <c r="R25" s="113"/>
      <c r="S25" s="113"/>
      <c r="T25" s="115"/>
      <c r="U25" s="295">
        <f t="shared" si="2"/>
        <v>243.46688566679268</v>
      </c>
    </row>
    <row r="26" spans="1:21" s="117" customFormat="1" ht="17.399999999999999">
      <c r="A26" s="110"/>
      <c r="B26" s="118" t="s">
        <v>138</v>
      </c>
      <c r="C26" s="119"/>
      <c r="D26" s="113"/>
      <c r="E26" s="113" t="str">
        <f>'Calc2 BYR'!E64</f>
        <v>Water: Allowance capex (net of adjustments)</v>
      </c>
      <c r="F26" s="113"/>
      <c r="G26" s="113"/>
      <c r="H26" s="120"/>
      <c r="I26" s="120"/>
      <c r="J26" s="121">
        <f>'Calc2 BYR'!J64</f>
        <v>50.879065207963997</v>
      </c>
      <c r="K26" s="121">
        <f>'Calc2 BYR'!K64</f>
        <v>68.269222978748971</v>
      </c>
      <c r="L26" s="121">
        <f>'Calc2 BYR'!L64</f>
        <v>58.589718734479305</v>
      </c>
      <c r="M26" s="121">
        <f>'Calc2 BYR'!M64</f>
        <v>48.675132373617565</v>
      </c>
      <c r="N26" s="121">
        <f>'Calc2 BYR'!N64</f>
        <v>34.047493455284695</v>
      </c>
      <c r="O26" s="113"/>
      <c r="P26" s="113"/>
      <c r="Q26" s="113"/>
      <c r="R26" s="113"/>
      <c r="S26" s="113"/>
      <c r="T26" s="115"/>
      <c r="U26" s="295">
        <f t="shared" si="2"/>
        <v>260.46063275009453</v>
      </c>
    </row>
    <row r="27" spans="1:21" s="117" customFormat="1" ht="17.399999999999999">
      <c r="A27" s="110"/>
      <c r="B27" s="118" t="s">
        <v>139</v>
      </c>
      <c r="C27" s="119"/>
      <c r="D27" s="113"/>
      <c r="E27" s="113" t="str">
        <f>'Calc2 BYR'!E106</f>
        <v>Water: Restated CIS bid ratio</v>
      </c>
      <c r="F27" s="113"/>
      <c r="G27" s="301">
        <f>'Calc2 BYR'!G106</f>
        <v>127.91960317192274</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50.163144438902997</v>
      </c>
      <c r="K30" s="121">
        <f>'Calc2 BYR'!K79</f>
        <v>66.46145440261337</v>
      </c>
      <c r="L30" s="121">
        <f>'Calc2 BYR'!L79</f>
        <v>57.045633919568942</v>
      </c>
      <c r="M30" s="121">
        <f>'Calc2 BYR'!M79</f>
        <v>50.646546621788318</v>
      </c>
      <c r="N30" s="121">
        <f>'Calc2 BYR'!N79</f>
        <v>49.212323913634172</v>
      </c>
      <c r="O30" s="113"/>
      <c r="P30" s="113"/>
      <c r="Q30" s="113"/>
      <c r="R30" s="113"/>
      <c r="S30" s="113"/>
      <c r="T30" s="115"/>
      <c r="U30" s="295">
        <f t="shared" ref="U30:U33" si="3">SUM(J30:N30)</f>
        <v>273.5291032965078</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42.259235007451935</v>
      </c>
      <c r="K31" s="121">
        <f>'Calc2 BYR'!K80</f>
        <v>55.404597581001994</v>
      </c>
      <c r="L31" s="121">
        <f>'Calc2 BYR'!L80</f>
        <v>47.592214728464668</v>
      </c>
      <c r="M31" s="121">
        <f>'Calc2 BYR'!M80</f>
        <v>40.098304153694343</v>
      </c>
      <c r="N31" s="121">
        <f>'Calc2 BYR'!N80</f>
        <v>28.310770793073715</v>
      </c>
      <c r="O31" s="113"/>
      <c r="P31" s="113"/>
      <c r="Q31" s="113"/>
      <c r="R31" s="113"/>
      <c r="S31" s="113"/>
      <c r="T31" s="115"/>
      <c r="U31" s="295">
        <f t="shared" si="3"/>
        <v>213.66512226368664</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45.208887686844648</v>
      </c>
      <c r="K32" s="121">
        <f>'Calc2 BYR'!K81</f>
        <v>59.271783526906113</v>
      </c>
      <c r="L32" s="121">
        <f>'Calc2 BYR'!L81</f>
        <v>50.914104101693844</v>
      </c>
      <c r="M32" s="121">
        <f>'Calc2 BYR'!M81</f>
        <v>42.89712600328987</v>
      </c>
      <c r="N32" s="121">
        <f>'Calc2 BYR'!N81</f>
        <v>30.286834508158414</v>
      </c>
      <c r="O32" s="113"/>
      <c r="P32" s="113"/>
      <c r="Q32" s="113"/>
      <c r="R32" s="113"/>
      <c r="S32" s="113"/>
      <c r="T32" s="115"/>
      <c r="U32" s="295">
        <f t="shared" si="3"/>
        <v>228.57873582689288</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18.470459359016843</v>
      </c>
      <c r="K33" s="121">
        <f>'Calc2 BYR'!K82</f>
        <v>49.496888767950573</v>
      </c>
      <c r="L33" s="121">
        <f>'Calc2 BYR'!L82</f>
        <v>72.080175028098608</v>
      </c>
      <c r="M33" s="121">
        <f>'Calc2 BYR'!M82</f>
        <v>59.669038334216282</v>
      </c>
      <c r="N33" s="121">
        <f>'Calc2 BYR'!N82</f>
        <v>44.655841199393194</v>
      </c>
      <c r="O33" s="113"/>
      <c r="P33" s="113"/>
      <c r="Q33" s="113"/>
      <c r="R33" s="113"/>
      <c r="S33" s="113"/>
      <c r="T33" s="115"/>
      <c r="U33" s="295">
        <f t="shared" si="3"/>
        <v>244.37240268867549</v>
      </c>
    </row>
    <row r="34" spans="1:21" s="117" customFormat="1" ht="17.399999999999999">
      <c r="A34" s="110"/>
      <c r="B34" s="118" t="s">
        <v>145</v>
      </c>
      <c r="C34" s="118"/>
      <c r="D34" s="113"/>
      <c r="E34" s="113" t="str">
        <f>'Calc2 BYR'!E116</f>
        <v>Water: CIS outturn ratio</v>
      </c>
      <c r="F34" s="113"/>
      <c r="G34" s="301">
        <f>'Calc2 BYR'!G116</f>
        <v>114.37168598209146</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-9.0893304331646814</v>
      </c>
    </row>
    <row r="38" spans="1:21" s="117" customFormat="1" ht="17.399999999999999">
      <c r="A38" s="110"/>
      <c r="B38" s="118" t="s">
        <v>152</v>
      </c>
      <c r="C38" s="119"/>
      <c r="D38" s="113"/>
      <c r="E38" s="113" t="str">
        <f>'Calc2 BYR'!E127</f>
        <v>Water: Additional income (applied at FD)</v>
      </c>
      <c r="F38" s="113"/>
      <c r="G38" s="113"/>
      <c r="H38" s="113"/>
      <c r="I38" s="113"/>
      <c r="J38" s="121">
        <f>'Calc2 BYR'!J127</f>
        <v>-1.7254566772867099</v>
      </c>
      <c r="K38" s="121">
        <f>'Calc2 BYR'!K127</f>
        <v>-1.7254566772867099</v>
      </c>
      <c r="L38" s="121">
        <f>'Calc2 BYR'!L127</f>
        <v>-1.7254566772867099</v>
      </c>
      <c r="M38" s="121">
        <f>'Calc2 BYR'!M127</f>
        <v>-1.7254566772867099</v>
      </c>
      <c r="N38" s="121">
        <f>'Calc2 BYR'!N127</f>
        <v>-1.7254566772867099</v>
      </c>
      <c r="O38" s="113"/>
      <c r="P38" s="113"/>
      <c r="Q38" s="113"/>
      <c r="R38" s="113"/>
      <c r="S38" s="113"/>
      <c r="T38" s="115"/>
      <c r="U38" s="295">
        <f t="shared" ref="U38" si="4">SUM(J38:N38)</f>
        <v>-8.6272833864335503</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-0.46204704673113106</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0</v>
      </c>
      <c r="K45" s="121">
        <f>'Calc2 BYR'!K66</f>
        <v>0</v>
      </c>
      <c r="L45" s="121">
        <f>'Calc2 BYR'!L66</f>
        <v>0</v>
      </c>
      <c r="M45" s="121">
        <f>'Calc2 BYR'!M66</f>
        <v>0</v>
      </c>
      <c r="N45" s="121">
        <f>'Calc2 BYR'!N66</f>
        <v>0</v>
      </c>
      <c r="O45" s="113"/>
      <c r="P45" s="113"/>
      <c r="Q45" s="113"/>
      <c r="R45" s="113"/>
      <c r="S45" s="113"/>
      <c r="T45" s="115"/>
      <c r="U45" s="295">
        <f>SUM(J45:N45)</f>
        <v>0</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0</v>
      </c>
      <c r="K46" s="121">
        <f>'Calc2 BYR'!K67</f>
        <v>0</v>
      </c>
      <c r="L46" s="121">
        <f>'Calc2 BYR'!L67</f>
        <v>0</v>
      </c>
      <c r="M46" s="121">
        <f>'Calc2 BYR'!M67</f>
        <v>0</v>
      </c>
      <c r="N46" s="121">
        <f>'Calc2 BYR'!N67</f>
        <v>0</v>
      </c>
      <c r="O46" s="113"/>
      <c r="P46" s="113"/>
      <c r="Q46" s="113"/>
      <c r="R46" s="113"/>
      <c r="S46" s="113"/>
      <c r="T46" s="115"/>
      <c r="U46" s="295">
        <f t="shared" ref="U46:U47" si="5">SUM(J46:N46)</f>
        <v>0</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0</v>
      </c>
      <c r="K47" s="121">
        <f>'Calc2 BYR'!K68</f>
        <v>0</v>
      </c>
      <c r="L47" s="121">
        <f>'Calc2 BYR'!L68</f>
        <v>0</v>
      </c>
      <c r="M47" s="121">
        <f>'Calc2 BYR'!M68</f>
        <v>0</v>
      </c>
      <c r="N47" s="121">
        <f>'Calc2 BYR'!N68</f>
        <v>0</v>
      </c>
      <c r="O47" s="113"/>
      <c r="P47" s="113"/>
      <c r="Q47" s="113"/>
      <c r="R47" s="113"/>
      <c r="S47" s="113"/>
      <c r="T47" s="115"/>
      <c r="U47" s="295">
        <f t="shared" si="5"/>
        <v>0</v>
      </c>
    </row>
    <row r="48" spans="1:21" s="117" customFormat="1" ht="17.399999999999999">
      <c r="A48" s="110"/>
      <c r="B48" s="118" t="s">
        <v>329</v>
      </c>
      <c r="C48" s="119"/>
      <c r="D48" s="113"/>
      <c r="E48" s="124" t="str">
        <f>'Calc2 BYR'!E99</f>
        <v>Sewerage: CIS bid ratio</v>
      </c>
      <c r="F48" s="124"/>
      <c r="G48" s="301">
        <f>'Calc2 BYR'!G99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0</v>
      </c>
      <c r="K50" s="121">
        <f>'Calc2 BYR'!K70</f>
        <v>0</v>
      </c>
      <c r="L50" s="121">
        <f>'Calc2 BYR'!L70</f>
        <v>0</v>
      </c>
      <c r="M50" s="121">
        <f>'Calc2 BYR'!M70</f>
        <v>0</v>
      </c>
      <c r="N50" s="121">
        <f>'Calc2 BYR'!N70</f>
        <v>0</v>
      </c>
      <c r="O50" s="113"/>
      <c r="P50" s="113"/>
      <c r="Q50" s="113"/>
      <c r="R50" s="113"/>
      <c r="S50" s="113"/>
      <c r="T50" s="115"/>
      <c r="U50" s="295">
        <f t="shared" ref="U50:U51" si="6">SUM(J50:N50)</f>
        <v>0</v>
      </c>
    </row>
    <row r="51" spans="1:21" s="117" customFormat="1" ht="17.399999999999999">
      <c r="A51" s="110"/>
      <c r="B51" s="118" t="s">
        <v>331</v>
      </c>
      <c r="C51" s="119"/>
      <c r="D51" s="113"/>
      <c r="E51" s="113" t="str">
        <f>'Calc2 BYR'!E71</f>
        <v>Sewerage: Adjustments to baseline capex</v>
      </c>
      <c r="F51" s="113"/>
      <c r="G51" s="113"/>
      <c r="H51" s="120"/>
      <c r="I51" s="120"/>
      <c r="J51" s="121">
        <f>'Calc2 BYR'!J71</f>
        <v>0</v>
      </c>
      <c r="K51" s="121">
        <f>'Calc2 BYR'!K71</f>
        <v>0</v>
      </c>
      <c r="L51" s="121">
        <f>'Calc2 BYR'!L71</f>
        <v>0</v>
      </c>
      <c r="M51" s="121">
        <f>'Calc2 BYR'!M71</f>
        <v>0</v>
      </c>
      <c r="N51" s="121">
        <f>'Calc2 BYR'!N71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0</v>
      </c>
      <c r="K53" s="121">
        <f>'Calc2 BYR'!K73</f>
        <v>0</v>
      </c>
      <c r="L53" s="121">
        <f>'Calc2 BYR'!L73</f>
        <v>0</v>
      </c>
      <c r="M53" s="121">
        <f>'Calc2 BYR'!M73</f>
        <v>0</v>
      </c>
      <c r="N53" s="121">
        <f>'Calc2 BYR'!N73</f>
        <v>0</v>
      </c>
      <c r="O53" s="113"/>
      <c r="P53" s="113"/>
      <c r="Q53" s="113"/>
      <c r="R53" s="113"/>
      <c r="S53" s="113"/>
      <c r="T53" s="115"/>
      <c r="U53" s="295">
        <f t="shared" ref="U53:U55" si="7">SUM(J53:N53)</f>
        <v>0</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0</v>
      </c>
      <c r="K54" s="121">
        <f>'Calc2 BYR'!K74</f>
        <v>0</v>
      </c>
      <c r="L54" s="121">
        <f>'Calc2 BYR'!L74</f>
        <v>0</v>
      </c>
      <c r="M54" s="121">
        <f>'Calc2 BYR'!M74</f>
        <v>0</v>
      </c>
      <c r="N54" s="121">
        <f>'Calc2 BYR'!N74</f>
        <v>0</v>
      </c>
      <c r="O54" s="113"/>
      <c r="P54" s="113"/>
      <c r="Q54" s="113"/>
      <c r="R54" s="113"/>
      <c r="S54" s="113"/>
      <c r="T54" s="115"/>
      <c r="U54" s="295">
        <f t="shared" si="7"/>
        <v>0</v>
      </c>
    </row>
    <row r="55" spans="1:21" s="117" customFormat="1" ht="17.399999999999999">
      <c r="A55" s="110"/>
      <c r="B55" s="118" t="s">
        <v>334</v>
      </c>
      <c r="C55" s="119"/>
      <c r="D55" s="113"/>
      <c r="E55" s="113" t="str">
        <f>'Calc2 BYR'!E75</f>
        <v>Sewerage: Allowance capex (net of adjustments)</v>
      </c>
      <c r="F55" s="113"/>
      <c r="G55" s="113"/>
      <c r="H55" s="120"/>
      <c r="I55" s="120"/>
      <c r="J55" s="121">
        <f>'Calc2 BYR'!J75</f>
        <v>0</v>
      </c>
      <c r="K55" s="121">
        <f>'Calc2 BYR'!K75</f>
        <v>0</v>
      </c>
      <c r="L55" s="121">
        <f>'Calc2 BYR'!L75</f>
        <v>0</v>
      </c>
      <c r="M55" s="121">
        <f>'Calc2 BYR'!M75</f>
        <v>0</v>
      </c>
      <c r="N55" s="121">
        <f>'Calc2 BYR'!N75</f>
        <v>0</v>
      </c>
      <c r="O55" s="113"/>
      <c r="P55" s="113"/>
      <c r="Q55" s="113"/>
      <c r="R55" s="113"/>
      <c r="S55" s="113"/>
      <c r="T55" s="115"/>
      <c r="U55" s="295">
        <f t="shared" si="7"/>
        <v>0</v>
      </c>
    </row>
    <row r="56" spans="1:21" s="117" customFormat="1" ht="17.399999999999999">
      <c r="A56" s="110"/>
      <c r="B56" s="118" t="s">
        <v>335</v>
      </c>
      <c r="C56" s="119"/>
      <c r="D56" s="113"/>
      <c r="E56" s="113" t="str">
        <f>'Calc2 BYR'!E110</f>
        <v>Sewerage: Restated CIS bid ratio</v>
      </c>
      <c r="F56" s="113"/>
      <c r="G56" s="301">
        <f>'Calc2 BYR'!G110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0</v>
      </c>
      <c r="K59" s="121">
        <f>'Calc2 BYR'!K84</f>
        <v>0</v>
      </c>
      <c r="L59" s="121">
        <f>'Calc2 BYR'!L84</f>
        <v>0</v>
      </c>
      <c r="M59" s="121">
        <f>'Calc2 BYR'!M84</f>
        <v>0</v>
      </c>
      <c r="N59" s="121">
        <f>'Calc2 BYR'!N84</f>
        <v>0</v>
      </c>
      <c r="O59" s="113"/>
      <c r="P59" s="113"/>
      <c r="Q59" s="113"/>
      <c r="R59" s="113"/>
      <c r="S59" s="113"/>
      <c r="T59" s="115"/>
      <c r="U59" s="295">
        <f t="shared" ref="U59:U62" si="8">SUM(J59:N59)</f>
        <v>0</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0</v>
      </c>
      <c r="K60" s="121">
        <f>'Calc2 BYR'!K85</f>
        <v>0</v>
      </c>
      <c r="L60" s="121">
        <f>'Calc2 BYR'!L85</f>
        <v>0</v>
      </c>
      <c r="M60" s="121">
        <f>'Calc2 BYR'!M85</f>
        <v>0</v>
      </c>
      <c r="N60" s="121">
        <f>'Calc2 BYR'!N85</f>
        <v>0</v>
      </c>
      <c r="O60" s="113"/>
      <c r="P60" s="113"/>
      <c r="Q60" s="113"/>
      <c r="R60" s="113"/>
      <c r="S60" s="113"/>
      <c r="T60" s="115"/>
      <c r="U60" s="295">
        <f t="shared" si="8"/>
        <v>0</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0</v>
      </c>
      <c r="K61" s="121">
        <f>'Calc2 BYR'!K86</f>
        <v>0</v>
      </c>
      <c r="L61" s="121">
        <f>'Calc2 BYR'!L86</f>
        <v>0</v>
      </c>
      <c r="M61" s="121">
        <f>'Calc2 BYR'!M86</f>
        <v>0</v>
      </c>
      <c r="N61" s="121">
        <f>'Calc2 BYR'!N86</f>
        <v>0</v>
      </c>
      <c r="O61" s="113"/>
      <c r="P61" s="113"/>
      <c r="Q61" s="113"/>
      <c r="R61" s="113"/>
      <c r="S61" s="113"/>
      <c r="T61" s="115"/>
      <c r="U61" s="295">
        <f t="shared" si="8"/>
        <v>0</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0</v>
      </c>
      <c r="K62" s="121">
        <f>'Calc2 BYR'!K87</f>
        <v>0</v>
      </c>
      <c r="L62" s="121">
        <f>'Calc2 BYR'!L87</f>
        <v>0</v>
      </c>
      <c r="M62" s="121">
        <f>'Calc2 BYR'!M87</f>
        <v>0</v>
      </c>
      <c r="N62" s="121">
        <f>'Calc2 BYR'!N87</f>
        <v>0</v>
      </c>
      <c r="O62" s="113"/>
      <c r="P62" s="113"/>
      <c r="Q62" s="113"/>
      <c r="R62" s="113"/>
      <c r="S62" s="113"/>
      <c r="T62" s="115"/>
      <c r="U62" s="295">
        <f t="shared" si="8"/>
        <v>0</v>
      </c>
    </row>
    <row r="63" spans="1:21" s="117" customFormat="1" ht="17.399999999999999">
      <c r="A63" s="110"/>
      <c r="B63" s="118" t="s">
        <v>340</v>
      </c>
      <c r="C63" s="118"/>
      <c r="D63" s="113"/>
      <c r="E63" s="113" t="str">
        <f>'Calc2 BYR'!E119</f>
        <v>Sewerage: CIS outturn ratio</v>
      </c>
      <c r="F63" s="113"/>
      <c r="G63" s="301">
        <f>'Calc2 BYR'!G119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0</v>
      </c>
    </row>
    <row r="67" spans="1:24" s="117" customFormat="1" ht="17.399999999999999">
      <c r="A67" s="110"/>
      <c r="B67" s="118" t="s">
        <v>342</v>
      </c>
      <c r="C67" s="119"/>
      <c r="D67" s="113"/>
      <c r="E67" s="113" t="str">
        <f>'Calc2 BYR'!E128</f>
        <v>Sewerage: Additional income (applied at FD)</v>
      </c>
      <c r="F67" s="113"/>
      <c r="G67" s="113"/>
      <c r="H67" s="113"/>
      <c r="I67" s="113"/>
      <c r="J67" s="121">
        <f>'Calc2 BYR'!J128</f>
        <v>0</v>
      </c>
      <c r="K67" s="121">
        <f>'Calc2 BYR'!K128</f>
        <v>0</v>
      </c>
      <c r="L67" s="121">
        <f>'Calc2 BYR'!L128</f>
        <v>0</v>
      </c>
      <c r="M67" s="121">
        <f>'Calc2 BYR'!M128</f>
        <v>0</v>
      </c>
      <c r="N67" s="121">
        <f>'Calc2 BYR'!N128</f>
        <v>0</v>
      </c>
      <c r="O67" s="113"/>
      <c r="P67" s="113"/>
      <c r="Q67" s="113"/>
      <c r="R67" s="113"/>
      <c r="S67" s="113"/>
      <c r="T67" s="115"/>
      <c r="U67" s="295">
        <f t="shared" ref="U67" si="9">SUM(J67:N67)</f>
        <v>0</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BRL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7.759212924823423</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-5.3682547372091678</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-6.2968849562222093</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1" t="s">
        <v>758</v>
      </c>
      <c r="G1" s="781"/>
      <c r="H1" s="781"/>
      <c r="I1" s="781"/>
      <c r="J1" s="781"/>
      <c r="K1" s="781"/>
      <c r="L1" s="781"/>
      <c r="M1" s="781"/>
      <c r="O1" s="780" t="s">
        <v>759</v>
      </c>
      <c r="P1" s="780"/>
      <c r="Q1" s="780"/>
      <c r="R1" s="780"/>
      <c r="S1" s="780"/>
      <c r="T1" s="780"/>
      <c r="U1" s="780"/>
      <c r="V1" s="780"/>
      <c r="X1" s="778" t="s">
        <v>762</v>
      </c>
      <c r="Y1" s="778"/>
      <c r="Z1" s="778"/>
      <c r="AA1" s="778"/>
      <c r="AB1" s="778"/>
      <c r="AC1" s="778"/>
      <c r="AD1" s="778"/>
      <c r="AE1" s="778"/>
      <c r="AH1" s="779" t="s">
        <v>760</v>
      </c>
      <c r="AI1" s="779"/>
      <c r="AJ1" s="779"/>
      <c r="AK1" s="779"/>
      <c r="AL1" s="779"/>
      <c r="AM1" s="779"/>
      <c r="AN1" s="779"/>
      <c r="AO1" s="779"/>
      <c r="AQ1" s="778" t="s">
        <v>761</v>
      </c>
      <c r="AR1" s="778"/>
      <c r="AS1" s="778"/>
      <c r="AT1" s="778"/>
      <c r="AU1" s="778"/>
      <c r="AV1" s="778"/>
      <c r="AW1" s="778"/>
      <c r="AX1" s="778"/>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VLOOKUP($B4,Calc!$C$1:$P$216,14,FALSE)</f>
        <v>13.875098374208227</v>
      </c>
      <c r="G4" s="571"/>
      <c r="H4" s="571"/>
      <c r="I4" s="571"/>
      <c r="J4" s="571"/>
      <c r="K4" s="571"/>
      <c r="L4" s="571"/>
      <c r="M4" s="571"/>
      <c r="O4" s="552">
        <f>VLOOKUP($B4,'Calc2 FD'!$C$1:$P$216,14,FALSE)</f>
        <v>5.9110422866571994</v>
      </c>
      <c r="P4" s="571"/>
      <c r="Q4" s="571"/>
      <c r="R4" s="571"/>
      <c r="S4" s="571"/>
      <c r="T4" s="571"/>
      <c r="U4" s="571"/>
      <c r="V4" s="571"/>
      <c r="X4" s="690">
        <f>O4-F4</f>
        <v>-7.9640560875510271</v>
      </c>
      <c r="Y4" s="691"/>
      <c r="Z4" s="691"/>
      <c r="AA4" s="691"/>
      <c r="AB4" s="691"/>
      <c r="AC4" s="691"/>
      <c r="AD4" s="691"/>
      <c r="AE4" s="691"/>
      <c r="AG4" s="550" t="s">
        <v>711</v>
      </c>
      <c r="AH4" s="696">
        <f>VLOOKUP($AG4,'Calc2 BYR'!$C$1:$P$216,14,FALSE)</f>
        <v>7.759212924823423</v>
      </c>
      <c r="AI4" s="571"/>
      <c r="AJ4" s="571"/>
      <c r="AK4" s="571"/>
      <c r="AL4" s="571"/>
      <c r="AM4" s="571"/>
      <c r="AN4" s="571"/>
      <c r="AO4" s="571"/>
      <c r="AQ4" s="690">
        <f>AH4-O4</f>
        <v>1.8481706381662235</v>
      </c>
      <c r="AR4" s="691"/>
      <c r="AS4" s="691"/>
      <c r="AT4" s="691"/>
      <c r="AU4" s="691"/>
      <c r="AV4" s="691"/>
      <c r="AW4" s="691"/>
      <c r="AX4" s="691"/>
    </row>
    <row r="5" spans="1:50" s="547" customFormat="1">
      <c r="A5"/>
      <c r="B5" s="550" t="s">
        <v>483</v>
      </c>
      <c r="C5" s="551" t="s">
        <v>503</v>
      </c>
      <c r="D5" s="547" t="s">
        <v>497</v>
      </c>
      <c r="E5" s="547" t="s">
        <v>505</v>
      </c>
      <c r="F5" s="687">
        <f>VLOOKUP($B5,Calc!$C$1:$P$216,14,FALSE)</f>
        <v>0</v>
      </c>
      <c r="G5" s="566"/>
      <c r="H5" s="566"/>
      <c r="I5" s="566"/>
      <c r="J5" s="566"/>
      <c r="K5" s="566"/>
      <c r="L5" s="571"/>
      <c r="M5" s="571"/>
      <c r="O5" s="552">
        <f>VLOOKUP($B5,'Calc2 FD'!$C$1:$P$216,14,FALSE)</f>
        <v>0</v>
      </c>
      <c r="P5" s="566"/>
      <c r="Q5" s="566"/>
      <c r="R5" s="566"/>
      <c r="S5" s="566"/>
      <c r="T5" s="566"/>
      <c r="U5" s="571"/>
      <c r="V5" s="571"/>
      <c r="X5" s="690">
        <f>O5-F5</f>
        <v>0</v>
      </c>
      <c r="Y5" s="692"/>
      <c r="Z5" s="692"/>
      <c r="AA5" s="692"/>
      <c r="AB5" s="692"/>
      <c r="AC5" s="692"/>
      <c r="AD5" s="691"/>
      <c r="AE5" s="691"/>
      <c r="AG5" s="550" t="s">
        <v>712</v>
      </c>
      <c r="AH5" s="696">
        <f>VLOOKUP($AG5,'Calc2 BYR'!$C$1:$P$216,14,FALSE)</f>
        <v>0</v>
      </c>
      <c r="AI5" s="566"/>
      <c r="AJ5" s="566"/>
      <c r="AK5" s="566"/>
      <c r="AL5" s="566"/>
      <c r="AM5" s="566"/>
      <c r="AN5" s="571"/>
      <c r="AO5" s="571"/>
      <c r="AQ5" s="690">
        <f>AH5-O5</f>
        <v>0</v>
      </c>
      <c r="AR5" s="692"/>
      <c r="AS5" s="692"/>
      <c r="AT5" s="692"/>
      <c r="AU5" s="692"/>
      <c r="AV5" s="692"/>
      <c r="AW5" s="691"/>
      <c r="AX5" s="691"/>
    </row>
    <row r="6" spans="1:50" s="547" customFormat="1">
      <c r="B6" s="553" t="s">
        <v>484</v>
      </c>
      <c r="C6" s="547" t="s">
        <v>411</v>
      </c>
      <c r="D6" s="547" t="s">
        <v>497</v>
      </c>
      <c r="E6" s="547" t="s">
        <v>505</v>
      </c>
      <c r="F6" s="571"/>
      <c r="G6" s="687">
        <f>VLOOKUP($B6,Profiling!$C$1:$V$159,16,FALSE)</f>
        <v>-1.3100095553113575</v>
      </c>
      <c r="H6" s="687">
        <f>VLOOKUP($B6,Profiling!$C$1:$V$159,17,FALSE)</f>
        <v>-1.3100095553113575</v>
      </c>
      <c r="I6" s="687">
        <f>VLOOKUP($B6,Profiling!$C$1:$V$159,18,FALSE)</f>
        <v>-1.3100095553113575</v>
      </c>
      <c r="J6" s="687">
        <f>VLOOKUP($B6,Profiling!$C$1:$V$159,19,FALSE)</f>
        <v>-1.3100095553113575</v>
      </c>
      <c r="K6" s="687">
        <f>VLOOKUP($B6,Profiling!$C$1:$V$159,20,FALSE)</f>
        <v>-1.3100095553113575</v>
      </c>
      <c r="L6" s="571"/>
      <c r="M6" s="571"/>
      <c r="O6" s="571"/>
      <c r="P6" s="633">
        <f>VLOOKUP($B6,'Profiling2 FD'!$C$1:$V$159,16,FALSE)</f>
        <v>-1.3100095553113575</v>
      </c>
      <c r="Q6" s="552">
        <f>VLOOKUP($B6,'Profiling2 FD'!$C$1:$V$159,17,FALSE)</f>
        <v>-1.3100095553113575</v>
      </c>
      <c r="R6" s="552">
        <f>VLOOKUP($B6,'Profiling2 FD'!$C$1:$V$159,18,FALSE)</f>
        <v>-1.3100095553113575</v>
      </c>
      <c r="S6" s="552">
        <f>VLOOKUP($B6,'Profiling2 FD'!$C$1:$V$159,19,FALSE)</f>
        <v>-1.3100095553113575</v>
      </c>
      <c r="T6" s="552">
        <f>VLOOKUP($B6,'Profiling2 FD'!$C$1:$V$159,20,FALSE)</f>
        <v>-1.3100095553113575</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-1.3517548362524221</v>
      </c>
      <c r="AJ6" s="696">
        <f>VLOOKUP($AG6,'Profiling2 BYR'!$C$1:$V$159,17,FALSE)</f>
        <v>-1.3517548362524221</v>
      </c>
      <c r="AK6" s="696">
        <f>VLOOKUP($AG6,'Profiling2 BYR'!$C$1:$V$159,18,FALSE)</f>
        <v>-1.3517548362524221</v>
      </c>
      <c r="AL6" s="696">
        <f>VLOOKUP($AG6,'Profiling2 BYR'!$C$1:$V$159,19,FALSE)</f>
        <v>-1.3517548362524221</v>
      </c>
      <c r="AM6" s="696">
        <f>VLOOKUP($AG6,'Profiling2 BYR'!$C$1:$V$159,20,FALSE)</f>
        <v>-1.3517548362524221</v>
      </c>
      <c r="AN6" s="571"/>
      <c r="AO6" s="571"/>
      <c r="AQ6" s="691"/>
      <c r="AR6" s="690">
        <f>AI6-P6</f>
        <v>-4.1745280941064555E-2</v>
      </c>
      <c r="AS6" s="690">
        <f t="shared" ref="AS6:AS7" si="1">AJ6-Q6</f>
        <v>-4.1745280941064555E-2</v>
      </c>
      <c r="AT6" s="690">
        <f t="shared" ref="AT6:AT7" si="2">AK6-R6</f>
        <v>-4.1745280941064555E-2</v>
      </c>
      <c r="AU6" s="690">
        <f t="shared" ref="AU6:AU7" si="3">AL6-S6</f>
        <v>-4.1745280941064555E-2</v>
      </c>
      <c r="AV6" s="690">
        <f t="shared" ref="AV6:AV7" si="4">AM6-T6</f>
        <v>-4.1745280941064555E-2</v>
      </c>
      <c r="AW6" s="691"/>
      <c r="AX6" s="691"/>
    </row>
    <row r="7" spans="1:50" s="547" customFormat="1">
      <c r="B7" s="553" t="s">
        <v>498</v>
      </c>
      <c r="C7" s="547" t="s">
        <v>412</v>
      </c>
      <c r="D7" s="547" t="s">
        <v>497</v>
      </c>
      <c r="E7" s="547" t="s">
        <v>505</v>
      </c>
      <c r="F7" s="571"/>
      <c r="G7" s="687">
        <f>VLOOKUP($B7,Profiling!$C$1:$V$159,16,FALSE)</f>
        <v>0</v>
      </c>
      <c r="H7" s="687">
        <f>VLOOKUP($B7,Profiling!$C$1:$V$159,17,FALSE)</f>
        <v>0</v>
      </c>
      <c r="I7" s="687">
        <f>VLOOKUP($B7,Profiling!$C$1:$V$159,18,FALSE)</f>
        <v>0</v>
      </c>
      <c r="J7" s="687">
        <f>VLOOKUP($B7,Profiling!$C$1:$V$159,19,FALSE)</f>
        <v>0</v>
      </c>
      <c r="K7" s="687">
        <f>VLOOKUP($B7,Profiling!$C$1:$V$159,20,FALSE)</f>
        <v>0</v>
      </c>
      <c r="L7" s="571"/>
      <c r="M7" s="571"/>
      <c r="O7" s="571"/>
      <c r="P7" s="552">
        <f>VLOOKUP($B7,'Profiling2 FD'!$C$1:$V$159,16,FALSE)</f>
        <v>0</v>
      </c>
      <c r="Q7" s="552">
        <f>VLOOKUP($B7,'Profiling2 FD'!$C$1:$V$159,17,FALSE)</f>
        <v>0</v>
      </c>
      <c r="R7" s="552">
        <f>VLOOKUP($B7,'Profiling2 FD'!$C$1:$V$159,18,FALSE)</f>
        <v>0</v>
      </c>
      <c r="S7" s="552">
        <f>VLOOKUP($B7,'Profiling2 FD'!$C$1:$V$159,19,FALSE)</f>
        <v>0</v>
      </c>
      <c r="T7" s="552">
        <f>VLOOKUP($B7,'Profiling2 FD'!$C$1:$V$159,20,FALSE)</f>
        <v>0</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0</v>
      </c>
      <c r="AJ7" s="696">
        <f>VLOOKUP($AG7,'Profiling2 BYR'!$C$1:$V$159,17,FALSE)</f>
        <v>0</v>
      </c>
      <c r="AK7" s="696">
        <f>VLOOKUP($AG7,'Profiling2 BYR'!$C$1:$V$159,18,FALSE)</f>
        <v>0</v>
      </c>
      <c r="AL7" s="696">
        <f>VLOOKUP($AG7,'Profiling2 BYR'!$C$1:$V$159,19,FALSE)</f>
        <v>0</v>
      </c>
      <c r="AM7" s="696">
        <f>VLOOKUP($AG7,'Profiling2 BYR'!$C$1:$V$159,20,FALSE)</f>
        <v>0</v>
      </c>
      <c r="AN7" s="571"/>
      <c r="AO7" s="571"/>
      <c r="AQ7" s="691"/>
      <c r="AR7" s="690">
        <f>AI7-P7</f>
        <v>0</v>
      </c>
      <c r="AS7" s="690">
        <f t="shared" si="1"/>
        <v>0</v>
      </c>
      <c r="AT7" s="690">
        <f t="shared" si="2"/>
        <v>0</v>
      </c>
      <c r="AU7" s="690">
        <f t="shared" si="3"/>
        <v>0</v>
      </c>
      <c r="AV7" s="690">
        <f t="shared" si="4"/>
        <v>0</v>
      </c>
      <c r="AW7" s="691"/>
      <c r="AX7" s="691"/>
    </row>
    <row r="8" spans="1:50">
      <c r="A8" s="656"/>
      <c r="B8" s="654" t="s">
        <v>577</v>
      </c>
      <c r="C8" s="657" t="s">
        <v>575</v>
      </c>
      <c r="D8" s="657" t="s">
        <v>522</v>
      </c>
      <c r="E8" s="657" t="s">
        <v>505</v>
      </c>
      <c r="F8" s="568"/>
      <c r="G8" s="568"/>
      <c r="H8" s="568"/>
      <c r="I8" s="568"/>
      <c r="J8" s="568"/>
      <c r="K8" s="568"/>
      <c r="L8" s="568"/>
      <c r="M8" s="688">
        <f>'Input FD'!O153</f>
        <v>3.5999999999999997E-2</v>
      </c>
      <c r="O8" s="568"/>
      <c r="P8" s="568"/>
      <c r="Q8" s="568"/>
      <c r="R8" s="568"/>
      <c r="S8" s="568"/>
      <c r="T8" s="568"/>
      <c r="U8" s="568"/>
      <c r="V8" s="653">
        <f>'Input FD'!O153</f>
        <v>3.5999999999999997E-2</v>
      </c>
      <c r="X8" s="693"/>
      <c r="Y8" s="693"/>
      <c r="Z8" s="693"/>
      <c r="AA8" s="693"/>
      <c r="AB8" s="693"/>
      <c r="AC8" s="693"/>
      <c r="AD8" s="693"/>
      <c r="AE8" s="694">
        <f>V8-M8</f>
        <v>0</v>
      </c>
      <c r="AG8" s="654" t="s">
        <v>715</v>
      </c>
      <c r="AH8" s="568"/>
      <c r="AI8" s="568"/>
      <c r="AJ8" s="568"/>
      <c r="AK8" s="568"/>
      <c r="AL8" s="568"/>
      <c r="AM8" s="568"/>
      <c r="AN8" s="568"/>
      <c r="AO8" s="697">
        <f>'Input BYR'!$O$153</f>
        <v>3.6699999999999899E-2</v>
      </c>
      <c r="AQ8" s="693"/>
      <c r="AR8" s="693"/>
      <c r="AS8" s="693"/>
      <c r="AT8" s="693"/>
      <c r="AU8" s="693"/>
      <c r="AV8" s="693"/>
      <c r="AW8" s="693"/>
      <c r="AX8" s="694">
        <f>AO8-V8</f>
        <v>6.9999999999990209E-4</v>
      </c>
    </row>
    <row r="9" spans="1:50">
      <c r="B9" s="654" t="s">
        <v>583</v>
      </c>
      <c r="C9" t="s">
        <v>175</v>
      </c>
      <c r="D9" s="547" t="s">
        <v>55</v>
      </c>
      <c r="E9" s="657" t="s">
        <v>505</v>
      </c>
      <c r="F9" s="570"/>
      <c r="G9" s="570"/>
      <c r="H9" s="570"/>
      <c r="I9" s="570"/>
      <c r="J9" s="570"/>
      <c r="K9" s="570"/>
      <c r="L9" s="689">
        <f>VLOOKUP($B9,Calc!$C$1:$P$216,5,FALSE)</f>
        <v>127.91960317192274</v>
      </c>
      <c r="M9" s="570"/>
      <c r="O9" s="570"/>
      <c r="P9" s="570"/>
      <c r="Q9" s="570"/>
      <c r="R9" s="570"/>
      <c r="S9" s="570"/>
      <c r="T9" s="570"/>
      <c r="U9" s="663">
        <f>VLOOKUP($B9,'Calc2 FD'!$C$1:$P$216,5,FALSE)</f>
        <v>127.91960317192274</v>
      </c>
      <c r="V9" s="570"/>
      <c r="X9" s="695"/>
      <c r="Y9" s="695"/>
      <c r="Z9" s="695"/>
      <c r="AA9" s="695"/>
      <c r="AB9" s="695"/>
      <c r="AC9" s="695"/>
      <c r="AD9" s="690">
        <f t="shared" ref="AD9:AD30" si="5">U9-L9</f>
        <v>0</v>
      </c>
      <c r="AE9" s="695"/>
      <c r="AG9" s="654" t="s">
        <v>716</v>
      </c>
      <c r="AH9" s="570"/>
      <c r="AI9" s="570"/>
      <c r="AJ9" s="570"/>
      <c r="AK9" s="570"/>
      <c r="AL9" s="570"/>
      <c r="AM9" s="570"/>
      <c r="AN9" s="698">
        <f>VLOOKUP($AG9,'Calc2 BYR'!$C$1:$P$216,5,FALSE)</f>
        <v>127.91960317192274</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VLOOKUP($B10,Calc!$C$1:$P$216,5,FALSE)</f>
        <v>127.91960317192274</v>
      </c>
      <c r="M10" s="570"/>
      <c r="O10" s="570"/>
      <c r="P10" s="570"/>
      <c r="Q10" s="570"/>
      <c r="R10" s="570"/>
      <c r="S10" s="570"/>
      <c r="T10" s="570"/>
      <c r="U10" s="663">
        <f>VLOOKUP($B10,'Calc2 FD'!$C$1:$P$216,5,FALSE)</f>
        <v>127.91960317192274</v>
      </c>
      <c r="V10" s="570"/>
      <c r="X10" s="695"/>
      <c r="Y10" s="695"/>
      <c r="Z10" s="695"/>
      <c r="AA10" s="695"/>
      <c r="AB10" s="695"/>
      <c r="AC10" s="695"/>
      <c r="AD10" s="690">
        <f t="shared" si="5"/>
        <v>0</v>
      </c>
      <c r="AE10" s="695"/>
      <c r="AG10" s="654" t="s">
        <v>717</v>
      </c>
      <c r="AH10" s="570"/>
      <c r="AI10" s="570"/>
      <c r="AJ10" s="570"/>
      <c r="AK10" s="570"/>
      <c r="AL10" s="570"/>
      <c r="AM10" s="570"/>
      <c r="AN10" s="698">
        <f>VLOOKUP($AG10,'Calc2 BYR'!$C$1:$P$216,5,FALSE)</f>
        <v>127.91960317192274</v>
      </c>
      <c r="AO10" s="570"/>
      <c r="AQ10" s="695"/>
      <c r="AR10" s="695"/>
      <c r="AS10" s="695"/>
      <c r="AT10" s="695"/>
      <c r="AU10" s="695"/>
      <c r="AV10" s="695"/>
      <c r="AW10" s="690">
        <f t="shared" ref="AW10:AW29" si="6">AN10-U10</f>
        <v>0</v>
      </c>
      <c r="AX10" s="695"/>
    </row>
    <row r="11" spans="1:50">
      <c r="B11" s="654" t="s">
        <v>585</v>
      </c>
      <c r="C11" t="s">
        <v>304</v>
      </c>
      <c r="D11" s="547" t="s">
        <v>55</v>
      </c>
      <c r="E11" s="657" t="s">
        <v>505</v>
      </c>
      <c r="F11" s="570"/>
      <c r="G11" s="570"/>
      <c r="H11" s="570"/>
      <c r="I11" s="570"/>
      <c r="J11" s="570"/>
      <c r="K11" s="570"/>
      <c r="L11" s="689">
        <f>VLOOKUP($B11,Calc!$C$1:$P$216,5,FALSE)</f>
        <v>113.93501739465182</v>
      </c>
      <c r="M11" s="570"/>
      <c r="O11" s="570"/>
      <c r="P11" s="570"/>
      <c r="Q11" s="570"/>
      <c r="R11" s="570"/>
      <c r="S11" s="570"/>
      <c r="T11" s="570"/>
      <c r="U11" s="663">
        <f>VLOOKUP($B11,'Calc2 FD'!$C$1:$P$216,5,FALSE)</f>
        <v>113.93501739465182</v>
      </c>
      <c r="V11" s="570"/>
      <c r="X11" s="695"/>
      <c r="Y11" s="695"/>
      <c r="Z11" s="695"/>
      <c r="AA11" s="695"/>
      <c r="AB11" s="695"/>
      <c r="AC11" s="695"/>
      <c r="AD11" s="690">
        <f t="shared" si="5"/>
        <v>0</v>
      </c>
      <c r="AE11" s="695"/>
      <c r="AG11" s="654" t="s">
        <v>718</v>
      </c>
      <c r="AH11" s="570"/>
      <c r="AI11" s="570"/>
      <c r="AJ11" s="570"/>
      <c r="AK11" s="570"/>
      <c r="AL11" s="570"/>
      <c r="AM11" s="570"/>
      <c r="AN11" s="698">
        <f>VLOOKUP($AG11,'Calc2 BYR'!$C$1:$P$216,5,FALSE)</f>
        <v>114.37168598209146</v>
      </c>
      <c r="AO11" s="570"/>
      <c r="AQ11" s="695"/>
      <c r="AR11" s="695"/>
      <c r="AS11" s="695"/>
      <c r="AT11" s="695"/>
      <c r="AU11" s="695"/>
      <c r="AV11" s="695"/>
      <c r="AW11" s="690">
        <f t="shared" si="6"/>
        <v>0.43666858743964099</v>
      </c>
      <c r="AX11" s="695"/>
    </row>
    <row r="12" spans="1:50">
      <c r="B12" s="654" t="s">
        <v>586</v>
      </c>
      <c r="C12" t="s">
        <v>83</v>
      </c>
      <c r="D12" s="547" t="s">
        <v>55</v>
      </c>
      <c r="E12" s="657" t="s">
        <v>505</v>
      </c>
      <c r="F12" s="570"/>
      <c r="G12" s="570"/>
      <c r="H12" s="570"/>
      <c r="I12" s="570"/>
      <c r="J12" s="570"/>
      <c r="K12" s="570"/>
      <c r="L12" s="689">
        <f>VLOOKUP($B12,Calc!$C$1:$P$216,5,FALSE)</f>
        <v>-4.1839650423270474</v>
      </c>
      <c r="M12" s="570"/>
      <c r="O12" s="570"/>
      <c r="P12" s="570"/>
      <c r="Q12" s="570"/>
      <c r="R12" s="570"/>
      <c r="S12" s="570"/>
      <c r="T12" s="570"/>
      <c r="U12" s="663">
        <f>VLOOKUP($B12,'Calc2 FD'!$C$1:$P$216,5,FALSE)</f>
        <v>-4.1839650423270474</v>
      </c>
      <c r="V12" s="570"/>
      <c r="X12" s="695"/>
      <c r="Y12" s="695"/>
      <c r="Z12" s="695"/>
      <c r="AA12" s="695"/>
      <c r="AB12" s="695"/>
      <c r="AC12" s="695"/>
      <c r="AD12" s="690">
        <f t="shared" si="5"/>
        <v>0</v>
      </c>
      <c r="AE12" s="695"/>
      <c r="AG12" s="654" t="s">
        <v>719</v>
      </c>
      <c r="AH12" s="570"/>
      <c r="AI12" s="570"/>
      <c r="AJ12" s="570"/>
      <c r="AK12" s="570"/>
      <c r="AL12" s="570"/>
      <c r="AM12" s="570"/>
      <c r="AN12" s="698">
        <f>VLOOKUP($AG12,'Calc2 BYR'!$C$1:$P$216,5,FALSE)</f>
        <v>-4.254007550164145</v>
      </c>
      <c r="AO12" s="570"/>
      <c r="AQ12" s="695"/>
      <c r="AR12" s="695"/>
      <c r="AS12" s="695"/>
      <c r="AT12" s="695"/>
      <c r="AU12" s="695"/>
      <c r="AV12" s="695"/>
      <c r="AW12" s="690">
        <f t="shared" si="6"/>
        <v>-7.0042507837097645E-2</v>
      </c>
      <c r="AX12" s="695"/>
    </row>
    <row r="13" spans="1:50">
      <c r="B13" s="654" t="s">
        <v>587</v>
      </c>
      <c r="C13" t="s">
        <v>176</v>
      </c>
      <c r="D13" s="547" t="s">
        <v>55</v>
      </c>
      <c r="E13" s="657" t="s">
        <v>505</v>
      </c>
      <c r="F13" s="570"/>
      <c r="G13" s="570"/>
      <c r="H13" s="570"/>
      <c r="I13" s="570"/>
      <c r="J13" s="570"/>
      <c r="K13" s="570"/>
      <c r="L13" s="689">
        <f>VLOOKUP($B13,Calc!$C$1:$P$216,5,FALSE)</f>
        <v>0</v>
      </c>
      <c r="M13" s="570"/>
      <c r="O13" s="570"/>
      <c r="P13" s="570"/>
      <c r="Q13" s="570"/>
      <c r="R13" s="570"/>
      <c r="S13" s="570"/>
      <c r="T13" s="570"/>
      <c r="U13" s="663">
        <f>VLOOKUP($B13,'Calc2 FD'!$C$1:$P$216,5,FALSE)</f>
        <v>0</v>
      </c>
      <c r="V13" s="570"/>
      <c r="X13" s="695"/>
      <c r="Y13" s="695"/>
      <c r="Z13" s="695"/>
      <c r="AA13" s="695"/>
      <c r="AB13" s="695"/>
      <c r="AC13" s="695"/>
      <c r="AD13" s="690">
        <f t="shared" si="5"/>
        <v>0</v>
      </c>
      <c r="AE13" s="695"/>
      <c r="AG13" s="654" t="s">
        <v>720</v>
      </c>
      <c r="AH13" s="570"/>
      <c r="AI13" s="570"/>
      <c r="AJ13" s="570"/>
      <c r="AK13" s="570"/>
      <c r="AL13" s="570"/>
      <c r="AM13" s="570"/>
      <c r="AN13" s="698">
        <f>VLOOKUP($AG13,'Calc2 BYR'!$C$1:$P$216,5,FALSE)</f>
        <v>0</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VLOOKUP($B14,Calc!$C$1:$P$216,5,FALSE)</f>
        <v>0</v>
      </c>
      <c r="M14" s="570"/>
      <c r="O14" s="570"/>
      <c r="P14" s="570"/>
      <c r="Q14" s="570"/>
      <c r="R14" s="570"/>
      <c r="S14" s="570"/>
      <c r="T14" s="570"/>
      <c r="U14" s="663">
        <f>VLOOKUP($B14,'Calc2 FD'!$C$1:$P$216,5,FALSE)</f>
        <v>0</v>
      </c>
      <c r="V14" s="570"/>
      <c r="X14" s="695"/>
      <c r="Y14" s="695"/>
      <c r="Z14" s="695"/>
      <c r="AA14" s="695"/>
      <c r="AB14" s="695"/>
      <c r="AC14" s="695"/>
      <c r="AD14" s="690">
        <f t="shared" si="5"/>
        <v>0</v>
      </c>
      <c r="AE14" s="695"/>
      <c r="AG14" s="654" t="s">
        <v>721</v>
      </c>
      <c r="AH14" s="570"/>
      <c r="AI14" s="570"/>
      <c r="AJ14" s="570"/>
      <c r="AK14" s="570"/>
      <c r="AL14" s="570"/>
      <c r="AM14" s="570"/>
      <c r="AN14" s="698">
        <f>VLOOKUP($AG14,'Calc2 BYR'!$C$1:$P$216,5,FALSE)</f>
        <v>0</v>
      </c>
      <c r="AO14" s="570"/>
      <c r="AQ14" s="695"/>
      <c r="AR14" s="695"/>
      <c r="AS14" s="695"/>
      <c r="AT14" s="695"/>
      <c r="AU14" s="695"/>
      <c r="AV14" s="695"/>
      <c r="AW14" s="690">
        <f t="shared" si="6"/>
        <v>0</v>
      </c>
      <c r="AX14" s="695"/>
    </row>
    <row r="15" spans="1:50">
      <c r="B15" s="654" t="s">
        <v>589</v>
      </c>
      <c r="C15" t="s">
        <v>305</v>
      </c>
      <c r="D15" s="547" t="s">
        <v>55</v>
      </c>
      <c r="E15" s="657" t="s">
        <v>505</v>
      </c>
      <c r="F15" s="570"/>
      <c r="G15" s="570"/>
      <c r="H15" s="570"/>
      <c r="I15" s="570"/>
      <c r="J15" s="570"/>
      <c r="K15" s="570"/>
      <c r="L15" s="689">
        <f>VLOOKUP($B15,Calc!$C$1:$P$216,5,FALSE)</f>
        <v>0</v>
      </c>
      <c r="M15" s="570"/>
      <c r="O15" s="570"/>
      <c r="P15" s="570"/>
      <c r="Q15" s="570"/>
      <c r="R15" s="570"/>
      <c r="S15" s="570"/>
      <c r="T15" s="570"/>
      <c r="U15" s="663">
        <f>VLOOKUP($B15,'Calc2 FD'!$C$1:$P$216,5,FALSE)</f>
        <v>0</v>
      </c>
      <c r="V15" s="570"/>
      <c r="X15" s="695"/>
      <c r="Y15" s="695"/>
      <c r="Z15" s="695"/>
      <c r="AA15" s="695"/>
      <c r="AB15" s="695"/>
      <c r="AC15" s="695"/>
      <c r="AD15" s="690">
        <f t="shared" si="5"/>
        <v>0</v>
      </c>
      <c r="AE15" s="695"/>
      <c r="AG15" s="654" t="s">
        <v>722</v>
      </c>
      <c r="AH15" s="570"/>
      <c r="AI15" s="570"/>
      <c r="AJ15" s="570"/>
      <c r="AK15" s="570"/>
      <c r="AL15" s="570"/>
      <c r="AM15" s="570"/>
      <c r="AN15" s="698">
        <f>VLOOKUP($AG15,'Calc2 BYR'!$C$1:$P$216,5,FALSE)</f>
        <v>0</v>
      </c>
      <c r="AO15" s="570"/>
      <c r="AQ15" s="695"/>
      <c r="AR15" s="695"/>
      <c r="AS15" s="695"/>
      <c r="AT15" s="695"/>
      <c r="AU15" s="695"/>
      <c r="AV15" s="695"/>
      <c r="AW15" s="690">
        <f t="shared" si="6"/>
        <v>0</v>
      </c>
      <c r="AX15" s="695"/>
    </row>
    <row r="16" spans="1:50">
      <c r="B16" s="22" t="s">
        <v>590</v>
      </c>
      <c r="C16" t="s">
        <v>84</v>
      </c>
      <c r="D16" s="547" t="s">
        <v>55</v>
      </c>
      <c r="E16" s="657" t="s">
        <v>505</v>
      </c>
      <c r="F16" s="570"/>
      <c r="G16" s="570"/>
      <c r="H16" s="570"/>
      <c r="I16" s="570"/>
      <c r="J16" s="570"/>
      <c r="K16" s="570"/>
      <c r="L16" s="689">
        <f>VLOOKUP($B16,Calc!$C$1:$P$216,5,FALSE)</f>
        <v>0</v>
      </c>
      <c r="M16" s="570"/>
      <c r="O16" s="570"/>
      <c r="P16" s="570"/>
      <c r="Q16" s="570"/>
      <c r="R16" s="570"/>
      <c r="S16" s="570"/>
      <c r="T16" s="570"/>
      <c r="U16" s="663">
        <f>VLOOKUP($B16,'Calc2 FD'!$C$1:$P$216,5,FALSE)</f>
        <v>0</v>
      </c>
      <c r="V16" s="570"/>
      <c r="X16" s="695"/>
      <c r="Y16" s="695"/>
      <c r="Z16" s="695"/>
      <c r="AA16" s="695"/>
      <c r="AB16" s="695"/>
      <c r="AC16" s="695"/>
      <c r="AD16" s="690">
        <f t="shared" si="5"/>
        <v>0</v>
      </c>
      <c r="AE16" s="695"/>
      <c r="AG16" s="22" t="s">
        <v>723</v>
      </c>
      <c r="AH16" s="570"/>
      <c r="AI16" s="570"/>
      <c r="AJ16" s="570"/>
      <c r="AK16" s="570"/>
      <c r="AL16" s="570"/>
      <c r="AM16" s="570"/>
      <c r="AN16" s="698">
        <f>VLOOKUP($AG16,'Calc2 BYR'!$C$1:$P$216,5,FALSE)</f>
        <v>0</v>
      </c>
      <c r="AO16" s="570"/>
      <c r="AQ16" s="695"/>
      <c r="AR16" s="695"/>
      <c r="AS16" s="695"/>
      <c r="AT16" s="695"/>
      <c r="AU16" s="695"/>
      <c r="AV16" s="695"/>
      <c r="AW16" s="690">
        <f t="shared" si="6"/>
        <v>0</v>
      </c>
      <c r="AX16" s="695"/>
    </row>
    <row r="17" spans="2:50">
      <c r="B17" s="22" t="s">
        <v>591</v>
      </c>
      <c r="C17" t="s">
        <v>605</v>
      </c>
      <c r="D17" s="547" t="s">
        <v>497</v>
      </c>
      <c r="E17" s="547" t="s">
        <v>505</v>
      </c>
      <c r="F17" s="566"/>
      <c r="G17" s="566"/>
      <c r="H17" s="566"/>
      <c r="I17" s="566"/>
      <c r="J17" s="566"/>
      <c r="K17" s="566"/>
      <c r="L17" s="687">
        <f>VLOOKUP($B17,Calc!$C$1:$P$216,14,FALSE)</f>
        <v>16.27528917602681</v>
      </c>
      <c r="M17" s="566"/>
      <c r="O17" s="566"/>
      <c r="P17" s="566"/>
      <c r="Q17" s="566"/>
      <c r="R17" s="566"/>
      <c r="S17" s="566"/>
      <c r="T17" s="566"/>
      <c r="U17" s="552">
        <f>VLOOKUP($B17,'Calc2 FD'!$C$1:$P$216,14,FALSE)</f>
        <v>6.9335668802102104</v>
      </c>
      <c r="V17" s="566"/>
      <c r="X17" s="692"/>
      <c r="Y17" s="692"/>
      <c r="Z17" s="692"/>
      <c r="AA17" s="692"/>
      <c r="AB17" s="692"/>
      <c r="AC17" s="692"/>
      <c r="AD17" s="690">
        <f t="shared" si="5"/>
        <v>-9.3417222958165986</v>
      </c>
      <c r="AE17" s="692"/>
      <c r="AG17" s="22" t="s">
        <v>724</v>
      </c>
      <c r="AH17" s="566"/>
      <c r="AI17" s="566"/>
      <c r="AJ17" s="566"/>
      <c r="AK17" s="566"/>
      <c r="AL17" s="566"/>
      <c r="AM17" s="566"/>
      <c r="AN17" s="696">
        <f>VLOOKUP($AG17,'Calc2 BYR'!$C$1:$P$216,14,FALSE)</f>
        <v>9.1014442365762509</v>
      </c>
      <c r="AO17" s="566"/>
      <c r="AQ17" s="692"/>
      <c r="AR17" s="692"/>
      <c r="AS17" s="692"/>
      <c r="AT17" s="692"/>
      <c r="AU17" s="692"/>
      <c r="AV17" s="692"/>
      <c r="AW17" s="690">
        <f t="shared" si="6"/>
        <v>2.1678773563660405</v>
      </c>
      <c r="AX17" s="692"/>
    </row>
    <row r="18" spans="2:50">
      <c r="B18" s="22" t="s">
        <v>592</v>
      </c>
      <c r="C18" t="s">
        <v>323</v>
      </c>
      <c r="D18" s="547" t="s">
        <v>497</v>
      </c>
      <c r="E18" s="547" t="s">
        <v>505</v>
      </c>
      <c r="F18" s="566"/>
      <c r="G18" s="566"/>
      <c r="H18" s="566"/>
      <c r="I18" s="566"/>
      <c r="J18" s="566"/>
      <c r="K18" s="566"/>
      <c r="L18" s="687">
        <f>VLOOKUP($B18,Calc!$C$1:$P$216,14,FALSE)</f>
        <v>-10.446687540623619</v>
      </c>
      <c r="M18" s="566"/>
      <c r="O18" s="566"/>
      <c r="P18" s="566"/>
      <c r="Q18" s="566"/>
      <c r="R18" s="566"/>
      <c r="S18" s="566"/>
      <c r="T18" s="566"/>
      <c r="U18" s="552">
        <f>VLOOKUP($B18,'Calc2 FD'!$C$1:$P$216,14,FALSE)</f>
        <v>-10.446687540623619</v>
      </c>
      <c r="V18" s="566"/>
      <c r="X18" s="692"/>
      <c r="Y18" s="692"/>
      <c r="Z18" s="692"/>
      <c r="AA18" s="692"/>
      <c r="AB18" s="692"/>
      <c r="AC18" s="692"/>
      <c r="AD18" s="690">
        <f t="shared" si="5"/>
        <v>0</v>
      </c>
      <c r="AE18" s="692"/>
      <c r="AG18" s="22" t="s">
        <v>725</v>
      </c>
      <c r="AH18" s="566"/>
      <c r="AI18" s="566"/>
      <c r="AJ18" s="566"/>
      <c r="AK18" s="566"/>
      <c r="AL18" s="566"/>
      <c r="AM18" s="566"/>
      <c r="AN18" s="696">
        <f>VLOOKUP($AG18,'Calc2 BYR'!$C$1:$P$216,14,FALSE)</f>
        <v>-10.661652784473164</v>
      </c>
      <c r="AO18" s="566"/>
      <c r="AQ18" s="692"/>
      <c r="AR18" s="692"/>
      <c r="AS18" s="692"/>
      <c r="AT18" s="692"/>
      <c r="AU18" s="692"/>
      <c r="AV18" s="692"/>
      <c r="AW18" s="690">
        <f t="shared" si="6"/>
        <v>-0.21496524384954441</v>
      </c>
      <c r="AX18" s="692"/>
    </row>
    <row r="19" spans="2:50">
      <c r="B19" s="22" t="s">
        <v>593</v>
      </c>
      <c r="C19" t="s">
        <v>72</v>
      </c>
      <c r="D19" s="547" t="s">
        <v>497</v>
      </c>
      <c r="E19" s="547" t="s">
        <v>505</v>
      </c>
      <c r="F19" s="566"/>
      <c r="G19" s="566"/>
      <c r="H19" s="566"/>
      <c r="I19" s="566"/>
      <c r="J19" s="566"/>
      <c r="K19" s="566"/>
      <c r="L19" s="687">
        <f>VLOOKUP($B19,Calc!$C$1:$P$216,14,FALSE)</f>
        <v>-10.119678299271905</v>
      </c>
      <c r="M19" s="566"/>
      <c r="O19" s="566"/>
      <c r="P19" s="566"/>
      <c r="Q19" s="566"/>
      <c r="R19" s="566"/>
      <c r="S19" s="566"/>
      <c r="T19" s="566"/>
      <c r="U19" s="552">
        <f>VLOOKUP($B19,'Calc2 FD'!$C$1:$P$216,14,FALSE)</f>
        <v>-10.119678299271905</v>
      </c>
      <c r="V19" s="566"/>
      <c r="X19" s="692"/>
      <c r="Y19" s="692"/>
      <c r="Z19" s="692"/>
      <c r="AA19" s="692"/>
      <c r="AB19" s="692"/>
      <c r="AC19" s="692"/>
      <c r="AD19" s="690">
        <f t="shared" si="5"/>
        <v>0</v>
      </c>
      <c r="AE19" s="692"/>
      <c r="AG19" s="22" t="s">
        <v>726</v>
      </c>
      <c r="AH19" s="566"/>
      <c r="AI19" s="566"/>
      <c r="AJ19" s="566"/>
      <c r="AK19" s="566"/>
      <c r="AL19" s="566"/>
      <c r="AM19" s="566"/>
      <c r="AN19" s="696">
        <f>VLOOKUP($AG19,'Calc2 BYR'!$C$1:$P$216,14,FALSE)</f>
        <v>-10.119678299271905</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VLOOKUP($B20,Calc!$C$1:$P$216,14,FALSE)</f>
        <v>-0.32700924135171405</v>
      </c>
      <c r="M20" s="566"/>
      <c r="O20" s="566"/>
      <c r="P20" s="566"/>
      <c r="Q20" s="566"/>
      <c r="R20" s="566"/>
      <c r="S20" s="566"/>
      <c r="T20" s="566"/>
      <c r="U20" s="552">
        <f>VLOOKUP($B20,'Calc2 FD'!$C$1:$P$216,14,FALSE)</f>
        <v>-0.32700924135171405</v>
      </c>
      <c r="V20" s="566"/>
      <c r="X20" s="692"/>
      <c r="Y20" s="692"/>
      <c r="Z20" s="692"/>
      <c r="AA20" s="692"/>
      <c r="AB20" s="692"/>
      <c r="AC20" s="692"/>
      <c r="AD20" s="690">
        <f t="shared" si="5"/>
        <v>0</v>
      </c>
      <c r="AE20" s="692"/>
      <c r="AG20" s="22" t="s">
        <v>727</v>
      </c>
      <c r="AH20" s="566"/>
      <c r="AI20" s="566"/>
      <c r="AJ20" s="566"/>
      <c r="AK20" s="566"/>
      <c r="AL20" s="566"/>
      <c r="AM20" s="566"/>
      <c r="AN20" s="696">
        <f>VLOOKUP($AG20,'Calc2 BYR'!$C$1:$P$216,14,FALSE)</f>
        <v>-0.54197448520125913</v>
      </c>
      <c r="AO20" s="566"/>
      <c r="AQ20" s="692"/>
      <c r="AR20" s="692"/>
      <c r="AS20" s="692"/>
      <c r="AT20" s="692"/>
      <c r="AU20" s="692"/>
      <c r="AV20" s="692"/>
      <c r="AW20" s="690">
        <f t="shared" si="6"/>
        <v>-0.21496524384954507</v>
      </c>
      <c r="AX20" s="692"/>
    </row>
    <row r="21" spans="2:50">
      <c r="B21" s="22" t="s">
        <v>595</v>
      </c>
      <c r="C21" t="s">
        <v>248</v>
      </c>
      <c r="D21" s="547" t="s">
        <v>497</v>
      </c>
      <c r="E21" s="547" t="s">
        <v>505</v>
      </c>
      <c r="F21" s="566"/>
      <c r="G21" s="566"/>
      <c r="H21" s="566"/>
      <c r="I21" s="566"/>
      <c r="J21" s="566"/>
      <c r="K21" s="566"/>
      <c r="L21" s="687">
        <f>VLOOKUP($B21,Calc!$C$1:$P$216,14,FALSE)</f>
        <v>-5.0920027536973418</v>
      </c>
      <c r="M21" s="566"/>
      <c r="O21" s="566"/>
      <c r="P21" s="566"/>
      <c r="Q21" s="566"/>
      <c r="R21" s="566"/>
      <c r="S21" s="566"/>
      <c r="T21" s="566"/>
      <c r="U21" s="552">
        <f>VLOOKUP($B21,'Calc2 FD'!$C$1:$P$216,14,FALSE)</f>
        <v>-5.0920027536973418</v>
      </c>
      <c r="V21" s="566"/>
      <c r="X21" s="692"/>
      <c r="Y21" s="692"/>
      <c r="Z21" s="692"/>
      <c r="AA21" s="692"/>
      <c r="AB21" s="692"/>
      <c r="AC21" s="692"/>
      <c r="AD21" s="690">
        <f t="shared" si="5"/>
        <v>0</v>
      </c>
      <c r="AE21" s="692"/>
      <c r="AG21" s="22" t="s">
        <v>728</v>
      </c>
      <c r="AH21" s="566"/>
      <c r="AI21" s="566"/>
      <c r="AJ21" s="566"/>
      <c r="AK21" s="566"/>
      <c r="AL21" s="566"/>
      <c r="AM21" s="566"/>
      <c r="AN21" s="696">
        <f>VLOOKUP($AG21,'Calc2 BYR'!$C$1:$P$216,14,FALSE)</f>
        <v>-5.0394317278054661</v>
      </c>
      <c r="AO21" s="566"/>
      <c r="AQ21" s="692"/>
      <c r="AR21" s="692"/>
      <c r="AS21" s="692"/>
      <c r="AT21" s="692"/>
      <c r="AU21" s="692"/>
      <c r="AV21" s="692"/>
      <c r="AW21" s="690">
        <f t="shared" si="6"/>
        <v>5.2571025891875678E-2</v>
      </c>
      <c r="AX21" s="692"/>
    </row>
    <row r="22" spans="2:50">
      <c r="B22" s="22" t="s">
        <v>596</v>
      </c>
      <c r="C22" t="s">
        <v>606</v>
      </c>
      <c r="D22" s="547" t="s">
        <v>497</v>
      </c>
      <c r="E22" s="547" t="s">
        <v>505</v>
      </c>
      <c r="F22" s="566"/>
      <c r="G22" s="566"/>
      <c r="H22" s="566"/>
      <c r="I22" s="566"/>
      <c r="J22" s="566"/>
      <c r="K22" s="566"/>
      <c r="L22" s="687">
        <f>VLOOKUP($B22,Calc!$C$1:$P$216,14,FALSE)</f>
        <v>-5.4190119950490558</v>
      </c>
      <c r="M22" s="566"/>
      <c r="O22" s="566"/>
      <c r="P22" s="566"/>
      <c r="Q22" s="566"/>
      <c r="R22" s="566"/>
      <c r="S22" s="566"/>
      <c r="T22" s="566"/>
      <c r="U22" s="552">
        <f>VLOOKUP($B22,'Calc2 FD'!$C$1:$P$216,14,FALSE)</f>
        <v>-5.4190119950490558</v>
      </c>
      <c r="V22" s="566"/>
      <c r="X22" s="692"/>
      <c r="Y22" s="692"/>
      <c r="Z22" s="692"/>
      <c r="AA22" s="692"/>
      <c r="AB22" s="692"/>
      <c r="AC22" s="692"/>
      <c r="AD22" s="690">
        <f t="shared" si="5"/>
        <v>0</v>
      </c>
      <c r="AE22" s="692"/>
      <c r="AG22" s="22" t="s">
        <v>729</v>
      </c>
      <c r="AH22" s="566"/>
      <c r="AI22" s="566"/>
      <c r="AJ22" s="566"/>
      <c r="AK22" s="566"/>
      <c r="AL22" s="566"/>
      <c r="AM22" s="566"/>
      <c r="AN22" s="696">
        <f>VLOOKUP($AG22,'Calc2 BYR'!$C$1:$P$216,14,FALSE)</f>
        <v>-5.5814062130067255</v>
      </c>
      <c r="AO22" s="566"/>
      <c r="AQ22" s="692"/>
      <c r="AR22" s="692"/>
      <c r="AS22" s="692"/>
      <c r="AT22" s="692"/>
      <c r="AU22" s="692"/>
      <c r="AV22" s="692"/>
      <c r="AW22" s="690">
        <f t="shared" si="6"/>
        <v>-0.16239421795766962</v>
      </c>
      <c r="AX22" s="692"/>
    </row>
    <row r="23" spans="2:50">
      <c r="B23" s="22" t="s">
        <v>597</v>
      </c>
      <c r="C23" t="s">
        <v>610</v>
      </c>
      <c r="D23" s="547" t="s">
        <v>497</v>
      </c>
      <c r="E23" s="547" t="s">
        <v>505</v>
      </c>
      <c r="F23" s="566"/>
      <c r="G23" s="566"/>
      <c r="H23" s="566"/>
      <c r="I23" s="566"/>
      <c r="J23" s="566"/>
      <c r="K23" s="566"/>
      <c r="L23" s="687">
        <f>VLOOKUP($B23,Calc!$C$1:$P$216,14,FALSE)</f>
        <v>-6.1103774809277143</v>
      </c>
      <c r="M23" s="566"/>
      <c r="O23" s="566"/>
      <c r="P23" s="566"/>
      <c r="Q23" s="566"/>
      <c r="R23" s="566"/>
      <c r="S23" s="566"/>
      <c r="T23" s="566"/>
      <c r="U23" s="552">
        <f>VLOOKUP($B23,'Calc2 FD'!$C$1:$P$216,14,FALSE)</f>
        <v>-6.1103774809277143</v>
      </c>
      <c r="V23" s="566"/>
      <c r="X23" s="692"/>
      <c r="Y23" s="692"/>
      <c r="Z23" s="692"/>
      <c r="AA23" s="692"/>
      <c r="AB23" s="692"/>
      <c r="AC23" s="692"/>
      <c r="AD23" s="690">
        <f t="shared" si="5"/>
        <v>0</v>
      </c>
      <c r="AE23" s="692"/>
      <c r="AG23" s="22" t="s">
        <v>730</v>
      </c>
      <c r="AH23" s="566"/>
      <c r="AI23" s="566"/>
      <c r="AJ23" s="566"/>
      <c r="AK23" s="566"/>
      <c r="AL23" s="566"/>
      <c r="AM23" s="566"/>
      <c r="AN23" s="696">
        <f>VLOOKUP($AG23,'Calc2 BYR'!$C$1:$P$216,14,FALSE)</f>
        <v>-6.2968849562222093</v>
      </c>
      <c r="AO23" s="566"/>
      <c r="AQ23" s="692"/>
      <c r="AR23" s="692"/>
      <c r="AS23" s="692"/>
      <c r="AT23" s="692"/>
      <c r="AU23" s="692"/>
      <c r="AV23" s="692"/>
      <c r="AW23" s="690">
        <f t="shared" si="6"/>
        <v>-0.18650747529449507</v>
      </c>
      <c r="AX23" s="692"/>
    </row>
    <row r="24" spans="2:50">
      <c r="B24" s="22" t="s">
        <v>598</v>
      </c>
      <c r="C24" t="s">
        <v>607</v>
      </c>
      <c r="D24" s="547" t="s">
        <v>497</v>
      </c>
      <c r="E24" s="547" t="s">
        <v>505</v>
      </c>
      <c r="F24" s="566"/>
      <c r="G24" s="566"/>
      <c r="H24" s="566"/>
      <c r="I24" s="566"/>
      <c r="J24" s="566"/>
      <c r="K24" s="566"/>
      <c r="L24" s="687">
        <f>VLOOKUP($B24,Calc!$C$1:$P$216,14,FALSE)</f>
        <v>0</v>
      </c>
      <c r="M24" s="566"/>
      <c r="O24" s="566"/>
      <c r="P24" s="566"/>
      <c r="Q24" s="566"/>
      <c r="R24" s="566"/>
      <c r="S24" s="566"/>
      <c r="T24" s="566"/>
      <c r="U24" s="552">
        <f>VLOOKUP($B24,'Calc2 FD'!$C$1:$P$216,14,FALSE)</f>
        <v>0</v>
      </c>
      <c r="V24" s="566"/>
      <c r="X24" s="692"/>
      <c r="Y24" s="692"/>
      <c r="Z24" s="692"/>
      <c r="AA24" s="692"/>
      <c r="AB24" s="692"/>
      <c r="AC24" s="692"/>
      <c r="AD24" s="690">
        <f t="shared" si="5"/>
        <v>0</v>
      </c>
      <c r="AE24" s="692"/>
      <c r="AG24" s="22" t="s">
        <v>731</v>
      </c>
      <c r="AH24" s="566"/>
      <c r="AI24" s="566"/>
      <c r="AJ24" s="566"/>
      <c r="AK24" s="566"/>
      <c r="AL24" s="566"/>
      <c r="AM24" s="566"/>
      <c r="AN24" s="696">
        <f>VLOOKUP($AG24,'Calc2 BYR'!$C$1:$P$216,14,FALSE)</f>
        <v>0</v>
      </c>
      <c r="AO24" s="566"/>
      <c r="AQ24" s="692"/>
      <c r="AR24" s="692"/>
      <c r="AS24" s="692"/>
      <c r="AT24" s="692"/>
      <c r="AU24" s="692"/>
      <c r="AV24" s="692"/>
      <c r="AW24" s="690">
        <f t="shared" si="6"/>
        <v>0</v>
      </c>
      <c r="AX24" s="692"/>
    </row>
    <row r="25" spans="2:50">
      <c r="B25" s="22" t="s">
        <v>599</v>
      </c>
      <c r="C25" t="s">
        <v>324</v>
      </c>
      <c r="D25" s="547" t="s">
        <v>497</v>
      </c>
      <c r="E25" s="547" t="s">
        <v>505</v>
      </c>
      <c r="F25" s="566"/>
      <c r="G25" s="566"/>
      <c r="H25" s="566"/>
      <c r="I25" s="566"/>
      <c r="J25" s="566"/>
      <c r="K25" s="566"/>
      <c r="L25" s="687">
        <f>VLOOKUP($B25,Calc!$C$1:$P$216,14,FALSE)</f>
        <v>0</v>
      </c>
      <c r="M25" s="566"/>
      <c r="O25" s="566"/>
      <c r="P25" s="566"/>
      <c r="Q25" s="566"/>
      <c r="R25" s="566"/>
      <c r="S25" s="566"/>
      <c r="T25" s="566"/>
      <c r="U25" s="552">
        <f>VLOOKUP($B25,'Calc2 FD'!$C$1:$P$216,14,FALSE)</f>
        <v>0</v>
      </c>
      <c r="V25" s="566"/>
      <c r="X25" s="692"/>
      <c r="Y25" s="692"/>
      <c r="Z25" s="692"/>
      <c r="AA25" s="692"/>
      <c r="AB25" s="692"/>
      <c r="AC25" s="692"/>
      <c r="AD25" s="690">
        <f t="shared" si="5"/>
        <v>0</v>
      </c>
      <c r="AE25" s="692"/>
      <c r="AG25" s="22" t="s">
        <v>732</v>
      </c>
      <c r="AH25" s="566"/>
      <c r="AI25" s="566"/>
      <c r="AJ25" s="566"/>
      <c r="AK25" s="566"/>
      <c r="AL25" s="566"/>
      <c r="AM25" s="566"/>
      <c r="AN25" s="696">
        <f>VLOOKUP($AG25,'Calc2 BYR'!$C$1:$P$216,14,FALSE)</f>
        <v>0</v>
      </c>
      <c r="AO25" s="566"/>
      <c r="AQ25" s="692"/>
      <c r="AR25" s="692"/>
      <c r="AS25" s="692"/>
      <c r="AT25" s="692"/>
      <c r="AU25" s="692"/>
      <c r="AV25" s="692"/>
      <c r="AW25" s="690">
        <f t="shared" si="6"/>
        <v>0</v>
      </c>
      <c r="AX25" s="692"/>
    </row>
    <row r="26" spans="2:50">
      <c r="B26" s="22" t="s">
        <v>600</v>
      </c>
      <c r="C26" t="s">
        <v>73</v>
      </c>
      <c r="D26" s="547" t="s">
        <v>497</v>
      </c>
      <c r="E26" s="547" t="s">
        <v>505</v>
      </c>
      <c r="F26" s="566"/>
      <c r="G26" s="566"/>
      <c r="H26" s="566"/>
      <c r="I26" s="566"/>
      <c r="J26" s="566"/>
      <c r="K26" s="566"/>
      <c r="L26" s="687">
        <f>VLOOKUP($B26,Calc!$C$1:$P$216,14,FALSE)</f>
        <v>0</v>
      </c>
      <c r="M26" s="566"/>
      <c r="O26" s="566"/>
      <c r="P26" s="566"/>
      <c r="Q26" s="566"/>
      <c r="R26" s="566"/>
      <c r="S26" s="566"/>
      <c r="T26" s="566"/>
      <c r="U26" s="552">
        <f>VLOOKUP($B26,'Calc2 FD'!$C$1:$P$216,14,FALSE)</f>
        <v>0</v>
      </c>
      <c r="V26" s="566"/>
      <c r="X26" s="692"/>
      <c r="Y26" s="692"/>
      <c r="Z26" s="692"/>
      <c r="AA26" s="692"/>
      <c r="AB26" s="692"/>
      <c r="AC26" s="692"/>
      <c r="AD26" s="690">
        <f t="shared" si="5"/>
        <v>0</v>
      </c>
      <c r="AE26" s="692"/>
      <c r="AG26" s="22" t="s">
        <v>733</v>
      </c>
      <c r="AH26" s="566"/>
      <c r="AI26" s="566"/>
      <c r="AJ26" s="566"/>
      <c r="AK26" s="566"/>
      <c r="AL26" s="566"/>
      <c r="AM26" s="566"/>
      <c r="AN26" s="696">
        <f>VLOOKUP($AG26,'Calc2 BYR'!$C$1:$P$216,14,FALSE)</f>
        <v>0</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VLOOKUP($B27,Calc!$C$1:$P$216,14,FALSE)</f>
        <v>0</v>
      </c>
      <c r="M27" s="566"/>
      <c r="O27" s="566"/>
      <c r="P27" s="566"/>
      <c r="Q27" s="566"/>
      <c r="R27" s="566"/>
      <c r="S27" s="566"/>
      <c r="T27" s="566"/>
      <c r="U27" s="552">
        <f>VLOOKUP($B27,'Calc2 FD'!$C$1:$P$216,14,FALSE)</f>
        <v>0</v>
      </c>
      <c r="V27" s="566"/>
      <c r="X27" s="692"/>
      <c r="Y27" s="692"/>
      <c r="Z27" s="692"/>
      <c r="AA27" s="692"/>
      <c r="AB27" s="692"/>
      <c r="AC27" s="692"/>
      <c r="AD27" s="690">
        <f t="shared" si="5"/>
        <v>0</v>
      </c>
      <c r="AE27" s="692"/>
      <c r="AG27" s="22" t="s">
        <v>734</v>
      </c>
      <c r="AH27" s="566"/>
      <c r="AI27" s="566"/>
      <c r="AJ27" s="566"/>
      <c r="AK27" s="566"/>
      <c r="AL27" s="566"/>
      <c r="AM27" s="566"/>
      <c r="AN27" s="696">
        <f>VLOOKUP($AG27,'Calc2 BYR'!$C$1:$P$216,14,FALSE)</f>
        <v>0</v>
      </c>
      <c r="AO27" s="566"/>
      <c r="AQ27" s="692"/>
      <c r="AR27" s="692"/>
      <c r="AS27" s="692"/>
      <c r="AT27" s="692"/>
      <c r="AU27" s="692"/>
      <c r="AV27" s="692"/>
      <c r="AW27" s="690">
        <f t="shared" si="6"/>
        <v>0</v>
      </c>
      <c r="AX27" s="692"/>
    </row>
    <row r="28" spans="2:50">
      <c r="B28" s="22" t="s">
        <v>602</v>
      </c>
      <c r="C28" t="s">
        <v>249</v>
      </c>
      <c r="D28" s="547" t="s">
        <v>497</v>
      </c>
      <c r="E28" s="547" t="s">
        <v>505</v>
      </c>
      <c r="F28" s="566"/>
      <c r="G28" s="566"/>
      <c r="H28" s="566"/>
      <c r="I28" s="566"/>
      <c r="J28" s="566"/>
      <c r="K28" s="566"/>
      <c r="L28" s="687">
        <f>VLOOKUP($B28,Calc!$C$1:$P$216,14,FALSE)</f>
        <v>0</v>
      </c>
      <c r="M28" s="566"/>
      <c r="O28" s="566"/>
      <c r="P28" s="566"/>
      <c r="Q28" s="566"/>
      <c r="R28" s="566"/>
      <c r="S28" s="566"/>
      <c r="T28" s="566"/>
      <c r="U28" s="552">
        <f>VLOOKUP($B28,'Calc2 FD'!$C$1:$P$216,14,FALSE)</f>
        <v>0</v>
      </c>
      <c r="V28" s="566"/>
      <c r="X28" s="692"/>
      <c r="Y28" s="692"/>
      <c r="Z28" s="692"/>
      <c r="AA28" s="692"/>
      <c r="AB28" s="692"/>
      <c r="AC28" s="692"/>
      <c r="AD28" s="690">
        <f t="shared" si="5"/>
        <v>0</v>
      </c>
      <c r="AE28" s="692"/>
      <c r="AG28" s="22" t="s">
        <v>735</v>
      </c>
      <c r="AH28" s="566"/>
      <c r="AI28" s="566"/>
      <c r="AJ28" s="566"/>
      <c r="AK28" s="566"/>
      <c r="AL28" s="566"/>
      <c r="AM28" s="566"/>
      <c r="AN28" s="696">
        <f>VLOOKUP($AG28,'Calc2 BYR'!$C$1:$P$216,14,FALSE)</f>
        <v>0</v>
      </c>
      <c r="AO28" s="566"/>
      <c r="AQ28" s="692"/>
      <c r="AR28" s="692"/>
      <c r="AS28" s="692"/>
      <c r="AT28" s="692"/>
      <c r="AU28" s="692"/>
      <c r="AV28" s="692"/>
      <c r="AW28" s="690">
        <f t="shared" si="6"/>
        <v>0</v>
      </c>
      <c r="AX28" s="692"/>
    </row>
    <row r="29" spans="2:50">
      <c r="B29" s="22" t="s">
        <v>603</v>
      </c>
      <c r="C29" t="s">
        <v>608</v>
      </c>
      <c r="D29" s="547" t="s">
        <v>497</v>
      </c>
      <c r="E29" s="547" t="s">
        <v>505</v>
      </c>
      <c r="F29" s="566"/>
      <c r="G29" s="566"/>
      <c r="H29" s="566"/>
      <c r="I29" s="566"/>
      <c r="J29" s="566"/>
      <c r="K29" s="566"/>
      <c r="L29" s="687">
        <f>VLOOKUP($B29,Calc!$C$1:$P$216,14,FALSE)</f>
        <v>0</v>
      </c>
      <c r="M29" s="566"/>
      <c r="O29" s="566"/>
      <c r="P29" s="566"/>
      <c r="Q29" s="566"/>
      <c r="R29" s="566"/>
      <c r="S29" s="566"/>
      <c r="T29" s="566"/>
      <c r="U29" s="552">
        <f>VLOOKUP($B29,'Calc2 FD'!$C$1:$P$216,14,FALSE)</f>
        <v>0</v>
      </c>
      <c r="V29" s="566"/>
      <c r="X29" s="692"/>
      <c r="Y29" s="692"/>
      <c r="Z29" s="692"/>
      <c r="AA29" s="692"/>
      <c r="AB29" s="692"/>
      <c r="AC29" s="692"/>
      <c r="AD29" s="690">
        <f t="shared" si="5"/>
        <v>0</v>
      </c>
      <c r="AE29" s="692"/>
      <c r="AG29" s="22" t="s">
        <v>736</v>
      </c>
      <c r="AH29" s="566"/>
      <c r="AI29" s="566"/>
      <c r="AJ29" s="566"/>
      <c r="AK29" s="566"/>
      <c r="AL29" s="566"/>
      <c r="AM29" s="566"/>
      <c r="AN29" s="696">
        <f>VLOOKUP($AG29,'Calc2 BYR'!$C$1:$P$216,14,FALSE)</f>
        <v>0</v>
      </c>
      <c r="AO29" s="566"/>
      <c r="AQ29" s="692"/>
      <c r="AR29" s="692"/>
      <c r="AS29" s="692"/>
      <c r="AT29" s="692"/>
      <c r="AU29" s="692"/>
      <c r="AV29" s="692"/>
      <c r="AW29" s="690">
        <f t="shared" si="6"/>
        <v>0</v>
      </c>
      <c r="AX29" s="692"/>
    </row>
    <row r="30" spans="2:50">
      <c r="B30" s="22" t="s">
        <v>611</v>
      </c>
      <c r="C30" t="s">
        <v>609</v>
      </c>
      <c r="D30" s="547" t="s">
        <v>497</v>
      </c>
      <c r="E30" s="547" t="s">
        <v>505</v>
      </c>
      <c r="F30" s="566"/>
      <c r="G30" s="566"/>
      <c r="H30" s="566"/>
      <c r="I30" s="566"/>
      <c r="J30" s="566"/>
      <c r="K30" s="566"/>
      <c r="L30" s="687">
        <f>VLOOKUP($B30,Calc!$C$1:$P$216,14,FALSE)</f>
        <v>0</v>
      </c>
      <c r="M30" s="566"/>
      <c r="O30" s="566"/>
      <c r="P30" s="566"/>
      <c r="Q30" s="566"/>
      <c r="R30" s="566"/>
      <c r="S30" s="566"/>
      <c r="T30" s="566"/>
      <c r="U30" s="552">
        <f>VLOOKUP($B30,'Calc2 FD'!$C$1:$P$216,14,FALSE)</f>
        <v>0</v>
      </c>
      <c r="V30" s="566"/>
      <c r="X30" s="692"/>
      <c r="Y30" s="692"/>
      <c r="Z30" s="692"/>
      <c r="AA30" s="692"/>
      <c r="AB30" s="692"/>
      <c r="AC30" s="692"/>
      <c r="AD30" s="690">
        <f t="shared" si="5"/>
        <v>0</v>
      </c>
      <c r="AE30" s="692"/>
      <c r="AG30" s="22" t="s">
        <v>737</v>
      </c>
      <c r="AH30" s="566"/>
      <c r="AI30" s="566"/>
      <c r="AJ30" s="566"/>
      <c r="AK30" s="566"/>
      <c r="AL30" s="566"/>
      <c r="AM30" s="566"/>
      <c r="AN30" s="696">
        <f>VLOOKUP($AG30,'Calc2 BYR'!$C$1:$P$216,14,FALSE)</f>
        <v>0</v>
      </c>
      <c r="AO30" s="566"/>
      <c r="AQ30" s="692"/>
      <c r="AR30" s="692"/>
      <c r="AS30" s="692"/>
      <c r="AT30" s="692"/>
      <c r="AU30" s="692"/>
      <c r="AV30" s="692"/>
      <c r="AW30" s="690">
        <f>AN30-U30</f>
        <v>0</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B5" sqref="B5"/>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zoomScale="90" zoomScaleNormal="90" workbookViewId="0">
      <pane ySplit="2" topLeftCell="A3" activePane="bottomLeft" state="frozen"/>
      <selection activeCell="A3" sqref="A3"/>
      <selection pane="bottomLeft" activeCell="A3" sqref="A3"/>
    </sheetView>
  </sheetViews>
  <sheetFormatPr defaultRowHeight="13.2"/>
  <cols>
    <col min="1" max="1" width="8.6640625" customWidth="1"/>
    <col min="2" max="2" width="12.33203125" customWidth="1"/>
    <col min="3" max="3" width="41.33203125" customWidth="1"/>
    <col min="4" max="4" width="3.44140625" customWidth="1"/>
    <col min="5" max="5" width="28.21875" bestFit="1" customWidth="1"/>
    <col min="6" max="13" width="7.6640625" customWidth="1"/>
  </cols>
  <sheetData>
    <row r="1" spans="1:13">
      <c r="A1" s="548"/>
      <c r="B1" s="548"/>
      <c r="C1" s="548" t="s">
        <v>822</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FD'!$C$1:$P$216,14,FALSE)</f>
        <v>5.9110422866571994</v>
      </c>
      <c r="G4" s="686"/>
      <c r="H4" s="571"/>
      <c r="I4" s="571"/>
      <c r="J4" s="571"/>
      <c r="K4" s="571"/>
      <c r="L4" s="571"/>
      <c r="M4" s="571"/>
    </row>
    <row r="5" spans="1:13" s="547" customFormat="1">
      <c r="A5"/>
      <c r="B5" s="550" t="s">
        <v>483</v>
      </c>
      <c r="C5" s="547" t="s">
        <v>503</v>
      </c>
      <c r="D5" s="547" t="s">
        <v>497</v>
      </c>
      <c r="E5" t="s">
        <v>742</v>
      </c>
      <c r="F5" s="552">
        <f>VLOOKUP($B5,'Calc2 FD'!$C$1:$P$216,14,FALSE)</f>
        <v>0</v>
      </c>
      <c r="G5" s="686"/>
      <c r="H5" s="566"/>
      <c r="I5" s="566"/>
      <c r="J5" s="566"/>
      <c r="K5" s="566"/>
      <c r="L5" s="571"/>
      <c r="M5" s="571"/>
    </row>
    <row r="6" spans="1:13" s="547" customFormat="1">
      <c r="B6" s="553" t="s">
        <v>484</v>
      </c>
      <c r="C6" s="547" t="s">
        <v>411</v>
      </c>
      <c r="D6" s="547" t="s">
        <v>497</v>
      </c>
      <c r="E6" t="s">
        <v>742</v>
      </c>
      <c r="F6" s="571"/>
      <c r="G6" s="633">
        <f>VLOOKUP($B6,'Profiling2 FD'!$C$1:$V$159,16,FALSE)</f>
        <v>-1.3100095553113575</v>
      </c>
      <c r="H6" s="552">
        <f>VLOOKUP($B6,'Profiling2 FD'!$C$1:$V$159,17,FALSE)</f>
        <v>-1.3100095553113575</v>
      </c>
      <c r="I6" s="552">
        <f>VLOOKUP($B6,'Profiling2 FD'!$C$1:$V$159,18,FALSE)</f>
        <v>-1.3100095553113575</v>
      </c>
      <c r="J6" s="552">
        <f>VLOOKUP($B6,'Profiling2 FD'!$C$1:$V$159,19,FALSE)</f>
        <v>-1.3100095553113575</v>
      </c>
      <c r="K6" s="552">
        <f>VLOOKUP($B6,'Profiling2 FD'!$C$1:$V$159,20,FALSE)</f>
        <v>-1.3100095553113575</v>
      </c>
      <c r="L6" s="686"/>
      <c r="M6" s="571"/>
    </row>
    <row r="7" spans="1:13" s="547" customFormat="1">
      <c r="B7" s="553" t="s">
        <v>498</v>
      </c>
      <c r="C7" s="547" t="s">
        <v>412</v>
      </c>
      <c r="D7" s="547" t="s">
        <v>497</v>
      </c>
      <c r="E7" t="s">
        <v>742</v>
      </c>
      <c r="F7" s="571"/>
      <c r="G7" s="552">
        <f>VLOOKUP($B7,'Profiling2 FD'!$C$1:$V$159,16,FALSE)</f>
        <v>0</v>
      </c>
      <c r="H7" s="552">
        <f>VLOOKUP($B7,'Profiling2 FD'!$C$1:$V$159,17,FALSE)</f>
        <v>0</v>
      </c>
      <c r="I7" s="552">
        <f>VLOOKUP($B7,'Profiling2 FD'!$C$1:$V$159,18,FALSE)</f>
        <v>0</v>
      </c>
      <c r="J7" s="552">
        <f>VLOOKUP($B7,'Profiling2 FD'!$C$1:$V$159,19,FALSE)</f>
        <v>0</v>
      </c>
      <c r="K7" s="552">
        <f>VLOOKUP($B7,'Profiling2 FD'!$C$1:$V$159,20,FALSE)</f>
        <v>0</v>
      </c>
      <c r="L7" s="686"/>
      <c r="M7" s="571"/>
    </row>
    <row r="8" spans="1:13">
      <c r="A8" s="656"/>
      <c r="B8" s="654" t="s">
        <v>577</v>
      </c>
      <c r="C8" s="657" t="s">
        <v>575</v>
      </c>
      <c r="D8" s="657" t="s">
        <v>522</v>
      </c>
      <c r="E8" t="s">
        <v>742</v>
      </c>
      <c r="F8" s="568"/>
      <c r="G8" s="568"/>
      <c r="H8" s="568"/>
      <c r="I8" s="568"/>
      <c r="J8" s="568"/>
      <c r="K8" s="568"/>
      <c r="L8" s="568"/>
      <c r="M8" s="653">
        <f>'Input FD'!O153</f>
        <v>3.5999999999999997E-2</v>
      </c>
    </row>
    <row r="9" spans="1:13">
      <c r="B9" s="654" t="s">
        <v>583</v>
      </c>
      <c r="C9" t="s">
        <v>175</v>
      </c>
      <c r="D9" s="547" t="s">
        <v>55</v>
      </c>
      <c r="E9" t="s">
        <v>742</v>
      </c>
      <c r="F9" s="570"/>
      <c r="G9" s="570"/>
      <c r="H9" s="570"/>
      <c r="I9" s="570"/>
      <c r="J9" s="570"/>
      <c r="K9" s="570"/>
      <c r="L9" s="663">
        <f>VLOOKUP($B9,'Calc2 FD'!$C$1:$P$216,5,FALSE)</f>
        <v>127.91960317192274</v>
      </c>
      <c r="M9" s="703"/>
    </row>
    <row r="10" spans="1:13">
      <c r="B10" s="654" t="s">
        <v>584</v>
      </c>
      <c r="C10" t="s">
        <v>312</v>
      </c>
      <c r="D10" s="547" t="s">
        <v>55</v>
      </c>
      <c r="E10" t="s">
        <v>742</v>
      </c>
      <c r="F10" s="570"/>
      <c r="G10" s="570"/>
      <c r="H10" s="570"/>
      <c r="I10" s="570"/>
      <c r="J10" s="570"/>
      <c r="K10" s="570"/>
      <c r="L10" s="663">
        <f>VLOOKUP($B10,'Calc2 FD'!$C$1:$P$216,5,FALSE)</f>
        <v>127.91960317192274</v>
      </c>
      <c r="M10" s="703"/>
    </row>
    <row r="11" spans="1:13">
      <c r="B11" s="654" t="s">
        <v>585</v>
      </c>
      <c r="C11" t="s">
        <v>304</v>
      </c>
      <c r="D11" s="547" t="s">
        <v>55</v>
      </c>
      <c r="E11" t="s">
        <v>742</v>
      </c>
      <c r="F11" s="570"/>
      <c r="G11" s="570"/>
      <c r="H11" s="570"/>
      <c r="I11" s="570"/>
      <c r="J11" s="570"/>
      <c r="K11" s="570"/>
      <c r="L11" s="663">
        <f>VLOOKUP($B11,'Calc2 FD'!$C$1:$P$216,5,FALSE)</f>
        <v>113.93501739465182</v>
      </c>
      <c r="M11" s="703"/>
    </row>
    <row r="12" spans="1:13">
      <c r="B12" s="654" t="s">
        <v>586</v>
      </c>
      <c r="C12" t="s">
        <v>83</v>
      </c>
      <c r="D12" s="547" t="s">
        <v>55</v>
      </c>
      <c r="E12" t="s">
        <v>742</v>
      </c>
      <c r="F12" s="570"/>
      <c r="G12" s="570"/>
      <c r="H12" s="570"/>
      <c r="I12" s="570"/>
      <c r="J12" s="570"/>
      <c r="K12" s="570"/>
      <c r="L12" s="663">
        <f>VLOOKUP($B12,'Calc2 FD'!$C$1:$P$216,5,FALSE)</f>
        <v>-4.1839650423270474</v>
      </c>
      <c r="M12" s="703"/>
    </row>
    <row r="13" spans="1:13">
      <c r="B13" s="654" t="s">
        <v>587</v>
      </c>
      <c r="C13" t="s">
        <v>176</v>
      </c>
      <c r="D13" s="547" t="s">
        <v>55</v>
      </c>
      <c r="E13" t="s">
        <v>742</v>
      </c>
      <c r="F13" s="570"/>
      <c r="G13" s="570"/>
      <c r="H13" s="570"/>
      <c r="I13" s="570"/>
      <c r="J13" s="570"/>
      <c r="K13" s="570"/>
      <c r="L13" s="663">
        <f>VLOOKUP($B13,'Calc2 FD'!$C$1:$P$216,5,FALSE)</f>
        <v>0</v>
      </c>
      <c r="M13" s="703"/>
    </row>
    <row r="14" spans="1:13">
      <c r="B14" s="654" t="s">
        <v>588</v>
      </c>
      <c r="C14" t="s">
        <v>313</v>
      </c>
      <c r="D14" s="547" t="s">
        <v>55</v>
      </c>
      <c r="E14" t="s">
        <v>742</v>
      </c>
      <c r="F14" s="570"/>
      <c r="G14" s="570"/>
      <c r="H14" s="570"/>
      <c r="I14" s="570"/>
      <c r="J14" s="570"/>
      <c r="K14" s="570"/>
      <c r="L14" s="663">
        <f>VLOOKUP($B14,'Calc2 FD'!$C$1:$P$216,5,FALSE)</f>
        <v>0</v>
      </c>
      <c r="M14" s="703"/>
    </row>
    <row r="15" spans="1:13">
      <c r="B15" s="654" t="s">
        <v>589</v>
      </c>
      <c r="C15" t="s">
        <v>305</v>
      </c>
      <c r="D15" s="547" t="s">
        <v>55</v>
      </c>
      <c r="E15" t="s">
        <v>742</v>
      </c>
      <c r="F15" s="570"/>
      <c r="G15" s="570"/>
      <c r="H15" s="570"/>
      <c r="I15" s="570"/>
      <c r="J15" s="570"/>
      <c r="K15" s="570"/>
      <c r="L15" s="663">
        <f>VLOOKUP($B15,'Calc2 FD'!$C$1:$P$216,5,FALSE)</f>
        <v>0</v>
      </c>
      <c r="M15" s="703"/>
    </row>
    <row r="16" spans="1:13">
      <c r="B16" s="22" t="s">
        <v>590</v>
      </c>
      <c r="C16" t="s">
        <v>84</v>
      </c>
      <c r="D16" s="547" t="s">
        <v>55</v>
      </c>
      <c r="E16" t="s">
        <v>742</v>
      </c>
      <c r="F16" s="570"/>
      <c r="G16" s="570"/>
      <c r="H16" s="570"/>
      <c r="I16" s="570"/>
      <c r="J16" s="570"/>
      <c r="K16" s="570"/>
      <c r="L16" s="663">
        <f>VLOOKUP($B16,'Calc2 FD'!$C$1:$P$216,5,FALSE)</f>
        <v>0</v>
      </c>
      <c r="M16" s="703"/>
    </row>
    <row r="17" spans="1:13">
      <c r="B17" s="22" t="s">
        <v>591</v>
      </c>
      <c r="C17" t="s">
        <v>605</v>
      </c>
      <c r="D17" s="547" t="s">
        <v>497</v>
      </c>
      <c r="E17" t="s">
        <v>742</v>
      </c>
      <c r="F17" s="566"/>
      <c r="G17" s="566"/>
      <c r="H17" s="566"/>
      <c r="I17" s="566"/>
      <c r="J17" s="566"/>
      <c r="K17" s="566"/>
      <c r="L17" s="552">
        <f>VLOOKUP($B17,'Calc2 FD'!$C$1:$P$216,14,FALSE)</f>
        <v>6.9335668802102104</v>
      </c>
      <c r="M17" s="686"/>
    </row>
    <row r="18" spans="1:13">
      <c r="B18" s="22" t="s">
        <v>592</v>
      </c>
      <c r="C18" t="s">
        <v>323</v>
      </c>
      <c r="D18" s="547" t="s">
        <v>497</v>
      </c>
      <c r="E18" t="s">
        <v>742</v>
      </c>
      <c r="F18" s="566"/>
      <c r="G18" s="566"/>
      <c r="H18" s="566"/>
      <c r="I18" s="566"/>
      <c r="J18" s="566"/>
      <c r="K18" s="566"/>
      <c r="L18" s="552">
        <f>VLOOKUP($B18,'Calc2 FD'!$C$1:$P$216,14,FALSE)</f>
        <v>-10.446687540623619</v>
      </c>
      <c r="M18" s="686"/>
    </row>
    <row r="19" spans="1:13">
      <c r="B19" s="22" t="s">
        <v>593</v>
      </c>
      <c r="C19" t="s">
        <v>72</v>
      </c>
      <c r="D19" s="547" t="s">
        <v>497</v>
      </c>
      <c r="E19" t="s">
        <v>742</v>
      </c>
      <c r="F19" s="566"/>
      <c r="G19" s="566"/>
      <c r="H19" s="566"/>
      <c r="I19" s="566"/>
      <c r="J19" s="566"/>
      <c r="K19" s="566"/>
      <c r="L19" s="552">
        <f>VLOOKUP($B19,'Calc2 FD'!$C$1:$P$216,14,FALSE)</f>
        <v>-10.119678299271905</v>
      </c>
      <c r="M19" s="686"/>
    </row>
    <row r="20" spans="1:13">
      <c r="B20" s="22" t="s">
        <v>594</v>
      </c>
      <c r="C20" t="s">
        <v>244</v>
      </c>
      <c r="D20" s="547" t="s">
        <v>497</v>
      </c>
      <c r="E20" t="s">
        <v>742</v>
      </c>
      <c r="F20" s="566"/>
      <c r="G20" s="566"/>
      <c r="H20" s="566"/>
      <c r="I20" s="566"/>
      <c r="J20" s="566"/>
      <c r="K20" s="566"/>
      <c r="L20" s="552">
        <f>VLOOKUP($B20,'Calc2 FD'!$C$1:$P$216,14,FALSE)</f>
        <v>-0.32700924135171405</v>
      </c>
      <c r="M20" s="686"/>
    </row>
    <row r="21" spans="1:13">
      <c r="B21" s="22" t="s">
        <v>595</v>
      </c>
      <c r="C21" t="s">
        <v>248</v>
      </c>
      <c r="D21" s="547" t="s">
        <v>497</v>
      </c>
      <c r="E21" t="s">
        <v>742</v>
      </c>
      <c r="F21" s="566"/>
      <c r="G21" s="566"/>
      <c r="H21" s="566"/>
      <c r="I21" s="566"/>
      <c r="J21" s="566"/>
      <c r="K21" s="566"/>
      <c r="L21" s="552">
        <f>VLOOKUP($B21,'Calc2 FD'!$C$1:$P$216,14,FALSE)</f>
        <v>-5.0920027536973418</v>
      </c>
      <c r="M21" s="686"/>
    </row>
    <row r="22" spans="1:13">
      <c r="B22" s="22" t="s">
        <v>596</v>
      </c>
      <c r="C22" t="s">
        <v>606</v>
      </c>
      <c r="D22" s="547" t="s">
        <v>497</v>
      </c>
      <c r="E22" t="s">
        <v>742</v>
      </c>
      <c r="F22" s="566"/>
      <c r="G22" s="566"/>
      <c r="H22" s="566"/>
      <c r="I22" s="566"/>
      <c r="J22" s="566"/>
      <c r="K22" s="566"/>
      <c r="L22" s="552">
        <f>VLOOKUP($B22,'Calc2 FD'!$C$1:$P$216,14,FALSE)</f>
        <v>-5.4190119950490558</v>
      </c>
      <c r="M22" s="686"/>
    </row>
    <row r="23" spans="1:13">
      <c r="B23" s="22" t="s">
        <v>597</v>
      </c>
      <c r="C23" t="s">
        <v>610</v>
      </c>
      <c r="D23" s="547" t="s">
        <v>497</v>
      </c>
      <c r="E23" t="s">
        <v>742</v>
      </c>
      <c r="F23" s="566"/>
      <c r="G23" s="566"/>
      <c r="H23" s="566"/>
      <c r="I23" s="566"/>
      <c r="J23" s="566"/>
      <c r="K23" s="566"/>
      <c r="L23" s="552">
        <f>VLOOKUP($B23,'Calc2 FD'!$C$1:$P$216,14,FALSE)</f>
        <v>-6.1103774809277143</v>
      </c>
      <c r="M23" s="686"/>
    </row>
    <row r="24" spans="1:13">
      <c r="B24" s="22" t="s">
        <v>598</v>
      </c>
      <c r="C24" t="s">
        <v>607</v>
      </c>
      <c r="D24" s="547" t="s">
        <v>497</v>
      </c>
      <c r="E24" t="s">
        <v>742</v>
      </c>
      <c r="F24" s="566"/>
      <c r="G24" s="566"/>
      <c r="H24" s="566"/>
      <c r="I24" s="566"/>
      <c r="J24" s="566"/>
      <c r="K24" s="566"/>
      <c r="L24" s="552">
        <f>VLOOKUP($B24,'Calc2 FD'!$C$1:$P$216,14,FALSE)</f>
        <v>0</v>
      </c>
      <c r="M24" s="686"/>
    </row>
    <row r="25" spans="1:13">
      <c r="B25" s="22" t="s">
        <v>599</v>
      </c>
      <c r="C25" t="s">
        <v>324</v>
      </c>
      <c r="D25" s="547" t="s">
        <v>497</v>
      </c>
      <c r="E25" t="s">
        <v>742</v>
      </c>
      <c r="F25" s="566"/>
      <c r="G25" s="566"/>
      <c r="H25" s="566"/>
      <c r="I25" s="566"/>
      <c r="J25" s="566"/>
      <c r="K25" s="566"/>
      <c r="L25" s="552">
        <f>VLOOKUP($B25,'Calc2 FD'!$C$1:$P$216,14,FALSE)</f>
        <v>0</v>
      </c>
      <c r="M25" s="686"/>
    </row>
    <row r="26" spans="1:13">
      <c r="B26" s="22" t="s">
        <v>600</v>
      </c>
      <c r="C26" t="s">
        <v>73</v>
      </c>
      <c r="D26" s="547" t="s">
        <v>497</v>
      </c>
      <c r="E26" t="s">
        <v>742</v>
      </c>
      <c r="F26" s="566"/>
      <c r="G26" s="566"/>
      <c r="H26" s="566"/>
      <c r="I26" s="566"/>
      <c r="J26" s="566"/>
      <c r="K26" s="566"/>
      <c r="L26" s="552">
        <f>VLOOKUP($B26,'Calc2 FD'!$C$1:$P$216,14,FALSE)</f>
        <v>0</v>
      </c>
      <c r="M26" s="686"/>
    </row>
    <row r="27" spans="1:13">
      <c r="B27" s="22" t="s">
        <v>601</v>
      </c>
      <c r="C27" t="s">
        <v>245</v>
      </c>
      <c r="D27" s="547" t="s">
        <v>497</v>
      </c>
      <c r="E27" t="s">
        <v>742</v>
      </c>
      <c r="F27" s="566"/>
      <c r="G27" s="566"/>
      <c r="H27" s="566"/>
      <c r="I27" s="566"/>
      <c r="J27" s="566"/>
      <c r="K27" s="566"/>
      <c r="L27" s="552">
        <f>VLOOKUP($B27,'Calc2 FD'!$C$1:$P$216,14,FALSE)</f>
        <v>0</v>
      </c>
      <c r="M27" s="686"/>
    </row>
    <row r="28" spans="1:13">
      <c r="B28" s="22" t="s">
        <v>602</v>
      </c>
      <c r="C28" t="s">
        <v>249</v>
      </c>
      <c r="D28" s="547" t="s">
        <v>497</v>
      </c>
      <c r="E28" t="s">
        <v>742</v>
      </c>
      <c r="F28" s="566"/>
      <c r="G28" s="566"/>
      <c r="H28" s="566"/>
      <c r="I28" s="566"/>
      <c r="J28" s="566"/>
      <c r="K28" s="566"/>
      <c r="L28" s="552">
        <f>VLOOKUP($B28,'Calc2 FD'!$C$1:$P$216,14,FALSE)</f>
        <v>0</v>
      </c>
      <c r="M28" s="686"/>
    </row>
    <row r="29" spans="1:13">
      <c r="B29" s="22" t="s">
        <v>603</v>
      </c>
      <c r="C29" t="s">
        <v>608</v>
      </c>
      <c r="D29" s="547" t="s">
        <v>497</v>
      </c>
      <c r="E29" t="s">
        <v>742</v>
      </c>
      <c r="F29" s="566"/>
      <c r="G29" s="566"/>
      <c r="H29" s="566"/>
      <c r="I29" s="566"/>
      <c r="J29" s="566"/>
      <c r="K29" s="566"/>
      <c r="L29" s="552">
        <f>VLOOKUP($B29,'Calc2 FD'!$C$1:$P$216,14,FALSE)</f>
        <v>0</v>
      </c>
      <c r="M29" s="686"/>
    </row>
    <row r="30" spans="1:13">
      <c r="B30" s="22" t="s">
        <v>611</v>
      </c>
      <c r="C30" t="s">
        <v>609</v>
      </c>
      <c r="D30" s="547" t="s">
        <v>497</v>
      </c>
      <c r="E30" t="s">
        <v>742</v>
      </c>
      <c r="F30" s="566"/>
      <c r="G30" s="566"/>
      <c r="H30" s="566"/>
      <c r="I30" s="566"/>
      <c r="J30" s="566"/>
      <c r="K30" s="566"/>
      <c r="L30" s="552">
        <f>VLOOKUP($B30,'Calc2 FD'!$C$1:$P$216,14,FALSE)</f>
        <v>0</v>
      </c>
      <c r="M30" s="686"/>
    </row>
    <row r="31" spans="1:13" s="547" customFormat="1">
      <c r="A31"/>
      <c r="B31" s="550" t="s">
        <v>711</v>
      </c>
      <c r="C31" s="547" t="s">
        <v>502</v>
      </c>
      <c r="D31" s="547" t="s">
        <v>497</v>
      </c>
      <c r="E31" t="s">
        <v>742</v>
      </c>
      <c r="F31" s="552">
        <f>VLOOKUP($B31,'Calc2 BYR'!$C$1:$P$216,14,FALSE)</f>
        <v>7.759212924823423</v>
      </c>
      <c r="G31" s="686"/>
      <c r="H31" s="571"/>
      <c r="I31" s="571"/>
      <c r="J31" s="571"/>
      <c r="K31" s="571"/>
      <c r="L31" s="571"/>
      <c r="M31" s="571"/>
    </row>
    <row r="32" spans="1:13" s="547" customFormat="1">
      <c r="A32"/>
      <c r="B32" s="550" t="s">
        <v>712</v>
      </c>
      <c r="C32" s="547" t="s">
        <v>503</v>
      </c>
      <c r="D32" s="547" t="s">
        <v>497</v>
      </c>
      <c r="E32" t="s">
        <v>742</v>
      </c>
      <c r="F32" s="552">
        <f>VLOOKUP($B32,'Calc2 BYR'!$C$1:$P$216,14,FALSE)</f>
        <v>0</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-1.3517548362524221</v>
      </c>
      <c r="H33" s="552">
        <f>VLOOKUP($B33,'Profiling2 BYR'!$C$1:$V$159,17,FALSE)</f>
        <v>-1.3517548362524221</v>
      </c>
      <c r="I33" s="552">
        <f>VLOOKUP($B33,'Profiling2 BYR'!$C$1:$V$159,18,FALSE)</f>
        <v>-1.3517548362524221</v>
      </c>
      <c r="J33" s="552">
        <f>VLOOKUP($B33,'Profiling2 BYR'!$C$1:$V$159,19,FALSE)</f>
        <v>-1.3517548362524221</v>
      </c>
      <c r="K33" s="552">
        <f>VLOOKUP($B33,'Profiling2 BYR'!$C$1:$V$159,20,FALSE)</f>
        <v>-1.3517548362524221</v>
      </c>
      <c r="L33" s="686"/>
      <c r="M33" s="571"/>
    </row>
    <row r="34" spans="1:13" s="547" customFormat="1">
      <c r="B34" s="553" t="s">
        <v>714</v>
      </c>
      <c r="C34" s="547" t="s">
        <v>412</v>
      </c>
      <c r="D34" s="547" t="s">
        <v>497</v>
      </c>
      <c r="E34" t="s">
        <v>742</v>
      </c>
      <c r="F34" s="571"/>
      <c r="G34" s="552">
        <f>VLOOKUP($B34,'Profiling2 BYR'!$C$1:$V$159,16,FALSE)</f>
        <v>0</v>
      </c>
      <c r="H34" s="552">
        <f>VLOOKUP($B34,'Profiling2 BYR'!$C$1:$V$159,17,FALSE)</f>
        <v>0</v>
      </c>
      <c r="I34" s="552">
        <f>VLOOKUP($B34,'Profiling2 BYR'!$C$1:$V$159,18,FALSE)</f>
        <v>0</v>
      </c>
      <c r="J34" s="552">
        <f>VLOOKUP($B34,'Profiling2 BYR'!$C$1:$V$159,19,FALSE)</f>
        <v>0</v>
      </c>
      <c r="K34" s="552">
        <f>VLOOKUP($B34,'Profiling2 BYR'!$C$1:$V$159,20,FALSE)</f>
        <v>0</v>
      </c>
      <c r="L34" s="686"/>
      <c r="M34" s="571"/>
    </row>
    <row r="35" spans="1:13">
      <c r="A35" s="656"/>
      <c r="B35" s="654" t="s">
        <v>715</v>
      </c>
      <c r="C35" s="657" t="s">
        <v>575</v>
      </c>
      <c r="D35" s="657" t="s">
        <v>522</v>
      </c>
      <c r="E35" t="s">
        <v>742</v>
      </c>
      <c r="F35" s="568"/>
      <c r="G35" s="568"/>
      <c r="H35" s="568"/>
      <c r="I35" s="568"/>
      <c r="J35" s="568"/>
      <c r="K35" s="568"/>
      <c r="L35" s="568"/>
      <c r="M35" s="653">
        <f>'Input BYR'!$O$153</f>
        <v>3.6699999999999899E-2</v>
      </c>
    </row>
    <row r="36" spans="1:13">
      <c r="B36" s="654" t="s">
        <v>716</v>
      </c>
      <c r="C36" t="s">
        <v>175</v>
      </c>
      <c r="D36" s="547" t="s">
        <v>55</v>
      </c>
      <c r="E36" t="s">
        <v>742</v>
      </c>
      <c r="F36" s="570"/>
      <c r="G36" s="570"/>
      <c r="H36" s="570"/>
      <c r="I36" s="570"/>
      <c r="J36" s="570"/>
      <c r="K36" s="570"/>
      <c r="L36" s="663">
        <f>VLOOKUP($B36,'Calc2 BYR'!$C$1:$P$216,5,FALSE)</f>
        <v>127.91960317192274</v>
      </c>
      <c r="M36" s="703"/>
    </row>
    <row r="37" spans="1:13">
      <c r="B37" s="654" t="s">
        <v>717</v>
      </c>
      <c r="C37" t="s">
        <v>312</v>
      </c>
      <c r="D37" s="547" t="s">
        <v>55</v>
      </c>
      <c r="E37" t="s">
        <v>742</v>
      </c>
      <c r="F37" s="570"/>
      <c r="G37" s="570"/>
      <c r="H37" s="570"/>
      <c r="I37" s="570"/>
      <c r="J37" s="570"/>
      <c r="K37" s="570"/>
      <c r="L37" s="663">
        <f>VLOOKUP($B37,'Calc2 BYR'!$C$1:$P$216,5,FALSE)</f>
        <v>127.91960317192274</v>
      </c>
      <c r="M37" s="703"/>
    </row>
    <row r="38" spans="1:13">
      <c r="B38" s="654" t="s">
        <v>718</v>
      </c>
      <c r="C38" t="s">
        <v>304</v>
      </c>
      <c r="D38" s="547" t="s">
        <v>55</v>
      </c>
      <c r="E38" t="s">
        <v>742</v>
      </c>
      <c r="F38" s="570"/>
      <c r="G38" s="570"/>
      <c r="H38" s="570"/>
      <c r="I38" s="570"/>
      <c r="J38" s="570"/>
      <c r="K38" s="570"/>
      <c r="L38" s="663">
        <f>VLOOKUP($B38,'Calc2 BYR'!$C$1:$P$216,5,FALSE)</f>
        <v>114.37168598209146</v>
      </c>
      <c r="M38" s="703"/>
    </row>
    <row r="39" spans="1:13">
      <c r="B39" s="654" t="s">
        <v>719</v>
      </c>
      <c r="C39" t="s">
        <v>83</v>
      </c>
      <c r="D39" s="547" t="s">
        <v>55</v>
      </c>
      <c r="E39" t="s">
        <v>742</v>
      </c>
      <c r="F39" s="570"/>
      <c r="G39" s="570"/>
      <c r="H39" s="570"/>
      <c r="I39" s="570"/>
      <c r="J39" s="570"/>
      <c r="K39" s="570"/>
      <c r="L39" s="663">
        <f>VLOOKUP($B39,'Calc2 BYR'!$C$1:$P$216,5,FALSE)</f>
        <v>-4.254007550164145</v>
      </c>
      <c r="M39" s="703"/>
    </row>
    <row r="40" spans="1:13">
      <c r="B40" s="654" t="s">
        <v>720</v>
      </c>
      <c r="C40" t="s">
        <v>176</v>
      </c>
      <c r="D40" s="547" t="s">
        <v>55</v>
      </c>
      <c r="E40" t="s">
        <v>742</v>
      </c>
      <c r="F40" s="570"/>
      <c r="G40" s="570"/>
      <c r="H40" s="570"/>
      <c r="I40" s="570"/>
      <c r="J40" s="570"/>
      <c r="K40" s="570"/>
      <c r="L40" s="663">
        <f>VLOOKUP($B40,'Calc2 BYR'!$C$1:$P$216,5,FALSE)</f>
        <v>0</v>
      </c>
      <c r="M40" s="703"/>
    </row>
    <row r="41" spans="1:13">
      <c r="B41" s="654" t="s">
        <v>721</v>
      </c>
      <c r="C41" t="s">
        <v>313</v>
      </c>
      <c r="D41" s="547" t="s">
        <v>55</v>
      </c>
      <c r="E41" t="s">
        <v>742</v>
      </c>
      <c r="F41" s="570"/>
      <c r="G41" s="570"/>
      <c r="H41" s="570"/>
      <c r="I41" s="570"/>
      <c r="J41" s="570"/>
      <c r="K41" s="570"/>
      <c r="L41" s="663">
        <f>VLOOKUP($B41,'Calc2 BYR'!$C$1:$P$216,5,FALSE)</f>
        <v>0</v>
      </c>
      <c r="M41" s="703"/>
    </row>
    <row r="42" spans="1:13">
      <c r="B42" s="654" t="s">
        <v>722</v>
      </c>
      <c r="C42" t="s">
        <v>305</v>
      </c>
      <c r="D42" s="547" t="s">
        <v>55</v>
      </c>
      <c r="E42" t="s">
        <v>742</v>
      </c>
      <c r="F42" s="570"/>
      <c r="G42" s="570"/>
      <c r="H42" s="570"/>
      <c r="I42" s="570"/>
      <c r="J42" s="570"/>
      <c r="K42" s="570"/>
      <c r="L42" s="663">
        <f>VLOOKUP($B42,'Calc2 BYR'!$C$1:$P$216,5,FALSE)</f>
        <v>0</v>
      </c>
      <c r="M42" s="703"/>
    </row>
    <row r="43" spans="1:13">
      <c r="B43" s="22" t="s">
        <v>723</v>
      </c>
      <c r="C43" t="s">
        <v>84</v>
      </c>
      <c r="D43" s="547" t="s">
        <v>55</v>
      </c>
      <c r="E43" t="s">
        <v>742</v>
      </c>
      <c r="F43" s="570"/>
      <c r="G43" s="570"/>
      <c r="H43" s="570"/>
      <c r="I43" s="570"/>
      <c r="J43" s="570"/>
      <c r="K43" s="570"/>
      <c r="L43" s="663">
        <f>VLOOKUP($B43,'Calc2 BYR'!$C$1:$P$216,5,FALSE)</f>
        <v>0</v>
      </c>
      <c r="M43" s="703"/>
    </row>
    <row r="44" spans="1:13">
      <c r="B44" s="22" t="s">
        <v>724</v>
      </c>
      <c r="C44" t="s">
        <v>605</v>
      </c>
      <c r="D44" s="547" t="s">
        <v>497</v>
      </c>
      <c r="E44" t="s">
        <v>742</v>
      </c>
      <c r="F44" s="566"/>
      <c r="G44" s="566"/>
      <c r="H44" s="566"/>
      <c r="I44" s="566"/>
      <c r="J44" s="566"/>
      <c r="K44" s="566"/>
      <c r="L44" s="552">
        <f>VLOOKUP($B44,'Calc2 BYR'!$C$1:$P$216,14,FALSE)</f>
        <v>9.1014442365762509</v>
      </c>
      <c r="M44" s="686"/>
    </row>
    <row r="45" spans="1:13">
      <c r="B45" s="22" t="s">
        <v>725</v>
      </c>
      <c r="C45" t="s">
        <v>323</v>
      </c>
      <c r="D45" s="547" t="s">
        <v>497</v>
      </c>
      <c r="E45" t="s">
        <v>742</v>
      </c>
      <c r="F45" s="566"/>
      <c r="G45" s="566"/>
      <c r="H45" s="566"/>
      <c r="I45" s="566"/>
      <c r="J45" s="566"/>
      <c r="K45" s="566"/>
      <c r="L45" s="552">
        <f>VLOOKUP($B45,'Calc2 BYR'!$C$1:$P$216,14,FALSE)</f>
        <v>-10.661652784473164</v>
      </c>
      <c r="M45" s="686"/>
    </row>
    <row r="46" spans="1:13">
      <c r="B46" s="22" t="s">
        <v>726</v>
      </c>
      <c r="C46" t="s">
        <v>72</v>
      </c>
      <c r="D46" s="547" t="s">
        <v>497</v>
      </c>
      <c r="E46" t="s">
        <v>742</v>
      </c>
      <c r="F46" s="566"/>
      <c r="G46" s="566"/>
      <c r="H46" s="566"/>
      <c r="I46" s="566"/>
      <c r="J46" s="566"/>
      <c r="K46" s="566"/>
      <c r="L46" s="552">
        <f>VLOOKUP($B46,'Calc2 BYR'!$C$1:$P$216,14,FALSE)</f>
        <v>-10.119678299271905</v>
      </c>
      <c r="M46" s="686"/>
    </row>
    <row r="47" spans="1:13">
      <c r="B47" s="22" t="s">
        <v>727</v>
      </c>
      <c r="C47" t="s">
        <v>244</v>
      </c>
      <c r="D47" s="547" t="s">
        <v>497</v>
      </c>
      <c r="E47" t="s">
        <v>742</v>
      </c>
      <c r="F47" s="566"/>
      <c r="G47" s="566"/>
      <c r="H47" s="566"/>
      <c r="I47" s="566"/>
      <c r="J47" s="566"/>
      <c r="K47" s="566"/>
      <c r="L47" s="552">
        <f>VLOOKUP($B47,'Calc2 BYR'!$C$1:$P$216,14,FALSE)</f>
        <v>-0.54197448520125913</v>
      </c>
      <c r="M47" s="686"/>
    </row>
    <row r="48" spans="1:13">
      <c r="B48" s="22" t="s">
        <v>728</v>
      </c>
      <c r="C48" t="s">
        <v>248</v>
      </c>
      <c r="D48" s="547" t="s">
        <v>497</v>
      </c>
      <c r="E48" t="s">
        <v>742</v>
      </c>
      <c r="F48" s="566"/>
      <c r="G48" s="566"/>
      <c r="H48" s="566"/>
      <c r="I48" s="566"/>
      <c r="J48" s="566"/>
      <c r="K48" s="566"/>
      <c r="L48" s="552">
        <f>VLOOKUP($B48,'Calc2 BYR'!$C$1:$P$216,14,FALSE)</f>
        <v>-5.0394317278054661</v>
      </c>
      <c r="M48" s="686"/>
    </row>
    <row r="49" spans="2:13">
      <c r="B49" s="22" t="s">
        <v>729</v>
      </c>
      <c r="C49" t="s">
        <v>606</v>
      </c>
      <c r="D49" s="547" t="s">
        <v>497</v>
      </c>
      <c r="E49" t="s">
        <v>742</v>
      </c>
      <c r="F49" s="566"/>
      <c r="G49" s="566"/>
      <c r="H49" s="566"/>
      <c r="I49" s="566"/>
      <c r="J49" s="566"/>
      <c r="K49" s="566"/>
      <c r="L49" s="552">
        <f>VLOOKUP($B49,'Calc2 BYR'!$C$1:$P$216,14,FALSE)</f>
        <v>-5.5814062130067255</v>
      </c>
      <c r="M49" s="686"/>
    </row>
    <row r="50" spans="2:13">
      <c r="B50" s="22" t="s">
        <v>730</v>
      </c>
      <c r="C50" t="s">
        <v>610</v>
      </c>
      <c r="D50" s="547" t="s">
        <v>497</v>
      </c>
      <c r="E50" t="s">
        <v>742</v>
      </c>
      <c r="F50" s="566"/>
      <c r="G50" s="566"/>
      <c r="H50" s="566"/>
      <c r="I50" s="566"/>
      <c r="J50" s="566"/>
      <c r="K50" s="566"/>
      <c r="L50" s="552">
        <f>VLOOKUP($B50,'Calc2 BYR'!$C$1:$P$216,14,FALSE)</f>
        <v>-6.2968849562222093</v>
      </c>
      <c r="M50" s="686"/>
    </row>
    <row r="51" spans="2:13">
      <c r="B51" s="22" t="s">
        <v>731</v>
      </c>
      <c r="C51" t="s">
        <v>607</v>
      </c>
      <c r="D51" s="547" t="s">
        <v>497</v>
      </c>
      <c r="E51" t="s">
        <v>742</v>
      </c>
      <c r="F51" s="566"/>
      <c r="G51" s="566"/>
      <c r="H51" s="566"/>
      <c r="I51" s="566"/>
      <c r="J51" s="566"/>
      <c r="K51" s="566"/>
      <c r="L51" s="552">
        <f>VLOOKUP($B51,'Calc2 BYR'!$C$1:$P$216,14,FALSE)</f>
        <v>0</v>
      </c>
      <c r="M51" s="686"/>
    </row>
    <row r="52" spans="2:13">
      <c r="B52" s="22" t="s">
        <v>732</v>
      </c>
      <c r="C52" t="s">
        <v>324</v>
      </c>
      <c r="D52" s="547" t="s">
        <v>497</v>
      </c>
      <c r="E52" t="s">
        <v>742</v>
      </c>
      <c r="F52" s="566"/>
      <c r="G52" s="566"/>
      <c r="H52" s="566"/>
      <c r="I52" s="566"/>
      <c r="J52" s="566"/>
      <c r="K52" s="566"/>
      <c r="L52" s="552">
        <f>VLOOKUP($B52,'Calc2 BYR'!$C$1:$P$216,14,FALSE)</f>
        <v>0</v>
      </c>
      <c r="M52" s="686"/>
    </row>
    <row r="53" spans="2:13">
      <c r="B53" s="22" t="s">
        <v>733</v>
      </c>
      <c r="C53" t="s">
        <v>73</v>
      </c>
      <c r="D53" s="547" t="s">
        <v>497</v>
      </c>
      <c r="E53" t="s">
        <v>742</v>
      </c>
      <c r="F53" s="566"/>
      <c r="G53" s="566"/>
      <c r="H53" s="566"/>
      <c r="I53" s="566"/>
      <c r="J53" s="566"/>
      <c r="K53" s="566"/>
      <c r="L53" s="552">
        <f>VLOOKUP($B53,'Calc2 BYR'!$C$1:$P$216,14,FALSE)</f>
        <v>0</v>
      </c>
      <c r="M53" s="686"/>
    </row>
    <row r="54" spans="2:13">
      <c r="B54" s="22" t="s">
        <v>734</v>
      </c>
      <c r="C54" t="s">
        <v>245</v>
      </c>
      <c r="D54" s="547" t="s">
        <v>497</v>
      </c>
      <c r="E54" t="s">
        <v>742</v>
      </c>
      <c r="F54" s="566"/>
      <c r="G54" s="566"/>
      <c r="H54" s="566"/>
      <c r="I54" s="566"/>
      <c r="J54" s="566"/>
      <c r="K54" s="566"/>
      <c r="L54" s="552">
        <f>VLOOKUP($B54,'Calc2 BYR'!$C$1:$P$216,14,FALSE)</f>
        <v>0</v>
      </c>
      <c r="M54" s="686"/>
    </row>
    <row r="55" spans="2:13">
      <c r="B55" s="22" t="s">
        <v>735</v>
      </c>
      <c r="C55" t="s">
        <v>249</v>
      </c>
      <c r="D55" s="547" t="s">
        <v>497</v>
      </c>
      <c r="E55" t="s">
        <v>742</v>
      </c>
      <c r="F55" s="566"/>
      <c r="G55" s="566"/>
      <c r="H55" s="566"/>
      <c r="I55" s="566"/>
      <c r="J55" s="566"/>
      <c r="K55" s="566"/>
      <c r="L55" s="552">
        <f>VLOOKUP($B55,'Calc2 BYR'!$C$1:$P$216,14,FALSE)</f>
        <v>0</v>
      </c>
      <c r="M55" s="686"/>
    </row>
    <row r="56" spans="2:13">
      <c r="B56" s="22" t="s">
        <v>736</v>
      </c>
      <c r="C56" t="s">
        <v>608</v>
      </c>
      <c r="D56" s="547" t="s">
        <v>497</v>
      </c>
      <c r="E56" t="s">
        <v>742</v>
      </c>
      <c r="F56" s="566"/>
      <c r="G56" s="566"/>
      <c r="H56" s="566"/>
      <c r="I56" s="566"/>
      <c r="J56" s="566"/>
      <c r="K56" s="566"/>
      <c r="L56" s="552">
        <f>VLOOKUP($B56,'Calc2 BYR'!$C$1:$P$216,14,FALSE)</f>
        <v>0</v>
      </c>
      <c r="M56" s="686"/>
    </row>
    <row r="57" spans="2:13">
      <c r="B57" s="22" t="s">
        <v>737</v>
      </c>
      <c r="C57" t="s">
        <v>609</v>
      </c>
      <c r="D57" s="547" t="s">
        <v>497</v>
      </c>
      <c r="E57" t="s">
        <v>742</v>
      </c>
      <c r="F57" s="566"/>
      <c r="G57" s="566"/>
      <c r="H57" s="566"/>
      <c r="I57" s="566"/>
      <c r="J57" s="566"/>
      <c r="K57" s="566"/>
      <c r="L57" s="552">
        <f>VLOOKUP($B57,'Calc2 BYR'!$C$1:$P$216,14,FALSE)</f>
        <v>0</v>
      </c>
      <c r="M57" s="686"/>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 min="2" max="2" width="40" bestFit="1" customWidth="1"/>
  </cols>
  <sheetData>
    <row r="1" spans="1:2">
      <c r="A1" t="s">
        <v>776</v>
      </c>
      <c r="B1" t="s">
        <v>777</v>
      </c>
    </row>
    <row r="2" spans="1:2">
      <c r="A2" t="s">
        <v>778</v>
      </c>
      <c r="B2" t="s">
        <v>823</v>
      </c>
    </row>
    <row r="3" spans="1:2">
      <c r="A3" t="s">
        <v>775</v>
      </c>
      <c r="B3" t="s">
        <v>781</v>
      </c>
    </row>
    <row r="4" spans="1:2">
      <c r="A4" t="s">
        <v>782</v>
      </c>
      <c r="B4" t="s">
        <v>783</v>
      </c>
    </row>
    <row r="5" spans="1:2">
      <c r="A5" t="s">
        <v>784</v>
      </c>
      <c r="B5" t="s">
        <v>785</v>
      </c>
    </row>
    <row r="6" spans="1:2">
      <c r="A6" t="s">
        <v>786</v>
      </c>
      <c r="B6" t="s">
        <v>787</v>
      </c>
    </row>
    <row r="7" spans="1:2">
      <c r="A7" t="s">
        <v>788</v>
      </c>
      <c r="B7" t="s">
        <v>789</v>
      </c>
    </row>
    <row r="8" spans="1:2">
      <c r="A8" t="s">
        <v>790</v>
      </c>
      <c r="B8" t="s">
        <v>787</v>
      </c>
    </row>
    <row r="9" spans="1:2">
      <c r="A9" t="s">
        <v>791</v>
      </c>
      <c r="B9" t="s">
        <v>789</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803</v>
      </c>
    </row>
    <row r="18" spans="1:2">
      <c r="A18" t="s">
        <v>807</v>
      </c>
      <c r="B18" t="s">
        <v>803</v>
      </c>
    </row>
    <row r="19" spans="1:2">
      <c r="A19" t="s">
        <v>808</v>
      </c>
      <c r="B19" t="s">
        <v>809</v>
      </c>
    </row>
    <row r="20" spans="1:2">
      <c r="A20" t="s">
        <v>810</v>
      </c>
      <c r="B20" t="s">
        <v>811</v>
      </c>
    </row>
    <row r="21" spans="1:2">
      <c r="A21" t="s">
        <v>812</v>
      </c>
      <c r="B21" t="s">
        <v>819</v>
      </c>
    </row>
    <row r="22" spans="1:2">
      <c r="A22" t="s">
        <v>813</v>
      </c>
      <c r="B22" t="s">
        <v>799</v>
      </c>
    </row>
    <row r="23" spans="1:2">
      <c r="A23" t="s">
        <v>814</v>
      </c>
      <c r="B23" t="s">
        <v>820</v>
      </c>
    </row>
    <row r="24" spans="1:2">
      <c r="A24" t="s">
        <v>815</v>
      </c>
      <c r="B24" t="s">
        <v>821</v>
      </c>
    </row>
    <row r="25" spans="1:2">
      <c r="A25" t="s">
        <v>816</v>
      </c>
      <c r="B25" t="s">
        <v>805</v>
      </c>
    </row>
    <row r="26" spans="1:2">
      <c r="A26" t="s">
        <v>817</v>
      </c>
      <c r="B26" t="s">
        <v>824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heetViews>
  <sheetFormatPr defaultRowHeight="13.2"/>
  <cols>
    <col min="1" max="1" width="4.441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21.591000000000001</v>
      </c>
      <c r="J4" s="566">
        <v>25.234000000000002</v>
      </c>
      <c r="K4" s="566">
        <v>25.286999999999999</v>
      </c>
      <c r="L4" s="566">
        <v>27.077000000000002</v>
      </c>
      <c r="M4" s="566">
        <v>26.503</v>
      </c>
      <c r="N4" s="566"/>
      <c r="O4" s="566"/>
    </row>
    <row r="5" spans="1:15">
      <c r="A5" t="s">
        <v>818</v>
      </c>
      <c r="B5" t="s">
        <v>452</v>
      </c>
      <c r="C5" t="s">
        <v>178</v>
      </c>
      <c r="D5" t="s">
        <v>497</v>
      </c>
      <c r="E5" t="s">
        <v>742</v>
      </c>
      <c r="F5" s="566"/>
      <c r="G5" s="566"/>
      <c r="H5" s="566"/>
      <c r="I5" s="566">
        <v>14.125999999999999</v>
      </c>
      <c r="J5" s="566">
        <v>17.931000000000001</v>
      </c>
      <c r="K5" s="566">
        <v>15.067</v>
      </c>
      <c r="L5" s="566">
        <v>7.7969999999999997</v>
      </c>
      <c r="M5" s="566">
        <v>5.9359999999999999</v>
      </c>
      <c r="N5" s="566"/>
      <c r="O5" s="566"/>
    </row>
    <row r="6" spans="1:15">
      <c r="A6" t="s">
        <v>818</v>
      </c>
      <c r="B6" t="s">
        <v>453</v>
      </c>
      <c r="C6" t="s">
        <v>123</v>
      </c>
      <c r="D6" t="s">
        <v>497</v>
      </c>
      <c r="E6" t="s">
        <v>742</v>
      </c>
      <c r="F6" s="566"/>
      <c r="G6" s="566"/>
      <c r="H6" s="566"/>
      <c r="I6" s="566">
        <v>10.823</v>
      </c>
      <c r="J6" s="566">
        <v>17.779</v>
      </c>
      <c r="K6" s="566">
        <v>11.446999999999999</v>
      </c>
      <c r="L6" s="566">
        <v>14.250999999999999</v>
      </c>
      <c r="M6" s="566">
        <v>22.138999999999999</v>
      </c>
      <c r="N6" s="566"/>
      <c r="O6" s="566"/>
    </row>
    <row r="7" spans="1:15">
      <c r="A7" t="s">
        <v>818</v>
      </c>
      <c r="B7" t="s">
        <v>454</v>
      </c>
      <c r="C7" t="s">
        <v>122</v>
      </c>
      <c r="D7" t="s">
        <v>497</v>
      </c>
      <c r="E7" t="s">
        <v>742</v>
      </c>
      <c r="F7" s="566"/>
      <c r="G7" s="566"/>
      <c r="H7" s="566"/>
      <c r="I7" s="566">
        <v>10.878</v>
      </c>
      <c r="J7" s="566">
        <v>16.831</v>
      </c>
      <c r="K7" s="566">
        <v>18.053000000000001</v>
      </c>
      <c r="L7" s="566">
        <v>12.182</v>
      </c>
      <c r="M7" s="566">
        <v>5.9379999999999997</v>
      </c>
      <c r="N7" s="566"/>
      <c r="O7" s="566"/>
    </row>
    <row r="8" spans="1:15">
      <c r="A8" t="s">
        <v>818</v>
      </c>
      <c r="B8" t="s">
        <v>455</v>
      </c>
      <c r="C8" t="s">
        <v>190</v>
      </c>
      <c r="D8" t="s">
        <v>497</v>
      </c>
      <c r="E8" t="s">
        <v>742</v>
      </c>
      <c r="F8" s="566"/>
      <c r="G8" s="566"/>
      <c r="H8" s="566"/>
      <c r="I8" s="566">
        <v>2.1970000000000001</v>
      </c>
      <c r="J8" s="566">
        <v>3.2570000000000001</v>
      </c>
      <c r="K8" s="566">
        <v>2.198</v>
      </c>
      <c r="L8" s="566">
        <v>1.8380000000000001</v>
      </c>
      <c r="M8" s="566">
        <v>2.758</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-1.2336934802411399</v>
      </c>
      <c r="J11" s="566">
        <v>-2.0322837964087701</v>
      </c>
      <c r="K11" s="566">
        <v>2.0103855804304902</v>
      </c>
      <c r="L11" s="566">
        <v>2.0006427750176901</v>
      </c>
      <c r="M11" s="566">
        <v>2.4350749212017302</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10.663</v>
      </c>
      <c r="G20" s="566">
        <v>10.631425351129</v>
      </c>
      <c r="H20" s="566">
        <v>8.2194367298960707</v>
      </c>
      <c r="I20" s="566">
        <v>16.923408944391301</v>
      </c>
      <c r="J20" s="566">
        <v>19.760385971784899</v>
      </c>
      <c r="K20" s="566">
        <v>19.823722925913799</v>
      </c>
      <c r="L20" s="566">
        <v>21.167441797505301</v>
      </c>
      <c r="M20" s="566">
        <v>20.986649173977799</v>
      </c>
      <c r="N20" s="566"/>
      <c r="O20" s="566"/>
    </row>
    <row r="21" spans="1:15">
      <c r="A21" t="s">
        <v>818</v>
      </c>
      <c r="B21" t="s">
        <v>529</v>
      </c>
      <c r="C21" t="s">
        <v>512</v>
      </c>
      <c r="D21" t="s">
        <v>497</v>
      </c>
      <c r="E21" t="s">
        <v>742</v>
      </c>
      <c r="F21" s="566">
        <v>11.788</v>
      </c>
      <c r="G21" s="566">
        <v>8.9551527896329599</v>
      </c>
      <c r="H21" s="566">
        <v>4.9121333832747496</v>
      </c>
      <c r="I21" s="566">
        <v>13.352425777721299</v>
      </c>
      <c r="J21" s="566">
        <v>16.7731250605488</v>
      </c>
      <c r="K21" s="566">
        <v>14.120046151652501</v>
      </c>
      <c r="L21" s="566">
        <v>7.4963418469051302</v>
      </c>
      <c r="M21" s="566">
        <v>5.7951506849097196</v>
      </c>
      <c r="N21" s="566"/>
      <c r="O21" s="566"/>
    </row>
    <row r="22" spans="1:15">
      <c r="A22" t="s">
        <v>818</v>
      </c>
      <c r="B22" t="s">
        <v>1</v>
      </c>
      <c r="C22" t="s">
        <v>513</v>
      </c>
      <c r="D22" t="s">
        <v>497</v>
      </c>
      <c r="E22" t="s">
        <v>742</v>
      </c>
      <c r="F22" s="566">
        <v>5.4558673273142704</v>
      </c>
      <c r="G22" s="566">
        <v>3.0442489584911701</v>
      </c>
      <c r="H22" s="566">
        <v>2.9850620460673598</v>
      </c>
      <c r="I22" s="566">
        <v>8.8255752976846704</v>
      </c>
      <c r="J22" s="566">
        <v>13.465797331332</v>
      </c>
      <c r="K22" s="566">
        <v>6.6768268320489801</v>
      </c>
      <c r="L22" s="566">
        <v>6.9561178457821802</v>
      </c>
      <c r="M22" s="566">
        <v>2.5018963795191</v>
      </c>
      <c r="N22" s="566"/>
      <c r="O22" s="566"/>
    </row>
    <row r="23" spans="1:15">
      <c r="A23" t="s">
        <v>818</v>
      </c>
      <c r="B23" t="s">
        <v>5</v>
      </c>
      <c r="C23" t="s">
        <v>514</v>
      </c>
      <c r="D23" t="s">
        <v>497</v>
      </c>
      <c r="E23" t="s">
        <v>742</v>
      </c>
      <c r="F23" s="566">
        <v>16.722132672685699</v>
      </c>
      <c r="G23" s="566">
        <v>4.2006978871672498</v>
      </c>
      <c r="H23" s="566">
        <v>4.2328060585437797</v>
      </c>
      <c r="I23" s="566">
        <v>8.4580519266306506</v>
      </c>
      <c r="J23" s="566">
        <v>13.8156909705161</v>
      </c>
      <c r="K23" s="566">
        <v>14.1464381782716</v>
      </c>
      <c r="L23" s="566">
        <v>9.87942316127622</v>
      </c>
      <c r="M23" s="566">
        <v>2.5423694084206301</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127.919602677488</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-1.7254566772867099</v>
      </c>
      <c r="J34" s="566">
        <v>-1.7254566772867099</v>
      </c>
      <c r="K34" s="566">
        <v>-1.7254566772867099</v>
      </c>
      <c r="L34" s="566">
        <v>-1.7254566772867099</v>
      </c>
      <c r="M34" s="566">
        <v>-1.7254566772867099</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273.410063875341</v>
      </c>
      <c r="G36" s="566">
        <v>264.839478149679</v>
      </c>
      <c r="H36" s="566">
        <v>264.22376567687598</v>
      </c>
      <c r="I36" s="566">
        <v>277.99080734748799</v>
      </c>
      <c r="J36" s="566">
        <v>306.874526251193</v>
      </c>
      <c r="K36" s="566">
        <v>326.25828972856698</v>
      </c>
      <c r="L36" s="566">
        <v>336.70611012907</v>
      </c>
      <c r="M36" s="566">
        <v>334.03593667583601</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6.5000000000000002E-2</v>
      </c>
      <c r="G38" s="568">
        <v>5.5E-2</v>
      </c>
      <c r="H38" s="568">
        <v>5.5E-2</v>
      </c>
      <c r="I38" s="568">
        <v>4.8500000000000001E-2</v>
      </c>
      <c r="J38" s="568">
        <v>4.8500000000000001E-2</v>
      </c>
      <c r="K38" s="568">
        <v>4.8500000000000001E-2</v>
      </c>
      <c r="L38" s="568">
        <v>4.8500000000000001E-2</v>
      </c>
      <c r="M38" s="568">
        <v>4.8500000000000001E-2</v>
      </c>
      <c r="N38" s="568">
        <v>4.8500000000000001E-2</v>
      </c>
      <c r="O38" s="568"/>
    </row>
    <row r="39" spans="1:15">
      <c r="A39" t="s">
        <v>818</v>
      </c>
      <c r="B39" t="s">
        <v>533</v>
      </c>
      <c r="C39" t="s">
        <v>504</v>
      </c>
      <c r="D39" t="s">
        <v>499</v>
      </c>
      <c r="E39" t="s">
        <v>742</v>
      </c>
      <c r="F39" s="570"/>
      <c r="G39" s="570"/>
      <c r="H39" s="570"/>
      <c r="I39" s="570"/>
      <c r="J39" s="570"/>
      <c r="K39" s="570"/>
      <c r="L39" s="570"/>
      <c r="M39" s="570"/>
      <c r="N39" s="570">
        <v>5.9700000000000003E-2</v>
      </c>
      <c r="O39" s="570"/>
    </row>
    <row r="40" spans="1:15">
      <c r="A40" t="s">
        <v>818</v>
      </c>
      <c r="B40" t="s">
        <v>424</v>
      </c>
      <c r="C40" t="s">
        <v>8</v>
      </c>
      <c r="D40" t="s">
        <v>497</v>
      </c>
      <c r="E40" t="s">
        <v>742</v>
      </c>
      <c r="F40" s="566"/>
      <c r="G40" s="566"/>
      <c r="H40" s="566"/>
      <c r="I40" s="566">
        <v>9.8149999999999995</v>
      </c>
      <c r="J40" s="566">
        <v>23.376000000000001</v>
      </c>
      <c r="K40" s="566">
        <v>36.125999999999998</v>
      </c>
      <c r="L40" s="566">
        <v>33.591000000000001</v>
      </c>
      <c r="M40" s="566">
        <v>25.793977890000001</v>
      </c>
      <c r="N40" s="566"/>
      <c r="O40" s="566"/>
    </row>
    <row r="41" spans="1:15">
      <c r="A41" t="s">
        <v>818</v>
      </c>
      <c r="B41" t="s">
        <v>425</v>
      </c>
      <c r="C41" t="s">
        <v>65</v>
      </c>
      <c r="D41" t="s">
        <v>497</v>
      </c>
      <c r="E41" t="s">
        <v>742</v>
      </c>
      <c r="F41" s="566"/>
      <c r="G41" s="566"/>
      <c r="H41" s="566"/>
      <c r="I41" s="566">
        <v>5.399</v>
      </c>
      <c r="J41" s="566">
        <v>14.273</v>
      </c>
      <c r="K41" s="566">
        <v>19.132000000000001</v>
      </c>
      <c r="L41" s="566">
        <v>18.521000000000001</v>
      </c>
      <c r="M41" s="566">
        <v>18.287430499999999</v>
      </c>
      <c r="N41" s="566"/>
      <c r="O41" s="566"/>
    </row>
    <row r="42" spans="1:15">
      <c r="A42" t="s">
        <v>818</v>
      </c>
      <c r="B42" t="s">
        <v>426</v>
      </c>
      <c r="C42" t="s">
        <v>382</v>
      </c>
      <c r="D42" t="s">
        <v>497</v>
      </c>
      <c r="E42" t="s">
        <v>742</v>
      </c>
      <c r="F42" s="566"/>
      <c r="G42" s="566"/>
      <c r="H42" s="566"/>
      <c r="I42" s="566">
        <v>0.57299999999999995</v>
      </c>
      <c r="J42" s="566">
        <v>8.4570000000000007</v>
      </c>
      <c r="K42" s="566">
        <v>14.913</v>
      </c>
      <c r="L42" s="566">
        <v>5.1319999999999997</v>
      </c>
      <c r="M42" s="566">
        <v>2.13027313</v>
      </c>
      <c r="N42" s="566"/>
      <c r="O42" s="566"/>
    </row>
    <row r="43" spans="1:15">
      <c r="A43" t="s">
        <v>818</v>
      </c>
      <c r="B43" t="s">
        <v>427</v>
      </c>
      <c r="C43" t="s">
        <v>383</v>
      </c>
      <c r="D43" t="s">
        <v>497</v>
      </c>
      <c r="E43" t="s">
        <v>742</v>
      </c>
      <c r="F43" s="566"/>
      <c r="G43" s="566"/>
      <c r="H43" s="566"/>
      <c r="I43" s="566">
        <v>4.2670000000000003</v>
      </c>
      <c r="J43" s="566">
        <v>10.212999999999999</v>
      </c>
      <c r="K43" s="566">
        <v>14.378</v>
      </c>
      <c r="L43" s="566">
        <v>14.766</v>
      </c>
      <c r="M43" s="566">
        <v>8.7361794899999996</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3.1E-2</v>
      </c>
      <c r="M65" s="568">
        <v>3.1E-2</v>
      </c>
      <c r="N65" s="568"/>
      <c r="O65" s="568"/>
    </row>
    <row r="66" spans="1:15">
      <c r="A66" t="s">
        <v>818</v>
      </c>
      <c r="B66" t="s">
        <v>89</v>
      </c>
      <c r="C66" t="s">
        <v>91</v>
      </c>
      <c r="D66" t="s">
        <v>518</v>
      </c>
      <c r="E66" t="s">
        <v>742</v>
      </c>
      <c r="F66" s="569">
        <v>208.59166666666599</v>
      </c>
      <c r="G66" s="569">
        <v>214.78333333333299</v>
      </c>
      <c r="H66" s="569">
        <v>215.766666666666</v>
      </c>
      <c r="I66" s="569">
        <v>222.45543333333299</v>
      </c>
      <c r="J66" s="569">
        <v>228.461730033333</v>
      </c>
      <c r="K66" s="569">
        <v>235.087120204299</v>
      </c>
      <c r="L66" s="569">
        <v>242.37482093063301</v>
      </c>
      <c r="M66" s="569">
        <v>249.16131591669</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-2.1499999999999998E-2</v>
      </c>
      <c r="H68" s="568">
        <v>-5.8999999999999997E-2</v>
      </c>
      <c r="I68" s="568">
        <v>3.85E-2</v>
      </c>
      <c r="J68" s="568">
        <v>3.4500000000000003E-2</v>
      </c>
      <c r="K68" s="568">
        <v>3.6499999999999998E-2</v>
      </c>
      <c r="L68" s="568">
        <v>3.85E-2</v>
      </c>
      <c r="M68" s="568">
        <v>3.5499999999999997E-2</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3.6699999999999899E-2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21.591000000000001</v>
      </c>
      <c r="J4" s="566">
        <v>25.234000000000002</v>
      </c>
      <c r="K4" s="566">
        <v>25.286999999999999</v>
      </c>
      <c r="L4" s="566">
        <v>27.077000000000002</v>
      </c>
      <c r="M4" s="566">
        <v>26.503</v>
      </c>
      <c r="N4" s="566"/>
      <c r="O4" s="566"/>
    </row>
    <row r="5" spans="1:15">
      <c r="B5" t="s">
        <v>452</v>
      </c>
      <c r="C5" t="s">
        <v>178</v>
      </c>
      <c r="D5" t="s">
        <v>497</v>
      </c>
      <c r="E5" t="s">
        <v>742</v>
      </c>
      <c r="F5" s="566"/>
      <c r="G5" s="566"/>
      <c r="H5" s="566"/>
      <c r="I5" s="566">
        <v>14.125999999999999</v>
      </c>
      <c r="J5" s="566">
        <v>17.931000000000001</v>
      </c>
      <c r="K5" s="566">
        <v>15.067</v>
      </c>
      <c r="L5" s="566">
        <v>7.7969999999999997</v>
      </c>
      <c r="M5" s="566">
        <v>5.9359999999999999</v>
      </c>
      <c r="N5" s="566"/>
      <c r="O5" s="566"/>
    </row>
    <row r="6" spans="1:15">
      <c r="B6" t="s">
        <v>453</v>
      </c>
      <c r="C6" t="s">
        <v>123</v>
      </c>
      <c r="D6" t="s">
        <v>497</v>
      </c>
      <c r="E6" t="s">
        <v>742</v>
      </c>
      <c r="F6" s="566"/>
      <c r="G6" s="566"/>
      <c r="H6" s="566"/>
      <c r="I6" s="566">
        <v>10.823</v>
      </c>
      <c r="J6" s="566">
        <v>17.779</v>
      </c>
      <c r="K6" s="566">
        <v>11.446999999999999</v>
      </c>
      <c r="L6" s="566">
        <v>14.250999999999999</v>
      </c>
      <c r="M6" s="566">
        <v>22.138999999999999</v>
      </c>
      <c r="N6" s="566"/>
      <c r="O6" s="566"/>
    </row>
    <row r="7" spans="1:15">
      <c r="B7" t="s">
        <v>454</v>
      </c>
      <c r="C7" t="s">
        <v>122</v>
      </c>
      <c r="D7" t="s">
        <v>497</v>
      </c>
      <c r="E7" t="s">
        <v>742</v>
      </c>
      <c r="F7" s="566"/>
      <c r="G7" s="566"/>
      <c r="H7" s="566"/>
      <c r="I7" s="566">
        <v>10.878</v>
      </c>
      <c r="J7" s="566">
        <v>16.831</v>
      </c>
      <c r="K7" s="566">
        <v>18.053000000000001</v>
      </c>
      <c r="L7" s="566">
        <v>12.182</v>
      </c>
      <c r="M7" s="566">
        <v>5.9379999999999997</v>
      </c>
      <c r="N7" s="566"/>
      <c r="O7" s="566"/>
    </row>
    <row r="8" spans="1:15">
      <c r="B8" t="s">
        <v>455</v>
      </c>
      <c r="C8" t="s">
        <v>190</v>
      </c>
      <c r="D8" t="s">
        <v>497</v>
      </c>
      <c r="E8" t="s">
        <v>742</v>
      </c>
      <c r="F8" s="566"/>
      <c r="G8" s="566"/>
      <c r="H8" s="566"/>
      <c r="I8" s="566">
        <v>2.1970000000000001</v>
      </c>
      <c r="J8" s="566">
        <v>3.2570000000000001</v>
      </c>
      <c r="K8" s="566">
        <v>2.198</v>
      </c>
      <c r="L8" s="566">
        <v>1.8380000000000001</v>
      </c>
      <c r="M8" s="566">
        <v>2.758</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-1.2336934802411399</v>
      </c>
      <c r="J11" s="566">
        <v>-2.0322837964087701</v>
      </c>
      <c r="K11" s="566">
        <v>2.0103855804304902</v>
      </c>
      <c r="L11" s="566">
        <v>2.0006427750176901</v>
      </c>
      <c r="M11" s="566">
        <v>2.4350749212017302</v>
      </c>
      <c r="N11" s="566"/>
      <c r="O11" s="566"/>
    </row>
    <row r="12" spans="1:15">
      <c r="B12" t="s">
        <v>444</v>
      </c>
      <c r="C12" t="s">
        <v>179</v>
      </c>
      <c r="D12" t="s">
        <v>497</v>
      </c>
      <c r="E12" t="s">
        <v>742</v>
      </c>
      <c r="F12" s="566"/>
      <c r="G12" s="566"/>
      <c r="H12" s="566"/>
      <c r="I12" s="566"/>
      <c r="J12" s="566"/>
      <c r="K12" s="566"/>
      <c r="L12" s="566"/>
      <c r="M12" s="566"/>
      <c r="N12" s="566"/>
      <c r="O12" s="566"/>
    </row>
    <row r="13" spans="1:15">
      <c r="B13" t="s">
        <v>445</v>
      </c>
      <c r="C13" t="s">
        <v>180</v>
      </c>
      <c r="D13" t="s">
        <v>497</v>
      </c>
      <c r="E13" t="s">
        <v>742</v>
      </c>
      <c r="F13" s="566"/>
      <c r="G13" s="566"/>
      <c r="H13" s="566"/>
      <c r="I13" s="566"/>
      <c r="J13" s="566"/>
      <c r="K13" s="566"/>
      <c r="L13" s="566"/>
      <c r="M13" s="566"/>
      <c r="N13" s="566"/>
      <c r="O13" s="566"/>
    </row>
    <row r="14" spans="1:15">
      <c r="B14" t="s">
        <v>446</v>
      </c>
      <c r="C14" t="s">
        <v>124</v>
      </c>
      <c r="D14" t="s">
        <v>497</v>
      </c>
      <c r="E14" t="s">
        <v>742</v>
      </c>
      <c r="F14" s="566"/>
      <c r="G14" s="566"/>
      <c r="H14" s="566"/>
      <c r="I14" s="566"/>
      <c r="J14" s="566"/>
      <c r="K14" s="566"/>
      <c r="L14" s="566"/>
      <c r="M14" s="566"/>
      <c r="N14" s="566"/>
      <c r="O14" s="566"/>
    </row>
    <row r="15" spans="1:15">
      <c r="B15" t="s">
        <v>447</v>
      </c>
      <c r="C15" t="s">
        <v>125</v>
      </c>
      <c r="D15" t="s">
        <v>497</v>
      </c>
      <c r="E15" t="s">
        <v>742</v>
      </c>
      <c r="F15" s="566"/>
      <c r="G15" s="566"/>
      <c r="H15" s="566"/>
      <c r="I15" s="566"/>
      <c r="J15" s="566"/>
      <c r="K15" s="566"/>
      <c r="L15" s="566"/>
      <c r="M15" s="566"/>
      <c r="N15" s="566"/>
      <c r="O15" s="566"/>
    </row>
    <row r="16" spans="1:15">
      <c r="B16" t="s">
        <v>448</v>
      </c>
      <c r="C16" t="s">
        <v>191</v>
      </c>
      <c r="D16" t="s">
        <v>497</v>
      </c>
      <c r="E16" t="s">
        <v>742</v>
      </c>
      <c r="F16" s="566"/>
      <c r="G16" s="566"/>
      <c r="H16" s="566"/>
      <c r="I16" s="566"/>
      <c r="J16" s="566"/>
      <c r="K16" s="566"/>
      <c r="L16" s="566"/>
      <c r="M16" s="566"/>
      <c r="N16" s="566"/>
      <c r="O16" s="566"/>
    </row>
    <row r="17" spans="2:15">
      <c r="B17" t="s">
        <v>449</v>
      </c>
      <c r="C17" t="s">
        <v>222</v>
      </c>
      <c r="D17" t="s">
        <v>497</v>
      </c>
      <c r="E17" t="s">
        <v>742</v>
      </c>
      <c r="F17" s="566"/>
      <c r="G17" s="566"/>
      <c r="H17" s="566"/>
      <c r="I17" s="566"/>
      <c r="J17" s="566"/>
      <c r="K17" s="566"/>
      <c r="L17" s="566"/>
      <c r="M17" s="566"/>
      <c r="N17" s="566"/>
      <c r="O17" s="566"/>
    </row>
    <row r="18" spans="2:15">
      <c r="B18" t="s">
        <v>450</v>
      </c>
      <c r="C18" t="s">
        <v>223</v>
      </c>
      <c r="D18" t="s">
        <v>497</v>
      </c>
      <c r="E18" t="s">
        <v>742</v>
      </c>
      <c r="F18" s="566"/>
      <c r="G18" s="566"/>
      <c r="H18" s="566"/>
      <c r="I18" s="566"/>
      <c r="J18" s="566"/>
      <c r="K18" s="566"/>
      <c r="L18" s="566"/>
      <c r="M18" s="566"/>
      <c r="N18" s="566"/>
      <c r="O18" s="566"/>
    </row>
    <row r="19" spans="2:15">
      <c r="B19" t="s">
        <v>443</v>
      </c>
      <c r="C19" t="s">
        <v>417</v>
      </c>
      <c r="D19" t="s">
        <v>497</v>
      </c>
      <c r="E19" t="s">
        <v>742</v>
      </c>
      <c r="F19" s="566"/>
      <c r="G19" s="566"/>
      <c r="H19" s="566"/>
      <c r="I19" s="566"/>
      <c r="J19" s="566"/>
      <c r="K19" s="566"/>
      <c r="L19" s="566"/>
      <c r="M19" s="566"/>
      <c r="N19" s="566"/>
      <c r="O19" s="566"/>
    </row>
    <row r="20" spans="2:15">
      <c r="B20" t="s">
        <v>528</v>
      </c>
      <c r="C20" t="s">
        <v>511</v>
      </c>
      <c r="D20" t="s">
        <v>497</v>
      </c>
      <c r="E20" t="s">
        <v>742</v>
      </c>
      <c r="F20" s="566">
        <v>10.663</v>
      </c>
      <c r="G20" s="566">
        <v>10.631425351129</v>
      </c>
      <c r="H20" s="566">
        <v>8.2194367298960707</v>
      </c>
      <c r="I20" s="566">
        <v>16.923408944391301</v>
      </c>
      <c r="J20" s="566">
        <v>19.760385971784899</v>
      </c>
      <c r="K20" s="566">
        <v>19.823722925913799</v>
      </c>
      <c r="L20" s="566">
        <v>21.167441797505301</v>
      </c>
      <c r="M20" s="566">
        <v>20.986649173977799</v>
      </c>
      <c r="N20" s="566"/>
      <c r="O20" s="566"/>
    </row>
    <row r="21" spans="2:15">
      <c r="B21" t="s">
        <v>529</v>
      </c>
      <c r="C21" t="s">
        <v>512</v>
      </c>
      <c r="D21" t="s">
        <v>497</v>
      </c>
      <c r="E21" t="s">
        <v>742</v>
      </c>
      <c r="F21" s="566">
        <v>11.788</v>
      </c>
      <c r="G21" s="566">
        <v>8.9551527896329599</v>
      </c>
      <c r="H21" s="566">
        <v>4.9121333832747496</v>
      </c>
      <c r="I21" s="566">
        <v>13.352425777721299</v>
      </c>
      <c r="J21" s="566">
        <v>16.7731250605488</v>
      </c>
      <c r="K21" s="566">
        <v>14.120046151652501</v>
      </c>
      <c r="L21" s="566">
        <v>7.4963418469051302</v>
      </c>
      <c r="M21" s="566">
        <v>5.7951506849097196</v>
      </c>
      <c r="N21" s="566"/>
      <c r="O21" s="566"/>
    </row>
    <row r="22" spans="2:15">
      <c r="B22" t="s">
        <v>1</v>
      </c>
      <c r="C22" t="s">
        <v>513</v>
      </c>
      <c r="D22" t="s">
        <v>497</v>
      </c>
      <c r="E22" t="s">
        <v>742</v>
      </c>
      <c r="F22" s="566">
        <v>5.4558673273142704</v>
      </c>
      <c r="G22" s="566">
        <v>3.0442489584911701</v>
      </c>
      <c r="H22" s="566">
        <v>2.9850620460673598</v>
      </c>
      <c r="I22" s="566">
        <v>8.8255752976846704</v>
      </c>
      <c r="J22" s="566">
        <v>13.465797331332</v>
      </c>
      <c r="K22" s="566">
        <v>6.6768268320489801</v>
      </c>
      <c r="L22" s="566">
        <v>6.9561178457821802</v>
      </c>
      <c r="M22" s="566">
        <v>2.5018963795191</v>
      </c>
      <c r="N22" s="566"/>
      <c r="O22" s="566"/>
    </row>
    <row r="23" spans="2:15">
      <c r="B23" t="s">
        <v>5</v>
      </c>
      <c r="C23" t="s">
        <v>514</v>
      </c>
      <c r="D23" t="s">
        <v>497</v>
      </c>
      <c r="E23" t="s">
        <v>742</v>
      </c>
      <c r="F23" s="566">
        <v>16.722132672685699</v>
      </c>
      <c r="G23" s="566">
        <v>4.2006978871672498</v>
      </c>
      <c r="H23" s="566">
        <v>4.2328060585437797</v>
      </c>
      <c r="I23" s="566">
        <v>8.4580519266306506</v>
      </c>
      <c r="J23" s="566">
        <v>13.8156909705161</v>
      </c>
      <c r="K23" s="566">
        <v>14.1464381782716</v>
      </c>
      <c r="L23" s="566">
        <v>9.87942316127622</v>
      </c>
      <c r="M23" s="566">
        <v>2.5423694084206301</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0</v>
      </c>
      <c r="G26" s="566">
        <v>0</v>
      </c>
      <c r="H26" s="566">
        <v>0</v>
      </c>
      <c r="I26" s="566">
        <v>0</v>
      </c>
      <c r="J26" s="566">
        <v>0</v>
      </c>
      <c r="K26" s="566">
        <v>0</v>
      </c>
      <c r="L26" s="566">
        <v>0</v>
      </c>
      <c r="M26" s="566">
        <v>0</v>
      </c>
      <c r="N26" s="566"/>
      <c r="O26" s="566"/>
    </row>
    <row r="27" spans="2:15">
      <c r="B27" t="s">
        <v>531</v>
      </c>
      <c r="C27" t="s">
        <v>512</v>
      </c>
      <c r="D27" t="s">
        <v>497</v>
      </c>
      <c r="E27" t="s">
        <v>742</v>
      </c>
      <c r="F27" s="566">
        <v>0</v>
      </c>
      <c r="G27" s="566">
        <v>0</v>
      </c>
      <c r="H27" s="566">
        <v>0</v>
      </c>
      <c r="I27" s="566">
        <v>0</v>
      </c>
      <c r="J27" s="566">
        <v>0</v>
      </c>
      <c r="K27" s="566">
        <v>0</v>
      </c>
      <c r="L27" s="566">
        <v>0</v>
      </c>
      <c r="M27" s="566">
        <v>0</v>
      </c>
      <c r="N27" s="566"/>
      <c r="O27" s="566"/>
    </row>
    <row r="28" spans="2:15">
      <c r="B28" t="s">
        <v>6</v>
      </c>
      <c r="C28" t="s">
        <v>516</v>
      </c>
      <c r="D28" t="s">
        <v>497</v>
      </c>
      <c r="E28" t="s">
        <v>742</v>
      </c>
      <c r="F28" s="566">
        <v>0</v>
      </c>
      <c r="G28" s="566">
        <v>0</v>
      </c>
      <c r="H28" s="566">
        <v>0</v>
      </c>
      <c r="I28" s="566">
        <v>0</v>
      </c>
      <c r="J28" s="566">
        <v>0</v>
      </c>
      <c r="K28" s="566">
        <v>0</v>
      </c>
      <c r="L28" s="566">
        <v>0</v>
      </c>
      <c r="M28" s="566">
        <v>0</v>
      </c>
      <c r="N28" s="566"/>
      <c r="O28" s="566"/>
    </row>
    <row r="29" spans="2:15">
      <c r="B29" t="s">
        <v>9</v>
      </c>
      <c r="C29" t="s">
        <v>517</v>
      </c>
      <c r="D29" t="s">
        <v>497</v>
      </c>
      <c r="E29" t="s">
        <v>742</v>
      </c>
      <c r="F29" s="566">
        <v>0</v>
      </c>
      <c r="G29" s="566">
        <v>0</v>
      </c>
      <c r="H29" s="566">
        <v>0</v>
      </c>
      <c r="I29" s="566">
        <v>0</v>
      </c>
      <c r="J29" s="566">
        <v>0</v>
      </c>
      <c r="K29" s="566">
        <v>0</v>
      </c>
      <c r="L29" s="566">
        <v>0</v>
      </c>
      <c r="M29" s="566">
        <v>0</v>
      </c>
      <c r="N29" s="566"/>
      <c r="O29" s="566"/>
    </row>
    <row r="30" spans="2:15">
      <c r="B30" t="s">
        <v>439</v>
      </c>
      <c r="C30" t="s">
        <v>226</v>
      </c>
      <c r="D30" t="s">
        <v>497</v>
      </c>
      <c r="E30" t="s">
        <v>742</v>
      </c>
      <c r="F30" s="566"/>
      <c r="G30" s="566"/>
      <c r="H30" s="566"/>
      <c r="I30" s="566"/>
      <c r="J30" s="566"/>
      <c r="K30" s="566"/>
      <c r="L30" s="566"/>
      <c r="M30" s="566"/>
      <c r="N30" s="566"/>
      <c r="O30" s="566"/>
    </row>
    <row r="31" spans="2:15">
      <c r="B31" t="s">
        <v>440</v>
      </c>
      <c r="C31" t="s">
        <v>227</v>
      </c>
      <c r="D31" t="s">
        <v>497</v>
      </c>
      <c r="E31" t="s">
        <v>742</v>
      </c>
      <c r="F31" s="566"/>
      <c r="G31" s="566"/>
      <c r="H31" s="566"/>
      <c r="I31" s="566"/>
      <c r="J31" s="566"/>
      <c r="K31" s="566"/>
      <c r="L31" s="566"/>
      <c r="M31" s="566"/>
      <c r="N31" s="566"/>
      <c r="O31" s="566"/>
    </row>
    <row r="32" spans="2:15">
      <c r="B32" t="s">
        <v>68</v>
      </c>
      <c r="C32" t="s">
        <v>55</v>
      </c>
      <c r="D32" t="s">
        <v>518</v>
      </c>
      <c r="E32" t="s">
        <v>742</v>
      </c>
      <c r="F32" s="567">
        <v>127.919602677488</v>
      </c>
      <c r="G32" s="567"/>
      <c r="H32" s="567"/>
      <c r="I32" s="567"/>
      <c r="J32" s="567"/>
      <c r="K32" s="567"/>
      <c r="L32" s="567"/>
      <c r="M32" s="567"/>
      <c r="N32" s="567"/>
      <c r="O32" s="567"/>
    </row>
    <row r="33" spans="2:15">
      <c r="B33" t="s">
        <v>69</v>
      </c>
      <c r="C33" t="s">
        <v>55</v>
      </c>
      <c r="D33" t="s">
        <v>518</v>
      </c>
      <c r="E33" t="s">
        <v>742</v>
      </c>
      <c r="F33" s="567"/>
      <c r="G33" s="567"/>
      <c r="H33" s="567"/>
      <c r="I33" s="567"/>
      <c r="J33" s="567"/>
      <c r="K33" s="567"/>
      <c r="L33" s="567"/>
      <c r="M33" s="567"/>
      <c r="N33" s="567"/>
      <c r="O33" s="567"/>
    </row>
    <row r="34" spans="2:15">
      <c r="B34" t="s">
        <v>210</v>
      </c>
      <c r="C34" t="s">
        <v>519</v>
      </c>
      <c r="D34" t="s">
        <v>497</v>
      </c>
      <c r="E34" t="s">
        <v>742</v>
      </c>
      <c r="F34" s="566"/>
      <c r="G34" s="566"/>
      <c r="H34" s="566"/>
      <c r="I34" s="566">
        <v>-1.7254566772867099</v>
      </c>
      <c r="J34" s="566">
        <v>-1.7254566772867099</v>
      </c>
      <c r="K34" s="566">
        <v>-1.7254566772867099</v>
      </c>
      <c r="L34" s="566">
        <v>-1.7254566772867099</v>
      </c>
      <c r="M34" s="566">
        <v>-1.7254566772867099</v>
      </c>
      <c r="N34" s="566"/>
      <c r="O34" s="566"/>
    </row>
    <row r="35" spans="2:15">
      <c r="B35" t="s">
        <v>211</v>
      </c>
      <c r="C35" t="s">
        <v>520</v>
      </c>
      <c r="D35" t="s">
        <v>497</v>
      </c>
      <c r="E35" t="s">
        <v>742</v>
      </c>
      <c r="F35" s="566"/>
      <c r="G35" s="566"/>
      <c r="H35" s="566"/>
      <c r="I35" s="566"/>
      <c r="J35" s="566"/>
      <c r="K35" s="566"/>
      <c r="L35" s="566"/>
      <c r="M35" s="566"/>
      <c r="N35" s="566"/>
      <c r="O35" s="566"/>
    </row>
    <row r="36" spans="2:15">
      <c r="B36" t="s">
        <v>66</v>
      </c>
      <c r="C36" t="s">
        <v>196</v>
      </c>
      <c r="D36" t="s">
        <v>497</v>
      </c>
      <c r="E36" t="s">
        <v>742</v>
      </c>
      <c r="F36" s="566">
        <v>273.410063875341</v>
      </c>
      <c r="G36" s="566">
        <v>264.839478149679</v>
      </c>
      <c r="H36" s="566">
        <v>264.22376567687598</v>
      </c>
      <c r="I36" s="566">
        <v>277.99080734748799</v>
      </c>
      <c r="J36" s="566">
        <v>306.874526251193</v>
      </c>
      <c r="K36" s="566">
        <v>326.25828972856698</v>
      </c>
      <c r="L36" s="566">
        <v>336.70611012907</v>
      </c>
      <c r="M36" s="566">
        <v>334.03593667583601</v>
      </c>
      <c r="N36" s="566"/>
      <c r="O36" s="566"/>
    </row>
    <row r="37" spans="2:15">
      <c r="B37" t="s">
        <v>67</v>
      </c>
      <c r="C37" t="s">
        <v>197</v>
      </c>
      <c r="D37" t="s">
        <v>497</v>
      </c>
      <c r="E37" t="s">
        <v>742</v>
      </c>
      <c r="F37" s="566">
        <v>0</v>
      </c>
      <c r="G37" s="566">
        <v>0</v>
      </c>
      <c r="H37" s="566">
        <v>0</v>
      </c>
      <c r="I37" s="566">
        <v>0</v>
      </c>
      <c r="J37" s="566">
        <v>0</v>
      </c>
      <c r="K37" s="566">
        <v>0</v>
      </c>
      <c r="L37" s="566">
        <v>0</v>
      </c>
      <c r="M37" s="566">
        <v>0</v>
      </c>
      <c r="N37" s="566"/>
      <c r="O37" s="566"/>
    </row>
    <row r="38" spans="2:15">
      <c r="B38" t="s">
        <v>243</v>
      </c>
      <c r="C38" t="s">
        <v>521</v>
      </c>
      <c r="D38" t="s">
        <v>522</v>
      </c>
      <c r="E38" t="s">
        <v>742</v>
      </c>
      <c r="F38" s="568">
        <v>6.5000000000000002E-2</v>
      </c>
      <c r="G38" s="568">
        <v>5.5E-2</v>
      </c>
      <c r="H38" s="568">
        <v>5.5E-2</v>
      </c>
      <c r="I38" s="568">
        <v>4.8500000000000001E-2</v>
      </c>
      <c r="J38" s="568">
        <v>4.8500000000000001E-2</v>
      </c>
      <c r="K38" s="568">
        <v>4.8500000000000001E-2</v>
      </c>
      <c r="L38" s="568">
        <v>4.8500000000000001E-2</v>
      </c>
      <c r="M38" s="568">
        <v>4.8500000000000001E-2</v>
      </c>
      <c r="N38" s="568">
        <v>4.8500000000000001E-2</v>
      </c>
      <c r="O38" s="568"/>
    </row>
    <row r="39" spans="2:15">
      <c r="B39" t="s">
        <v>533</v>
      </c>
      <c r="C39" t="s">
        <v>504</v>
      </c>
      <c r="D39" t="s">
        <v>499</v>
      </c>
      <c r="E39" t="s">
        <v>742</v>
      </c>
      <c r="F39" s="570"/>
      <c r="G39" s="570"/>
      <c r="H39" s="570"/>
      <c r="I39" s="570"/>
      <c r="J39" s="570"/>
      <c r="K39" s="570"/>
      <c r="L39" s="570"/>
      <c r="M39" s="570"/>
      <c r="N39" s="570">
        <v>5.9700000000000003E-2</v>
      </c>
      <c r="O39" s="570"/>
    </row>
    <row r="40" spans="2:15">
      <c r="B40" t="s">
        <v>424</v>
      </c>
      <c r="C40" t="s">
        <v>8</v>
      </c>
      <c r="D40" t="s">
        <v>497</v>
      </c>
      <c r="E40" t="s">
        <v>742</v>
      </c>
      <c r="F40" s="566"/>
      <c r="G40" s="566"/>
      <c r="H40" s="566"/>
      <c r="I40" s="566">
        <v>9.8149999999999995</v>
      </c>
      <c r="J40" s="566">
        <v>23.376000000000001</v>
      </c>
      <c r="K40" s="566">
        <v>36.125999999999998</v>
      </c>
      <c r="L40" s="566">
        <v>33.591000000000001</v>
      </c>
      <c r="M40" s="566">
        <v>26.256</v>
      </c>
      <c r="N40" s="566"/>
      <c r="O40" s="566"/>
    </row>
    <row r="41" spans="2:15">
      <c r="B41" t="s">
        <v>425</v>
      </c>
      <c r="C41" t="s">
        <v>65</v>
      </c>
      <c r="D41" t="s">
        <v>497</v>
      </c>
      <c r="E41" t="s">
        <v>742</v>
      </c>
      <c r="F41" s="566"/>
      <c r="G41" s="566"/>
      <c r="H41" s="566"/>
      <c r="I41" s="566">
        <v>5.399</v>
      </c>
      <c r="J41" s="566">
        <v>14.273</v>
      </c>
      <c r="K41" s="566">
        <v>19.132000000000001</v>
      </c>
      <c r="L41" s="566">
        <v>18.521000000000001</v>
      </c>
      <c r="M41" s="566">
        <v>18.385000000000002</v>
      </c>
      <c r="N41" s="566"/>
      <c r="O41" s="566"/>
    </row>
    <row r="42" spans="2:15">
      <c r="B42" t="s">
        <v>426</v>
      </c>
      <c r="C42" t="s">
        <v>382</v>
      </c>
      <c r="D42" t="s">
        <v>497</v>
      </c>
      <c r="E42" t="s">
        <v>742</v>
      </c>
      <c r="F42" s="566"/>
      <c r="G42" s="566"/>
      <c r="H42" s="566"/>
      <c r="I42" s="566">
        <v>0.57299999999999995</v>
      </c>
      <c r="J42" s="566">
        <v>8.4570000000000007</v>
      </c>
      <c r="K42" s="566">
        <v>14.913</v>
      </c>
      <c r="L42" s="566">
        <v>5.1319999999999997</v>
      </c>
      <c r="M42" s="566">
        <v>-0.248</v>
      </c>
      <c r="N42" s="566"/>
      <c r="O42" s="566"/>
    </row>
    <row r="43" spans="2:15">
      <c r="B43" t="s">
        <v>427</v>
      </c>
      <c r="C43" t="s">
        <v>383</v>
      </c>
      <c r="D43" t="s">
        <v>497</v>
      </c>
      <c r="E43" t="s">
        <v>742</v>
      </c>
      <c r="F43" s="566"/>
      <c r="G43" s="566"/>
      <c r="H43" s="566"/>
      <c r="I43" s="566">
        <v>4.2670000000000003</v>
      </c>
      <c r="J43" s="566">
        <v>10.212999999999999</v>
      </c>
      <c r="K43" s="566">
        <v>14.378</v>
      </c>
      <c r="L43" s="566">
        <v>14.766</v>
      </c>
      <c r="M43" s="566">
        <v>8.5960000000000001</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c r="J46" s="566"/>
      <c r="K46" s="566"/>
      <c r="L46" s="566"/>
      <c r="M46" s="566"/>
      <c r="N46" s="566"/>
      <c r="O46" s="566"/>
    </row>
    <row r="47" spans="2:15">
      <c r="B47" t="s">
        <v>431</v>
      </c>
      <c r="C47" t="s">
        <v>64</v>
      </c>
      <c r="D47" t="s">
        <v>497</v>
      </c>
      <c r="E47" t="s">
        <v>742</v>
      </c>
      <c r="F47" s="566"/>
      <c r="G47" s="566"/>
      <c r="H47" s="566"/>
      <c r="I47" s="566"/>
      <c r="J47" s="566"/>
      <c r="K47" s="566"/>
      <c r="L47" s="566"/>
      <c r="M47" s="566"/>
      <c r="N47" s="566"/>
      <c r="O47" s="566"/>
    </row>
    <row r="48" spans="2:15">
      <c r="B48" t="s">
        <v>432</v>
      </c>
      <c r="C48" t="s">
        <v>384</v>
      </c>
      <c r="D48" t="s">
        <v>497</v>
      </c>
      <c r="E48" t="s">
        <v>742</v>
      </c>
      <c r="F48" s="566"/>
      <c r="G48" s="566"/>
      <c r="H48" s="566"/>
      <c r="I48" s="566"/>
      <c r="J48" s="566"/>
      <c r="K48" s="566"/>
      <c r="L48" s="566"/>
      <c r="M48" s="566"/>
      <c r="N48" s="566"/>
      <c r="O48" s="566"/>
    </row>
    <row r="49" spans="2:15">
      <c r="B49" t="s">
        <v>433</v>
      </c>
      <c r="C49" t="s">
        <v>385</v>
      </c>
      <c r="D49" t="s">
        <v>497</v>
      </c>
      <c r="E49" t="s">
        <v>742</v>
      </c>
      <c r="F49" s="566"/>
      <c r="G49" s="566"/>
      <c r="H49" s="566"/>
      <c r="I49" s="566"/>
      <c r="J49" s="566"/>
      <c r="K49" s="566"/>
      <c r="L49" s="566"/>
      <c r="M49" s="566"/>
      <c r="N49" s="566"/>
      <c r="O49" s="566"/>
    </row>
    <row r="50" spans="2:15">
      <c r="B50" t="s">
        <v>434</v>
      </c>
      <c r="C50" t="s">
        <v>232</v>
      </c>
      <c r="D50" t="s">
        <v>497</v>
      </c>
      <c r="E50" t="s">
        <v>742</v>
      </c>
      <c r="F50" s="566"/>
      <c r="G50" s="566"/>
      <c r="H50" s="566"/>
      <c r="I50" s="566"/>
      <c r="J50" s="566"/>
      <c r="K50" s="566"/>
      <c r="L50" s="566"/>
      <c r="M50" s="566"/>
      <c r="N50" s="566"/>
      <c r="O50" s="566"/>
    </row>
    <row r="51" spans="2:15">
      <c r="B51" t="s">
        <v>435</v>
      </c>
      <c r="C51" t="s">
        <v>233</v>
      </c>
      <c r="D51" t="s">
        <v>497</v>
      </c>
      <c r="E51" t="s">
        <v>742</v>
      </c>
      <c r="F51" s="566"/>
      <c r="G51" s="566"/>
      <c r="H51" s="566"/>
      <c r="I51" s="566"/>
      <c r="J51" s="566"/>
      <c r="K51" s="566"/>
      <c r="L51" s="566"/>
      <c r="M51" s="566"/>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v>
      </c>
      <c r="J54" s="566">
        <v>0</v>
      </c>
      <c r="K54" s="566">
        <v>0</v>
      </c>
      <c r="L54" s="566">
        <v>0</v>
      </c>
      <c r="M54" s="566">
        <v>0</v>
      </c>
      <c r="N54" s="566"/>
      <c r="O54" s="566"/>
    </row>
    <row r="55" spans="2:15">
      <c r="B55" t="s">
        <v>477</v>
      </c>
      <c r="C55" t="s">
        <v>252</v>
      </c>
      <c r="D55" t="s">
        <v>497</v>
      </c>
      <c r="E55" t="s">
        <v>742</v>
      </c>
      <c r="F55" s="566"/>
      <c r="G55" s="566"/>
      <c r="H55" s="566">
        <v>0</v>
      </c>
      <c r="I55" s="566">
        <v>0</v>
      </c>
      <c r="J55" s="566">
        <v>0</v>
      </c>
      <c r="K55" s="566">
        <v>0</v>
      </c>
      <c r="L55" s="566">
        <v>0</v>
      </c>
      <c r="M55" s="566">
        <v>0</v>
      </c>
      <c r="N55" s="566"/>
      <c r="O55" s="566"/>
    </row>
    <row r="56" spans="2:15">
      <c r="B56" t="s">
        <v>478</v>
      </c>
      <c r="C56" t="s">
        <v>200</v>
      </c>
      <c r="D56" t="s">
        <v>497</v>
      </c>
      <c r="E56" t="s">
        <v>742</v>
      </c>
      <c r="F56" s="566"/>
      <c r="G56" s="566"/>
      <c r="H56" s="566">
        <v>0</v>
      </c>
      <c r="I56" s="566">
        <v>0</v>
      </c>
      <c r="J56" s="566">
        <v>0</v>
      </c>
      <c r="K56" s="566">
        <v>0</v>
      </c>
      <c r="L56" s="566">
        <v>0</v>
      </c>
      <c r="M56" s="566">
        <v>0</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0</v>
      </c>
      <c r="I59" s="566">
        <v>0</v>
      </c>
      <c r="J59" s="566">
        <v>0</v>
      </c>
      <c r="K59" s="566">
        <v>0</v>
      </c>
      <c r="L59" s="566">
        <v>0</v>
      </c>
      <c r="M59" s="566">
        <v>0</v>
      </c>
      <c r="N59" s="566"/>
      <c r="O59" s="566"/>
    </row>
    <row r="60" spans="2:15">
      <c r="B60" t="s">
        <v>480</v>
      </c>
      <c r="C60" t="s">
        <v>254</v>
      </c>
      <c r="D60" t="s">
        <v>497</v>
      </c>
      <c r="E60" t="s">
        <v>742</v>
      </c>
      <c r="F60" s="566"/>
      <c r="G60" s="566"/>
      <c r="H60" s="566">
        <v>0</v>
      </c>
      <c r="I60" s="566">
        <v>0</v>
      </c>
      <c r="J60" s="566">
        <v>0</v>
      </c>
      <c r="K60" s="566">
        <v>0</v>
      </c>
      <c r="L60" s="566">
        <v>0</v>
      </c>
      <c r="M60" s="566">
        <v>0</v>
      </c>
      <c r="N60" s="566"/>
      <c r="O60" s="566"/>
    </row>
    <row r="61" spans="2:15">
      <c r="B61" t="s">
        <v>481</v>
      </c>
      <c r="C61" t="s">
        <v>201</v>
      </c>
      <c r="D61" t="s">
        <v>497</v>
      </c>
      <c r="E61" t="s">
        <v>742</v>
      </c>
      <c r="F61" s="566"/>
      <c r="G61" s="566"/>
      <c r="H61" s="566">
        <v>0</v>
      </c>
      <c r="I61" s="566">
        <v>0</v>
      </c>
      <c r="J61" s="566">
        <v>0</v>
      </c>
      <c r="K61" s="566">
        <v>0</v>
      </c>
      <c r="L61" s="566">
        <v>0</v>
      </c>
      <c r="M61" s="566">
        <v>0</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258.20287999999999</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113.575</v>
      </c>
      <c r="L64" s="569">
        <v>117.095825</v>
      </c>
      <c r="M64" s="569">
        <v>120.72579557500001</v>
      </c>
      <c r="N64" s="569"/>
      <c r="O64" s="569"/>
    </row>
    <row r="65" spans="2:15">
      <c r="B65" t="s">
        <v>534</v>
      </c>
      <c r="C65" t="s">
        <v>559</v>
      </c>
      <c r="D65" t="s">
        <v>522</v>
      </c>
      <c r="E65" t="s">
        <v>742</v>
      </c>
      <c r="F65" s="568"/>
      <c r="G65" s="568"/>
      <c r="H65" s="568"/>
      <c r="I65" s="568"/>
      <c r="J65" s="568"/>
      <c r="K65" s="568"/>
      <c r="L65" s="568">
        <v>3.1E-2</v>
      </c>
      <c r="M65" s="568">
        <v>3.1E-2</v>
      </c>
      <c r="N65" s="568"/>
      <c r="O65" s="568"/>
    </row>
    <row r="66" spans="2:15">
      <c r="B66" t="s">
        <v>89</v>
      </c>
      <c r="C66" t="s">
        <v>91</v>
      </c>
      <c r="D66" t="s">
        <v>518</v>
      </c>
      <c r="E66" t="s">
        <v>742</v>
      </c>
      <c r="F66" s="569">
        <v>208.59166666666599</v>
      </c>
      <c r="G66" s="569">
        <v>214.78333333333299</v>
      </c>
      <c r="H66" s="569">
        <v>215.766666666666</v>
      </c>
      <c r="I66" s="569">
        <v>222.45543333333299</v>
      </c>
      <c r="J66" s="569">
        <v>228.461730033333</v>
      </c>
      <c r="K66" s="569">
        <v>235.087120204299</v>
      </c>
      <c r="L66" s="569">
        <v>242.37482093063301</v>
      </c>
      <c r="M66" s="569">
        <v>249.16131591669</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-2.1499999999999998E-2</v>
      </c>
      <c r="H68" s="568">
        <v>-5.8999999999999997E-2</v>
      </c>
      <c r="I68" s="568">
        <v>3.85E-2</v>
      </c>
      <c r="J68" s="568">
        <v>3.4500000000000003E-2</v>
      </c>
      <c r="K68" s="568">
        <v>3.6499999999999998E-2</v>
      </c>
      <c r="L68" s="568">
        <v>3.85E-2</v>
      </c>
      <c r="M68" s="568">
        <v>3.5499999999999997E-2</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1</v>
      </c>
      <c r="O88" s="567"/>
    </row>
    <row r="89" spans="2:15">
      <c r="B89" t="s">
        <v>167</v>
      </c>
      <c r="C89" t="s">
        <v>527</v>
      </c>
      <c r="D89" t="s">
        <v>518</v>
      </c>
      <c r="E89" t="s">
        <v>742</v>
      </c>
      <c r="F89" s="567"/>
      <c r="G89" s="567"/>
      <c r="H89" s="567"/>
      <c r="I89" s="567"/>
      <c r="J89" s="567"/>
      <c r="K89" s="567"/>
      <c r="L89" s="567"/>
      <c r="M89" s="567"/>
      <c r="N89" s="567">
        <v>0</v>
      </c>
      <c r="O89" s="567"/>
    </row>
    <row r="90" spans="2:15">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21.591000000000001</v>
      </c>
      <c r="K10" s="221">
        <f>INDEX('F_Inputs FD'!$B$4:$O$90,MATCH($C10,'F_Inputs FD'!$B$4:$B$90,0),MATCH(K$2,'F_Inputs FD'!$B$2:$N$2,0))</f>
        <v>25.234000000000002</v>
      </c>
      <c r="L10" s="221">
        <f>INDEX('F_Inputs FD'!$B$4:$O$90,MATCH($C10,'F_Inputs FD'!$B$4:$B$90,0),MATCH(L$2,'F_Inputs FD'!$B$2:$N$2,0))</f>
        <v>25.286999999999999</v>
      </c>
      <c r="M10" s="221">
        <f>INDEX('F_Inputs FD'!$B$4:$O$90,MATCH($C10,'F_Inputs FD'!$B$4:$B$90,0),MATCH(M$2,'F_Inputs FD'!$B$2:$N$2,0))</f>
        <v>27.077000000000002</v>
      </c>
      <c r="N10" s="395">
        <f>INDEX('F_Inputs FD'!$B$4:$O$90,MATCH($C10,'F_Inputs FD'!$B$4:$B$90,0),MATCH(N$2,'F_Inputs FD'!$B$2:$N$2,0))</f>
        <v>26.503</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14.125999999999999</v>
      </c>
      <c r="K11" s="221">
        <f>INDEX('F_Inputs FD'!$B$4:$O$90,MATCH($C11,'F_Inputs FD'!$B$4:$B$90,0),MATCH(K$2,'F_Inputs FD'!$B$2:$N$2,0))</f>
        <v>17.931000000000001</v>
      </c>
      <c r="L11" s="221">
        <f>INDEX('F_Inputs FD'!$B$4:$O$90,MATCH($C11,'F_Inputs FD'!$B$4:$B$90,0),MATCH(L$2,'F_Inputs FD'!$B$2:$N$2,0))</f>
        <v>15.067</v>
      </c>
      <c r="M11" s="221">
        <f>INDEX('F_Inputs FD'!$B$4:$O$90,MATCH($C11,'F_Inputs FD'!$B$4:$B$90,0),MATCH(M$2,'F_Inputs FD'!$B$2:$N$2,0))</f>
        <v>7.7969999999999997</v>
      </c>
      <c r="N11" s="395">
        <f>INDEX('F_Inputs FD'!$B$4:$O$90,MATCH($C11,'F_Inputs FD'!$B$4:$B$90,0),MATCH(N$2,'F_Inputs FD'!$B$2:$N$2,0))</f>
        <v>5.9359999999999999</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10.823</v>
      </c>
      <c r="K12" s="221">
        <f>INDEX('F_Inputs FD'!$B$4:$O$90,MATCH($C12,'F_Inputs FD'!$B$4:$B$90,0),MATCH(K$2,'F_Inputs FD'!$B$2:$N$2,0))</f>
        <v>17.779</v>
      </c>
      <c r="L12" s="221">
        <f>INDEX('F_Inputs FD'!$B$4:$O$90,MATCH($C12,'F_Inputs FD'!$B$4:$B$90,0),MATCH(L$2,'F_Inputs FD'!$B$2:$N$2,0))</f>
        <v>11.446999999999999</v>
      </c>
      <c r="M12" s="221">
        <f>INDEX('F_Inputs FD'!$B$4:$O$90,MATCH($C12,'F_Inputs FD'!$B$4:$B$90,0),MATCH(M$2,'F_Inputs FD'!$B$2:$N$2,0))</f>
        <v>14.250999999999999</v>
      </c>
      <c r="N12" s="395">
        <f>INDEX('F_Inputs FD'!$B$4:$O$90,MATCH($C12,'F_Inputs FD'!$B$4:$B$90,0),MATCH(N$2,'F_Inputs FD'!$B$2:$N$2,0))</f>
        <v>22.138999999999999</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10.878</v>
      </c>
      <c r="K13" s="221">
        <f>INDEX('F_Inputs FD'!$B$4:$O$90,MATCH($C13,'F_Inputs FD'!$B$4:$B$90,0),MATCH(K$2,'F_Inputs FD'!$B$2:$N$2,0))</f>
        <v>16.831</v>
      </c>
      <c r="L13" s="221">
        <f>INDEX('F_Inputs FD'!$B$4:$O$90,MATCH($C13,'F_Inputs FD'!$B$4:$B$90,0),MATCH(L$2,'F_Inputs FD'!$B$2:$N$2,0))</f>
        <v>18.053000000000001</v>
      </c>
      <c r="M13" s="221">
        <f>INDEX('F_Inputs FD'!$B$4:$O$90,MATCH($C13,'F_Inputs FD'!$B$4:$B$90,0),MATCH(M$2,'F_Inputs FD'!$B$2:$N$2,0))</f>
        <v>12.182</v>
      </c>
      <c r="N13" s="395">
        <f>INDEX('F_Inputs FD'!$B$4:$O$90,MATCH($C13,'F_Inputs FD'!$B$4:$B$90,0),MATCH(N$2,'F_Inputs FD'!$B$2:$N$2,0))</f>
        <v>5.9379999999999997</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2.1970000000000001</v>
      </c>
      <c r="K14" s="221">
        <f>INDEX('F_Inputs FD'!$B$4:$O$90,MATCH($C14,'F_Inputs FD'!$B$4:$B$90,0),MATCH(K$2,'F_Inputs FD'!$B$2:$N$2,0))</f>
        <v>3.2570000000000001</v>
      </c>
      <c r="L14" s="221">
        <f>INDEX('F_Inputs FD'!$B$4:$O$90,MATCH($C14,'F_Inputs FD'!$B$4:$B$90,0),MATCH(L$2,'F_Inputs FD'!$B$2:$N$2,0))</f>
        <v>2.198</v>
      </c>
      <c r="M14" s="221">
        <f>INDEX('F_Inputs FD'!$B$4:$O$90,MATCH($C14,'F_Inputs FD'!$B$4:$B$90,0),MATCH(M$2,'F_Inputs FD'!$B$2:$N$2,0))</f>
        <v>1.8380000000000001</v>
      </c>
      <c r="N14" s="395">
        <f>INDEX('F_Inputs FD'!$B$4:$O$90,MATCH($C14,'F_Inputs FD'!$B$4:$B$90,0),MATCH(N$2,'F_Inputs FD'!$B$2:$N$2,0))</f>
        <v>2.758</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-1.2336934802411399</v>
      </c>
      <c r="K17" s="221">
        <f>INDEX('F_Inputs FD'!$B$4:$O$90,MATCH($C17,'F_Inputs FD'!$B$4:$B$90,0),MATCH(K$2,'F_Inputs FD'!$B$2:$N$2,0))</f>
        <v>-2.0322837964087701</v>
      </c>
      <c r="L17" s="221">
        <f>INDEX('F_Inputs FD'!$B$4:$O$90,MATCH($C17,'F_Inputs FD'!$B$4:$B$90,0),MATCH(L$2,'F_Inputs FD'!$B$2:$N$2,0))</f>
        <v>2.0103855804304902</v>
      </c>
      <c r="M17" s="221">
        <f>INDEX('F_Inputs FD'!$B$4:$O$90,MATCH($C17,'F_Inputs FD'!$B$4:$B$90,0),MATCH(M$2,'F_Inputs FD'!$B$2:$N$2,0))</f>
        <v>2.0006427750176901</v>
      </c>
      <c r="N17" s="395">
        <f>INDEX('F_Inputs FD'!$B$4:$O$90,MATCH($C17,'F_Inputs FD'!$B$4:$B$90,0),MATCH(N$2,'F_Inputs FD'!$B$2:$N$2,0))</f>
        <v>2.4350749212017302</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0</v>
      </c>
      <c r="K19" s="221">
        <f>INDEX('F_Inputs FD'!$B$4:$O$90,MATCH($C19,'F_Inputs FD'!$B$4:$B$90,0),MATCH(K$2,'F_Inputs FD'!$B$2:$N$2,0))</f>
        <v>0</v>
      </c>
      <c r="L19" s="221">
        <f>INDEX('F_Inputs FD'!$B$4:$O$90,MATCH($C19,'F_Inputs FD'!$B$4:$B$90,0),MATCH(L$2,'F_Inputs FD'!$B$2:$N$2,0))</f>
        <v>0</v>
      </c>
      <c r="M19" s="221">
        <f>INDEX('F_Inputs FD'!$B$4:$O$90,MATCH($C19,'F_Inputs FD'!$B$4:$B$90,0),MATCH(M$2,'F_Inputs FD'!$B$2:$N$2,0))</f>
        <v>0</v>
      </c>
      <c r="N19" s="395">
        <f>INDEX('F_Inputs FD'!$B$4:$O$90,MATCH($C19,'F_Inputs FD'!$B$4:$B$90,0),MATCH(N$2,'F_Inputs FD'!$B$2:$N$2,0))</f>
        <v>0</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0</v>
      </c>
      <c r="K20" s="221">
        <f>INDEX('F_Inputs FD'!$B$4:$O$90,MATCH($C20,'F_Inputs FD'!$B$4:$B$90,0),MATCH(K$2,'F_Inputs FD'!$B$2:$N$2,0))</f>
        <v>0</v>
      </c>
      <c r="L20" s="221">
        <f>INDEX('F_Inputs FD'!$B$4:$O$90,MATCH($C20,'F_Inputs FD'!$B$4:$B$90,0),MATCH(L$2,'F_Inputs FD'!$B$2:$N$2,0))</f>
        <v>0</v>
      </c>
      <c r="M20" s="221">
        <f>INDEX('F_Inputs FD'!$B$4:$O$90,MATCH($C20,'F_Inputs FD'!$B$4:$B$90,0),MATCH(M$2,'F_Inputs FD'!$B$2:$N$2,0))</f>
        <v>0</v>
      </c>
      <c r="N20" s="395">
        <f>INDEX('F_Inputs FD'!$B$4:$O$90,MATCH($C20,'F_Inputs FD'!$B$4:$B$90,0),MATCH(N$2,'F_Inputs FD'!$B$2:$N$2,0))</f>
        <v>0</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0</v>
      </c>
      <c r="K21" s="221">
        <f>INDEX('F_Inputs FD'!$B$4:$O$90,MATCH($C21,'F_Inputs FD'!$B$4:$B$90,0),MATCH(K$2,'F_Inputs FD'!$B$2:$N$2,0))</f>
        <v>0</v>
      </c>
      <c r="L21" s="221">
        <f>INDEX('F_Inputs FD'!$B$4:$O$90,MATCH($C21,'F_Inputs FD'!$B$4:$B$90,0),MATCH(L$2,'F_Inputs FD'!$B$2:$N$2,0))</f>
        <v>0</v>
      </c>
      <c r="M21" s="221">
        <f>INDEX('F_Inputs FD'!$B$4:$O$90,MATCH($C21,'F_Inputs FD'!$B$4:$B$90,0),MATCH(M$2,'F_Inputs FD'!$B$2:$N$2,0))</f>
        <v>0</v>
      </c>
      <c r="N21" s="395">
        <f>INDEX('F_Inputs FD'!$B$4:$O$90,MATCH($C21,'F_Inputs FD'!$B$4:$B$90,0),MATCH(N$2,'F_Inputs FD'!$B$2:$N$2,0))</f>
        <v>0</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0</v>
      </c>
      <c r="K22" s="221">
        <f>INDEX('F_Inputs FD'!$B$4:$O$90,MATCH($C22,'F_Inputs FD'!$B$4:$B$90,0),MATCH(K$2,'F_Inputs FD'!$B$2:$N$2,0))</f>
        <v>0</v>
      </c>
      <c r="L22" s="221">
        <f>INDEX('F_Inputs FD'!$B$4:$O$90,MATCH($C22,'F_Inputs FD'!$B$4:$B$90,0),MATCH(L$2,'F_Inputs FD'!$B$2:$N$2,0))</f>
        <v>0</v>
      </c>
      <c r="M22" s="221">
        <f>INDEX('F_Inputs FD'!$B$4:$O$90,MATCH($C22,'F_Inputs FD'!$B$4:$B$90,0),MATCH(M$2,'F_Inputs FD'!$B$2:$N$2,0))</f>
        <v>0</v>
      </c>
      <c r="N22" s="395">
        <f>INDEX('F_Inputs FD'!$B$4:$O$90,MATCH($C22,'F_Inputs FD'!$B$4:$B$90,0),MATCH(N$2,'F_Inputs FD'!$B$2:$N$2,0))</f>
        <v>0</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0</v>
      </c>
      <c r="K23" s="221">
        <f>INDEX('F_Inputs FD'!$B$4:$O$90,MATCH($C23,'F_Inputs FD'!$B$4:$B$90,0),MATCH(K$2,'F_Inputs FD'!$B$2:$N$2,0))</f>
        <v>0</v>
      </c>
      <c r="L23" s="221">
        <f>INDEX('F_Inputs FD'!$B$4:$O$90,MATCH($C23,'F_Inputs FD'!$B$4:$B$90,0),MATCH(L$2,'F_Inputs FD'!$B$2:$N$2,0))</f>
        <v>0</v>
      </c>
      <c r="M23" s="221">
        <f>INDEX('F_Inputs FD'!$B$4:$O$90,MATCH($C23,'F_Inputs FD'!$B$4:$B$90,0),MATCH(M$2,'F_Inputs FD'!$B$2:$N$2,0))</f>
        <v>0</v>
      </c>
      <c r="N23" s="395">
        <f>INDEX('F_Inputs FD'!$B$4:$O$90,MATCH($C23,'F_Inputs FD'!$B$4:$B$90,0),MATCH(N$2,'F_Inputs FD'!$B$2:$N$2,0))</f>
        <v>0</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0</v>
      </c>
      <c r="K24" s="221">
        <f>INDEX('F_Inputs FD'!$B$4:$O$90,MATCH($C24,'F_Inputs FD'!$B$4:$B$90,0),MATCH(K$2,'F_Inputs FD'!$B$2:$N$2,0))</f>
        <v>0</v>
      </c>
      <c r="L24" s="221">
        <f>INDEX('F_Inputs FD'!$B$4:$O$90,MATCH($C24,'F_Inputs FD'!$B$4:$B$90,0),MATCH(L$2,'F_Inputs FD'!$B$2:$N$2,0))</f>
        <v>0</v>
      </c>
      <c r="M24" s="221">
        <f>INDEX('F_Inputs FD'!$B$4:$O$90,MATCH($C24,'F_Inputs FD'!$B$4:$B$90,0),MATCH(M$2,'F_Inputs FD'!$B$2:$N$2,0))</f>
        <v>0</v>
      </c>
      <c r="N24" s="395">
        <f>INDEX('F_Inputs FD'!$B$4:$O$90,MATCH($C24,'F_Inputs FD'!$B$4:$B$90,0),MATCH(N$2,'F_Inputs FD'!$B$2:$N$2,0))</f>
        <v>0</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0</v>
      </c>
      <c r="K25" s="221">
        <f>INDEX('F_Inputs FD'!$B$4:$O$90,MATCH($C25,'F_Inputs FD'!$B$4:$B$90,0),MATCH(K$2,'F_Inputs FD'!$B$2:$N$2,0))</f>
        <v>0</v>
      </c>
      <c r="L25" s="221">
        <f>INDEX('F_Inputs FD'!$B$4:$O$90,MATCH($C25,'F_Inputs FD'!$B$4:$B$90,0),MATCH(L$2,'F_Inputs FD'!$B$2:$N$2,0))</f>
        <v>0</v>
      </c>
      <c r="M25" s="221">
        <f>INDEX('F_Inputs FD'!$B$4:$O$90,MATCH($C25,'F_Inputs FD'!$B$4:$B$90,0),MATCH(M$2,'F_Inputs FD'!$B$2:$N$2,0))</f>
        <v>0</v>
      </c>
      <c r="N25" s="395">
        <f>INDEX('F_Inputs FD'!$B$4:$O$90,MATCH($C25,'F_Inputs FD'!$B$4:$B$90,0),MATCH(N$2,'F_Inputs FD'!$B$2:$N$2,0))</f>
        <v>0</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16.923408944391301</v>
      </c>
      <c r="K30" s="221">
        <f>INDEX('F_Inputs FD'!$B$4:$O$90,MATCH($C30,'F_Inputs FD'!$B$4:$B$90,0),MATCH(K$2,'F_Inputs FD'!$B$2:$N$2,0))</f>
        <v>19.760385971784899</v>
      </c>
      <c r="L30" s="221">
        <f>INDEX('F_Inputs FD'!$B$4:$O$90,MATCH($C30,'F_Inputs FD'!$B$4:$B$90,0),MATCH(L$2,'F_Inputs FD'!$B$2:$N$2,0))</f>
        <v>19.823722925913799</v>
      </c>
      <c r="M30" s="221">
        <f>INDEX('F_Inputs FD'!$B$4:$O$90,MATCH($C30,'F_Inputs FD'!$B$4:$B$90,0),MATCH(M$2,'F_Inputs FD'!$B$2:$N$2,0))</f>
        <v>21.167441797505301</v>
      </c>
      <c r="N30" s="395">
        <f>INDEX('F_Inputs FD'!$B$4:$O$90,MATCH($C30,'F_Inputs FD'!$B$4:$B$90,0),MATCH(N$2,'F_Inputs FD'!$B$2:$N$2,0))</f>
        <v>20.986649173977799</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13.352425777721299</v>
      </c>
      <c r="K31" s="221">
        <f>INDEX('F_Inputs FD'!$B$4:$O$90,MATCH($C31,'F_Inputs FD'!$B$4:$B$90,0),MATCH(K$2,'F_Inputs FD'!$B$2:$N$2,0))</f>
        <v>16.7731250605488</v>
      </c>
      <c r="L31" s="221">
        <f>INDEX('F_Inputs FD'!$B$4:$O$90,MATCH($C31,'F_Inputs FD'!$B$4:$B$90,0),MATCH(L$2,'F_Inputs FD'!$B$2:$N$2,0))</f>
        <v>14.120046151652501</v>
      </c>
      <c r="M31" s="221">
        <f>INDEX('F_Inputs FD'!$B$4:$O$90,MATCH($C31,'F_Inputs FD'!$B$4:$B$90,0),MATCH(M$2,'F_Inputs FD'!$B$2:$N$2,0))</f>
        <v>7.4963418469051302</v>
      </c>
      <c r="N31" s="395">
        <f>INDEX('F_Inputs FD'!$B$4:$O$90,MATCH($C31,'F_Inputs FD'!$B$4:$B$90,0),MATCH(N$2,'F_Inputs FD'!$B$2:$N$2,0))</f>
        <v>5.7951506849097196</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8.8255752976846704</v>
      </c>
      <c r="K32" s="221">
        <f>INDEX('F_Inputs FD'!$B$4:$O$90,MATCH($C32,'F_Inputs FD'!$B$4:$B$90,0),MATCH(K$2,'F_Inputs FD'!$B$2:$N$2,0))</f>
        <v>13.465797331332</v>
      </c>
      <c r="L32" s="221">
        <f>INDEX('F_Inputs FD'!$B$4:$O$90,MATCH($C32,'F_Inputs FD'!$B$4:$B$90,0),MATCH(L$2,'F_Inputs FD'!$B$2:$N$2,0))</f>
        <v>6.6768268320489801</v>
      </c>
      <c r="M32" s="221">
        <f>INDEX('F_Inputs FD'!$B$4:$O$90,MATCH($C32,'F_Inputs FD'!$B$4:$B$90,0),MATCH(M$2,'F_Inputs FD'!$B$2:$N$2,0))</f>
        <v>6.9561178457821802</v>
      </c>
      <c r="N32" s="395">
        <f>INDEX('F_Inputs FD'!$B$4:$O$90,MATCH($C32,'F_Inputs FD'!$B$4:$B$90,0),MATCH(N$2,'F_Inputs FD'!$B$2:$N$2,0))</f>
        <v>2.5018963795191</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8.4580519266306506</v>
      </c>
      <c r="K33" s="221">
        <f>INDEX('F_Inputs FD'!$B$4:$O$90,MATCH($C33,'F_Inputs FD'!$B$4:$B$90,0),MATCH(K$2,'F_Inputs FD'!$B$2:$N$2,0))</f>
        <v>13.8156909705161</v>
      </c>
      <c r="L33" s="221">
        <f>INDEX('F_Inputs FD'!$B$4:$O$90,MATCH($C33,'F_Inputs FD'!$B$4:$B$90,0),MATCH(L$2,'F_Inputs FD'!$B$2:$N$2,0))</f>
        <v>14.1464381782716</v>
      </c>
      <c r="M33" s="221">
        <f>INDEX('F_Inputs FD'!$B$4:$O$90,MATCH($C33,'F_Inputs FD'!$B$4:$B$90,0),MATCH(M$2,'F_Inputs FD'!$B$2:$N$2,0))</f>
        <v>9.87942316127622</v>
      </c>
      <c r="N33" s="395">
        <f>INDEX('F_Inputs FD'!$B$4:$O$90,MATCH($C33,'F_Inputs FD'!$B$4:$B$90,0),MATCH(N$2,'F_Inputs FD'!$B$2:$N$2,0))</f>
        <v>2.5423694084206301</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0</v>
      </c>
      <c r="K37" s="221">
        <f>INDEX('F_Inputs FD'!$B$4:$O$90,MATCH($C37,'F_Inputs FD'!$B$4:$B$90,0),MATCH(K$2,'F_Inputs FD'!$B$2:$N$2,0))</f>
        <v>0</v>
      </c>
      <c r="L37" s="221">
        <f>INDEX('F_Inputs FD'!$B$4:$O$90,MATCH($C37,'F_Inputs FD'!$B$4:$B$90,0),MATCH(L$2,'F_Inputs FD'!$B$2:$N$2,0))</f>
        <v>0</v>
      </c>
      <c r="M37" s="221">
        <f>INDEX('F_Inputs FD'!$B$4:$O$90,MATCH($C37,'F_Inputs FD'!$B$4:$B$90,0),MATCH(M$2,'F_Inputs FD'!$B$2:$N$2,0))</f>
        <v>0</v>
      </c>
      <c r="N37" s="395">
        <f>INDEX('F_Inputs FD'!$B$4:$O$90,MATCH($C37,'F_Inputs FD'!$B$4:$B$90,0),MATCH(N$2,'F_Inputs FD'!$B$2:$N$2,0))</f>
        <v>0</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0</v>
      </c>
      <c r="K38" s="221">
        <f>INDEX('F_Inputs FD'!$B$4:$O$90,MATCH($C38,'F_Inputs FD'!$B$4:$B$90,0),MATCH(K$2,'F_Inputs FD'!$B$2:$N$2,0))</f>
        <v>0</v>
      </c>
      <c r="L38" s="221">
        <f>INDEX('F_Inputs FD'!$B$4:$O$90,MATCH($C38,'F_Inputs FD'!$B$4:$B$90,0),MATCH(L$2,'F_Inputs FD'!$B$2:$N$2,0))</f>
        <v>0</v>
      </c>
      <c r="M38" s="221">
        <f>INDEX('F_Inputs FD'!$B$4:$O$90,MATCH($C38,'F_Inputs FD'!$B$4:$B$90,0),MATCH(M$2,'F_Inputs FD'!$B$2:$N$2,0))</f>
        <v>0</v>
      </c>
      <c r="N38" s="395">
        <f>INDEX('F_Inputs FD'!$B$4:$O$90,MATCH($C38,'F_Inputs FD'!$B$4:$B$90,0),MATCH(N$2,'F_Inputs FD'!$B$2:$N$2,0))</f>
        <v>0</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0</v>
      </c>
      <c r="K39" s="221">
        <f>INDEX('F_Inputs FD'!$B$4:$O$90,MATCH($C39,'F_Inputs FD'!$B$4:$B$90,0),MATCH(K$2,'F_Inputs FD'!$B$2:$N$2,0))</f>
        <v>0</v>
      </c>
      <c r="L39" s="221">
        <f>INDEX('F_Inputs FD'!$B$4:$O$90,MATCH($C39,'F_Inputs FD'!$B$4:$B$90,0),MATCH(L$2,'F_Inputs FD'!$B$2:$N$2,0))</f>
        <v>0</v>
      </c>
      <c r="M39" s="221">
        <f>INDEX('F_Inputs FD'!$B$4:$O$90,MATCH($C39,'F_Inputs FD'!$B$4:$B$90,0),MATCH(M$2,'F_Inputs FD'!$B$2:$N$2,0))</f>
        <v>0</v>
      </c>
      <c r="N39" s="395">
        <f>INDEX('F_Inputs FD'!$B$4:$O$90,MATCH($C39,'F_Inputs FD'!$B$4:$B$90,0),MATCH(N$2,'F_Inputs FD'!$B$2:$N$2,0))</f>
        <v>0</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0</v>
      </c>
      <c r="K40" s="221">
        <f>INDEX('F_Inputs FD'!$B$4:$O$90,MATCH($C40,'F_Inputs FD'!$B$4:$B$90,0),MATCH(K$2,'F_Inputs FD'!$B$2:$N$2,0))</f>
        <v>0</v>
      </c>
      <c r="L40" s="221">
        <f>INDEX('F_Inputs FD'!$B$4:$O$90,MATCH($C40,'F_Inputs FD'!$B$4:$B$90,0),MATCH(L$2,'F_Inputs FD'!$B$2:$N$2,0))</f>
        <v>0</v>
      </c>
      <c r="M40" s="221">
        <f>INDEX('F_Inputs FD'!$B$4:$O$90,MATCH($C40,'F_Inputs FD'!$B$4:$B$90,0),MATCH(M$2,'F_Inputs FD'!$B$2:$N$2,0))</f>
        <v>0</v>
      </c>
      <c r="N40" s="395">
        <f>INDEX('F_Inputs FD'!$B$4:$O$90,MATCH($C40,'F_Inputs FD'!$B$4:$B$90,0),MATCH(N$2,'F_Inputs FD'!$B$2:$N$2,0))</f>
        <v>0</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0</v>
      </c>
      <c r="K41" s="221">
        <f>INDEX('F_Inputs FD'!$B$4:$O$90,MATCH($C41,'F_Inputs FD'!$B$4:$B$90,0),MATCH(K$2,'F_Inputs FD'!$B$2:$N$2,0))</f>
        <v>0</v>
      </c>
      <c r="L41" s="221">
        <f>INDEX('F_Inputs FD'!$B$4:$O$90,MATCH($C41,'F_Inputs FD'!$B$4:$B$90,0),MATCH(L$2,'F_Inputs FD'!$B$2:$N$2,0))</f>
        <v>0</v>
      </c>
      <c r="M41" s="221">
        <f>INDEX('F_Inputs FD'!$B$4:$O$90,MATCH($C41,'F_Inputs FD'!$B$4:$B$90,0),MATCH(M$2,'F_Inputs FD'!$B$2:$N$2,0))</f>
        <v>0</v>
      </c>
      <c r="N41" s="395">
        <f>INDEX('F_Inputs FD'!$B$4:$O$90,MATCH($C41,'F_Inputs FD'!$B$4:$B$90,0),MATCH(N$2,'F_Inputs FD'!$B$2:$N$2,0))</f>
        <v>0</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0</v>
      </c>
      <c r="K42" s="221">
        <f>INDEX('F_Inputs FD'!$B$4:$O$90,MATCH($C42,'F_Inputs FD'!$B$4:$B$90,0),MATCH(K$2,'F_Inputs FD'!$B$2:$N$2,0))</f>
        <v>0</v>
      </c>
      <c r="L42" s="221">
        <f>INDEX('F_Inputs FD'!$B$4:$O$90,MATCH($C42,'F_Inputs FD'!$B$4:$B$90,0),MATCH(L$2,'F_Inputs FD'!$B$2:$N$2,0))</f>
        <v>0</v>
      </c>
      <c r="M42" s="221">
        <f>INDEX('F_Inputs FD'!$B$4:$O$90,MATCH($C42,'F_Inputs FD'!$B$4:$B$90,0),MATCH(M$2,'F_Inputs FD'!$B$2:$N$2,0))</f>
        <v>0</v>
      </c>
      <c r="N42" s="395">
        <f>INDEX('F_Inputs FD'!$B$4:$O$90,MATCH($C42,'F_Inputs FD'!$B$4:$B$90,0),MATCH(N$2,'F_Inputs FD'!$B$2:$N$2,0))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-1.7254566772867099</v>
      </c>
      <c r="K49" s="221">
        <f>IF(INDEX('F_Inputs FD'!$B$4:$O$90,MATCH($C49,'F_Inputs FD'!$B$4:$B$90,0),MATCH(K$2,'F_Inputs FD'!$B$2:$N$2,0))="","",INDEX('F_Inputs FD'!$B$4:$O$90,MATCH($C49,'F_Inputs FD'!$B$4:$B$90,0),MATCH(K$2,'F_Inputs FD'!$B$2:$N$2,0)))</f>
        <v>-1.7254566772867099</v>
      </c>
      <c r="L49" s="221">
        <f>IF(INDEX('F_Inputs FD'!$B$4:$O$90,MATCH($C49,'F_Inputs FD'!$B$4:$B$90,0),MATCH(L$2,'F_Inputs FD'!$B$2:$N$2,0))="","",INDEX('F_Inputs FD'!$B$4:$O$90,MATCH($C49,'F_Inputs FD'!$B$4:$B$90,0),MATCH(L$2,'F_Inputs FD'!$B$2:$N$2,0)))</f>
        <v>-1.7254566772867099</v>
      </c>
      <c r="M49" s="221">
        <f>IF(INDEX('F_Inputs FD'!$B$4:$O$90,MATCH($C49,'F_Inputs FD'!$B$4:$B$90,0),MATCH(M$2,'F_Inputs FD'!$B$2:$N$2,0))="","",INDEX('F_Inputs FD'!$B$4:$O$90,MATCH($C49,'F_Inputs FD'!$B$4:$B$90,0),MATCH(M$2,'F_Inputs FD'!$B$2:$N$2,0)))</f>
        <v>-1.7254566772867099</v>
      </c>
      <c r="N49" s="395">
        <f>IF(INDEX('F_Inputs FD'!$B$4:$O$90,MATCH($C49,'F_Inputs FD'!$B$4:$B$90,0),MATCH(N$2,'F_Inputs FD'!$B$2:$N$2,0))="","",INDEX('F_Inputs FD'!$B$4:$O$90,MATCH($C49,'F_Inputs FD'!$B$4:$B$90,0),MATCH(N$2,'F_Inputs FD'!$B$2:$N$2,0)))</f>
        <v>-1.7254566772867099</v>
      </c>
      <c r="O49" s="217"/>
      <c r="P49" s="217"/>
      <c r="Q49" s="217"/>
      <c r="R49" s="222" t="s">
        <v>242</v>
      </c>
    </row>
    <row r="50" spans="1:18" s="138" customFormat="1">
      <c r="A50" s="432"/>
      <c r="B50" s="213"/>
      <c r="C50" s="154" t="s">
        <v>211</v>
      </c>
      <c r="D50" s="153" t="s">
        <v>57</v>
      </c>
      <c r="E50" s="216" t="s">
        <v>419</v>
      </c>
      <c r="F50" s="217"/>
      <c r="G50" s="223"/>
      <c r="H50" s="223"/>
      <c r="I50" s="223"/>
      <c r="J50" s="221" t="str">
        <f>IF(INDEX('F_Inputs FD'!$B$4:$O$90,MATCH($C50,'F_Inputs FD'!$B$4:$B$90,0),MATCH(J$2,'F_Inputs FD'!$B$2:$N$2,0))="","",INDEX('F_Inputs FD'!$B$4:$O$90,MATCH($C50,'F_Inputs FD'!$B$4:$B$90,0),MATCH(J$2,'F_Inputs FD'!$B$2:$N$2,0)))</f>
        <v/>
      </c>
      <c r="K50" s="221" t="str">
        <f>IF(INDEX('F_Inputs FD'!$B$4:$O$90,MATCH($C50,'F_Inputs FD'!$B$4:$B$90,0),MATCH(K$2,'F_Inputs FD'!$B$2:$N$2,0))="","",INDEX('F_Inputs FD'!$B$4:$O$90,MATCH($C50,'F_Inputs FD'!$B$4:$B$90,0),MATCH(K$2,'F_Inputs FD'!$B$2:$N$2,0)))</f>
        <v/>
      </c>
      <c r="L50" s="221" t="str">
        <f>IF(INDEX('F_Inputs FD'!$B$4:$O$90,MATCH($C50,'F_Inputs FD'!$B$4:$B$90,0),MATCH(L$2,'F_Inputs FD'!$B$2:$N$2,0))="","",INDEX('F_Inputs FD'!$B$4:$O$90,MATCH($C50,'F_Inputs FD'!$B$4:$B$90,0),MATCH(L$2,'F_Inputs FD'!$B$2:$N$2,0)))</f>
        <v/>
      </c>
      <c r="M50" s="221" t="str">
        <f>IF(INDEX('F_Inputs FD'!$B$4:$O$90,MATCH($C50,'F_Inputs FD'!$B$4:$B$90,0),MATCH(M$2,'F_Inputs FD'!$B$2:$N$2,0))="","",INDEX('F_Inputs FD'!$B$4:$O$90,MATCH($C50,'F_Inputs FD'!$B$4:$B$90,0),MATCH(M$2,'F_Inputs FD'!$B$2:$N$2,0)))</f>
        <v/>
      </c>
      <c r="N50" s="395" t="str">
        <f>IF(INDEX('F_Inputs FD'!$B$4:$O$90,MATCH($C50,'F_Inputs FD'!$B$4:$B$90,0),MATCH(N$2,'F_Inputs FD'!$B$2:$N$2,0))="","",INDEX('F_Inputs FD'!$B$4:$O$90,MATCH($C50,'F_Inputs FD'!$B$4:$B$90,0),MATCH(N$2,'F_Inputs FD'!$B$2:$N$2,0)))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264.22376567687598</v>
      </c>
      <c r="J54" s="221">
        <f>INDEX('F_Inputs FD'!$B$4:$O$90,MATCH($C54,'F_Inputs FD'!$B$4:$B$90,0),MATCH(J$2,'F_Inputs FD'!$B$2:$N$2,0))</f>
        <v>277.99080734748799</v>
      </c>
      <c r="K54" s="221">
        <f>INDEX('F_Inputs FD'!$B$4:$O$90,MATCH($C54,'F_Inputs FD'!$B$4:$B$90,0),MATCH(K$2,'F_Inputs FD'!$B$2:$N$2,0))</f>
        <v>306.874526251193</v>
      </c>
      <c r="L54" s="221">
        <f>INDEX('F_Inputs FD'!$B$4:$O$90,MATCH($C54,'F_Inputs FD'!$B$4:$B$90,0),MATCH(L$2,'F_Inputs FD'!$B$2:$N$2,0))</f>
        <v>326.25828972856698</v>
      </c>
      <c r="M54" s="221">
        <f>INDEX('F_Inputs FD'!$B$4:$O$90,MATCH($C54,'F_Inputs FD'!$B$4:$B$90,0),MATCH(M$2,'F_Inputs FD'!$B$2:$N$2,0))</f>
        <v>336.70611012907</v>
      </c>
      <c r="N54" s="395">
        <f>INDEX('F_Inputs FD'!$B$4:$O$90,MATCH($C54,'F_Inputs FD'!$B$4:$B$90,0),MATCH(N$2,'F_Inputs FD'!$B$2:$N$2,0))</f>
        <v>334.03593667583601</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0</v>
      </c>
      <c r="J55" s="221">
        <f>INDEX('F_Inputs FD'!$B$4:$O$90,MATCH($C55,'F_Inputs FD'!$B$4:$B$90,0),MATCH(J$2,'F_Inputs FD'!$B$2:$N$2,0))</f>
        <v>0</v>
      </c>
      <c r="K55" s="221">
        <f>INDEX('F_Inputs FD'!$B$4:$O$90,MATCH($C55,'F_Inputs FD'!$B$4:$B$90,0),MATCH(K$2,'F_Inputs FD'!$B$2:$N$2,0))</f>
        <v>0</v>
      </c>
      <c r="L55" s="221">
        <f>INDEX('F_Inputs FD'!$B$4:$O$90,MATCH($C55,'F_Inputs FD'!$B$4:$B$90,0),MATCH(L$2,'F_Inputs FD'!$B$2:$N$2,0))</f>
        <v>0</v>
      </c>
      <c r="M55" s="221">
        <f>INDEX('F_Inputs FD'!$B$4:$O$90,MATCH($C55,'F_Inputs FD'!$B$4:$B$90,0),MATCH(M$2,'F_Inputs FD'!$B$2:$N$2,0))</f>
        <v>0</v>
      </c>
      <c r="N55" s="395">
        <f>INDEX('F_Inputs FD'!$B$4:$O$90,MATCH($C55,'F_Inputs FD'!$B$4:$B$90,0),MATCH(N$2,'F_Inputs FD'!$B$2:$N$2,0))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4.8500000000000001E-2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5.9700000000000003E-2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9.8149999999999995</v>
      </c>
      <c r="K65" s="221">
        <f>INDEX('F_Inputs FD'!$B$4:$O$90,MATCH($C65,'F_Inputs FD'!$B$4:$B$90,0),MATCH(K$2,'F_Inputs FD'!$B$2:$N$2,0))</f>
        <v>23.376000000000001</v>
      </c>
      <c r="L65" s="221">
        <f>INDEX('F_Inputs FD'!$B$4:$O$90,MATCH($C65,'F_Inputs FD'!$B$4:$B$90,0),MATCH(L$2,'F_Inputs FD'!$B$2:$N$2,0))</f>
        <v>36.125999999999998</v>
      </c>
      <c r="M65" s="221">
        <f>INDEX('F_Inputs FD'!$B$4:$O$90,MATCH($C65,'F_Inputs FD'!$B$4:$B$90,0),MATCH(M$2,'F_Inputs FD'!$B$2:$N$2,0))</f>
        <v>33.591000000000001</v>
      </c>
      <c r="N65" s="395">
        <f>INDEX('F_Inputs FD'!$B$4:$O$90,MATCH($C65,'F_Inputs FD'!$B$4:$B$90,0),MATCH(N$2,'F_Inputs FD'!$B$2:$N$2,0))</f>
        <v>26.256</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5.399</v>
      </c>
      <c r="K66" s="221">
        <f>INDEX('F_Inputs FD'!$B$4:$O$90,MATCH($C66,'F_Inputs FD'!$B$4:$B$90,0),MATCH(K$2,'F_Inputs FD'!$B$2:$N$2,0))</f>
        <v>14.273</v>
      </c>
      <c r="L66" s="221">
        <f>INDEX('F_Inputs FD'!$B$4:$O$90,MATCH($C66,'F_Inputs FD'!$B$4:$B$90,0),MATCH(L$2,'F_Inputs FD'!$B$2:$N$2,0))</f>
        <v>19.132000000000001</v>
      </c>
      <c r="M66" s="221">
        <f>INDEX('F_Inputs FD'!$B$4:$O$90,MATCH($C66,'F_Inputs FD'!$B$4:$B$90,0),MATCH(M$2,'F_Inputs FD'!$B$2:$N$2,0))</f>
        <v>18.521000000000001</v>
      </c>
      <c r="N66" s="395">
        <f>INDEX('F_Inputs FD'!$B$4:$O$90,MATCH($C66,'F_Inputs FD'!$B$4:$B$90,0),MATCH(N$2,'F_Inputs FD'!$B$2:$N$2,0))</f>
        <v>18.385000000000002</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0.57299999999999995</v>
      </c>
      <c r="K67" s="221">
        <f>INDEX('F_Inputs FD'!$B$4:$O$90,MATCH($C67,'F_Inputs FD'!$B$4:$B$90,0),MATCH(K$2,'F_Inputs FD'!$B$2:$N$2,0))</f>
        <v>8.4570000000000007</v>
      </c>
      <c r="L67" s="221">
        <f>INDEX('F_Inputs FD'!$B$4:$O$90,MATCH($C67,'F_Inputs FD'!$B$4:$B$90,0),MATCH(L$2,'F_Inputs FD'!$B$2:$N$2,0))</f>
        <v>14.913</v>
      </c>
      <c r="M67" s="221">
        <f>INDEX('F_Inputs FD'!$B$4:$O$90,MATCH($C67,'F_Inputs FD'!$B$4:$B$90,0),MATCH(M$2,'F_Inputs FD'!$B$2:$N$2,0))</f>
        <v>5.1319999999999997</v>
      </c>
      <c r="N67" s="395">
        <f>INDEX('F_Inputs FD'!$B$4:$O$90,MATCH($C67,'F_Inputs FD'!$B$4:$B$90,0),MATCH(N$2,'F_Inputs FD'!$B$2:$N$2,0))</f>
        <v>-0.248</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4.2670000000000003</v>
      </c>
      <c r="K68" s="221">
        <f>INDEX('F_Inputs FD'!$B$4:$O$90,MATCH($C68,'F_Inputs FD'!$B$4:$B$90,0),MATCH(K$2,'F_Inputs FD'!$B$2:$N$2,0))</f>
        <v>10.212999999999999</v>
      </c>
      <c r="L68" s="221">
        <f>INDEX('F_Inputs FD'!$B$4:$O$90,MATCH($C68,'F_Inputs FD'!$B$4:$B$90,0),MATCH(L$2,'F_Inputs FD'!$B$2:$N$2,0))</f>
        <v>14.378</v>
      </c>
      <c r="M68" s="221">
        <f>INDEX('F_Inputs FD'!$B$4:$O$90,MATCH($C68,'F_Inputs FD'!$B$4:$B$90,0),MATCH(M$2,'F_Inputs FD'!$B$2:$N$2,0))</f>
        <v>14.766</v>
      </c>
      <c r="N68" s="395">
        <f>INDEX('F_Inputs FD'!$B$4:$O$90,MATCH($C68,'F_Inputs FD'!$B$4:$B$90,0),MATCH(N$2,'F_Inputs FD'!$B$2:$N$2,0))</f>
        <v>8.5960000000000001</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0</v>
      </c>
      <c r="K72" s="221">
        <f>INDEX('F_Inputs FD'!$B$4:$O$90,MATCH($C72,'F_Inputs FD'!$B$4:$B$90,0),MATCH(K$2,'F_Inputs FD'!$B$2:$N$2,0))</f>
        <v>0</v>
      </c>
      <c r="L72" s="221">
        <f>INDEX('F_Inputs FD'!$B$4:$O$90,MATCH($C72,'F_Inputs FD'!$B$4:$B$90,0),MATCH(L$2,'F_Inputs FD'!$B$2:$N$2,0))</f>
        <v>0</v>
      </c>
      <c r="M72" s="221">
        <f>INDEX('F_Inputs FD'!$B$4:$O$90,MATCH($C72,'F_Inputs FD'!$B$4:$B$90,0),MATCH(M$2,'F_Inputs FD'!$B$2:$N$2,0))</f>
        <v>0</v>
      </c>
      <c r="N72" s="395">
        <f>INDEX('F_Inputs FD'!$B$4:$O$90,MATCH($C72,'F_Inputs FD'!$B$4:$B$90,0),MATCH(N$2,'F_Inputs FD'!$B$2:$N$2,0))</f>
        <v>0</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0</v>
      </c>
      <c r="K73" s="221">
        <f>INDEX('F_Inputs FD'!$B$4:$O$90,MATCH($C73,'F_Inputs FD'!$B$4:$B$90,0),MATCH(K$2,'F_Inputs FD'!$B$2:$N$2,0))</f>
        <v>0</v>
      </c>
      <c r="L73" s="221">
        <f>INDEX('F_Inputs FD'!$B$4:$O$90,MATCH($C73,'F_Inputs FD'!$B$4:$B$90,0),MATCH(L$2,'F_Inputs FD'!$B$2:$N$2,0))</f>
        <v>0</v>
      </c>
      <c r="M73" s="221">
        <f>INDEX('F_Inputs FD'!$B$4:$O$90,MATCH($C73,'F_Inputs FD'!$B$4:$B$90,0),MATCH(M$2,'F_Inputs FD'!$B$2:$N$2,0))</f>
        <v>0</v>
      </c>
      <c r="N73" s="395">
        <f>INDEX('F_Inputs FD'!$B$4:$O$90,MATCH($C73,'F_Inputs FD'!$B$4:$B$90,0),MATCH(N$2,'F_Inputs FD'!$B$2:$N$2,0))</f>
        <v>0</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0</v>
      </c>
      <c r="K74" s="221">
        <f>INDEX('F_Inputs FD'!$B$4:$O$90,MATCH($C74,'F_Inputs FD'!$B$4:$B$90,0),MATCH(K$2,'F_Inputs FD'!$B$2:$N$2,0))</f>
        <v>0</v>
      </c>
      <c r="L74" s="221">
        <f>INDEX('F_Inputs FD'!$B$4:$O$90,MATCH($C74,'F_Inputs FD'!$B$4:$B$90,0),MATCH(L$2,'F_Inputs FD'!$B$2:$N$2,0))</f>
        <v>0</v>
      </c>
      <c r="M74" s="221">
        <f>INDEX('F_Inputs FD'!$B$4:$O$90,MATCH($C74,'F_Inputs FD'!$B$4:$B$90,0),MATCH(M$2,'F_Inputs FD'!$B$2:$N$2,0))</f>
        <v>0</v>
      </c>
      <c r="N74" s="395">
        <f>INDEX('F_Inputs FD'!$B$4:$O$90,MATCH($C74,'F_Inputs FD'!$B$4:$B$90,0),MATCH(N$2,'F_Inputs FD'!$B$2:$N$2,0))</f>
        <v>0</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0</v>
      </c>
      <c r="K75" s="221">
        <f>INDEX('F_Inputs FD'!$B$4:$O$90,MATCH($C75,'F_Inputs FD'!$B$4:$B$90,0),MATCH(K$2,'F_Inputs FD'!$B$2:$N$2,0))</f>
        <v>0</v>
      </c>
      <c r="L75" s="221">
        <f>INDEX('F_Inputs FD'!$B$4:$O$90,MATCH($C75,'F_Inputs FD'!$B$4:$B$90,0),MATCH(L$2,'F_Inputs FD'!$B$2:$N$2,0))</f>
        <v>0</v>
      </c>
      <c r="M75" s="221">
        <f>INDEX('F_Inputs FD'!$B$4:$O$90,MATCH($C75,'F_Inputs FD'!$B$4:$B$90,0),MATCH(M$2,'F_Inputs FD'!$B$2:$N$2,0))</f>
        <v>0</v>
      </c>
      <c r="N75" s="395">
        <f>INDEX('F_Inputs FD'!$B$4:$O$90,MATCH($C75,'F_Inputs FD'!$B$4:$B$90,0),MATCH(N$2,'F_Inputs FD'!$B$2:$N$2,0))</f>
        <v>0</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0</v>
      </c>
      <c r="K76" s="221">
        <f>INDEX('F_Inputs FD'!$B$4:$O$90,MATCH($C76,'F_Inputs FD'!$B$4:$B$90,0),MATCH(K$2,'F_Inputs FD'!$B$2:$N$2,0))</f>
        <v>0</v>
      </c>
      <c r="L76" s="221">
        <f>INDEX('F_Inputs FD'!$B$4:$O$90,MATCH($C76,'F_Inputs FD'!$B$4:$B$90,0),MATCH(L$2,'F_Inputs FD'!$B$2:$N$2,0))</f>
        <v>0</v>
      </c>
      <c r="M76" s="221">
        <f>INDEX('F_Inputs FD'!$B$4:$O$90,MATCH($C76,'F_Inputs FD'!$B$4:$B$90,0),MATCH(M$2,'F_Inputs FD'!$B$2:$N$2,0))</f>
        <v>0</v>
      </c>
      <c r="N76" s="395">
        <f>INDEX('F_Inputs FD'!$B$4:$O$90,MATCH($C76,'F_Inputs FD'!$B$4:$B$90,0),MATCH(N$2,'F_Inputs FD'!$B$2:$N$2,0))</f>
        <v>0</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0</v>
      </c>
      <c r="K77" s="221">
        <f>INDEX('F_Inputs FD'!$B$4:$O$90,MATCH($C77,'F_Inputs FD'!$B$4:$B$90,0),MATCH(K$2,'F_Inputs FD'!$B$2:$N$2,0))</f>
        <v>0</v>
      </c>
      <c r="L77" s="221">
        <f>INDEX('F_Inputs FD'!$B$4:$O$90,MATCH($C77,'F_Inputs FD'!$B$4:$B$90,0),MATCH(L$2,'F_Inputs FD'!$B$2:$N$2,0))</f>
        <v>0</v>
      </c>
      <c r="M77" s="221">
        <f>INDEX('F_Inputs FD'!$B$4:$O$90,MATCH($C77,'F_Inputs FD'!$B$4:$B$90,0),MATCH(M$2,'F_Inputs FD'!$B$2:$N$2,0))</f>
        <v>0</v>
      </c>
      <c r="N77" s="395">
        <f>INDEX('F_Inputs FD'!$B$4:$O$90,MATCH($C77,'F_Inputs FD'!$B$4:$B$90,0),MATCH(N$2,'F_Inputs FD'!$B$2:$N$2,0))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FD'!$B$4:$O$90,MATCH($C85,'F_Inputs FD'!$B$4:$B$90,0),MATCH(J$2,'F_Inputs FD'!$B$2:$N$2,0))</f>
        <v>0</v>
      </c>
      <c r="K85" s="221">
        <f>INDEX('F_Inputs FD'!$B$4:$O$90,MATCH($C85,'F_Inputs FD'!$B$4:$B$90,0),MATCH(K$2,'F_Inputs FD'!$B$2:$N$2,0))</f>
        <v>0</v>
      </c>
      <c r="L85" s="221">
        <f>INDEX('F_Inputs FD'!$B$4:$O$90,MATCH($C85,'F_Inputs FD'!$B$4:$B$90,0),MATCH(L$2,'F_Inputs FD'!$B$2:$N$2,0))</f>
        <v>0</v>
      </c>
      <c r="M85" s="221">
        <f>INDEX('F_Inputs FD'!$B$4:$O$90,MATCH($C85,'F_Inputs FD'!$B$4:$B$90,0),MATCH(M$2,'F_Inputs FD'!$B$2:$N$2,0))</f>
        <v>0</v>
      </c>
      <c r="N85" s="395">
        <f>INDEX('F_Inputs FD'!$B$4:$O$90,MATCH($C85,'F_Inputs FD'!$B$4:$B$90,0),MATCH(N$2,'F_Inputs FD'!$B$2:$N$2,0))</f>
        <v>0</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v>
      </c>
      <c r="K86" s="221">
        <f>INDEX('F_Inputs FD'!$B$4:$O$90,MATCH($C86,'F_Inputs FD'!$B$4:$B$90,0),MATCH(K$2,'F_Inputs FD'!$B$2:$N$2,0))</f>
        <v>0</v>
      </c>
      <c r="L86" s="221">
        <f>INDEX('F_Inputs FD'!$B$4:$O$90,MATCH($C86,'F_Inputs FD'!$B$4:$B$90,0),MATCH(L$2,'F_Inputs FD'!$B$2:$N$2,0))</f>
        <v>0</v>
      </c>
      <c r="M86" s="221">
        <f>INDEX('F_Inputs FD'!$B$4:$O$90,MATCH($C86,'F_Inputs FD'!$B$4:$B$90,0),MATCH(M$2,'F_Inputs FD'!$B$2:$N$2,0))</f>
        <v>0</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0</v>
      </c>
      <c r="K88" s="221">
        <f>INDEX('F_Inputs FD'!$B$4:$O$90,MATCH($C88,'F_Inputs FD'!$B$4:$B$90,0),MATCH(K$2,'F_Inputs FD'!$B$2:$N$2,0))</f>
        <v>0</v>
      </c>
      <c r="L88" s="221">
        <f>INDEX('F_Inputs FD'!$B$4:$O$90,MATCH($C88,'F_Inputs FD'!$B$4:$B$90,0),MATCH(L$2,'F_Inputs FD'!$B$2:$N$2,0))</f>
        <v>0</v>
      </c>
      <c r="M88" s="221">
        <f>INDEX('F_Inputs FD'!$B$4:$O$90,MATCH($C88,'F_Inputs FD'!$B$4:$B$90,0),MATCH(M$2,'F_Inputs FD'!$B$2:$N$2,0))</f>
        <v>0</v>
      </c>
      <c r="N88" s="395">
        <f>INDEX('F_Inputs FD'!$B$4:$O$90,MATCH($C88,'F_Inputs FD'!$B$4:$B$90,0),MATCH(N$2,'F_Inputs FD'!$B$2:$N$2,0))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0</v>
      </c>
      <c r="K93" s="221">
        <f>INDEX('F_Inputs FD'!$B$4:$O$90,MATCH($C93,'F_Inputs FD'!$B$4:$B$90,0),MATCH(K$2,'F_Inputs FD'!$B$2:$N$2,0))</f>
        <v>0</v>
      </c>
      <c r="L93" s="221">
        <f>INDEX('F_Inputs FD'!$B$4:$O$90,MATCH($C93,'F_Inputs FD'!$B$4:$B$90,0),MATCH(L$2,'F_Inputs FD'!$B$2:$N$2,0))</f>
        <v>0</v>
      </c>
      <c r="M93" s="221">
        <f>INDEX('F_Inputs FD'!$B$4:$O$90,MATCH($C93,'F_Inputs FD'!$B$4:$B$90,0),MATCH(M$2,'F_Inputs FD'!$B$2:$N$2,0))</f>
        <v>0</v>
      </c>
      <c r="N93" s="395">
        <f>INDEX('F_Inputs FD'!$B$4:$O$90,MATCH($C93,'F_Inputs FD'!$B$4:$B$90,0),MATCH(N$2,'F_Inputs FD'!$B$2:$N$2,0))</f>
        <v>0</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0</v>
      </c>
      <c r="K94" s="221">
        <f>INDEX('F_Inputs FD'!$B$4:$O$90,MATCH($C94,'F_Inputs FD'!$B$4:$B$90,0),MATCH(K$2,'F_Inputs FD'!$B$2:$N$2,0))</f>
        <v>0</v>
      </c>
      <c r="L94" s="221">
        <f>INDEX('F_Inputs FD'!$B$4:$O$90,MATCH($C94,'F_Inputs FD'!$B$4:$B$90,0),MATCH(L$2,'F_Inputs FD'!$B$2:$N$2,0))</f>
        <v>0</v>
      </c>
      <c r="M94" s="221">
        <f>INDEX('F_Inputs FD'!$B$4:$O$90,MATCH($C94,'F_Inputs FD'!$B$4:$B$90,0),MATCH(M$2,'F_Inputs FD'!$B$2:$N$2,0))</f>
        <v>0</v>
      </c>
      <c r="N94" s="395">
        <f>INDEX('F_Inputs FD'!$B$4:$O$90,MATCH($C94,'F_Inputs FD'!$B$4:$B$90,0),MATCH(N$2,'F_Inputs FD'!$B$2:$N$2,0))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v>
      </c>
      <c r="K96" s="221">
        <f>INDEX('F_Inputs FD'!$B$4:$O$90,MATCH($C96,'F_Inputs FD'!$B$4:$B$90,0),MATCH(K$2,'F_Inputs FD'!$B$2:$N$2,0))</f>
        <v>0</v>
      </c>
      <c r="L96" s="221">
        <f>INDEX('F_Inputs FD'!$B$4:$O$90,MATCH($C96,'F_Inputs FD'!$B$4:$B$90,0),MATCH(L$2,'F_Inputs FD'!$B$2:$N$2,0))</f>
        <v>0</v>
      </c>
      <c r="M96" s="221">
        <f>INDEX('F_Inputs FD'!$B$4:$O$90,MATCH($C96,'F_Inputs FD'!$B$4:$B$90,0),MATCH(M$2,'F_Inputs FD'!$B$2:$N$2,0))</f>
        <v>0</v>
      </c>
      <c r="N96" s="395">
        <f>INDEX('F_Inputs FD'!$B$4:$O$90,MATCH($C96,'F_Inputs FD'!$B$4:$B$90,0),MATCH(N$2,'F_Inputs FD'!$B$2:$N$2,0))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251.73333333333301</v>
      </c>
      <c r="N103" s="565">
        <f>INDEX('F_Inputs FD'!$B$4:$O$90,MATCH($C103,'F_Inputs FD'!$B$4:$B$90,0),MATCH(N$2,'F_Inputs FD'!$B$2:$N$2,0))</f>
        <v>258.20287999999999</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113.575</v>
      </c>
      <c r="M106" s="564">
        <f>INDEX('F_Inputs FD'!$B$4:$O$90,MATCH($C106,'F_Inputs FD'!$B$4:$B$90,0),MATCH(M$2,'F_Inputs FD'!$B$2:$N$2,0))</f>
        <v>117.095825</v>
      </c>
      <c r="N106" s="565">
        <f>INDEX('F_Inputs FD'!$B$4:$O$90,MATCH($C106,'F_Inputs FD'!$B$4:$B$90,0),MATCH(N$2,'F_Inputs FD'!$B$2:$N$2,0))</f>
        <v>120.72579557500001</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3.1E-2</v>
      </c>
      <c r="N107" s="416">
        <f>INDEX('F_Inputs FD'!$B$4:$O$90,MATCH($C107,'F_Inputs FD'!$B$4:$B$90,0),MATCH(N$2,'F_Inputs FD'!$B$2:$N$2,0))</f>
        <v>3.1E-2</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215.766666666666</v>
      </c>
      <c r="J111" s="564">
        <f>INDEX('F_Inputs FD'!$B$4:$O$90,MATCH($C111,'F_Inputs FD'!$B$4:$B$90,0),MATCH(J$2,'F_Inputs FD'!$B$2:$N$2,0))</f>
        <v>222.45543333333299</v>
      </c>
      <c r="K111" s="564">
        <f>INDEX('F_Inputs FD'!$B$4:$O$90,MATCH($C111,'F_Inputs FD'!$B$4:$B$90,0),MATCH(K$2,'F_Inputs FD'!$B$2:$N$2,0))</f>
        <v>228.461730033333</v>
      </c>
      <c r="L111" s="564">
        <f>INDEX('F_Inputs FD'!$B$4:$O$90,MATCH($C111,'F_Inputs FD'!$B$4:$B$90,0),MATCH(L$2,'F_Inputs FD'!$B$2:$N$2,0))</f>
        <v>235.087120204299</v>
      </c>
      <c r="M111" s="564">
        <f>INDEX('F_Inputs FD'!$B$4:$O$90,MATCH($C111,'F_Inputs FD'!$B$4:$B$90,0),MATCH(M$2,'F_Inputs FD'!$B$2:$N$2,0))</f>
        <v>242.37482093063301</v>
      </c>
      <c r="N111" s="565">
        <f>INDEX('F_Inputs FD'!$B$4:$O$90,MATCH($C111,'F_Inputs FD'!$B$4:$B$90,0),MATCH(N$2,'F_Inputs FD'!$B$2:$N$2,0))</f>
        <v>249.16131591669</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-2.1499999999999998E-2</v>
      </c>
      <c r="I114" s="355">
        <f>INDEX('F_Inputs FD'!$B$4:$O$90,MATCH($C114,'F_Inputs FD'!$B$4:$B$90,0),MATCH(I$2,'F_Inputs FD'!$B$2:$N$2,0))</f>
        <v>-5.8999999999999997E-2</v>
      </c>
      <c r="J114" s="355">
        <f>INDEX('F_Inputs FD'!$B$4:$O$90,MATCH($C114,'F_Inputs FD'!$B$4:$B$90,0),MATCH(J$2,'F_Inputs FD'!$B$2:$N$2,0))</f>
        <v>3.85E-2</v>
      </c>
      <c r="K114" s="355">
        <f>INDEX('F_Inputs FD'!$B$4:$O$90,MATCH($C114,'F_Inputs FD'!$B$4:$B$90,0),MATCH(K$2,'F_Inputs FD'!$B$2:$N$2,0))</f>
        <v>3.4500000000000003E-2</v>
      </c>
      <c r="L114" s="355">
        <f>INDEX('F_Inputs FD'!$B$4:$O$90,MATCH($C114,'F_Inputs FD'!$B$4:$B$90,0),MATCH(L$2,'F_Inputs FD'!$B$2:$N$2,0))</f>
        <v>3.6499999999999998E-2</v>
      </c>
      <c r="M114" s="355">
        <f>INDEX('F_Inputs FD'!$B$4:$O$90,MATCH($C114,'F_Inputs FD'!$B$4:$B$90,0),MATCH(M$2,'F_Inputs FD'!$B$2:$N$2,0))</f>
        <v>3.85E-2</v>
      </c>
      <c r="N114" s="416">
        <f>INDEX('F_Inputs FD'!$B$4:$O$90,MATCH($C114,'F_Inputs FD'!$B$4:$B$90,0),MATCH(N$2,'F_Inputs FD'!$B$2:$N$2,0))</f>
        <v>3.5499999999999997E-2</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780</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v>1</v>
      </c>
      <c r="R154" s="137"/>
    </row>
    <row r="155" spans="1:18" s="138" customFormat="1">
      <c r="A155" s="397"/>
      <c r="B155" s="153"/>
      <c r="C155" s="423"/>
      <c r="D155" s="153" t="s">
        <v>16</v>
      </c>
      <c r="E155" s="153" t="s">
        <v>579</v>
      </c>
      <c r="F155" s="402"/>
      <c r="G155" s="402"/>
      <c r="H155" s="402"/>
      <c r="I155" s="402"/>
      <c r="J155" s="403"/>
      <c r="K155" s="403"/>
      <c r="L155" s="403"/>
      <c r="M155" s="403"/>
      <c r="N155" s="404"/>
      <c r="O155" s="572">
        <v>0</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258.20287999999999</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2.5700000000001388E-2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0.80785956634824141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117.095825</v>
      </c>
      <c r="N17" s="375">
        <f>IF('Input FD'!N106=0,M17*(1+'Input FD'!N107),'Input FD'!N106)</f>
        <v>120.72579557500001</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1.0520738993710692</v>
      </c>
      <c r="N18" s="377">
        <f t="shared" si="4"/>
        <v>1.0846881902515724</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87.17711127899004</v>
      </c>
      <c r="N20" s="375">
        <f>((N17/'Input FD'!$G$117)/(N13/'Input FD'!$G$116))*100</f>
        <v>87.62757309996941</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0.87177111278990038</v>
      </c>
      <c r="N21" s="377">
        <f t="shared" si="5"/>
        <v>0.87627573099969414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4.5782571583752318E-3</v>
      </c>
      <c r="J25" s="359">
        <f>IF(J$5=1,0,'Input FD'!J111/'Input FD'!I111-1)</f>
        <v>3.1000000000001693E-2</v>
      </c>
      <c r="K25" s="359">
        <f>IF(K$5=1,0,'Input FD'!K111/'Input FD'!J111-1)</f>
        <v>2.7000000000000135E-2</v>
      </c>
      <c r="L25" s="359">
        <f>IF(L$5=1,0,'Input FD'!L111/'Input FD'!K111-1)</f>
        <v>2.8999999999997028E-2</v>
      </c>
      <c r="M25" s="359">
        <f>IF(M$5=1,0,'Input FD'!M111/'Input FD'!L111-1)</f>
        <v>3.1000000000003247E-2</v>
      </c>
      <c r="N25" s="376">
        <f>IF(N$5=1,0,'Input FD'!N111/'Input FD'!M111-1)</f>
        <v>2.7999999999996916E-2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0.96674648540089592</v>
      </c>
      <c r="J26" s="144">
        <f>'Input FD'!$G$111/'Input FD'!J111</f>
        <v>0.93767845334713329</v>
      </c>
      <c r="K26" s="144">
        <f>'Input FD'!$G$111/'Input FD'!K111</f>
        <v>0.91302673159409264</v>
      </c>
      <c r="L26" s="144">
        <f>'Input FD'!$G$111/'Input FD'!L111</f>
        <v>0.88729517161719651</v>
      </c>
      <c r="M26" s="144">
        <f>'Input FD'!$G$111/'Input FD'!M111</f>
        <v>0.86061607334354395</v>
      </c>
      <c r="N26" s="377">
        <f>'Input FD'!$G$111/'Input FD'!N111</f>
        <v>0.83717516862212693</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108.90705</v>
      </c>
      <c r="I28" s="134">
        <f>IF('Input FD'!I113=0,H28*(1+'Input FD'!I114),'Input FD'!I113)</f>
        <v>102.48153405000001</v>
      </c>
      <c r="J28" s="135">
        <f>IF('Input FD'!J113=0,I28*(1+'Input FD'!J114),'Input FD'!J113)</f>
        <v>106.42707311092501</v>
      </c>
      <c r="K28" s="135">
        <f>IF('Input FD'!K113=0,J28*(1+'Input FD'!K114),'Input FD'!K113)</f>
        <v>110.09880713325192</v>
      </c>
      <c r="L28" s="135">
        <f>IF('Input FD'!L113=0,K28*(1+'Input FD'!L114),'Input FD'!L113)</f>
        <v>114.11741359361562</v>
      </c>
      <c r="M28" s="135">
        <f>IF('Input FD'!M113=0,L28*(1+'Input FD'!M114),'Input FD'!M113)</f>
        <v>118.51093401696983</v>
      </c>
      <c r="N28" s="375">
        <f>IF('Input FD'!N113=0,M28*(1+'Input FD'!N114),'Input FD'!N113)</f>
        <v>122.71807217457227</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0.97850000000000004</v>
      </c>
      <c r="I29" s="143">
        <f>IF(OR(I$5&lt;4,'Input FD'!$O$152=0),I28/$G$28,H29*(1+('Input FD'!I$111/'Input FD'!H$111-1)))</f>
        <v>0.9207685000000001</v>
      </c>
      <c r="J29" s="152">
        <f>IF(OR(J$5&lt;4,'Input FD'!$O$152=0),J28/$G$28,I29*(1+('Input FD'!J$111/'Input FD'!I$111-1)))</f>
        <v>0.95621808725000013</v>
      </c>
      <c r="K29" s="152">
        <f>IF(OR(K$5&lt;4,'Input FD'!$O$152=0),K28/$G$28,J29*(1+('Input FD'!K$111/'Input FD'!J$111-1)))</f>
        <v>0.98920761126012513</v>
      </c>
      <c r="L29" s="152">
        <f>IF(OR(L$5&lt;4,'Input FD'!$O$152=0),L28/$G$28,K29*(1+('Input FD'!L$111/'Input FD'!K$111-1)))</f>
        <v>1.0253136890711196</v>
      </c>
      <c r="M29" s="152">
        <f>IF(OR(M$5&lt;4,'Input FD'!$O$152=0),M28/$G$28,L29*(1+('Input FD'!M$111/'Input FD'!L$111-1)))</f>
        <v>1.0647882661003578</v>
      </c>
      <c r="N29" s="379">
        <f>IF(OR(N$5&lt;4,'Input FD'!$O$152=0),N28/$G$28,M29*(1+('Input FD'!N$111/'Input FD'!M$111-1)))</f>
        <v>1.1025882495469208</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95.029229068053382</v>
      </c>
      <c r="I31" s="134">
        <f>IF(OR(I$5&lt;4,'Input FD'!$O$152=0),((I28/'Input FD'!$G$117)/('Input FD'!I111/'Input FD'!$G$116))*100,H31)</f>
        <v>89.014971124285907</v>
      </c>
      <c r="J31" s="135">
        <f>IF(OR(J$5&lt;4,'Input FD'!$O$152=0),((J28/'Input FD'!$G$117)/('Input FD'!J111/'Input FD'!$G$116))*100,I31)</f>
        <v>89.662509711513849</v>
      </c>
      <c r="K31" s="135">
        <f>IF(OR(K$5&lt;4,'Input FD'!$O$152=0),((K28/'Input FD'!$G$117)/('Input FD'!K111/'Input FD'!$G$116))*100,J31)</f>
        <v>90.317299217683626</v>
      </c>
      <c r="L31" s="135">
        <f>IF(OR(L$5&lt;4,'Input FD'!$O$152=0),((L28/'Input FD'!$G$117)/('Input FD'!L111/'Input FD'!$G$116))*100,K31)</f>
        <v>90.975588570582445</v>
      </c>
      <c r="M31" s="135">
        <f>IF(OR(M$5&lt;4,'Input FD'!$O$152=0),((M28/'Input FD'!$G$117)/('Input FD'!M111/'Input FD'!$G$116))*100,L31)</f>
        <v>91.637389651357509</v>
      </c>
      <c r="N31" s="375">
        <f>IF(OR(N$5&lt;4,'Input FD'!$O$152=0),((N28/'Input FD'!$G$117)/('Input FD'!N111/'Input FD'!$G$116))*100,M31)</f>
        <v>92.305950373522379</v>
      </c>
      <c r="O31" s="361"/>
      <c r="P31" s="150"/>
      <c r="Q31" s="131"/>
      <c r="R31" s="137" t="s">
        <v>75</v>
      </c>
    </row>
    <row r="32" spans="1:18" s="138" customFormat="1">
      <c r="C32" s="139"/>
      <c r="D32" s="140" t="s">
        <v>58</v>
      </c>
      <c r="E32" s="141" t="s">
        <v>395</v>
      </c>
      <c r="F32" s="131"/>
      <c r="G32" s="143">
        <f>G31/$G$31</f>
        <v>1</v>
      </c>
      <c r="H32" s="143">
        <f t="shared" ref="H32:N32" si="6">H31/$G$31</f>
        <v>0.95029229068052923</v>
      </c>
      <c r="I32" s="143">
        <f t="shared" si="6"/>
        <v>0.8901497112428548</v>
      </c>
      <c r="J32" s="152">
        <f>J31/$G$31</f>
        <v>0.89662509711513416</v>
      </c>
      <c r="K32" s="152">
        <f t="shared" si="6"/>
        <v>0.90317299217683189</v>
      </c>
      <c r="L32" s="152">
        <f t="shared" si="6"/>
        <v>0.90975588570582011</v>
      </c>
      <c r="M32" s="152">
        <f t="shared" si="6"/>
        <v>0.91637389651357071</v>
      </c>
      <c r="N32" s="379">
        <f t="shared" si="6"/>
        <v>0.92305950373521928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18.104646099500236</v>
      </c>
      <c r="K39" s="156">
        <f>IF(OR(K$5&lt;4,K$5&gt;8),'Input FD'!K30,'Input FD'!K30*$G$95/100)</f>
        <v>21.139641308925558</v>
      </c>
      <c r="L39" s="156">
        <f>IF(OR(L$5&lt;4,L$5&gt;8),'Input FD'!L30,'Input FD'!L30*$G$95/100)</f>
        <v>21.20739911961795</v>
      </c>
      <c r="M39" s="156">
        <f>IF(OR(M$5&lt;4,M$5&gt;8),'Input FD'!M30,'Input FD'!M30*$G$95/100)</f>
        <v>22.644908235383099</v>
      </c>
      <c r="N39" s="365">
        <f>IF(OR(N$5&lt;4,N$5&gt;8),'Input FD'!N30,'Input FD'!N30*$G$95/100)</f>
        <v>22.451496466092348</v>
      </c>
      <c r="O39" s="157"/>
      <c r="P39" s="158"/>
      <c r="Q39" s="148"/>
      <c r="R39" s="147" t="s">
        <v>242</v>
      </c>
    </row>
    <row r="40" spans="1:23" s="37" customFormat="1">
      <c r="C40" s="131"/>
      <c r="D40" s="153" t="s">
        <v>57</v>
      </c>
      <c r="E40" s="154" t="s">
        <v>61</v>
      </c>
      <c r="F40" s="155"/>
      <c r="G40" s="148"/>
      <c r="H40" s="148"/>
      <c r="I40" s="148"/>
      <c r="J40" s="156">
        <f>IF(OR(J$5&lt;4,J$5&gt;8),'Input FD'!J31,'Input FD'!J31*$G$95/100)</f>
        <v>14.284411850462625</v>
      </c>
      <c r="K40" s="156">
        <f>IF(OR(K$5&lt;4,K$5&gt;8),'Input FD'!K31,'Input FD'!K31*$G$95/100)</f>
        <v>17.943872549657687</v>
      </c>
      <c r="L40" s="156">
        <f>IF(OR(L$5&lt;4,L$5&gt;8),'Input FD'!L31,'Input FD'!L31*$G$95/100)</f>
        <v>15.105611364960932</v>
      </c>
      <c r="M40" s="156">
        <f>IF(OR(M$5&lt;4,M$5&gt;8),'Input FD'!M31,'Input FD'!M31*$G$95/100)</f>
        <v>8.0195790709218038</v>
      </c>
      <c r="N40" s="365">
        <f>IF(OR(N$5&lt;4,N$5&gt;8),'Input FD'!N31,'Input FD'!N31*$G$95/100)</f>
        <v>6.1996464535201588</v>
      </c>
      <c r="O40" s="157"/>
      <c r="P40" s="158"/>
      <c r="Q40" s="148"/>
      <c r="R40" s="147" t="s">
        <v>242</v>
      </c>
    </row>
    <row r="41" spans="1:23" s="37" customFormat="1">
      <c r="C41" s="131"/>
      <c r="D41" s="153" t="s">
        <v>57</v>
      </c>
      <c r="E41" s="154" t="s">
        <v>63</v>
      </c>
      <c r="F41" s="155"/>
      <c r="G41" s="148"/>
      <c r="H41" s="148"/>
      <c r="I41" s="148"/>
      <c r="J41" s="156">
        <f>IF(OR(J$5&lt;4,J$5&gt;8),'Input FD'!J32,'Input FD'!J32*$G$95/100)</f>
        <v>9.4415916978728713</v>
      </c>
      <c r="K41" s="156">
        <f>IF(OR(K$5&lt;4,K$5&gt;8),'Input FD'!K32,'Input FD'!K32*$G$95/100)</f>
        <v>14.405696626042817</v>
      </c>
      <c r="L41" s="156">
        <f>IF(OR(L$5&lt;4,L$5&gt;8),'Input FD'!L32,'Input FD'!L32*$G$95/100)</f>
        <v>7.1428627210451143</v>
      </c>
      <c r="M41" s="156">
        <f>IF(OR(M$5&lt;4,M$5&gt;8),'Input FD'!M32,'Input FD'!M32*$G$95/100)</f>
        <v>7.4416479704606013</v>
      </c>
      <c r="N41" s="365">
        <f>IF(OR(N$5&lt;4,N$5&gt;8),'Input FD'!N32,'Input FD'!N32*$G$95/100)</f>
        <v>2.6765262647527091</v>
      </c>
      <c r="O41" s="157"/>
      <c r="P41" s="158"/>
      <c r="Q41" s="148"/>
      <c r="R41" s="147" t="s">
        <v>242</v>
      </c>
    </row>
    <row r="42" spans="1:23" s="37" customFormat="1">
      <c r="C42" s="131"/>
      <c r="D42" s="153" t="s">
        <v>57</v>
      </c>
      <c r="E42" s="154" t="s">
        <v>62</v>
      </c>
      <c r="F42" s="155"/>
      <c r="G42" s="148"/>
      <c r="H42" s="148"/>
      <c r="I42" s="148"/>
      <c r="J42" s="156">
        <f>IF(OR(J$5&lt;4,J$5&gt;8),'Input FD'!J33,'Input FD'!J33*$G$95/100)</f>
        <v>9.0484155601282605</v>
      </c>
      <c r="K42" s="156">
        <f>IF(OR(K$5&lt;4,K$5&gt;8),'Input FD'!K33,'Input FD'!K33*$G$95/100)</f>
        <v>14.780012494122914</v>
      </c>
      <c r="L42" s="156">
        <f>IF(OR(L$5&lt;4,L$5&gt;8),'Input FD'!L33,'Input FD'!L33*$G$95/100)</f>
        <v>15.133845528855302</v>
      </c>
      <c r="M42" s="156">
        <f>IF(OR(M$5&lt;4,M$5&gt;8),'Input FD'!M33,'Input FD'!M33*$G$95/100)</f>
        <v>10.568997096852057</v>
      </c>
      <c r="N42" s="365">
        <f>IF(OR(N$5&lt;4,N$5&gt;8),'Input FD'!N33,'Input FD'!N33*$G$95/100)</f>
        <v>2.7198242709194802</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56.454693480241133</v>
      </c>
      <c r="K55" s="156">
        <f>SUM('Input FD'!K10:K13)-'Input FD'!K14-'Input FD'!K17+'Input FD'!K15+'Input FD'!K16</f>
        <v>76.550283796408777</v>
      </c>
      <c r="L55" s="156">
        <f>SUM('Input FD'!L10:L13)-'Input FD'!L14-'Input FD'!L17+'Input FD'!L15+'Input FD'!L16</f>
        <v>65.645614419569512</v>
      </c>
      <c r="M55" s="156">
        <f>SUM('Input FD'!M10:M13)-'Input FD'!M14-'Input FD'!M17+'Input FD'!M15+'Input FD'!M16</f>
        <v>57.468357224982313</v>
      </c>
      <c r="N55" s="365">
        <f>SUM('Input FD'!N10:N13)-'Input FD'!N14-'Input FD'!N17+'Input FD'!N15+'Input FD'!N16</f>
        <v>55.322925078798271</v>
      </c>
      <c r="O55" s="157"/>
      <c r="P55" s="158"/>
      <c r="Q55" s="148"/>
      <c r="R55" s="147" t="s">
        <v>242</v>
      </c>
    </row>
    <row r="56" spans="1:18" s="37" customFormat="1">
      <c r="C56" s="131"/>
      <c r="D56" s="153" t="s">
        <v>57</v>
      </c>
      <c r="E56" s="154" t="s">
        <v>114</v>
      </c>
      <c r="F56" s="155"/>
      <c r="G56" s="148"/>
      <c r="H56" s="148"/>
      <c r="I56" s="148"/>
      <c r="J56" s="156">
        <f>SUM('Input FD'!J30:J35)</f>
        <v>47.559461946427923</v>
      </c>
      <c r="K56" s="156">
        <f>SUM('Input FD'!K30:K35)</f>
        <v>63.814999334181799</v>
      </c>
      <c r="L56" s="156">
        <f>SUM('Input FD'!L30:L35)</f>
        <v>54.767034087886884</v>
      </c>
      <c r="M56" s="156">
        <f>SUM('Input FD'!M30:M35)</f>
        <v>45.499324651468832</v>
      </c>
      <c r="N56" s="365">
        <f>SUM('Input FD'!N30:N35)</f>
        <v>31.826065646827246</v>
      </c>
      <c r="O56" s="157"/>
      <c r="P56" s="158"/>
      <c r="Q56" s="148"/>
      <c r="R56" s="147" t="s">
        <v>242</v>
      </c>
    </row>
    <row r="57" spans="1:18" s="37" customFormat="1">
      <c r="C57" s="131"/>
      <c r="D57" s="153" t="s">
        <v>57</v>
      </c>
      <c r="E57" s="154" t="s">
        <v>115</v>
      </c>
      <c r="F57" s="155"/>
      <c r="G57" s="148"/>
      <c r="H57" s="148"/>
      <c r="I57" s="148"/>
      <c r="J57" s="156">
        <f>SUM(J39:J44)</f>
        <v>50.879065207963997</v>
      </c>
      <c r="K57" s="156">
        <f t="shared" ref="K57:N57" si="7">SUM(K39:K44)</f>
        <v>68.269222978748985</v>
      </c>
      <c r="L57" s="156">
        <f t="shared" si="7"/>
        <v>58.589718734479298</v>
      </c>
      <c r="M57" s="156">
        <f t="shared" si="7"/>
        <v>48.675132373617565</v>
      </c>
      <c r="N57" s="365">
        <f t="shared" si="7"/>
        <v>34.047493455284695</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56.454693480241133</v>
      </c>
      <c r="K62" s="156">
        <f t="shared" ref="K62:N62" si="8">K55+K59</f>
        <v>76.550283796408777</v>
      </c>
      <c r="L62" s="156">
        <f t="shared" si="8"/>
        <v>65.645614419569512</v>
      </c>
      <c r="M62" s="156">
        <f t="shared" si="8"/>
        <v>57.468357224982313</v>
      </c>
      <c r="N62" s="365">
        <f t="shared" si="8"/>
        <v>55.322925078798271</v>
      </c>
      <c r="O62" s="157"/>
      <c r="P62" s="158"/>
      <c r="Q62" s="148"/>
      <c r="R62" s="147" t="s">
        <v>242</v>
      </c>
    </row>
    <row r="63" spans="1:18" s="37" customFormat="1">
      <c r="C63" s="131"/>
      <c r="D63" s="153" t="s">
        <v>57</v>
      </c>
      <c r="E63" s="154" t="s">
        <v>182</v>
      </c>
      <c r="F63" s="155"/>
      <c r="G63" s="148"/>
      <c r="H63" s="148"/>
      <c r="I63" s="148"/>
      <c r="J63" s="156">
        <f>J56+J60</f>
        <v>47.559461946427923</v>
      </c>
      <c r="K63" s="156">
        <f t="shared" ref="K63:N63" si="9">K56+K60</f>
        <v>63.814999334181799</v>
      </c>
      <c r="L63" s="156">
        <f t="shared" si="9"/>
        <v>54.767034087886884</v>
      </c>
      <c r="M63" s="156">
        <f t="shared" si="9"/>
        <v>45.499324651468832</v>
      </c>
      <c r="N63" s="365">
        <f t="shared" si="9"/>
        <v>31.826065646827246</v>
      </c>
      <c r="O63" s="157"/>
      <c r="P63" s="158"/>
      <c r="Q63" s="148"/>
      <c r="R63" s="147" t="s">
        <v>242</v>
      </c>
    </row>
    <row r="64" spans="1:18" s="37" customFormat="1">
      <c r="C64" s="131"/>
      <c r="D64" s="153" t="s">
        <v>57</v>
      </c>
      <c r="E64" s="154" t="s">
        <v>250</v>
      </c>
      <c r="F64" s="155"/>
      <c r="G64" s="148"/>
      <c r="H64" s="148"/>
      <c r="I64" s="148"/>
      <c r="J64" s="156">
        <f>J63*$G$107/100</f>
        <v>50.879065207963997</v>
      </c>
      <c r="K64" s="156">
        <f t="shared" ref="K64:N64" si="10">K63*$G$107/100</f>
        <v>68.269222978748971</v>
      </c>
      <c r="L64" s="156">
        <f t="shared" si="10"/>
        <v>58.589718734479305</v>
      </c>
      <c r="M64" s="156">
        <f t="shared" si="10"/>
        <v>48.675132373617565</v>
      </c>
      <c r="N64" s="365">
        <f t="shared" si="10"/>
        <v>34.047493455284695</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1">SUM(K46:K51)</f>
        <v>0</v>
      </c>
      <c r="L68" s="156">
        <f t="shared" si="11"/>
        <v>0</v>
      </c>
      <c r="M68" s="156">
        <f t="shared" si="11"/>
        <v>0</v>
      </c>
      <c r="N68" s="365">
        <f t="shared" si="11"/>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0</v>
      </c>
      <c r="K73" s="156">
        <f t="shared" si="12"/>
        <v>0</v>
      </c>
      <c r="L73" s="156">
        <f t="shared" si="12"/>
        <v>0</v>
      </c>
      <c r="M73" s="156">
        <f t="shared" si="12"/>
        <v>0</v>
      </c>
      <c r="N73" s="365">
        <f t="shared" si="12"/>
        <v>0</v>
      </c>
      <c r="P73" s="136"/>
      <c r="Q73" s="131"/>
      <c r="R73" s="147" t="s">
        <v>242</v>
      </c>
    </row>
    <row r="74" spans="1:18" s="37" customFormat="1">
      <c r="C74" s="131"/>
      <c r="D74" s="153" t="s">
        <v>57</v>
      </c>
      <c r="E74" s="132" t="s">
        <v>184</v>
      </c>
      <c r="F74" s="131"/>
      <c r="G74" s="131"/>
      <c r="H74" s="131"/>
      <c r="I74" s="131"/>
      <c r="J74" s="156">
        <f t="shared" si="12"/>
        <v>0</v>
      </c>
      <c r="K74" s="156">
        <f t="shared" si="12"/>
        <v>0</v>
      </c>
      <c r="L74" s="156">
        <f t="shared" si="12"/>
        <v>0</v>
      </c>
      <c r="M74" s="156">
        <f t="shared" si="12"/>
        <v>0</v>
      </c>
      <c r="N74" s="365">
        <f t="shared" si="12"/>
        <v>0</v>
      </c>
      <c r="P74" s="136"/>
      <c r="Q74" s="131"/>
      <c r="R74" s="147" t="s">
        <v>242</v>
      </c>
    </row>
    <row r="75" spans="1:18" s="37" customFormat="1">
      <c r="C75" s="131"/>
      <c r="D75" s="153" t="s">
        <v>57</v>
      </c>
      <c r="E75" s="132" t="s">
        <v>109</v>
      </c>
      <c r="F75" s="131"/>
      <c r="G75" s="131"/>
      <c r="H75" s="131"/>
      <c r="I75" s="131"/>
      <c r="J75" s="156">
        <f>J74*$G$111/100</f>
        <v>0</v>
      </c>
      <c r="K75" s="156">
        <f t="shared" ref="K75:N75" si="13">K74*$G$111/100</f>
        <v>0</v>
      </c>
      <c r="L75" s="156">
        <f t="shared" si="13"/>
        <v>0</v>
      </c>
      <c r="M75" s="156">
        <f t="shared" si="13"/>
        <v>0</v>
      </c>
      <c r="N75" s="365">
        <f t="shared" si="13"/>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50.163144438902997</v>
      </c>
      <c r="K79" s="156">
        <f t="shared" ref="K79:N79" si="14">K62*K$21</f>
        <v>66.46145440261337</v>
      </c>
      <c r="L79" s="156">
        <f t="shared" si="14"/>
        <v>57.108487196254245</v>
      </c>
      <c r="M79" s="156">
        <f t="shared" si="14"/>
        <v>50.099253728230345</v>
      </c>
      <c r="N79" s="365">
        <f t="shared" si="14"/>
        <v>48.478136614465264</v>
      </c>
      <c r="P79" s="136"/>
      <c r="Q79" s="131"/>
      <c r="R79" s="147" t="s">
        <v>242</v>
      </c>
    </row>
    <row r="80" spans="1:18" s="37" customFormat="1">
      <c r="C80" s="131"/>
      <c r="D80" s="153" t="s">
        <v>57</v>
      </c>
      <c r="E80" s="132" t="s">
        <v>317</v>
      </c>
      <c r="F80" s="161"/>
      <c r="G80" s="162"/>
      <c r="H80" s="162"/>
      <c r="I80" s="163"/>
      <c r="J80" s="156">
        <f>J63*J$21</f>
        <v>42.259235007451935</v>
      </c>
      <c r="K80" s="156">
        <f t="shared" ref="K80:N80" si="15">K63*K$21</f>
        <v>55.404597581001994</v>
      </c>
      <c r="L80" s="156">
        <f t="shared" si="15"/>
        <v>47.644652162057085</v>
      </c>
      <c r="M80" s="156">
        <f t="shared" si="15"/>
        <v>39.66499688259993</v>
      </c>
      <c r="N80" s="365">
        <f t="shared" si="15"/>
        <v>27.888408939517799</v>
      </c>
      <c r="P80" s="136"/>
      <c r="Q80" s="131"/>
      <c r="R80" s="147" t="s">
        <v>242</v>
      </c>
    </row>
    <row r="81" spans="1:18" s="37" customFormat="1">
      <c r="C81" s="131"/>
      <c r="D81" s="153" t="s">
        <v>57</v>
      </c>
      <c r="E81" s="132" t="s">
        <v>318</v>
      </c>
      <c r="F81" s="161"/>
      <c r="G81" s="162"/>
      <c r="H81" s="162"/>
      <c r="I81" s="163"/>
      <c r="J81" s="156">
        <f>J64*J$21</f>
        <v>45.208887686844648</v>
      </c>
      <c r="K81" s="156">
        <f t="shared" ref="K81:N81" si="16">K64*K$21</f>
        <v>59.271783526906113</v>
      </c>
      <c r="L81" s="156">
        <f t="shared" si="16"/>
        <v>50.970201616129394</v>
      </c>
      <c r="M81" s="156">
        <f t="shared" si="16"/>
        <v>42.433574314544288</v>
      </c>
      <c r="N81" s="365">
        <f t="shared" si="16"/>
        <v>29.834992216236898</v>
      </c>
      <c r="P81" s="136"/>
      <c r="Q81" s="131"/>
      <c r="R81" s="147" t="s">
        <v>242</v>
      </c>
    </row>
    <row r="82" spans="1:18" s="37" customFormat="1">
      <c r="C82" s="131"/>
      <c r="D82" s="153" t="s">
        <v>57</v>
      </c>
      <c r="E82" s="132" t="s">
        <v>110</v>
      </c>
      <c r="F82" s="164"/>
      <c r="G82" s="164"/>
      <c r="H82" s="164"/>
      <c r="I82" s="164"/>
      <c r="J82" s="156">
        <f>SUM('Input FD'!J65:J70)*J$15</f>
        <v>18.470459359016843</v>
      </c>
      <c r="K82" s="156">
        <f>SUM('Input FD'!K65:K70)*K$15</f>
        <v>49.496888767950573</v>
      </c>
      <c r="L82" s="156">
        <f>SUM('Input FD'!L65:L70)*L$15</f>
        <v>72.080175028098608</v>
      </c>
      <c r="M82" s="156">
        <f>SUM('Input FD'!M65:M70)*M$15</f>
        <v>59.669038334216282</v>
      </c>
      <c r="N82" s="365">
        <f>SUM('Input FD'!N65:N70)*N$15</f>
        <v>42.807670561226971</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4" si="17">K73*K$21</f>
        <v>0</v>
      </c>
      <c r="L84" s="156">
        <f t="shared" si="17"/>
        <v>0</v>
      </c>
      <c r="M84" s="156">
        <f t="shared" si="17"/>
        <v>0</v>
      </c>
      <c r="N84" s="365">
        <f t="shared" si="17"/>
        <v>0</v>
      </c>
      <c r="P84" s="136"/>
      <c r="Q84" s="131"/>
      <c r="R84" s="147" t="s">
        <v>242</v>
      </c>
    </row>
    <row r="85" spans="1:18" s="37" customFormat="1">
      <c r="C85" s="131"/>
      <c r="D85" s="153" t="s">
        <v>57</v>
      </c>
      <c r="E85" s="132" t="s">
        <v>320</v>
      </c>
      <c r="F85" s="161"/>
      <c r="G85" s="162"/>
      <c r="H85" s="162"/>
      <c r="I85" s="163"/>
      <c r="J85" s="156">
        <f>J74*J$21</f>
        <v>0</v>
      </c>
      <c r="K85" s="156">
        <f t="shared" ref="K85:N85" si="18">K74*K$21</f>
        <v>0</v>
      </c>
      <c r="L85" s="156">
        <f t="shared" si="18"/>
        <v>0</v>
      </c>
      <c r="M85" s="156">
        <f t="shared" si="18"/>
        <v>0</v>
      </c>
      <c r="N85" s="365">
        <f t="shared" si="18"/>
        <v>0</v>
      </c>
      <c r="P85" s="136"/>
      <c r="Q85" s="131"/>
      <c r="R85" s="147" t="s">
        <v>242</v>
      </c>
    </row>
    <row r="86" spans="1:18" s="37" customFormat="1">
      <c r="C86" s="131"/>
      <c r="D86" s="153" t="s">
        <v>57</v>
      </c>
      <c r="E86" s="132" t="s">
        <v>321</v>
      </c>
      <c r="F86" s="161"/>
      <c r="G86" s="162"/>
      <c r="H86" s="162"/>
      <c r="I86" s="163"/>
      <c r="J86" s="156">
        <f>J75*J$21</f>
        <v>0</v>
      </c>
      <c r="K86" s="156">
        <f t="shared" ref="K86:N86" si="19">K75*K$21</f>
        <v>0</v>
      </c>
      <c r="L86" s="156">
        <f t="shared" si="19"/>
        <v>0</v>
      </c>
      <c r="M86" s="156">
        <f t="shared" si="19"/>
        <v>0</v>
      </c>
      <c r="N86" s="365">
        <f t="shared" si="19"/>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127.91960317192274</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106.97990079298069</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0.16040198414038631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-3.0683505394912558</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127.91960317192274</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106.97990079298069</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0.16040198414038631</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113.93501739465182</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-4.1839650423270474</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-8.9060670899952399</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-1.7254566772867099</v>
      </c>
      <c r="K127" s="156">
        <f>IF('Input FD'!K49&lt;&gt;"",'Input FD'!K49,K56*$G$97/100)</f>
        <v>-1.7254566772867099</v>
      </c>
      <c r="L127" s="156">
        <f>IF('Input FD'!L49&lt;&gt;"",'Input FD'!L49,L56*$G$97/100)</f>
        <v>-1.7254566772867099</v>
      </c>
      <c r="M127" s="156">
        <f>IF('Input FD'!M49&lt;&gt;"",'Input FD'!M49,M56*$G$97/100)</f>
        <v>-1.7254566772867099</v>
      </c>
      <c r="N127" s="365">
        <f>IF('Input FD'!N49&lt;&gt;"",'Input FD'!N49,N56*$G$97/100)</f>
        <v>-1.7254566772867099</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-0.27878370356168958</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0</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48.65148241422736</v>
      </c>
      <c r="K138" s="156">
        <f>(K57+'Input FD'!K83)*K$29</f>
        <v>67.532434985393124</v>
      </c>
      <c r="L138" s="156">
        <f>(L57+'Input FD'!L83)*L$29</f>
        <v>60.072840657288261</v>
      </c>
      <c r="M138" s="156">
        <f>(M57+'Input FD'!M83)*M$29</f>
        <v>51.828709802309639</v>
      </c>
      <c r="N138" s="365">
        <f>(N57+'Input FD'!N83)*N$29</f>
        <v>37.540366210322595</v>
      </c>
      <c r="O138" s="109"/>
      <c r="P138" s="136"/>
      <c r="Q138" s="104"/>
      <c r="R138" s="147" t="s">
        <v>87</v>
      </c>
    </row>
    <row r="139" spans="1:18" s="37" customFormat="1">
      <c r="C139" s="131"/>
      <c r="D139" s="131" t="s">
        <v>57</v>
      </c>
      <c r="E139" s="132" t="s">
        <v>110</v>
      </c>
      <c r="F139" s="131"/>
      <c r="G139" s="131"/>
      <c r="H139" s="182"/>
      <c r="I139" s="148"/>
      <c r="J139" s="156">
        <f>SUM('Input FD'!J65:J70)</f>
        <v>20.053999999999998</v>
      </c>
      <c r="K139" s="156">
        <f>SUM('Input FD'!K65:K70)</f>
        <v>56.319000000000003</v>
      </c>
      <c r="L139" s="156">
        <f>SUM('Input FD'!L65:L70)</f>
        <v>84.548999999999992</v>
      </c>
      <c r="M139" s="156">
        <f>SUM('Input FD'!M65:M70)</f>
        <v>72.010000000000005</v>
      </c>
      <c r="N139" s="365">
        <f>SUM('Input FD'!N65:N70)</f>
        <v>52.989000000000004</v>
      </c>
      <c r="P139" s="136"/>
      <c r="Q139" s="131"/>
      <c r="R139" s="147" t="s">
        <v>87</v>
      </c>
    </row>
    <row r="140" spans="1:18" s="37" customFormat="1">
      <c r="C140" s="131"/>
      <c r="D140" s="131" t="s">
        <v>57</v>
      </c>
      <c r="E140" s="132" t="s">
        <v>192</v>
      </c>
      <c r="F140" s="131"/>
      <c r="G140" s="131"/>
      <c r="H140" s="131"/>
      <c r="I140" s="181"/>
      <c r="J140" s="205">
        <f>(J139-J138)*J$15</f>
        <v>-26.339315682765804</v>
      </c>
      <c r="K140" s="205">
        <f>(K139-K138)*K$15</f>
        <v>-9.8551136237974539</v>
      </c>
      <c r="L140" s="205">
        <f>(L139-L138)*L$15</f>
        <v>20.866548976786156</v>
      </c>
      <c r="M140" s="205">
        <f>(M139-M138)*M$15</f>
        <v>16.722652109983748</v>
      </c>
      <c r="N140" s="675">
        <f>(N139-N138)*N$15</f>
        <v>12.48032659400158</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0</v>
      </c>
      <c r="K142" s="156">
        <f>(K68+'Input FD'!K91)*K$29</f>
        <v>0</v>
      </c>
      <c r="L142" s="156">
        <f>(L68+'Input FD'!L91)*L$29</f>
        <v>0</v>
      </c>
      <c r="M142" s="156">
        <f>(M68+'Input FD'!M91)*M$29</f>
        <v>0</v>
      </c>
      <c r="N142" s="365">
        <f>(N68+'Input FD'!N91)*N$29</f>
        <v>0</v>
      </c>
      <c r="O142" s="109"/>
      <c r="P142" s="136"/>
      <c r="Q142" s="104"/>
      <c r="R142" s="147" t="s">
        <v>87</v>
      </c>
    </row>
    <row r="143" spans="1:18" s="37" customFormat="1">
      <c r="C143" s="131"/>
      <c r="D143" s="131" t="s">
        <v>57</v>
      </c>
      <c r="E143" s="132" t="s">
        <v>111</v>
      </c>
      <c r="F143" s="131"/>
      <c r="G143" s="131"/>
      <c r="H143" s="131"/>
      <c r="I143" s="131"/>
      <c r="J143" s="156">
        <f>IF('Input FD'!$O$151=1,0,SUM('Input FD'!J72:J77))</f>
        <v>0</v>
      </c>
      <c r="K143" s="156">
        <f>IF('Input FD'!$O$151=1,0,SUM('Input FD'!K72:K77))</f>
        <v>0</v>
      </c>
      <c r="L143" s="156">
        <f>IF('Input FD'!$O$151=1,0,SUM('Input FD'!L72:L77))</f>
        <v>0</v>
      </c>
      <c r="M143" s="156">
        <f>IF('Input FD'!$O$151=1,0,SUM('Input FD'!M72:M77))</f>
        <v>0</v>
      </c>
      <c r="N143" s="365">
        <f>IF('Input FD'!$O$151=1,0,SUM('Input FD'!N72:N77))</f>
        <v>0</v>
      </c>
      <c r="P143" s="158"/>
      <c r="Q143" s="131"/>
      <c r="R143" s="147" t="s">
        <v>87</v>
      </c>
    </row>
    <row r="144" spans="1:18" s="37" customFormat="1">
      <c r="C144" s="131"/>
      <c r="D144" s="131" t="s">
        <v>57</v>
      </c>
      <c r="E144" s="132" t="s">
        <v>193</v>
      </c>
      <c r="F144" s="131"/>
      <c r="G144" s="131"/>
      <c r="H144" s="131"/>
      <c r="I144" s="131"/>
      <c r="J144" s="205">
        <f>(J143-J142)*J$15</f>
        <v>0</v>
      </c>
      <c r="K144" s="205">
        <f>(K143-K142)*K$15</f>
        <v>0</v>
      </c>
      <c r="L144" s="205">
        <f>(L143-L142)*L$15</f>
        <v>0</v>
      </c>
      <c r="M144" s="205">
        <f>(M143-M142)*M$15</f>
        <v>0</v>
      </c>
      <c r="N144" s="675">
        <f>(N143-N142)*N$15</f>
        <v>0</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264.22376567687598</v>
      </c>
      <c r="J148" s="156">
        <f>'Input FD'!J$54</f>
        <v>277.99080734748799</v>
      </c>
      <c r="K148" s="156">
        <f>'Input FD'!K$54</f>
        <v>306.874526251193</v>
      </c>
      <c r="L148" s="156">
        <f>'Input FD'!L$54</f>
        <v>326.25828972856698</v>
      </c>
      <c r="M148" s="156">
        <f>'Input FD'!M$54</f>
        <v>336.70611012907</v>
      </c>
      <c r="N148" s="365">
        <f>'Input FD'!N$54</f>
        <v>334.03593667583601</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13.875098374208227</v>
      </c>
      <c r="Q149" s="161"/>
      <c r="R149" s="147" t="s">
        <v>242</v>
      </c>
    </row>
    <row r="150" spans="1:24" s="37" customFormat="1">
      <c r="A150" s="109"/>
      <c r="B150" s="109"/>
      <c r="C150" s="104"/>
      <c r="D150" s="104" t="s">
        <v>57</v>
      </c>
      <c r="E150" s="177" t="s">
        <v>386</v>
      </c>
      <c r="F150" s="131"/>
      <c r="G150" s="104"/>
      <c r="H150" s="104"/>
      <c r="I150" s="205"/>
      <c r="J150" s="156">
        <f>IF(J5=8,J148+$P$149,J148)</f>
        <v>277.99080734748799</v>
      </c>
      <c r="K150" s="156">
        <f>IF(K5=8,K148+$P$149,K148)</f>
        <v>306.874526251193</v>
      </c>
      <c r="L150" s="156">
        <f>IF(L5=8,L148+$P$149,L148)</f>
        <v>326.25828972856698</v>
      </c>
      <c r="M150" s="156">
        <f>IF(M5=8,M148+$P$149,M148)</f>
        <v>336.70611012907</v>
      </c>
      <c r="N150" s="365">
        <f>IF(N5=8,N148+$P$149,N148)</f>
        <v>347.91103505004423</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45.619446783217967</v>
      </c>
      <c r="L161" s="360">
        <f t="shared" si="21"/>
        <v>107.27836517452201</v>
      </c>
      <c r="M161" s="360">
        <f t="shared" si="21"/>
        <v>160.58070663506311</v>
      </c>
      <c r="N161" s="363">
        <f t="shared" si="21"/>
        <v>205.18532735158888</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45.619446783217967</v>
      </c>
      <c r="K162" s="360">
        <f t="shared" ref="K162:N162" si="22">K161+K138*K$26</f>
        <v>107.27836517452201</v>
      </c>
      <c r="L162" s="360">
        <f t="shared" si="22"/>
        <v>160.58070663506311</v>
      </c>
      <c r="M162" s="360">
        <f t="shared" si="22"/>
        <v>205.18532735158888</v>
      </c>
      <c r="N162" s="363">
        <f t="shared" si="22"/>
        <v>236.61318976385209</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22.809723391608983</v>
      </c>
      <c r="K163" s="360">
        <f t="shared" ref="K163:N163" si="23">(K162+K161)/2</f>
        <v>76.448905978869988</v>
      </c>
      <c r="L163" s="360">
        <f t="shared" si="23"/>
        <v>133.92953590479254</v>
      </c>
      <c r="M163" s="360">
        <f t="shared" si="23"/>
        <v>182.88301699332601</v>
      </c>
      <c r="N163" s="363">
        <f t="shared" si="23"/>
        <v>220.89925855772049</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0</v>
      </c>
      <c r="L165" s="156">
        <f t="shared" si="24"/>
        <v>0</v>
      </c>
      <c r="M165" s="156">
        <f t="shared" si="24"/>
        <v>0</v>
      </c>
      <c r="N165" s="365">
        <f t="shared" si="24"/>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5">K165+K142*K$26</f>
        <v>0</v>
      </c>
      <c r="L166" s="156">
        <f t="shared" si="25"/>
        <v>0</v>
      </c>
      <c r="M166" s="156">
        <f t="shared" si="25"/>
        <v>0</v>
      </c>
      <c r="N166" s="365">
        <f t="shared" si="25"/>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 si="26">(K166+K165)/2</f>
        <v>0</v>
      </c>
      <c r="L167" s="156">
        <f t="shared" ref="L167" si="27">(L166+L165)/2</f>
        <v>0</v>
      </c>
      <c r="M167" s="156">
        <f t="shared" ref="M167" si="28">(M166+M165)/2</f>
        <v>0</v>
      </c>
      <c r="N167" s="365">
        <f t="shared" ref="N167" si="29">(N166+N165)/2</f>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18.470459359016843</v>
      </c>
      <c r="L171" s="360">
        <f t="shared" si="30"/>
        <v>67.967348126967408</v>
      </c>
      <c r="M171" s="360">
        <f t="shared" si="30"/>
        <v>140.04752315506602</v>
      </c>
      <c r="N171" s="363">
        <f t="shared" si="30"/>
        <v>199.7165614892823</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18.470459359016843</v>
      </c>
      <c r="K172" s="360">
        <f t="shared" ref="K172:N172" si="31">K171+K139*K$15</f>
        <v>67.967348126967408</v>
      </c>
      <c r="L172" s="360">
        <f t="shared" si="31"/>
        <v>140.04752315506602</v>
      </c>
      <c r="M172" s="360">
        <f t="shared" si="31"/>
        <v>199.7165614892823</v>
      </c>
      <c r="N172" s="363">
        <f t="shared" si="31"/>
        <v>242.52423205050928</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9.2352296795084214</v>
      </c>
      <c r="K173" s="360">
        <f t="shared" ref="K173" si="32">(K172+K171)/2</f>
        <v>43.218903742992126</v>
      </c>
      <c r="L173" s="360">
        <f t="shared" ref="L173" si="33">(L172+L171)/2</f>
        <v>104.00743564101671</v>
      </c>
      <c r="M173" s="360">
        <f t="shared" ref="M173" si="34">(M172+M171)/2</f>
        <v>169.88204232217416</v>
      </c>
      <c r="N173" s="363">
        <f t="shared" ref="N173" si="35">(N172+N171)/2</f>
        <v>221.12039676989579</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0</v>
      </c>
      <c r="L175" s="360">
        <f t="shared" si="36"/>
        <v>0</v>
      </c>
      <c r="M175" s="360">
        <f t="shared" si="36"/>
        <v>0</v>
      </c>
      <c r="N175" s="363">
        <f t="shared" si="36"/>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37">K175+K143*K$15</f>
        <v>0</v>
      </c>
      <c r="L176" s="360">
        <f t="shared" si="37"/>
        <v>0</v>
      </c>
      <c r="M176" s="360">
        <f t="shared" si="37"/>
        <v>0</v>
      </c>
      <c r="N176" s="363">
        <f t="shared" si="37"/>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 si="38">(K176+K175)/2</f>
        <v>0</v>
      </c>
      <c r="L177" s="360">
        <f t="shared" ref="L177" si="39">(L176+L175)/2</f>
        <v>0</v>
      </c>
      <c r="M177" s="360">
        <f t="shared" ref="M177" si="40">(M176+M175)/2</f>
        <v>0</v>
      </c>
      <c r="N177" s="363">
        <f t="shared" ref="N177" si="41">(N176+N175)/2</f>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-27.148987424201124</v>
      </c>
      <c r="K181" s="156">
        <f>(K$139*K$15)-(K$138*K$26)</f>
        <v>-12.162029623353469</v>
      </c>
      <c r="L181" s="156">
        <f>(L$139*L$15)-(L$138*L$26)</f>
        <v>18.777833567557522</v>
      </c>
      <c r="M181" s="156">
        <f>(M$139*M$15)-(M$138*M$26)</f>
        <v>15.064417617690516</v>
      </c>
      <c r="N181" s="365">
        <f>(N$139*N$15)-(N$138*N$26)</f>
        <v>11.379808148963754</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-0.65836294503687731</v>
      </c>
      <c r="K184" s="156">
        <f>(K173-K163)*'Input FD'!$O$59</f>
        <v>-1.6116551084400763</v>
      </c>
      <c r="L184" s="156">
        <f>(L173-L163)*'Input FD'!$O$59</f>
        <v>-1.4512218627931279</v>
      </c>
      <c r="M184" s="156">
        <f>(M173-M163)*'Input FD'!$O$59</f>
        <v>-0.63054727155086487</v>
      </c>
      <c r="N184" s="365">
        <f>(N173-N163)*'Input FD'!$O$59</f>
        <v>1.0725203290502279E-2</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-5.4458342063701988E-2</v>
      </c>
      <c r="K187" s="156">
        <f>$P$130*K63/SUM($J$63:$N$63)</f>
        <v>-7.3071875086610505E-2</v>
      </c>
      <c r="L187" s="156">
        <f>$P$130*L63/SUM($J$63:$N$63)</f>
        <v>-6.2711430157308179E-2</v>
      </c>
      <c r="M187" s="156">
        <f>$P$130*M63/SUM($J$63:$N$63)</f>
        <v>-5.2099365386601496E-2</v>
      </c>
      <c r="N187" s="365">
        <f>$P$130*N63/SUM($J$63:$N$63)</f>
        <v>-3.6442690867467417E-2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-0.71282128710057935</v>
      </c>
      <c r="K190" s="156">
        <f t="shared" ref="K190:N190" si="42">K187+K184</f>
        <v>-1.6847269835266867</v>
      </c>
      <c r="L190" s="156">
        <f t="shared" si="42"/>
        <v>-1.5139332929504361</v>
      </c>
      <c r="M190" s="156">
        <f t="shared" si="42"/>
        <v>-0.68264663693746641</v>
      </c>
      <c r="N190" s="365">
        <f t="shared" si="42"/>
        <v>-2.571748757696514E-2</v>
      </c>
      <c r="O190" s="157"/>
      <c r="P190" s="158"/>
      <c r="Q190" s="148"/>
      <c r="R190" s="147" t="s">
        <v>242</v>
      </c>
    </row>
    <row r="191" spans="1:24" s="37" customFormat="1">
      <c r="C191" s="131"/>
      <c r="D191" s="153" t="s">
        <v>57</v>
      </c>
      <c r="E191" s="154" t="s">
        <v>406</v>
      </c>
      <c r="F191" s="155"/>
      <c r="G191" s="148"/>
      <c r="H191" s="148"/>
      <c r="I191" s="148"/>
      <c r="J191" s="156">
        <f>J188+J185</f>
        <v>0</v>
      </c>
      <c r="K191" s="156">
        <f t="shared" ref="K191:N191" si="43">K188+K185</f>
        <v>0</v>
      </c>
      <c r="L191" s="156">
        <f t="shared" si="43"/>
        <v>0</v>
      </c>
      <c r="M191" s="156">
        <f t="shared" si="43"/>
        <v>0</v>
      </c>
      <c r="N191" s="365">
        <f t="shared" si="43"/>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-0.86149825050211837</v>
      </c>
      <c r="K193" s="156">
        <f>IF('Input FD'!$O$156=0,(K190/(1+'Input FD'!$O$60)^K$6),(K190/(1+'Input FD'!$O$59)^K$6))</f>
        <v>-1.9419356573746007</v>
      </c>
      <c r="L193" s="156">
        <f>IF('Input FD'!$O$156=0,(L190/(1+'Input FD'!$O$60)^L$6),(L190/(1+'Input FD'!$O$59)^L$6))</f>
        <v>-1.6643459719549709</v>
      </c>
      <c r="M193" s="156">
        <f>IF('Input FD'!$O$156=0,(M190/(1+'Input FD'!$O$60)^M$6),(M190/(1+'Input FD'!$O$59)^M$6))</f>
        <v>-0.71575499882893356</v>
      </c>
      <c r="N193" s="664">
        <f>IF('Input FD'!$O$156=0,(N190/(1+'Input FD'!$O$60)^N$6),(N190/(1+'Input FD'!$O$59)^N$6))</f>
        <v>-2.571748757696514E-2</v>
      </c>
      <c r="O193" s="109"/>
      <c r="P193" s="622">
        <f>SUM(J193:N193)</f>
        <v>-5.2092523662375889</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-1.0105249543762798</v>
      </c>
      <c r="K196" s="156">
        <f t="shared" ref="K196:N197" si="44">K193*$L$13/$G$13</f>
        <v>-2.2778623641155189</v>
      </c>
      <c r="L196" s="156">
        <f t="shared" si="44"/>
        <v>-1.9522536887287691</v>
      </c>
      <c r="M196" s="156">
        <f t="shared" si="44"/>
        <v>-0.8395702337348202</v>
      </c>
      <c r="N196" s="365">
        <f t="shared" si="44"/>
        <v>-3.0166239972325204E-2</v>
      </c>
      <c r="O196" s="109"/>
      <c r="P196" s="622">
        <f>P193*$L$13/$G$13</f>
        <v>-6.1103774809277143</v>
      </c>
      <c r="Q196" s="104"/>
      <c r="R196" s="160" t="s">
        <v>413</v>
      </c>
    </row>
    <row r="197" spans="1:20" s="37" customFormat="1">
      <c r="A197" s="109"/>
      <c r="B197" s="109"/>
      <c r="C197" s="131"/>
      <c r="D197" s="104" t="s">
        <v>57</v>
      </c>
      <c r="E197" s="177" t="s">
        <v>412</v>
      </c>
      <c r="F197" s="104"/>
      <c r="G197" s="104"/>
      <c r="H197" s="131"/>
      <c r="I197" s="131"/>
      <c r="J197" s="156">
        <f>J194*$L$13/$G$13</f>
        <v>0</v>
      </c>
      <c r="K197" s="156">
        <f t="shared" si="44"/>
        <v>0</v>
      </c>
      <c r="L197" s="156">
        <f t="shared" si="44"/>
        <v>0</v>
      </c>
      <c r="M197" s="156">
        <f t="shared" si="44"/>
        <v>0</v>
      </c>
      <c r="N197" s="365">
        <f t="shared" si="44"/>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16.27528917602681</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-10.446687540623619</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-10.119678299271905</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-0.32700924135171405</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-5.0920027536973418</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-5.4190119950490558</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-6.1103774809277143</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2016-09-30T09:18:52Z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