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N16"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I20" i="29" l="1"/>
  <c r="I21" i="29" s="1"/>
  <c r="J17" i="29"/>
  <c r="K17" i="29" s="1"/>
  <c r="J15" i="29"/>
  <c r="K13" i="29"/>
  <c r="U51" i="31"/>
  <c r="U17" i="32"/>
  <c r="U16" i="32"/>
  <c r="M24" i="32"/>
  <c r="K54" i="32"/>
  <c r="L54" i="32"/>
  <c r="J53" i="32"/>
  <c r="N25" i="32"/>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18" i="29" l="1"/>
  <c r="J20" i="29"/>
  <c r="J21" i="29" s="1"/>
  <c r="J84" i="29" s="1"/>
  <c r="J59" i="32" s="1"/>
  <c r="K15" i="29"/>
  <c r="L13" i="29"/>
  <c r="P212" i="29" s="1"/>
  <c r="J176" i="29"/>
  <c r="J82" i="29"/>
  <c r="J33" i="32" s="1"/>
  <c r="J87" i="29"/>
  <c r="J62" i="32" s="1"/>
  <c r="J172" i="29"/>
  <c r="U24" i="32"/>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80" i="29" l="1"/>
  <c r="J85" i="29"/>
  <c r="J60" i="32" s="1"/>
  <c r="L54" i="17"/>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U33" i="32"/>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6" i="29" l="1"/>
  <c r="N60" i="32"/>
  <c r="U60" i="32" s="1"/>
  <c r="P125" i="29"/>
  <c r="G119"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J5" i="21"/>
  <c r="P79" i="21"/>
  <c r="E212" i="4"/>
  <c r="E213" i="4"/>
  <c r="E205" i="4"/>
  <c r="E204" i="4"/>
  <c r="P131" i="29" l="1"/>
  <c r="U66" i="32"/>
  <c r="P210" i="29"/>
  <c r="AN11" i="26"/>
  <c r="L38" i="17"/>
  <c r="G117" i="29"/>
  <c r="G34" i="32"/>
  <c r="AN15" i="26"/>
  <c r="L42" i="17"/>
  <c r="G63" i="32"/>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L191" i="29" l="1"/>
  <c r="L52" i="17"/>
  <c r="AN25" i="26"/>
  <c r="AN12" i="26"/>
  <c r="L39" i="17"/>
  <c r="P124" i="29"/>
  <c r="M163" i="29"/>
  <c r="M184" i="29" s="1"/>
  <c r="N161" i="29"/>
  <c r="N162" i="29" s="1"/>
  <c r="N163" i="29" s="1"/>
  <c r="N184" i="29" s="1"/>
  <c r="N165" i="29"/>
  <c r="N166" i="29" s="1"/>
  <c r="N167" i="29" s="1"/>
  <c r="N185" i="29" s="1"/>
  <c r="N191" i="29" s="1"/>
  <c r="N194" i="29" s="1"/>
  <c r="N197" i="29" s="1"/>
  <c r="M167" i="29"/>
  <c r="M185" i="29" s="1"/>
  <c r="M191" i="29" s="1"/>
  <c r="M194" i="29" s="1"/>
  <c r="M197" i="29" s="1"/>
  <c r="U5" i="30"/>
  <c r="T6" i="30"/>
  <c r="N140" i="29"/>
  <c r="P149" i="29" s="1"/>
  <c r="N181" i="29"/>
  <c r="J197" i="29"/>
  <c r="R127" i="30"/>
  <c r="R51" i="30"/>
  <c r="R35" i="30"/>
  <c r="R98" i="30"/>
  <c r="R68" i="30"/>
  <c r="R110" i="30"/>
  <c r="R86" i="30"/>
  <c r="S62" i="30"/>
  <c r="S80" i="30"/>
  <c r="S20" i="30"/>
  <c r="R83" i="30"/>
  <c r="R65" i="30"/>
  <c r="R64" i="30"/>
  <c r="R82" i="30"/>
  <c r="N182" i="29"/>
  <c r="N144" i="29"/>
  <c r="P153" i="29" s="1"/>
  <c r="S149" i="30"/>
  <c r="L5" i="21"/>
  <c r="K6" i="21"/>
  <c r="P135" i="18"/>
  <c r="P18" i="18"/>
  <c r="P205" i="29" l="1"/>
  <c r="L48" i="17"/>
  <c r="AN21" i="26"/>
  <c r="AH5" i="26"/>
  <c r="F32" i="17"/>
  <c r="O14" i="33"/>
  <c r="N154" i="29"/>
  <c r="P209" i="29"/>
  <c r="AH4" i="26"/>
  <c r="N150" i="29"/>
  <c r="F31" i="17"/>
  <c r="O13" i="33"/>
  <c r="P201" i="29"/>
  <c r="P213" i="29"/>
  <c r="U37" i="32"/>
  <c r="P202" i="29"/>
  <c r="P130" i="29"/>
  <c r="L194" i="29"/>
  <c r="P214" i="29"/>
  <c r="S65" i="30"/>
  <c r="S83" i="30"/>
  <c r="S82" i="30"/>
  <c r="S64" i="30"/>
  <c r="U107" i="30"/>
  <c r="U95" i="30"/>
  <c r="S110" i="30"/>
  <c r="S86" i="30"/>
  <c r="S51" i="30"/>
  <c r="S35" i="30"/>
  <c r="S98" i="30"/>
  <c r="S68" i="30"/>
  <c r="S127" i="30"/>
  <c r="V107" i="30"/>
  <c r="V95" i="30"/>
  <c r="R88" i="30"/>
  <c r="R148" i="30"/>
  <c r="V5" i="30"/>
  <c r="V6" i="30" s="1"/>
  <c r="U6" i="30"/>
  <c r="R140" i="30"/>
  <c r="R87" i="30"/>
  <c r="R139" i="30"/>
  <c r="R69" i="30"/>
  <c r="R147" i="30"/>
  <c r="R70"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L56" i="17" l="1"/>
  <c r="AN29" i="26"/>
  <c r="L51" i="17"/>
  <c r="AN24" i="26"/>
  <c r="L197" i="29"/>
  <c r="P194" i="29"/>
  <c r="L55" i="17"/>
  <c r="AN28" i="26"/>
  <c r="M187" i="29"/>
  <c r="M190" i="29" s="1"/>
  <c r="M193" i="29" s="1"/>
  <c r="M196" i="29" s="1"/>
  <c r="L187" i="29"/>
  <c r="L190" i="29" s="1"/>
  <c r="L193" i="29" s="1"/>
  <c r="L196" i="29" s="1"/>
  <c r="N187" i="29"/>
  <c r="N190" i="29" s="1"/>
  <c r="N193" i="29" s="1"/>
  <c r="N196" i="29" s="1"/>
  <c r="K187" i="29"/>
  <c r="K190" i="29" s="1"/>
  <c r="K193" i="29" s="1"/>
  <c r="K196" i="29" s="1"/>
  <c r="J187" i="29"/>
  <c r="L45" i="17"/>
  <c r="AN18" i="26"/>
  <c r="AN17" i="26"/>
  <c r="L44" i="17"/>
  <c r="R149" i="30"/>
  <c r="R100" i="30"/>
  <c r="S37" i="30"/>
  <c r="S36" i="30"/>
  <c r="U149" i="30"/>
  <c r="S148" i="30"/>
  <c r="S88" i="30"/>
  <c r="T127" i="30"/>
  <c r="T98" i="30"/>
  <c r="T68" i="30"/>
  <c r="T110" i="30"/>
  <c r="T86" i="30"/>
  <c r="T51" i="30"/>
  <c r="T35" i="30"/>
  <c r="T82" i="30"/>
  <c r="T65" i="30"/>
  <c r="T83" i="30"/>
  <c r="T64" i="30"/>
  <c r="V80" i="30"/>
  <c r="V62" i="30"/>
  <c r="V20" i="30"/>
  <c r="S69" i="30"/>
  <c r="S139" i="30"/>
  <c r="V149" i="30"/>
  <c r="S100" i="30"/>
  <c r="S112" i="30"/>
  <c r="S140" i="30"/>
  <c r="S87" i="30"/>
  <c r="U62" i="30"/>
  <c r="U80" i="30"/>
  <c r="U20" i="30"/>
  <c r="S70" i="30"/>
  <c r="S147" i="30"/>
  <c r="M6" i="21"/>
  <c r="N5" i="21"/>
  <c r="C94" i="18"/>
  <c r="E98" i="18"/>
  <c r="D98" i="18"/>
  <c r="C64" i="18"/>
  <c r="C47" i="18"/>
  <c r="C31" i="18"/>
  <c r="V106" i="30" l="1"/>
  <c r="V94" i="30"/>
  <c r="V141" i="30" s="1"/>
  <c r="T94" i="30"/>
  <c r="T141" i="30" s="1"/>
  <c r="T106" i="30"/>
  <c r="T111" i="30" s="1"/>
  <c r="O17" i="33"/>
  <c r="P197" i="29"/>
  <c r="U39" i="32"/>
  <c r="J190" i="29"/>
  <c r="P204" i="29"/>
  <c r="U94" i="30"/>
  <c r="U141" i="30" s="1"/>
  <c r="U106" i="30"/>
  <c r="T107" i="30"/>
  <c r="T112" i="30" s="1"/>
  <c r="T95" i="30"/>
  <c r="T149" i="30" s="1"/>
  <c r="S106" i="30"/>
  <c r="S111" i="30" s="1"/>
  <c r="S94" i="30"/>
  <c r="T139" i="30"/>
  <c r="T69" i="30"/>
  <c r="T37" i="30"/>
  <c r="T36" i="30"/>
  <c r="T148" i="30"/>
  <c r="T88" i="30"/>
  <c r="U64" i="30"/>
  <c r="U83" i="30"/>
  <c r="U65" i="30"/>
  <c r="U82" i="30"/>
  <c r="U110" i="30"/>
  <c r="U98" i="30"/>
  <c r="U68" i="30"/>
  <c r="U127" i="30"/>
  <c r="U51" i="30"/>
  <c r="U35" i="30"/>
  <c r="U86" i="30"/>
  <c r="V127" i="30"/>
  <c r="V51" i="30"/>
  <c r="V35" i="30"/>
  <c r="V86" i="30"/>
  <c r="V110" i="30"/>
  <c r="V68" i="30"/>
  <c r="V98" i="30"/>
  <c r="T147" i="30"/>
  <c r="T70" i="30"/>
  <c r="V83" i="30"/>
  <c r="V82" i="30"/>
  <c r="V64" i="30"/>
  <c r="V65" i="30"/>
  <c r="P21" i="30"/>
  <c r="P45" i="30" s="1"/>
  <c r="T140" i="30"/>
  <c r="T87"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T100" i="30" l="1"/>
  <c r="AN20" i="26"/>
  <c r="L47" i="17"/>
  <c r="P215" i="29"/>
  <c r="O20" i="33"/>
  <c r="P14" i="30"/>
  <c r="P206" i="29"/>
  <c r="J193" i="29"/>
  <c r="T99" i="30"/>
  <c r="S141" i="30"/>
  <c r="S99" i="30"/>
  <c r="V139" i="30"/>
  <c r="V69" i="30"/>
  <c r="V112" i="30"/>
  <c r="V111" i="30"/>
  <c r="V148" i="30"/>
  <c r="V88" i="30"/>
  <c r="V100" i="30"/>
  <c r="V99" i="30"/>
  <c r="V37" i="30"/>
  <c r="V36" i="30"/>
  <c r="U147" i="30"/>
  <c r="U70" i="30"/>
  <c r="V70" i="30"/>
  <c r="V147" i="30"/>
  <c r="U36" i="30"/>
  <c r="U37" i="30"/>
  <c r="U100" i="30"/>
  <c r="U99" i="30"/>
  <c r="U148" i="30"/>
  <c r="U88" i="30"/>
  <c r="U112" i="30"/>
  <c r="U111" i="30"/>
  <c r="U69" i="30"/>
  <c r="P71" i="30" s="1"/>
  <c r="U139" i="30"/>
  <c r="V140" i="30"/>
  <c r="V87" i="30"/>
  <c r="U87" i="30"/>
  <c r="U140" i="30"/>
  <c r="S5" i="21"/>
  <c r="R6" i="21"/>
  <c r="C83" i="18"/>
  <c r="C148" i="18" s="1"/>
  <c r="C140" i="18"/>
  <c r="P78" i="18"/>
  <c r="P114" i="30" l="1"/>
  <c r="P117" i="30" s="1"/>
  <c r="P102" i="30"/>
  <c r="AN22" i="26"/>
  <c r="L49" i="17"/>
  <c r="P60" i="30"/>
  <c r="P44" i="30"/>
  <c r="P119" i="30"/>
  <c r="P121" i="30" s="1"/>
  <c r="P77" i="30"/>
  <c r="R32" i="30"/>
  <c r="J196" i="29"/>
  <c r="P193" i="29"/>
  <c r="L57" i="17"/>
  <c r="AN30" i="26"/>
  <c r="P90" i="30"/>
  <c r="P72" i="30"/>
  <c r="P89" i="30"/>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106" i="30" l="1"/>
  <c r="R111" i="30" s="1"/>
  <c r="P113" i="30" s="1"/>
  <c r="P116" i="30" s="1"/>
  <c r="R94" i="30"/>
  <c r="R48" i="30"/>
  <c r="V48" i="30"/>
  <c r="U48" i="30"/>
  <c r="S48" i="30"/>
  <c r="T48" i="30"/>
  <c r="R37" i="30"/>
  <c r="P39" i="30" s="1"/>
  <c r="R145" i="30"/>
  <c r="O16" i="33"/>
  <c r="P196" i="29"/>
  <c r="U124" i="30"/>
  <c r="R124" i="30"/>
  <c r="V124" i="30"/>
  <c r="S124" i="30"/>
  <c r="T124" i="30"/>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G31" i="20"/>
  <c r="G32" i="20" s="1"/>
  <c r="H31" i="20"/>
  <c r="G29" i="20"/>
  <c r="H29" i="20"/>
  <c r="J31" i="20"/>
  <c r="K29" i="20"/>
  <c r="L31" i="20"/>
  <c r="L29" i="20"/>
  <c r="M29" i="20"/>
  <c r="N29" i="20"/>
  <c r="N31"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U16" i="22"/>
  <c r="J20" i="22"/>
  <c r="N20" i="22"/>
  <c r="U21" i="22"/>
  <c r="U31" i="22"/>
  <c r="J37" i="22"/>
  <c r="N37" i="22"/>
  <c r="M38" i="22"/>
  <c r="L39" i="22"/>
  <c r="K40" i="22"/>
  <c r="J41" i="22"/>
  <c r="M42" i="22"/>
  <c r="U47" i="22"/>
  <c r="S80" i="21"/>
  <c r="S62" i="21"/>
  <c r="S20" i="21"/>
  <c r="R64" i="21"/>
  <c r="R82" i="21"/>
  <c r="R83" i="21"/>
  <c r="R65" i="21"/>
  <c r="T6" i="21"/>
  <c r="U5" i="21"/>
  <c r="R98" i="21"/>
  <c r="R68" i="21"/>
  <c r="R127" i="21"/>
  <c r="R110" i="21"/>
  <c r="R86" i="21"/>
  <c r="R35" i="21"/>
  <c r="R51" i="21"/>
  <c r="G6" i="18"/>
  <c r="H5" i="18"/>
  <c r="F6" i="4"/>
  <c r="T129" i="30" l="1"/>
  <c r="T150" i="30"/>
  <c r="U150" i="30"/>
  <c r="U129" i="30"/>
  <c r="V146" i="30"/>
  <c r="V151" i="30" s="1"/>
  <c r="V157" i="30" s="1"/>
  <c r="V53" i="30"/>
  <c r="S150" i="30"/>
  <c r="S129" i="30"/>
  <c r="O19" i="33"/>
  <c r="P13" i="30"/>
  <c r="P207" i="29"/>
  <c r="T53" i="30"/>
  <c r="T146" i="30"/>
  <c r="T151" i="30" s="1"/>
  <c r="T157" i="30" s="1"/>
  <c r="R146" i="30"/>
  <c r="R151" i="30" s="1"/>
  <c r="R157" i="30" s="1"/>
  <c r="R53" i="30"/>
  <c r="V150" i="30"/>
  <c r="V129" i="30"/>
  <c r="S146" i="30"/>
  <c r="S151" i="30" s="1"/>
  <c r="S157" i="30" s="1"/>
  <c r="S53" i="30"/>
  <c r="R141" i="30"/>
  <c r="R99" i="30"/>
  <c r="P101" i="30" s="1"/>
  <c r="R129" i="30"/>
  <c r="P131" i="30" s="1"/>
  <c r="R150" i="30"/>
  <c r="U146" i="30"/>
  <c r="U151" i="30" s="1"/>
  <c r="U157" i="30" s="1"/>
  <c r="U53" i="30"/>
  <c r="I29" i="20"/>
  <c r="J29" i="20"/>
  <c r="N62" i="20"/>
  <c r="J73" i="20"/>
  <c r="M62" i="20"/>
  <c r="H32" i="20"/>
  <c r="L73" i="20"/>
  <c r="H20" i="20"/>
  <c r="H21" i="20" s="1"/>
  <c r="H18" i="20"/>
  <c r="L32"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R147" i="21"/>
  <c r="R70" i="21"/>
  <c r="R88" i="21"/>
  <c r="R148" i="21"/>
  <c r="S83" i="21"/>
  <c r="S64" i="21"/>
  <c r="S65" i="21"/>
  <c r="S82" i="21"/>
  <c r="T62" i="21"/>
  <c r="T80" i="21"/>
  <c r="T20" i="21"/>
  <c r="R139" i="21"/>
  <c r="R69" i="21"/>
  <c r="S127" i="21"/>
  <c r="S51" i="21"/>
  <c r="S35" i="21"/>
  <c r="S110" i="21"/>
  <c r="S86" i="21"/>
  <c r="S98" i="21"/>
  <c r="S68" i="21"/>
  <c r="V5" i="21"/>
  <c r="V6" i="21" s="1"/>
  <c r="U6" i="21"/>
  <c r="R140" i="21"/>
  <c r="R87" i="21"/>
  <c r="H6" i="18"/>
  <c r="I5" i="18"/>
  <c r="C14" i="9"/>
  <c r="C13" i="9"/>
  <c r="E19" i="9"/>
  <c r="E20" i="9"/>
  <c r="G34" i="17" l="1"/>
  <c r="AI7" i="26"/>
  <c r="AJ7" i="26"/>
  <c r="H34" i="17"/>
  <c r="P118" i="30"/>
  <c r="P120" i="30" s="1"/>
  <c r="P76" i="30"/>
  <c r="R31" i="30"/>
  <c r="P43" i="30"/>
  <c r="P59" i="30"/>
  <c r="P55" i="30"/>
  <c r="AN23" i="26"/>
  <c r="L50" i="17"/>
  <c r="AL7" i="26"/>
  <c r="J34" i="17"/>
  <c r="AK7" i="26"/>
  <c r="I34" i="17"/>
  <c r="K34" i="17"/>
  <c r="AM7" i="26"/>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S139" i="21"/>
  <c r="S69" i="21"/>
  <c r="V62" i="21"/>
  <c r="V20" i="21"/>
  <c r="V80" i="21"/>
  <c r="S87" i="21"/>
  <c r="S140" i="21"/>
  <c r="S70" i="21"/>
  <c r="S147" i="21"/>
  <c r="U62" i="21"/>
  <c r="U80" i="21"/>
  <c r="U20" i="21"/>
  <c r="T65" i="21"/>
  <c r="T83" i="21"/>
  <c r="T82" i="21"/>
  <c r="T64" i="21"/>
  <c r="S88" i="21"/>
  <c r="S148" i="21"/>
  <c r="I6" i="18"/>
  <c r="J5" i="18"/>
  <c r="E17" i="9"/>
  <c r="E16" i="9"/>
  <c r="R137" i="30" l="1"/>
  <c r="R36" i="30"/>
  <c r="P38" i="30" s="1"/>
  <c r="S47" i="30"/>
  <c r="V47" i="30"/>
  <c r="U47" i="30"/>
  <c r="R47" i="30"/>
  <c r="T47" i="30"/>
  <c r="S123" i="30"/>
  <c r="T123" i="30"/>
  <c r="U123" i="30"/>
  <c r="V123" i="30"/>
  <c r="R123"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J46" i="20"/>
  <c r="L47" i="20"/>
  <c r="L63" i="22" s="1"/>
  <c r="J48" i="20"/>
  <c r="M47" i="20"/>
  <c r="N48" i="20"/>
  <c r="N64" i="22" s="1"/>
  <c r="N47" i="20"/>
  <c r="N63" i="22" s="1"/>
  <c r="L49" i="20"/>
  <c r="L65" i="22" s="1"/>
  <c r="J47" i="20"/>
  <c r="J50" i="20"/>
  <c r="J66" i="22" s="1"/>
  <c r="M48" i="20"/>
  <c r="M64" i="22" s="1"/>
  <c r="M46" i="20"/>
  <c r="N50" i="20"/>
  <c r="K48" i="20"/>
  <c r="K64" i="22" s="1"/>
  <c r="K49" i="20"/>
  <c r="K65" i="22" s="1"/>
  <c r="L50" i="20"/>
  <c r="L66" i="22" s="1"/>
  <c r="J51" i="20"/>
  <c r="J67" i="22" s="1"/>
  <c r="J49" i="20"/>
  <c r="J65" i="22" s="1"/>
  <c r="M51" i="20"/>
  <c r="M67" i="22" s="1"/>
  <c r="M50" i="20"/>
  <c r="M66" i="22" s="1"/>
  <c r="N49" i="20"/>
  <c r="G108" i="20"/>
  <c r="G107" i="20"/>
  <c r="G111" i="20"/>
  <c r="G112" i="20"/>
  <c r="J42" i="20"/>
  <c r="J57" i="22" s="1"/>
  <c r="K44" i="20"/>
  <c r="K59" i="22" s="1"/>
  <c r="L40" i="20"/>
  <c r="M43" i="20"/>
  <c r="M40" i="20"/>
  <c r="M55" i="22" s="1"/>
  <c r="K39" i="20"/>
  <c r="M41" i="20"/>
  <c r="M56" i="22" s="1"/>
  <c r="L39" i="20"/>
  <c r="N41" i="20"/>
  <c r="N56" i="22" s="1"/>
  <c r="K41" i="20"/>
  <c r="K56" i="22" s="1"/>
  <c r="L44" i="20"/>
  <c r="L59" i="22" s="1"/>
  <c r="J39" i="20"/>
  <c r="L41" i="20"/>
  <c r="L56" i="22" s="1"/>
  <c r="N43" i="20"/>
  <c r="N58" i="22" s="1"/>
  <c r="J40" i="20"/>
  <c r="L42" i="20"/>
  <c r="L57" i="22" s="1"/>
  <c r="N44" i="20"/>
  <c r="N59" i="22" s="1"/>
  <c r="K40" i="20"/>
  <c r="K55" i="22" s="1"/>
  <c r="M42" i="20"/>
  <c r="M57" i="22" s="1"/>
  <c r="K42" i="20"/>
  <c r="K57" i="22" s="1"/>
  <c r="M44" i="20"/>
  <c r="M59" i="22" s="1"/>
  <c r="K43" i="20"/>
  <c r="K58" i="22" s="1"/>
  <c r="J41" i="20"/>
  <c r="L43" i="20"/>
  <c r="M39" i="20"/>
  <c r="M57" i="20" s="1"/>
  <c r="M138" i="20" s="1"/>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M63" i="22"/>
  <c r="K63" i="22"/>
  <c r="N65" i="22"/>
  <c r="J63" i="22"/>
  <c r="L64" i="22"/>
  <c r="N66" i="22"/>
  <c r="J64" i="22"/>
  <c r="U14" i="26"/>
  <c r="AW14" i="26" s="1"/>
  <c r="G56" i="23"/>
  <c r="J56" i="22"/>
  <c r="L55" i="22"/>
  <c r="M58" i="22"/>
  <c r="L58" i="22"/>
  <c r="J55" i="22"/>
  <c r="T148" i="21"/>
  <c r="T88" i="21"/>
  <c r="T69" i="21"/>
  <c r="T139" i="21"/>
  <c r="U98" i="21"/>
  <c r="U68" i="21"/>
  <c r="U110" i="21"/>
  <c r="U86" i="21"/>
  <c r="U51" i="21"/>
  <c r="U127" i="21"/>
  <c r="U35" i="21"/>
  <c r="V64" i="21"/>
  <c r="V82" i="21"/>
  <c r="V65" i="21"/>
  <c r="V83" i="21"/>
  <c r="T87" i="21"/>
  <c r="T140" i="21"/>
  <c r="T36" i="21"/>
  <c r="T37" i="21"/>
  <c r="U82" i="21"/>
  <c r="U65" i="21"/>
  <c r="U64" i="21"/>
  <c r="U83" i="21"/>
  <c r="T70" i="21"/>
  <c r="T14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S142" i="30" l="1"/>
  <c r="S128" i="30"/>
  <c r="V142" i="30"/>
  <c r="V128" i="30"/>
  <c r="T138" i="30"/>
  <c r="T143" i="30" s="1"/>
  <c r="T156" i="30" s="1"/>
  <c r="T52" i="30"/>
  <c r="S52" i="30"/>
  <c r="S138" i="30"/>
  <c r="S143" i="30" s="1"/>
  <c r="S156" i="30" s="1"/>
  <c r="V138" i="30"/>
  <c r="V143" i="30" s="1"/>
  <c r="V156" i="30" s="1"/>
  <c r="V52" i="30"/>
  <c r="U142" i="30"/>
  <c r="U128" i="30"/>
  <c r="R138" i="30"/>
  <c r="R52" i="30"/>
  <c r="R142" i="30"/>
  <c r="R128" i="30"/>
  <c r="T142" i="30"/>
  <c r="T128" i="30"/>
  <c r="U52" i="30"/>
  <c r="U138" i="30"/>
  <c r="U143" i="30" s="1"/>
  <c r="U156" i="30" s="1"/>
  <c r="R143" i="30"/>
  <c r="R156" i="30" s="1"/>
  <c r="K57" i="20"/>
  <c r="K138" i="20" s="1"/>
  <c r="J57" i="20"/>
  <c r="J138" i="20" s="1"/>
  <c r="J162" i="20" s="1"/>
  <c r="K161"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181" i="20"/>
  <c r="J68" i="20"/>
  <c r="J142" i="20" s="1"/>
  <c r="J166" i="20" s="1"/>
  <c r="M68" i="20"/>
  <c r="M142" i="20" s="1"/>
  <c r="K68" i="20"/>
  <c r="K142" i="20" s="1"/>
  <c r="K64" i="20"/>
  <c r="N64" i="20"/>
  <c r="M64" i="20"/>
  <c r="J64" i="20"/>
  <c r="J81" i="20" s="1"/>
  <c r="L64" i="20"/>
  <c r="N68" i="20"/>
  <c r="N142" i="20" s="1"/>
  <c r="K14" i="20"/>
  <c r="K15" i="20"/>
  <c r="L13" i="20"/>
  <c r="P211"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U147" i="21"/>
  <c r="U70" i="21"/>
  <c r="V140" i="21"/>
  <c r="V87" i="21"/>
  <c r="V139" i="21"/>
  <c r="V69" i="21"/>
  <c r="U148" i="21"/>
  <c r="U88" i="21"/>
  <c r="U69" i="21"/>
  <c r="U139" i="21"/>
  <c r="V147" i="21"/>
  <c r="V70" i="21"/>
  <c r="U140" i="21"/>
  <c r="U87" i="21"/>
  <c r="V36" i="21"/>
  <c r="V37" i="21"/>
  <c r="V88" i="21"/>
  <c r="V148" i="21"/>
  <c r="U37" i="21"/>
  <c r="U36" i="21"/>
  <c r="K6" i="18"/>
  <c r="L5" i="18"/>
  <c r="I5" i="4"/>
  <c r="I6" i="4" s="1"/>
  <c r="J171" i="4"/>
  <c r="P130" i="30" l="1"/>
  <c r="K162" i="20"/>
  <c r="J140" i="20"/>
  <c r="AJ6" i="26"/>
  <c r="H33" i="17"/>
  <c r="P54" i="30"/>
  <c r="J33" i="17"/>
  <c r="AL6" i="26"/>
  <c r="AI6" i="26"/>
  <c r="G33" i="17"/>
  <c r="AM6" i="26"/>
  <c r="K33" i="17"/>
  <c r="I33" i="17"/>
  <c r="AK6" i="26"/>
  <c r="P203" i="20"/>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P72" i="21"/>
  <c r="P89" i="21"/>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P90" i="21"/>
  <c r="J61" i="23"/>
  <c r="J55" i="23"/>
  <c r="L55" i="23"/>
  <c r="M26" i="23"/>
  <c r="L60" i="22"/>
  <c r="L18" i="23"/>
  <c r="U67" i="23"/>
  <c r="N47" i="23"/>
  <c r="N68" i="22"/>
  <c r="P71" i="21"/>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U106" i="2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O16" i="24" l="1"/>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41" i="21" l="1"/>
  <c r="T129" i="21"/>
  <c r="T150" i="21"/>
  <c r="R146" i="21"/>
  <c r="R151" i="21" s="1"/>
  <c r="R157" i="21" s="1"/>
  <c r="R53" i="21"/>
  <c r="P43" i="21"/>
  <c r="P76" i="21"/>
  <c r="R31" i="21"/>
  <c r="P118" i="21"/>
  <c r="P120" i="21" s="1"/>
  <c r="P59" i="21"/>
  <c r="S129" i="21"/>
  <c r="S150" i="21"/>
  <c r="U146" i="21"/>
  <c r="U151" i="21" s="1"/>
  <c r="U157" i="21" s="1"/>
  <c r="U53" i="21"/>
  <c r="V146" i="21"/>
  <c r="V151" i="21" s="1"/>
  <c r="V157" i="21" s="1"/>
  <c r="V53" i="21"/>
  <c r="R150" i="21"/>
  <c r="R129" i="21"/>
  <c r="S146" i="21"/>
  <c r="S151" i="21" s="1"/>
  <c r="S157" i="21" s="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7" i="26" l="1"/>
  <c r="AT7" i="26" s="1"/>
  <c r="I7" i="17"/>
  <c r="Q7" i="26"/>
  <c r="AS7" i="26" s="1"/>
  <c r="H7" i="17"/>
  <c r="T7" i="26"/>
  <c r="AV7" i="26" s="1"/>
  <c r="K7" i="17"/>
  <c r="S7" i="26"/>
  <c r="AU7" i="26" s="1"/>
  <c r="J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S138" i="21" l="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T6" i="26" l="1"/>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<sst xmlns="http://schemas.openxmlformats.org/spreadsheetml/2006/main" count="4980" uniqueCount="826">
  <si>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</si>
  <si>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</si>
  <si>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</si>
  <si>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</si>
  <si>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</si>
  <si>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</si>
  <si>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</si>
  <si>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</si>
  <si>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</si>
  <si>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</si>
  <si>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</si>
  <si>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</si>
  <si>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</si>
  <si>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</si>
  <si>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</si>
  <si>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</si>
  <si>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</si>
  <si>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</si>
  <si>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</si>
  <si>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</si>
  <si>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</si>
  <si>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</si>
  <si>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</si>
  <si>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</si>
  <si>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</si>
  <si>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</si>
  <si>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</si>
  <si>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</si>
  <si>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</si>
  <si>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</si>
  <si>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</si>
  <si>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</si>
  <si>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</si>
  <si>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</si>
  <si>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</si>
  <si>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</si>
  <si>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</si>
  <si>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</si>
  <si>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</si>
  <si>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</si>
  <si>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</si>
  <si>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</si>
  <si>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</si>
  <si>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</si>
  <si>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</si>
  <si>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</si>
  <si>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</si>
  <si>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</si>
  <si>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</si>
  <si>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</si>
  <si>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</si>
  <si>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</si>
  <si>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</si>
  <si>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</si>
  <si>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</si>
  <si>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</si>
  <si>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</si>
  <si>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</si>
  <si>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</si>
  <si>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</si>
  <si>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</si>
  <si>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</si>
  <si>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</si>
  <si>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</si>
  <si>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</si>
  <si>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</si>
  <si>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</si>
  <si>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</si>
  <si>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</si>
  <si>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</si>
  <si>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</si>
  <si>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</si>
  <si>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</si>
  <si>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</si>
  <si>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</si>
  <si>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</si>
  <si>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</si>
  <si>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</si>
  <si>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</si>
  <si>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</si>
  <si>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</si>
  <si>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</si>
  <si>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</si>
  <si>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</si>
  <si>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</si>
  <si>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</si>
  <si>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</si>
  <si>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</si>
  <si>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</si>
  <si>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</si>
  <si>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</si>
  <si>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</si>
  <si>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</si>
  <si>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</si>
  <si>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</si>
  <si>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</si>
  <si>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</si>
  <si>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</si>
  <si>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</si>
  <si>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</si>
  <si>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</si>
  <si>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</si>
  <si>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</si>
  <si>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</si>
  <si>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</si>
  <si>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</si>
  <si>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</si>
  <si>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</si>
  <si>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</si>
  <si>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</si>
  <si>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</si>
  <si>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</si>
  <si>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</si>
  <si>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</si>
  <si>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</si>
  <si>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</si>
  <si>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</si>
  <si>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</si>
  <si>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</si>
  <si>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</si>
  <si>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</si>
  <si>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</si>
  <si>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</si>
  <si>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</si>
  <si>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</si>
  <si>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</si>
  <si>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</si>
  <si>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</si>
  <si>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</si>
  <si>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</si>
  <si>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</si>
  <si>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</si>
  <si>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</si>
  <si>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</si>
  <si>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</si>
  <si>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</si>
  <si>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</si>
  <si>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</si>
  <si>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</si>
  <si>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</si>
  <si>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</si>
  <si>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</si>
  <si>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</si>
  <si>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</si>
  <si>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</si>
  <si>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</si>
  <si>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</si>
  <si>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</si>
  <si>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</si>
  <si>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</si>
  <si>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</si>
  <si>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</si>
  <si>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</si>
  <si>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</si>
  <si>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</si>
  <si>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</si>
  <si>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</si>
  <si>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</si>
  <si>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</si>
  <si>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</si>
  <si>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</si>
  <si>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</si>
  <si>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</si>
  <si>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</si>
  <si>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</si>
  <si>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</si>
  <si>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</si>
  <si>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</si>
  <si>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</si>
  <si>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</si>
  <si>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</si>
  <si>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</si>
  <si>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</si>
  <si>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</si>
  <si>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</si>
  <si>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</si>
  <si>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</si>
  <si>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</si>
  <si>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</si>
  <si>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</si>
  <si>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</si>
  <si>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</si>
  <si>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</si>
  <si>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</si>
  <si>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</si>
  <si>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</si>
  <si>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</si>
  <si>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</si>
  <si>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</si>
  <si>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</si>
  <si>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</si>
  <si>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</si>
  <si>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</si>
  <si>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</si>
  <si>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</si>
  <si>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</si>
  <si>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</si>
  <si>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</si>
  <si>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</si>
  <si>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</si>
  <si>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</si>
  <si>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</si>
  <si>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</si>
  <si>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</si>
  <si>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</si>
  <si>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</si>
  <si>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</si>
  <si>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</si>
  <si>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</si>
  <si>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</si>
  <si>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</si>
  <si>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</si>
  <si>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</si>
  <si>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</si>
  <si>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</si>
  <si>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</si>
  <si>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</si>
  <si>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</si>
  <si>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</si>
  <si>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</si>
  <si>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</si>
  <si>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</si>
  <si>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</si>
  <si>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</si>
  <si>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</si>
  <si>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</si>
  <si>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</si>
  <si>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</si>
  <si>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</si>
  <si>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</si>
  <si>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</si>
  <si>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</si>
  <si>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</si>
  <si>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</si>
  <si>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</si>
  <si>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</si>
  <si>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</si>
  <si>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</si>
  <si>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</si>
  <si>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</si>
  <si>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</si>
  <si>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</si>
  <si>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</si>
  <si>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</si>
  <si>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</si>
  <si>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</si>
  <si>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</si>
  <si>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</si>
  <si>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</si>
  <si>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</si>
  <si>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</si>
  <si>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</si>
  <si>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</si>
  <si>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</si>
  <si>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</si>
  <si>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</si>
  <si>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</si>
  <si>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</si>
  <si>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</si>
  <si>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</si>
  <si>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</si>
  <si>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</si>
  <si>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</si>
  <si>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</si>
  <si>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</si>
  <si>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</si>
  <si>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</si>
  <si>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</si>
  <si>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</si>
  <si>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</si>
  <si>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</si>
  <si>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</si>
  <si>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</si>
  <si>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</si>
  <si>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</si>
  <si>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</si>
  <si>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</si>
  <si>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</si>
  <si>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</si>
  <si>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</si>
  <si>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</si>
  <si>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</si>
  <si>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</si>
  <si>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</si>
  <si>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</si>
  <si>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</si>
  <si>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</si>
  <si>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</si>
  <si>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</si>
  <si>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</si>
  <si>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</si>
  <si>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</si>
  <si>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</si>
  <si>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</si>
  <si>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</si>
  <si>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</si>
  <si>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</si>
  <si>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</si>
  <si>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</si>
  <si>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</si>
  <si>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</si>
  <si>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</si>
  <si>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</si>
  <si>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</si>
  <si>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</si>
  <si>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</si>
  <si>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</si>
  <si>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</si>
  <si>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</si>
  <si>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</si>
  <si>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</si>
  <si>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</si>
  <si>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</si>
  <si>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</si>
  <si>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</si>
  <si>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</si>
  <si>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</si>
  <si>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</si>
  <si>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</si>
  <si>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</si>
  <si>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</si>
  <si>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</si>
  <si>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</si>
  <si>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</si>
  <si>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</si>
  <si>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</si>
  <si>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</si>
  <si>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</si>
  <si>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</si>
  <si>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</si>
  <si>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</si>
  <si>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</si>
  <si>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</si>
  <si>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</si>
  <si>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</si>
  <si>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</si>
  <si>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</si>
  <si>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</si>
  <si>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</si>
  <si>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</si>
  <si>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</si>
  <si>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</si>
  <si>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</si>
  <si>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</si>
  <si>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</si>
  <si>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</si>
  <si>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</si>
  <si>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</si>
  <si>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</si>
  <si>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</si>
  <si>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</si>
  <si>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</si>
  <si>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</si>
  <si>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</si>
  <si>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</si>
  <si>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</si>
  <si>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</si>
  <si>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</si>
  <si>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</si>
  <si>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</si>
  <si>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</si>
  <si>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</si>
  <si>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</si>
  <si>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</si>
  <si>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</si>
  <si>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</si>
  <si>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</si>
  <si>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</si>
  <si>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</si>
  <si>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</si>
  <si>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</si>
  <si>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</si>
  <si>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</si>
  <si>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</si>
  <si>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</si>
  <si>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</si>
  <si>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</si>
  <si>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</si>
  <si>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</si>
  <si>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</si>
  <si>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</si>
  <si>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</si>
  <si>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</si>
  <si>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</si>
  <si>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</si>
  <si>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</si>
  <si>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</si>
  <si>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</si>
  <si>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</si>
  <si>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</si>
  <si>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</si>
  <si>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</si>
  <si>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</si>
  <si>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</si>
  <si>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</si>
  <si>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</si>
  <si>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</si>
  <si>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</si>
  <si>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</si>
  <si>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</si>
  <si>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</si>
  <si>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</si>
  <si>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</si>
  <si>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</si>
  <si>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</si>
  <si>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</si>
  <si>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</si>
  <si>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</si>
  <si>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</si>
  <si>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</si>
  <si>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</si>
  <si>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</si>
  <si>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</si>
  <si>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</si>
  <si>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</si>
  <si>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</si>
  <si>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</si>
  <si>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</si>
  <si>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</si>
  <si>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</si>
  <si>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</si>
  <si>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</si>
  <si>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</si>
  <si>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</si>
  <si>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</si>
  <si>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</si>
  <si>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</si>
  <si>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</si>
  <si>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</si>
  <si>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</si>
  <si>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</si>
  <si>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</si>
  <si>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</si>
  <si>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</si>
  <si>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</si>
  <si>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</si>
  <si>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</si>
  <si>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</si>
  <si>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</si>
  <si>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</si>
  <si>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</si>
  <si>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</si>
  <si>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</si>
  <si>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</si>
  <si>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</si>
  <si>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</si>
  <si>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</si>
  <si>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</si>
  <si>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</si>
  <si>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</si>
  <si>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</si>
  <si>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</si>
  <si>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</si>
  <si>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</si>
  <si>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</si>
  <si>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</si>
  <si>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</si>
  <si>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</si>
  <si>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</si>
  <si>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</si>
  <si>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</si>
  <si>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</si>
  <si>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</si>
  <si>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</si>
  <si>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</si>
  <si>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</si>
  <si>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</si>
  <si>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</si>
  <si>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</si>
  <si>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</si>
  <si>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</si>
  <si>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</si>
  <si>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</si>
  <si>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</si>
  <si>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</si>
  <si>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</si>
  <si>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</si>
  <si>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</si>
  <si>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</si>
  <si>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</si>
  <si>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</si>
  <si>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</si>
  <si>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</si>
  <si>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</si>
  <si>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</si>
  <si>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</si>
  <si>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</si>
  <si>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</si>
  <si>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</si>
  <si>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</si>
  <si>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</si>
  <si>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</si>
  <si>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</si>
  <si>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</si>
  <si>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</si>
  <si>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</si>
  <si>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</si>
  <si>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</si>
  <si>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</si>
  <si>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</si>
  <si>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</si>
  <si>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</si>
  <si>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</si>
  <si>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</si>
  <si>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</si>
  <si>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</si>
  <si>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</si>
  <si>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</si>
  <si>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</si>
  <si>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</si>
  <si>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</si>
  <si>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</si>
  <si>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</si>
  <si>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</si>
  <si>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</si>
  <si>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</si>
  <si>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</si>
  <si>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</si>
  <si>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</si>
  <si>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</si>
  <si>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</si>
  <si>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</si>
  <si>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</si>
  <si>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</si>
  <si>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</si>
  <si>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</si>
  <si>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</si>
  <si>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</si>
  <si>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</si>
  <si>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</si>
  <si>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</si>
  <si>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</si>
  <si>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</si>
  <si>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</si>
  <si>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</si>
  <si>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</si>
  <si>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</si>
  <si>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</si>
  <si>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</si>
  <si>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</si>
  <si>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</si>
  <si>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</si>
  <si>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</si>
  <si>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</si>
  <si>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</si>
  <si>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</si>
  <si>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</si>
  <si>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</si>
  <si>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</si>
  <si>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</si>
  <si>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</si>
  <si>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</si>
  <si>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</si>
  <si>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</si>
  <si>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</si>
  <si>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</si>
  <si>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</si>
  <si>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</si>
  <si>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</si>
  <si>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</si>
  <si>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</si>
  <si>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</si>
  <si>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</si>
  <si>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</si>
  <si>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</si>
  <si>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</si>
  <si>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</si>
  <si>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</si>
  <si>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</si>
  <si>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</si>
  <si>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</si>
  <si>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</si>
  <si>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</si>
  <si>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</si>
  <si>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</si>
  <si>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</si>
  <si>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</si>
  <si>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</si>
  <si>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</si>
  <si>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</si>
  <si>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</si>
  <si>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</si>
  <si>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</si>
  <si>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</si>
  <si>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</si>
  <si>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</si>
  <si>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</si>
  <si>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</si>
  <si>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</si>
  <si>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</si>
  <si>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</si>
  <si>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</si>
  <si>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</si>
  <si>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</si>
  <si>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</si>
  <si>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</si>
  <si>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</si>
  <si>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</si>
  <si>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</si>
  <si>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</si>
  <si>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</si>
  <si>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</si>
  <si>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</si>
  <si>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</si>
  <si>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</si>
  <si>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</si>
  <si>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</si>
  <si>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</si>
  <si>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</si>
  <si>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</si>
  <si>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</si>
  <si>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</si>
  <si>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</si>
  <si>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</si>
  <si>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</si>
  <si>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</si>
  <si>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</si>
  <si>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</si>
  <si>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</si>
  <si>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</si>
  <si>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</si>
  <si>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</si>
  <si>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</si>
  <si>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</si>
  <si>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</si>
  <si>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</si>
  <si>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</si>
  <si>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</si>
  <si>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</si>
  <si>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</si>
  <si>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</si>
  <si>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</si>
  <si>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</si>
  <si>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</si>
  <si>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</si>
  <si>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</si>
  <si>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</si>
  <si>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</si>
  <si>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</si>
  <si>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</si>
  <si>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</si>
  <si>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</si>
  <si>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</si>
  <si>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</si>
  <si>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</si>
  <si>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</si>
  <si>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</si>
  <si>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</si>
  <si>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</si>
  <si>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</si>
  <si>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</si>
  <si>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</si>
  <si>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</si>
  <si>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</si>
  <si>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</si>
  <si>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</si>
  <si>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</si>
  <si>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</si>
  <si>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</si>
  <si>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</si>
  <si>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</si>
  <si>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</si>
  <si>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</si>
  <si>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</si>
  <si>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</si>
  <si>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</si>
  <si>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</si>
  <si>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</si>
  <si>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</si>
  <si>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</si>
  <si>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</si>
  <si>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</si>
  <si>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</si>
  <si>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</si>
  <si>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</si>
  <si>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</si>
  <si>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</si>
  <si>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</si>
  <si>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</si>
  <si>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</si>
  <si>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</si>
  <si>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</si>
  <si>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</si>
  <si>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</si>
  <si>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</si>
  <si>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</si>
  <si>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</si>
  <si>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</si>
  <si>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</si>
  <si>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</si>
  <si>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</si>
  <si>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</si>
  <si>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</si>
  <si>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</si>
  <si>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</si>
  <si>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</si>
  <si>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</si>
  <si>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</si>
  <si>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</si>
  <si>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</si>
  <si>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</si>
  <si>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</si>
  <si>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</si>
  <si>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</si>
  <si>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</si>
  <si>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</si>
  <si>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</si>
  <si>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</si>
  <si>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</si>
  <si>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</si>
  <si>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</si>
  <si>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</si>
  <si>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</si>
  <si>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</si>
  <si>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</si>
  <si>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</si>
  <si>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</si>
  <si>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</si>
  <si>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</si>
  <si>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</si>
  <si>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</si>
  <si>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</si>
  <si>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</si>
  <si>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</si>
  <si>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</si>
  <si>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</si>
  <si>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</si>
  <si>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</si>
  <si>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</si>
  <si>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</si>
  <si>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</si>
  <si>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</si>
  <si>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</si>
  <si>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</si>
  <si>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</si>
  <si>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</si>
  <si>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</si>
  <si>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</si>
  <si>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</si>
  <si>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</si>
  <si>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</si>
  <si>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</si>
  <si>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</si>
  <si>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</si>
  <si>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</si>
  <si>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</si>
  <si>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</si>
  <si>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</si>
  <si>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</si>
  <si>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</si>
  <si>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</si>
  <si>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</si>
  <si>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</si>
  <si>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</si>
  <si>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</si>
  <si>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</si>
  <si>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</si>
  <si>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</si>
  <si>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</si>
  <si>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</si>
  <si>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</si>
  <si>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</si>
  <si>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</si>
  <si>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</si>
  <si>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</si>
  <si>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</si>
  <si>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</si>
  <si>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</si>
  <si>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</si>
  <si>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</si>
  <si>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</si>
  <si>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</si>
  <si>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</si>
  <si>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</si>
  <si>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</si>
  <si>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</si>
  <si>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</si>
  <si>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</si>
  <si>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</si>
  <si>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</si>
  <si>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BRL Inputs as at FD</t>
  </si>
  <si>
    <t>https://fntlive201/Fountain/rest-services_XLSPF</t>
  </si>
  <si>
    <t>companyId</t>
  </si>
  <si>
    <t>31_XLSPF</t>
  </si>
  <si>
    <t>companyName</t>
  </si>
  <si>
    <t>Bristol Water plc_XLSPF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</si>
  <si>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</si>
  <si>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</si>
  <si>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</si>
  <si>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</si>
  <si>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</si>
  <si>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</si>
  <si>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</si>
  <si>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</si>
  <si>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</si>
  <si>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</si>
  <si>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</si>
  <si>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</si>
  <si>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</si>
  <si>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</si>
  <si>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</si>
  <si>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</si>
  <si>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</si>
  <si>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</si>
  <si>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</si>
  <si>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</si>
  <si>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</si>
  <si>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</si>
  <si>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</si>
  <si>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</si>
  <si>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</si>
  <si>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</si>
  <si>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</si>
  <si>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</si>
  <si>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</si>
  <si>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</si>
  <si>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</si>
  <si>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</si>
  <si>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BRL</t>
  </si>
  <si>
    <t>9365_XLSPF</t>
  </si>
  <si>
    <t>OFWAT\Dawn.Harrison_XLSPF</t>
  </si>
  <si>
    <t>PL14L012_BY_XLSPF</t>
  </si>
  <si>
    <t>PL14L012_BY</t>
  </si>
  <si>
    <t>27/09/2016 15:57:05_XLSPF</t>
  </si>
  <si>
    <t>27/09/2016 15:58:41_XLSPF</t>
  </si>
  <si>
    <t>BRL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</si>
</sst>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0" t="s">
        <v>488</v>
      </c>
      <c r="F6" s="731"/>
      <c r="G6" s="731"/>
      <c r="H6" s="731"/>
      <c r="I6" s="731"/>
      <c r="J6" s="731"/>
      <c r="K6" s="731"/>
      <c r="L6" s="731"/>
      <c r="M6" s="731"/>
      <c r="N6" s="732"/>
      <c r="O6" s="535" t="s">
        <v>489</v>
      </c>
    </row>
    <row r="7" spans="1:15" s="531" customFormat="1" ht="12.75" customHeight="1">
      <c r="B7" s="533"/>
      <c r="C7" s="536"/>
      <c r="D7" s="667"/>
      <c r="E7" s="545"/>
      <c r="F7" s="546" t="s">
        <v>410</v>
      </c>
      <c r="G7" s="546" t="s">
        <v>414</v>
      </c>
      <c r="H7" s="726" t="s">
        <v>491</v>
      </c>
      <c r="I7" s="726"/>
      <c r="J7" s="726"/>
      <c r="K7" s="726"/>
      <c r="L7" s="726"/>
      <c r="M7" s="726"/>
      <c r="N7" s="727"/>
      <c r="O7" s="546"/>
    </row>
    <row r="8" spans="1:15" s="531" customFormat="1" ht="45" customHeight="1">
      <c r="B8" s="533"/>
      <c r="C8" s="704" t="s">
        <v>613</v>
      </c>
      <c r="D8" s="706" t="s">
        <v>620</v>
      </c>
      <c r="E8" s="708" t="s">
        <v>616</v>
      </c>
      <c r="F8" s="546" t="s">
        <v>88</v>
      </c>
      <c r="G8" s="546">
        <v>156</v>
      </c>
      <c r="H8" s="726" t="s">
        <v>617</v>
      </c>
      <c r="I8" s="726"/>
      <c r="J8" s="726"/>
      <c r="K8" s="726"/>
      <c r="L8" s="726"/>
      <c r="M8" s="726"/>
      <c r="N8" s="727"/>
      <c r="O8" s="546">
        <v>3.3</v>
      </c>
    </row>
    <row r="9" spans="1:15" s="531" customFormat="1" ht="45" customHeight="1">
      <c r="B9" s="533"/>
      <c r="C9" s="705"/>
      <c r="D9" s="707"/>
      <c r="E9" s="709"/>
      <c r="F9" s="546" t="s">
        <v>614</v>
      </c>
      <c r="G9" s="546" t="s">
        <v>615</v>
      </c>
      <c r="H9" s="726" t="s">
        <v>618</v>
      </c>
      <c r="I9" s="726"/>
      <c r="J9" s="726"/>
      <c r="K9" s="726"/>
      <c r="L9" s="726"/>
      <c r="M9" s="726"/>
      <c r="N9" s="727"/>
      <c r="O9" s="546">
        <v>3.3</v>
      </c>
    </row>
    <row r="10" spans="1:15" s="531" customFormat="1" ht="26.4" customHeight="1">
      <c r="B10" s="533"/>
      <c r="C10" s="674" t="s">
        <v>622</v>
      </c>
      <c r="D10" s="683" t="s">
        <v>619</v>
      </c>
      <c r="E10" s="546" t="s">
        <v>623</v>
      </c>
      <c r="F10" s="546" t="s">
        <v>624</v>
      </c>
      <c r="G10" s="546" t="s">
        <v>698</v>
      </c>
      <c r="H10" s="725" t="s">
        <v>699</v>
      </c>
      <c r="I10" s="726"/>
      <c r="J10" s="726"/>
      <c r="K10" s="726"/>
      <c r="L10" s="726"/>
      <c r="M10" s="726"/>
      <c r="N10" s="727"/>
      <c r="O10" s="546">
        <v>3.4</v>
      </c>
    </row>
    <row r="11" spans="1:15" s="531" customFormat="1" ht="26.4" customHeight="1">
      <c r="B11" s="533"/>
      <c r="C11" s="674" t="s">
        <v>749</v>
      </c>
      <c r="D11" s="683" t="s">
        <v>620</v>
      </c>
      <c r="E11" s="546" t="s">
        <v>748</v>
      </c>
      <c r="F11" s="546" t="s">
        <v>745</v>
      </c>
      <c r="G11" s="546" t="s">
        <v>698</v>
      </c>
      <c r="H11" s="725" t="s">
        <v>750</v>
      </c>
      <c r="I11" s="726"/>
      <c r="J11" s="726"/>
      <c r="K11" s="726"/>
      <c r="L11" s="726"/>
      <c r="M11" s="726"/>
      <c r="N11" s="727"/>
      <c r="O11" s="546">
        <v>3.5</v>
      </c>
    </row>
    <row r="12" spans="1:15" s="531" customFormat="1" ht="40.049999999999997" customHeight="1">
      <c r="B12" s="533"/>
      <c r="C12" s="674" t="s">
        <v>749</v>
      </c>
      <c r="D12" s="683" t="s">
        <v>620</v>
      </c>
      <c r="E12" s="546" t="s">
        <v>756</v>
      </c>
      <c r="F12" s="546" t="s">
        <v>757</v>
      </c>
      <c r="G12" s="546"/>
      <c r="H12" s="725" t="s">
        <v>764</v>
      </c>
      <c r="I12" s="726"/>
      <c r="J12" s="726"/>
      <c r="K12" s="726"/>
      <c r="L12" s="726"/>
      <c r="M12" s="726"/>
      <c r="N12" s="727"/>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2" t="s">
        <v>693</v>
      </c>
      <c r="F17" s="728"/>
      <c r="G17" s="728"/>
      <c r="H17" s="728"/>
      <c r="I17" s="728"/>
      <c r="J17" s="728"/>
      <c r="K17" s="728"/>
      <c r="L17" s="728"/>
      <c r="M17" s="728"/>
      <c r="N17" s="729"/>
    </row>
    <row r="18" spans="1:14" s="531" customFormat="1">
      <c r="B18" s="537"/>
      <c r="C18" s="674" t="s">
        <v>622</v>
      </c>
      <c r="D18" s="668" t="s">
        <v>694</v>
      </c>
      <c r="E18" s="722" t="s">
        <v>695</v>
      </c>
      <c r="F18" s="723"/>
      <c r="G18" s="723"/>
      <c r="H18" s="723"/>
      <c r="I18" s="723"/>
      <c r="J18" s="723"/>
      <c r="K18" s="723"/>
      <c r="L18" s="723"/>
      <c r="M18" s="723"/>
      <c r="N18" s="724"/>
    </row>
    <row r="19" spans="1:14" s="531" customFormat="1">
      <c r="B19" s="537"/>
      <c r="C19" s="674" t="s">
        <v>752</v>
      </c>
      <c r="D19" s="668" t="s">
        <v>751</v>
      </c>
      <c r="E19" s="722" t="s">
        <v>693</v>
      </c>
      <c r="F19" s="728"/>
      <c r="G19" s="728"/>
      <c r="H19" s="728"/>
      <c r="I19" s="728"/>
      <c r="J19" s="728"/>
      <c r="K19" s="728"/>
      <c r="L19" s="728"/>
      <c r="M19" s="728"/>
      <c r="N19" s="729"/>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6" t="s">
        <v>288</v>
      </c>
      <c r="C45" s="717"/>
      <c r="D45" s="718"/>
      <c r="E45" s="749" t="s">
        <v>258</v>
      </c>
      <c r="F45" s="749"/>
      <c r="G45" s="751" t="s">
        <v>289</v>
      </c>
      <c r="H45" s="751"/>
      <c r="I45" s="749" t="s">
        <v>271</v>
      </c>
      <c r="J45" s="749"/>
      <c r="K45" s="749"/>
      <c r="L45" s="749"/>
      <c r="M45" s="749"/>
    </row>
    <row r="46" spans="1:13" s="284" customFormat="1" ht="15" customHeight="1">
      <c r="A46" s="283"/>
      <c r="B46" s="719" t="s">
        <v>278</v>
      </c>
      <c r="C46" s="720"/>
      <c r="D46" s="721"/>
      <c r="E46" s="753"/>
      <c r="F46" s="754"/>
      <c r="G46" s="753"/>
      <c r="H46" s="754"/>
      <c r="I46" s="750"/>
      <c r="J46" s="750"/>
      <c r="K46" s="750"/>
      <c r="L46" s="750"/>
      <c r="M46" s="750"/>
    </row>
    <row r="47" spans="1:13" s="282" customFormat="1" ht="59.25" customHeight="1">
      <c r="A47" s="285"/>
      <c r="B47" s="710" t="s">
        <v>112</v>
      </c>
      <c r="C47" s="711"/>
      <c r="D47" s="712"/>
      <c r="E47" s="710" t="s">
        <v>264</v>
      </c>
      <c r="F47" s="712"/>
      <c r="G47" s="739" t="s">
        <v>283</v>
      </c>
      <c r="H47" s="741"/>
      <c r="I47" s="710" t="s">
        <v>362</v>
      </c>
      <c r="J47" s="711"/>
      <c r="K47" s="711"/>
      <c r="L47" s="711"/>
      <c r="M47" s="712"/>
    </row>
    <row r="48" spans="1:13" s="282" customFormat="1" ht="77.25" customHeight="1">
      <c r="A48" s="285"/>
      <c r="B48" s="713"/>
      <c r="C48" s="714"/>
      <c r="D48" s="715"/>
      <c r="E48" s="713"/>
      <c r="F48" s="715"/>
      <c r="G48" s="742"/>
      <c r="H48" s="744"/>
      <c r="I48" s="713" t="s">
        <v>295</v>
      </c>
      <c r="J48" s="714"/>
      <c r="K48" s="714"/>
      <c r="L48" s="714"/>
      <c r="M48" s="715"/>
    </row>
    <row r="49" spans="1:13" s="282" customFormat="1" ht="50.25" customHeight="1">
      <c r="A49" s="285"/>
      <c r="B49" s="752" t="s">
        <v>162</v>
      </c>
      <c r="C49" s="736"/>
      <c r="D49" s="737"/>
      <c r="E49" s="738" t="s">
        <v>259</v>
      </c>
      <c r="F49" s="738"/>
      <c r="G49" s="738" t="s">
        <v>260</v>
      </c>
      <c r="H49" s="738"/>
      <c r="I49" s="710" t="s">
        <v>362</v>
      </c>
      <c r="J49" s="711"/>
      <c r="K49" s="711"/>
      <c r="L49" s="711"/>
      <c r="M49" s="712"/>
    </row>
    <row r="50" spans="1:13" s="282" customFormat="1" ht="76.5" customHeight="1">
      <c r="A50" s="285"/>
      <c r="B50" s="752" t="s">
        <v>263</v>
      </c>
      <c r="C50" s="736"/>
      <c r="D50" s="737"/>
      <c r="E50" s="738" t="s">
        <v>259</v>
      </c>
      <c r="F50" s="738"/>
      <c r="G50" s="738" t="s">
        <v>261</v>
      </c>
      <c r="H50" s="738"/>
      <c r="I50" s="752" t="s">
        <v>363</v>
      </c>
      <c r="J50" s="736"/>
      <c r="K50" s="736"/>
      <c r="L50" s="736"/>
      <c r="M50" s="737"/>
    </row>
    <row r="51" spans="1:13" s="282" customFormat="1" ht="29.25" customHeight="1">
      <c r="A51" s="285"/>
      <c r="B51" s="752" t="s">
        <v>194</v>
      </c>
      <c r="C51" s="736"/>
      <c r="D51" s="737"/>
      <c r="E51" s="738" t="s">
        <v>259</v>
      </c>
      <c r="F51" s="738"/>
      <c r="G51" s="738" t="s">
        <v>262</v>
      </c>
      <c r="H51" s="738"/>
      <c r="I51" s="746"/>
      <c r="J51" s="747"/>
      <c r="K51" s="747"/>
      <c r="L51" s="747"/>
      <c r="M51" s="748"/>
    </row>
    <row r="52" spans="1:13" s="282" customFormat="1" ht="16.5" customHeight="1">
      <c r="B52" s="710" t="s">
        <v>195</v>
      </c>
      <c r="C52" s="711"/>
      <c r="D52" s="712"/>
      <c r="E52" s="710" t="s">
        <v>259</v>
      </c>
      <c r="F52" s="712"/>
      <c r="G52" s="710" t="s">
        <v>265</v>
      </c>
      <c r="H52" s="712"/>
      <c r="I52" s="710" t="s">
        <v>507</v>
      </c>
      <c r="J52" s="711"/>
      <c r="K52" s="711"/>
      <c r="L52" s="711"/>
      <c r="M52" s="712"/>
    </row>
    <row r="53" spans="1:13" s="282" customFormat="1" ht="13.5" customHeight="1">
      <c r="B53" s="762"/>
      <c r="C53" s="760"/>
      <c r="D53" s="763"/>
      <c r="E53" s="762"/>
      <c r="F53" s="763"/>
      <c r="G53" s="762"/>
      <c r="H53" s="763"/>
      <c r="I53" s="759" t="s">
        <v>509</v>
      </c>
      <c r="J53" s="760"/>
      <c r="K53" s="760"/>
      <c r="L53" s="760"/>
      <c r="M53" s="761"/>
    </row>
    <row r="54" spans="1:13" s="282" customFormat="1" ht="11.4" customHeight="1">
      <c r="B54" s="762"/>
      <c r="C54" s="760"/>
      <c r="D54" s="763"/>
      <c r="E54" s="762"/>
      <c r="F54" s="763"/>
      <c r="G54" s="762"/>
      <c r="H54" s="763"/>
      <c r="I54" s="759" t="s">
        <v>508</v>
      </c>
      <c r="J54" s="760"/>
      <c r="K54" s="760"/>
      <c r="L54" s="760"/>
      <c r="M54" s="761"/>
    </row>
    <row r="55" spans="1:13" s="282" customFormat="1" ht="11.4">
      <c r="B55" s="762"/>
      <c r="C55" s="760"/>
      <c r="D55" s="761"/>
      <c r="E55" s="762"/>
      <c r="F55" s="761"/>
      <c r="G55" s="762"/>
      <c r="H55" s="761"/>
      <c r="I55" s="759" t="s">
        <v>510</v>
      </c>
      <c r="J55" s="760"/>
      <c r="K55" s="760"/>
      <c r="L55" s="760"/>
      <c r="M55" s="763"/>
    </row>
    <row r="56" spans="1:13" s="282" customFormat="1" ht="11.4">
      <c r="B56" s="713"/>
      <c r="C56" s="714"/>
      <c r="D56" s="715"/>
      <c r="E56" s="713"/>
      <c r="F56" s="715"/>
      <c r="G56" s="713"/>
      <c r="H56" s="715"/>
      <c r="I56" s="742" t="s">
        <v>360</v>
      </c>
      <c r="J56" s="714"/>
      <c r="K56" s="714"/>
      <c r="L56" s="714"/>
      <c r="M56" s="715"/>
    </row>
    <row r="57" spans="1:13" s="282" customFormat="1" ht="15" customHeight="1">
      <c r="A57" s="285"/>
      <c r="B57" s="719" t="s">
        <v>280</v>
      </c>
      <c r="C57" s="720"/>
      <c r="D57" s="721"/>
      <c r="E57" s="734"/>
      <c r="F57" s="734"/>
      <c r="G57" s="734"/>
      <c r="H57" s="734"/>
      <c r="I57" s="767"/>
      <c r="J57" s="768"/>
      <c r="K57" s="768"/>
      <c r="L57" s="768"/>
      <c r="M57" s="769"/>
    </row>
    <row r="58" spans="1:13" s="282" customFormat="1" ht="56.25" customHeight="1">
      <c r="A58" s="285"/>
      <c r="B58" s="752" t="s">
        <v>279</v>
      </c>
      <c r="C58" s="736"/>
      <c r="D58" s="737"/>
      <c r="E58" s="738" t="s">
        <v>266</v>
      </c>
      <c r="F58" s="738"/>
      <c r="G58" s="738" t="s">
        <v>272</v>
      </c>
      <c r="H58" s="738"/>
      <c r="I58" s="752" t="s">
        <v>506</v>
      </c>
      <c r="J58" s="736"/>
      <c r="K58" s="736"/>
      <c r="L58" s="736"/>
      <c r="M58" s="737"/>
    </row>
    <row r="59" spans="1:13" s="282" customFormat="1" ht="27" customHeight="1">
      <c r="A59" s="285"/>
      <c r="B59" s="719" t="s">
        <v>287</v>
      </c>
      <c r="C59" s="720"/>
      <c r="D59" s="721"/>
      <c r="E59" s="733"/>
      <c r="F59" s="733"/>
      <c r="G59" s="733"/>
      <c r="H59" s="733"/>
      <c r="I59" s="734"/>
      <c r="J59" s="734"/>
      <c r="K59" s="734"/>
      <c r="L59" s="734"/>
      <c r="M59" s="734"/>
    </row>
    <row r="60" spans="1:13" s="282" customFormat="1" ht="37.5" customHeight="1">
      <c r="A60" s="285"/>
      <c r="B60" s="739" t="s">
        <v>291</v>
      </c>
      <c r="C60" s="740"/>
      <c r="D60" s="741"/>
      <c r="E60" s="710" t="s">
        <v>276</v>
      </c>
      <c r="F60" s="712"/>
      <c r="G60" s="710" t="s">
        <v>281</v>
      </c>
      <c r="H60" s="712"/>
      <c r="I60" s="770" t="s">
        <v>290</v>
      </c>
      <c r="J60" s="771"/>
      <c r="K60" s="771"/>
      <c r="L60" s="771"/>
      <c r="M60" s="772"/>
    </row>
    <row r="61" spans="1:13" s="282" customFormat="1" ht="61.5" customHeight="1">
      <c r="A61" s="285"/>
      <c r="B61" s="742"/>
      <c r="C61" s="743"/>
      <c r="D61" s="744"/>
      <c r="E61" s="713"/>
      <c r="F61" s="715"/>
      <c r="G61" s="713"/>
      <c r="H61" s="715"/>
      <c r="I61" s="764" t="s">
        <v>369</v>
      </c>
      <c r="J61" s="765"/>
      <c r="K61" s="765"/>
      <c r="L61" s="765"/>
      <c r="M61" s="766"/>
    </row>
    <row r="62" spans="1:13" s="282" customFormat="1" ht="57.75" customHeight="1">
      <c r="A62" s="285"/>
      <c r="B62" s="735" t="s">
        <v>292</v>
      </c>
      <c r="C62" s="736"/>
      <c r="D62" s="737"/>
      <c r="E62" s="738" t="s">
        <v>755</v>
      </c>
      <c r="F62" s="738"/>
      <c r="G62" s="738" t="s">
        <v>282</v>
      </c>
      <c r="H62" s="738"/>
      <c r="I62" s="773" t="s">
        <v>293</v>
      </c>
      <c r="J62" s="774"/>
      <c r="K62" s="774"/>
      <c r="L62" s="774"/>
      <c r="M62" s="775"/>
    </row>
    <row r="63" spans="1:13" s="282" customFormat="1" ht="29.25" customHeight="1">
      <c r="A63" s="285"/>
      <c r="B63" s="735" t="s">
        <v>273</v>
      </c>
      <c r="C63" s="736"/>
      <c r="D63" s="737"/>
      <c r="E63" s="738" t="s">
        <v>755</v>
      </c>
      <c r="F63" s="738"/>
      <c r="G63" s="738" t="s">
        <v>282</v>
      </c>
      <c r="H63" s="738"/>
      <c r="I63" s="745"/>
      <c r="J63" s="745"/>
      <c r="K63" s="745"/>
      <c r="L63" s="745"/>
      <c r="M63" s="745"/>
    </row>
    <row r="64" spans="1:13" s="282" customFormat="1" ht="15" customHeight="1">
      <c r="A64" s="285"/>
      <c r="B64" s="719" t="s">
        <v>286</v>
      </c>
      <c r="C64" s="720"/>
      <c r="D64" s="721"/>
      <c r="E64" s="733"/>
      <c r="F64" s="733"/>
      <c r="G64" s="733"/>
      <c r="H64" s="733"/>
      <c r="I64" s="734"/>
      <c r="J64" s="734"/>
      <c r="K64" s="734"/>
      <c r="L64" s="734"/>
      <c r="M64" s="734"/>
    </row>
    <row r="65" spans="1:13" s="282" customFormat="1" ht="50.25" customHeight="1">
      <c r="A65" s="285"/>
      <c r="B65" s="710" t="s">
        <v>171</v>
      </c>
      <c r="C65" s="711"/>
      <c r="D65" s="712"/>
      <c r="E65" s="755" t="s">
        <v>294</v>
      </c>
      <c r="F65" s="756"/>
      <c r="G65" s="710"/>
      <c r="H65" s="712"/>
      <c r="I65" s="710" t="s">
        <v>298</v>
      </c>
      <c r="J65" s="711"/>
      <c r="K65" s="711"/>
      <c r="L65" s="711"/>
      <c r="M65" s="712"/>
    </row>
    <row r="66" spans="1:13" s="282" customFormat="1" ht="42" customHeight="1">
      <c r="A66" s="285"/>
      <c r="B66" s="713"/>
      <c r="C66" s="714"/>
      <c r="D66" s="715"/>
      <c r="E66" s="757" t="s">
        <v>754</v>
      </c>
      <c r="F66" s="758"/>
      <c r="G66" s="713"/>
      <c r="H66" s="715"/>
      <c r="I66" s="713"/>
      <c r="J66" s="714"/>
      <c r="K66" s="714"/>
      <c r="L66" s="714"/>
      <c r="M66" s="715"/>
    </row>
    <row r="67" spans="1:13" s="282" customFormat="1" ht="68.25" customHeight="1">
      <c r="A67" s="285"/>
      <c r="B67" s="710" t="s">
        <v>172</v>
      </c>
      <c r="C67" s="711"/>
      <c r="D67" s="712"/>
      <c r="E67" s="710" t="s">
        <v>259</v>
      </c>
      <c r="F67" s="712"/>
      <c r="G67" s="710" t="s">
        <v>296</v>
      </c>
      <c r="H67" s="712"/>
      <c r="I67" s="770" t="s">
        <v>370</v>
      </c>
      <c r="J67" s="771"/>
      <c r="K67" s="771"/>
      <c r="L67" s="771"/>
      <c r="M67" s="772"/>
    </row>
    <row r="68" spans="1:13" s="282" customFormat="1" ht="55.5" customHeight="1">
      <c r="A68" s="285"/>
      <c r="B68" s="713"/>
      <c r="C68" s="714"/>
      <c r="D68" s="715"/>
      <c r="E68" s="713" t="s">
        <v>582</v>
      </c>
      <c r="F68" s="715"/>
      <c r="G68" s="713"/>
      <c r="H68" s="715"/>
      <c r="I68" s="764" t="s">
        <v>372</v>
      </c>
      <c r="J68" s="765"/>
      <c r="K68" s="765"/>
      <c r="L68" s="765"/>
      <c r="M68" s="766"/>
    </row>
    <row r="69" spans="1:13" s="282" customFormat="1" ht="15" customHeight="1">
      <c r="A69" s="285"/>
      <c r="B69" s="719" t="s">
        <v>285</v>
      </c>
      <c r="C69" s="720"/>
      <c r="D69" s="721"/>
      <c r="E69" s="733"/>
      <c r="F69" s="733"/>
      <c r="G69" s="733"/>
      <c r="H69" s="733"/>
      <c r="I69" s="734"/>
      <c r="J69" s="734"/>
      <c r="K69" s="734"/>
      <c r="L69" s="734"/>
      <c r="M69" s="734"/>
    </row>
    <row r="70" spans="1:13" s="282" customFormat="1" ht="39" customHeight="1">
      <c r="A70" s="285"/>
      <c r="B70" s="738" t="s">
        <v>269</v>
      </c>
      <c r="C70" s="738"/>
      <c r="D70" s="738"/>
      <c r="E70" s="738" t="s">
        <v>264</v>
      </c>
      <c r="F70" s="738"/>
      <c r="G70" s="776" t="s">
        <v>284</v>
      </c>
      <c r="H70" s="738"/>
      <c r="I70" s="745"/>
      <c r="J70" s="745"/>
      <c r="K70" s="745"/>
      <c r="L70" s="745"/>
      <c r="M70" s="745"/>
    </row>
    <row r="71" spans="1:13" s="282" customFormat="1" ht="30.75" customHeight="1">
      <c r="A71" s="285"/>
      <c r="B71" s="738" t="s">
        <v>174</v>
      </c>
      <c r="C71" s="738"/>
      <c r="D71" s="738"/>
      <c r="E71" s="738" t="s">
        <v>580</v>
      </c>
      <c r="F71" s="738"/>
      <c r="G71" s="738" t="s">
        <v>88</v>
      </c>
      <c r="H71" s="738"/>
      <c r="I71" s="745"/>
      <c r="J71" s="745"/>
      <c r="K71" s="745"/>
      <c r="L71" s="745"/>
      <c r="M71" s="745"/>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-6.1103774809277143</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-6.1103774809277143</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-6.1103774809277143</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-6.1103774809277143</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-6.1103774809277143</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-1.3100095553113575</v>
      </c>
      <c r="S47" s="616">
        <f t="shared" si="8"/>
        <v>-1.3100095553113575</v>
      </c>
      <c r="T47" s="616">
        <f t="shared" si="8"/>
        <v>-1.3100095553113575</v>
      </c>
      <c r="U47" s="616">
        <f t="shared" si="8"/>
        <v>-1.3100095553113575</v>
      </c>
      <c r="V47" s="623">
        <f t="shared" si="8"/>
        <v>-1.3100095553113575</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-1.3100095553113575</v>
      </c>
      <c r="S52" s="616">
        <f t="shared" ref="S52" si="9">S47*S51</f>
        <v>-1.2644879877522757</v>
      </c>
      <c r="T52" s="616">
        <f t="shared" ref="T52" si="10">T47*T51</f>
        <v>-1.2205482507261347</v>
      </c>
      <c r="U52" s="616">
        <f t="shared" ref="U52" si="11">U47*U51</f>
        <v>-1.1781353771487786</v>
      </c>
      <c r="V52" s="621">
        <f t="shared" ref="V52" si="12">V47*V51</f>
        <v>-1.1371963099891687</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-6.110377480927716</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-6.1103774809277143</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7">IF(S$62+1&lt;=$P$61,$P59/$P$61,0)</f>
        <v>0</v>
      </c>
      <c r="T64" s="616">
        <f t="shared" si="17"/>
        <v>0</v>
      </c>
      <c r="U64" s="616">
        <f t="shared" si="17"/>
        <v>0</v>
      </c>
      <c r="V64" s="623">
        <f t="shared" si="17"/>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 si="19">S64*S68</f>
        <v>0</v>
      </c>
      <c r="T69" s="616">
        <f t="shared" ref="T69" si="20">T64*T68</f>
        <v>0</v>
      </c>
      <c r="U69" s="616">
        <f t="shared" ref="U69" si="21">U64*U68</f>
        <v>0</v>
      </c>
      <c r="V69" s="621">
        <f t="shared" ref="V69" si="22">V64*V68</f>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-6.1103774809277143</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2" si="26">IF(S$62+1&lt;=$P$78,$P76/$P$78,0) * (1+$P$79)^S$80</f>
        <v>0</v>
      </c>
      <c r="T82" s="616">
        <f t="shared" si="26"/>
        <v>0</v>
      </c>
      <c r="U82" s="616">
        <f t="shared" si="26"/>
        <v>0</v>
      </c>
      <c r="V82" s="623">
        <f t="shared" si="26"/>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 si="28">S82*S86</f>
        <v>0</v>
      </c>
      <c r="T87" s="616">
        <f t="shared" ref="T87" si="29">T82*T86</f>
        <v>0</v>
      </c>
      <c r="U87" s="616">
        <f t="shared" ref="U87" si="30">U82*U86</f>
        <v>0</v>
      </c>
      <c r="V87" s="621">
        <f t="shared" ref="V87" si="31">V82*V86</f>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-1.0105249543762798</v>
      </c>
      <c r="S94" s="616">
        <f>Calc!K196</f>
        <v>-2.2778623641155189</v>
      </c>
      <c r="T94" s="616">
        <f>Calc!L196</f>
        <v>-1.9522536887287691</v>
      </c>
      <c r="U94" s="616">
        <f>Calc!M196</f>
        <v>-0.8395702337348202</v>
      </c>
      <c r="V94" s="623">
        <f>Calc!N196</f>
        <v>-3.0166239972325204E-2</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-1.0105249543762798</v>
      </c>
      <c r="S99" s="616">
        <f t="shared" ref="S99" si="33">S94*S98</f>
        <v>-2.1987088456713502</v>
      </c>
      <c r="T99" s="616">
        <f t="shared" ref="T99" si="34">T94*T98</f>
        <v>-1.8189331635716233</v>
      </c>
      <c r="U99" s="616">
        <f t="shared" ref="U99" si="35">U94*U98</f>
        <v>-0.75505357190235844</v>
      </c>
      <c r="V99" s="621">
        <f t="shared" ref="V99" si="36">V94*V98</f>
        <v>-2.6186783633515197E-2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-5.8094073191551274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-1.0105249543762798</v>
      </c>
      <c r="S106" s="616">
        <f>Calc!K196</f>
        <v>-2.2778623641155189</v>
      </c>
      <c r="T106" s="616">
        <f>Calc!L196</f>
        <v>-1.9522536887287691</v>
      </c>
      <c r="U106" s="616">
        <f>Calc!M196</f>
        <v>-0.8395702337348202</v>
      </c>
      <c r="V106" s="623">
        <f>Calc!N196</f>
        <v>-3.0166239972325204E-2</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-1.0105249543762798</v>
      </c>
      <c r="S111" s="616">
        <f t="shared" ref="S111" si="38">S106*S110</f>
        <v>-2.1987088456713502</v>
      </c>
      <c r="T111" s="616">
        <f t="shared" ref="T111" si="39">T106*T110</f>
        <v>-1.8189331635716233</v>
      </c>
      <c r="U111" s="616">
        <f t="shared" ref="U111" si="40">U106*U110</f>
        <v>-0.75505357190235844</v>
      </c>
      <c r="V111" s="621">
        <f t="shared" ref="V111" si="41">V106*V110</f>
        <v>-2.6186783633515197E-2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-5.8094073191551274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-5.8094073191551274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-6.1103774809277143</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1.0518073781434141</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-1.0628776028110078</v>
      </c>
      <c r="S123" s="616">
        <f t="shared" si="43"/>
        <v>-2.3958724409719028</v>
      </c>
      <c r="T123" s="616">
        <f t="shared" si="43"/>
        <v>-2.0533948338126153</v>
      </c>
      <c r="U123" s="616">
        <f t="shared" si="43"/>
        <v>-0.88306616631187462</v>
      </c>
      <c r="V123" s="621">
        <f t="shared" si="43"/>
        <v>-3.1729073773736426E-2</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-1.0628776028110078</v>
      </c>
      <c r="S128" s="616">
        <f t="shared" ref="S128" si="44">S123*S127</f>
        <v>-2.3126181862663153</v>
      </c>
      <c r="T128" s="616">
        <f t="shared" ref="T128" si="45">T123*T127</f>
        <v>-1.9131673217943748</v>
      </c>
      <c r="U128" s="616">
        <f t="shared" ref="U128" si="46">U123*U127</f>
        <v>-0.79417091782043947</v>
      </c>
      <c r="V128" s="621">
        <f t="shared" ref="V128" si="47">V123*V127</f>
        <v>-2.7543452235576485E-2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-6.1103774809277143</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-6.1103774809277143</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-1.3100095553113575</v>
      </c>
      <c r="S138" s="616">
        <f>S47</f>
        <v>-1.3100095553113575</v>
      </c>
      <c r="T138" s="616">
        <f>T47</f>
        <v>-1.3100095553113575</v>
      </c>
      <c r="U138" s="616">
        <f>U47</f>
        <v>-1.3100095553113575</v>
      </c>
      <c r="V138" s="621">
        <f>V47</f>
        <v>-1.3100095553113575</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-1.0105249543762798</v>
      </c>
      <c r="S141" s="616">
        <f>S94</f>
        <v>-2.2778623641155189</v>
      </c>
      <c r="T141" s="616">
        <f>T94</f>
        <v>-1.9522536887287691</v>
      </c>
      <c r="U141" s="616">
        <f>U94</f>
        <v>-0.8395702337348202</v>
      </c>
      <c r="V141" s="621">
        <f>V94</f>
        <v>-3.0166239972325204E-2</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-1.0628776028110078</v>
      </c>
      <c r="S142" s="616">
        <f t="shared" si="50"/>
        <v>-2.3958724409719028</v>
      </c>
      <c r="T142" s="616">
        <f t="shared" si="50"/>
        <v>-2.0533948338126153</v>
      </c>
      <c r="U142" s="616">
        <f t="shared" si="50"/>
        <v>-0.88306616631187462</v>
      </c>
      <c r="V142" s="621">
        <f t="shared" si="50"/>
        <v>-3.1729073773736426E-2</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-1.3100095553113575</v>
      </c>
      <c r="S143" s="630">
        <f t="shared" ref="S143:V143" si="51">CHOOSE($P$135+1,S137,S138,S139,S140,S141,S142)</f>
        <v>-1.3100095553113575</v>
      </c>
      <c r="T143" s="630">
        <f t="shared" si="51"/>
        <v>-1.3100095553113575</v>
      </c>
      <c r="U143" s="630">
        <f t="shared" si="51"/>
        <v>-1.3100095553113575</v>
      </c>
      <c r="V143" s="631">
        <f t="shared" si="51"/>
        <v>-1.3100095553113575</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-1.3100095553113575</v>
      </c>
      <c r="S156" s="627">
        <f t="shared" ref="S156:V156" si="58">S143</f>
        <v>-1.3100095553113575</v>
      </c>
      <c r="T156" s="627">
        <f t="shared" si="58"/>
        <v>-1.3100095553113575</v>
      </c>
      <c r="U156" s="627">
        <f t="shared" si="58"/>
        <v>-1.3100095553113575</v>
      </c>
      <c r="V156" s="628">
        <f t="shared" si="58"/>
        <v>-1.3100095553113575</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BRL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21.591000000000001</v>
      </c>
      <c r="K16" s="121">
        <f>'Input FD'!K10</f>
        <v>25.234000000000002</v>
      </c>
      <c r="L16" s="121">
        <f>'Input FD'!L10</f>
        <v>25.286999999999999</v>
      </c>
      <c r="M16" s="121">
        <f>'Input FD'!M10</f>
        <v>27.077000000000002</v>
      </c>
      <c r="N16" s="121">
        <f>'Input FD'!N10</f>
        <v>26.503</v>
      </c>
      <c r="O16" s="113"/>
      <c r="P16" s="113"/>
      <c r="Q16" s="113"/>
      <c r="R16" s="113"/>
      <c r="S16" s="113"/>
      <c r="T16" s="115"/>
      <c r="U16" s="122">
        <f t="shared" ref="U16:U34" si="0">SUM(J16:N16)</f>
        <v>125.69199999999999</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14.125999999999999</v>
      </c>
      <c r="K17" s="121">
        <f>'Input FD'!K11</f>
        <v>17.931000000000001</v>
      </c>
      <c r="L17" s="121">
        <f>'Input FD'!L11</f>
        <v>15.067</v>
      </c>
      <c r="M17" s="121">
        <f>'Input FD'!M11</f>
        <v>7.7969999999999997</v>
      </c>
      <c r="N17" s="121">
        <f>'Input FD'!N11</f>
        <v>5.9359999999999999</v>
      </c>
      <c r="O17" s="113"/>
      <c r="P17" s="113"/>
      <c r="Q17" s="113"/>
      <c r="R17" s="113"/>
      <c r="S17" s="113"/>
      <c r="T17" s="115"/>
      <c r="U17" s="122">
        <f t="shared" si="0"/>
        <v>60.856999999999999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10.823</v>
      </c>
      <c r="K18" s="121">
        <f>'Input FD'!K12</f>
        <v>17.779</v>
      </c>
      <c r="L18" s="121">
        <f>'Input FD'!L12</f>
        <v>11.446999999999999</v>
      </c>
      <c r="M18" s="121">
        <f>'Input FD'!M12</f>
        <v>14.250999999999999</v>
      </c>
      <c r="N18" s="121">
        <f>'Input FD'!N12</f>
        <v>22.138999999999999</v>
      </c>
      <c r="O18" s="113"/>
      <c r="P18" s="113"/>
      <c r="Q18" s="113"/>
      <c r="R18" s="113"/>
      <c r="S18" s="113"/>
      <c r="T18" s="115"/>
      <c r="U18" s="122">
        <f t="shared" si="0"/>
        <v>76.438999999999993</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10.878</v>
      </c>
      <c r="K19" s="121">
        <f>'Input FD'!K13</f>
        <v>16.831</v>
      </c>
      <c r="L19" s="121">
        <f>'Input FD'!L13</f>
        <v>18.053000000000001</v>
      </c>
      <c r="M19" s="121">
        <f>'Input FD'!M13</f>
        <v>12.182</v>
      </c>
      <c r="N19" s="121">
        <f>'Input FD'!N13</f>
        <v>5.9379999999999997</v>
      </c>
      <c r="O19" s="113"/>
      <c r="P19" s="113"/>
      <c r="Q19" s="113"/>
      <c r="R19" s="113"/>
      <c r="S19" s="113"/>
      <c r="T19" s="115"/>
      <c r="U19" s="122">
        <f t="shared" si="0"/>
        <v>63.882000000000005</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-2.1970000000000001</v>
      </c>
      <c r="K20" s="121">
        <f>-'Input FD'!K14</f>
        <v>-3.2570000000000001</v>
      </c>
      <c r="L20" s="121">
        <f>-'Input FD'!L14</f>
        <v>-2.198</v>
      </c>
      <c r="M20" s="121">
        <f>-'Input FD'!M14</f>
        <v>-1.8380000000000001</v>
      </c>
      <c r="N20" s="121">
        <f>-'Input FD'!N14</f>
        <v>-2.758</v>
      </c>
      <c r="O20" s="113"/>
      <c r="P20" s="113"/>
      <c r="Q20" s="113"/>
      <c r="R20" s="113"/>
      <c r="S20" s="113"/>
      <c r="T20" s="115"/>
      <c r="U20" s="122">
        <f t="shared" si="0"/>
        <v>-12.248000000000001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1.2336934802411399</v>
      </c>
      <c r="K21" s="121">
        <f>-'Input FD'!K17</f>
        <v>2.0322837964087701</v>
      </c>
      <c r="L21" s="121">
        <f>-'Input FD'!L17</f>
        <v>-2.0103855804304902</v>
      </c>
      <c r="M21" s="121">
        <f>-'Input FD'!M17</f>
        <v>-2.0006427750176901</v>
      </c>
      <c r="N21" s="121">
        <f>-'Input FD'!N17</f>
        <v>-2.4350749212017302</v>
      </c>
      <c r="O21" s="113"/>
      <c r="P21" s="113"/>
      <c r="Q21" s="113"/>
      <c r="R21" s="113"/>
      <c r="S21" s="113"/>
      <c r="T21" s="115"/>
      <c r="U21" s="122">
        <f t="shared" ref="U21" si="1">SUM(J21:N21)</f>
        <v>-3.1801260000000005</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56.454693480241133</v>
      </c>
      <c r="K24" s="121">
        <f>Calc!K55</f>
        <v>76.550283796408777</v>
      </c>
      <c r="L24" s="121">
        <f>Calc!L55</f>
        <v>65.645614419569512</v>
      </c>
      <c r="M24" s="121">
        <f>Calc!M55</f>
        <v>57.468357224982313</v>
      </c>
      <c r="N24" s="121">
        <f>Calc!N55</f>
        <v>55.322925078798271</v>
      </c>
      <c r="O24" s="113"/>
      <c r="P24" s="113"/>
      <c r="Q24" s="113"/>
      <c r="R24" s="113"/>
      <c r="S24" s="113"/>
      <c r="T24" s="115"/>
      <c r="U24" s="122">
        <f t="shared" si="0"/>
        <v>311.44187400000004</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16.923408944391301</v>
      </c>
      <c r="K37" s="121">
        <f>'Input FD'!K30</f>
        <v>19.760385971784899</v>
      </c>
      <c r="L37" s="121">
        <f>'Input FD'!L30</f>
        <v>19.823722925913799</v>
      </c>
      <c r="M37" s="121">
        <f>'Input FD'!M30</f>
        <v>21.167441797505301</v>
      </c>
      <c r="N37" s="121">
        <f>'Input FD'!N30</f>
        <v>20.986649173977799</v>
      </c>
      <c r="O37" s="113"/>
      <c r="P37" s="113"/>
      <c r="Q37" s="113"/>
      <c r="R37" s="113"/>
      <c r="S37" s="113"/>
      <c r="T37" s="115"/>
      <c r="U37" s="122">
        <f t="shared" ref="U37:U51" si="4">SUM(J37:N37)</f>
        <v>98.661608813573096</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13.352425777721299</v>
      </c>
      <c r="K38" s="121">
        <f>'Input FD'!K31</f>
        <v>16.7731250605488</v>
      </c>
      <c r="L38" s="121">
        <f>'Input FD'!L31</f>
        <v>14.120046151652501</v>
      </c>
      <c r="M38" s="121">
        <f>'Input FD'!M31</f>
        <v>7.4963418469051302</v>
      </c>
      <c r="N38" s="121">
        <f>'Input FD'!N31</f>
        <v>5.7951506849097196</v>
      </c>
      <c r="O38" s="113"/>
      <c r="P38" s="113"/>
      <c r="Q38" s="113"/>
      <c r="R38" s="113"/>
      <c r="S38" s="113"/>
      <c r="T38" s="115"/>
      <c r="U38" s="122">
        <f t="shared" si="4"/>
        <v>57.537089521737457</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8.8255752976846704</v>
      </c>
      <c r="K39" s="121">
        <f>'Input FD'!K32</f>
        <v>13.465797331332</v>
      </c>
      <c r="L39" s="121">
        <f>'Input FD'!L32</f>
        <v>6.6768268320489801</v>
      </c>
      <c r="M39" s="121">
        <f>'Input FD'!M32</f>
        <v>6.9561178457821802</v>
      </c>
      <c r="N39" s="121">
        <f>'Input FD'!N32</f>
        <v>2.5018963795191</v>
      </c>
      <c r="O39" s="113"/>
      <c r="P39" s="113"/>
      <c r="Q39" s="113"/>
      <c r="R39" s="113"/>
      <c r="S39" s="113"/>
      <c r="T39" s="115"/>
      <c r="U39" s="122">
        <f t="shared" si="4"/>
        <v>38.426213686366935</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8.4580519266306506</v>
      </c>
      <c r="K40" s="121">
        <f>'Input FD'!K33</f>
        <v>13.8156909705161</v>
      </c>
      <c r="L40" s="121">
        <f>'Input FD'!L33</f>
        <v>14.1464381782716</v>
      </c>
      <c r="M40" s="121">
        <f>'Input FD'!M33</f>
        <v>9.87942316127622</v>
      </c>
      <c r="N40" s="121">
        <f>'Input FD'!N33</f>
        <v>2.5423694084206301</v>
      </c>
      <c r="O40" s="113"/>
      <c r="P40" s="113"/>
      <c r="Q40" s="113"/>
      <c r="R40" s="113"/>
      <c r="S40" s="113"/>
      <c r="T40" s="115"/>
      <c r="U40" s="122">
        <f t="shared" si="4"/>
        <v>48.841973645115203</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47.559461946427923</v>
      </c>
      <c r="K43" s="121">
        <f>Calc!K56</f>
        <v>63.814999334181799</v>
      </c>
      <c r="L43" s="121">
        <f>Calc!L56</f>
        <v>54.767034087886884</v>
      </c>
      <c r="M43" s="121">
        <f>Calc!M56</f>
        <v>45.499324651468832</v>
      </c>
      <c r="N43" s="121">
        <f>Calc!N56</f>
        <v>31.826065646827246</v>
      </c>
      <c r="O43" s="113"/>
      <c r="P43" s="113"/>
      <c r="Q43" s="113"/>
      <c r="R43" s="113"/>
      <c r="S43" s="113"/>
      <c r="T43" s="115"/>
      <c r="U43" s="122">
        <f t="shared" si="4"/>
        <v>243.46688566679268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18.104646099500236</v>
      </c>
      <c r="K54" s="121">
        <f>Calc!K39</f>
        <v>21.139641308925558</v>
      </c>
      <c r="L54" s="121">
        <f>Calc!L39</f>
        <v>21.20739911961795</v>
      </c>
      <c r="M54" s="121">
        <f>Calc!M39</f>
        <v>22.644908235383099</v>
      </c>
      <c r="N54" s="121">
        <f>Calc!N39</f>
        <v>22.451496466092348</v>
      </c>
      <c r="O54" s="113"/>
      <c r="P54" s="113"/>
      <c r="Q54" s="113"/>
      <c r="R54" s="113"/>
      <c r="S54" s="113"/>
      <c r="T54" s="115"/>
      <c r="U54" s="122">
        <f>SUM(J54:N54)</f>
        <v>105.54809122951919</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14.284411850462625</v>
      </c>
      <c r="K55" s="121">
        <f>Calc!K40</f>
        <v>17.943872549657687</v>
      </c>
      <c r="L55" s="121">
        <f>Calc!L40</f>
        <v>15.105611364960932</v>
      </c>
      <c r="M55" s="121">
        <f>Calc!M40</f>
        <v>8.0195790709218038</v>
      </c>
      <c r="N55" s="121">
        <f>Calc!N40</f>
        <v>6.1996464535201588</v>
      </c>
      <c r="O55" s="113"/>
      <c r="P55" s="113"/>
      <c r="Q55" s="113"/>
      <c r="R55" s="113"/>
      <c r="S55" s="113"/>
      <c r="T55" s="115"/>
      <c r="U55" s="122">
        <f>SUM(J55:N55)</f>
        <v>61.553121289523219</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9.4415916978728713</v>
      </c>
      <c r="K56" s="121">
        <f>Calc!K41</f>
        <v>14.405696626042817</v>
      </c>
      <c r="L56" s="121">
        <f>Calc!L41</f>
        <v>7.1428627210451143</v>
      </c>
      <c r="M56" s="121">
        <f>Calc!M41</f>
        <v>7.4416479704606013</v>
      </c>
      <c r="N56" s="121">
        <f>Calc!N41</f>
        <v>2.6765262647527091</v>
      </c>
      <c r="O56" s="113"/>
      <c r="P56" s="113"/>
      <c r="Q56" s="113"/>
      <c r="R56" s="113"/>
      <c r="S56" s="113"/>
      <c r="T56" s="115"/>
      <c r="U56" s="122">
        <f>SUM(J56:N56)</f>
        <v>41.108325280174114</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9.0484155601282605</v>
      </c>
      <c r="K57" s="121">
        <f>Calc!K42</f>
        <v>14.780012494122914</v>
      </c>
      <c r="L57" s="121">
        <f>Calc!L42</f>
        <v>15.133845528855302</v>
      </c>
      <c r="M57" s="121">
        <f>Calc!M42</f>
        <v>10.568997096852057</v>
      </c>
      <c r="N57" s="121">
        <f>Calc!N42</f>
        <v>2.7198242709194802</v>
      </c>
      <c r="O57" s="113"/>
      <c r="P57" s="113"/>
      <c r="Q57" s="113"/>
      <c r="R57" s="113"/>
      <c r="S57" s="113"/>
      <c r="T57" s="115"/>
      <c r="U57" s="122">
        <f>SUM(J57:N57)</f>
        <v>52.25109495087802</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50.879065207963997</v>
      </c>
      <c r="K60" s="121">
        <f>Calc!K57</f>
        <v>68.269222978748985</v>
      </c>
      <c r="L60" s="121">
        <f>Calc!L57</f>
        <v>58.589718734479298</v>
      </c>
      <c r="M60" s="121">
        <f>Calc!M57</f>
        <v>48.675132373617565</v>
      </c>
      <c r="N60" s="121">
        <f>Calc!N57</f>
        <v>34.047493455284695</v>
      </c>
      <c r="O60" s="113"/>
      <c r="P60" s="113"/>
      <c r="Q60" s="113"/>
      <c r="R60" s="113"/>
      <c r="S60" s="113"/>
      <c r="T60" s="115"/>
      <c r="U60" s="122">
        <f>SUM(J60:N60)</f>
        <v>260.46063275009453</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127.91960317192274</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-1.7254566772867099</v>
      </c>
      <c r="K73" s="121">
        <f>Calc!K127</f>
        <v>-1.7254566772867099</v>
      </c>
      <c r="L73" s="121">
        <f>Calc!L127</f>
        <v>-1.7254566772867099</v>
      </c>
      <c r="M73" s="121">
        <f>Calc!M127</f>
        <v>-1.7254566772867099</v>
      </c>
      <c r="N73" s="121">
        <f>Calc!N127</f>
        <v>-1.7254566772867099</v>
      </c>
      <c r="O73" s="113"/>
      <c r="P73" s="113"/>
      <c r="Q73" s="113"/>
      <c r="R73" s="113"/>
      <c r="S73" s="113"/>
      <c r="T73" s="115"/>
      <c r="U73" s="122">
        <f>SUM(J73:N73)</f>
        <v>-8.6272833864335503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BRL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56.454693480241133</v>
      </c>
      <c r="K16" s="121">
        <f>Calc!K55</f>
        <v>76.550283796408777</v>
      </c>
      <c r="L16" s="121">
        <f>Calc!L55</f>
        <v>65.645614419569512</v>
      </c>
      <c r="M16" s="121">
        <f>Calc!M55</f>
        <v>57.468357224982313</v>
      </c>
      <c r="N16" s="121">
        <f>Calc!N55</f>
        <v>55.322925078798271</v>
      </c>
      <c r="O16" s="113"/>
      <c r="P16" s="113"/>
      <c r="Q16" s="113"/>
      <c r="R16" s="113"/>
      <c r="S16" s="113"/>
      <c r="T16" s="115"/>
      <c r="U16" s="295">
        <f>SUM(J16:N16)</f>
        <v>311.44187400000004</v>
      </c>
    </row>
    <row r="17" spans="1:21" s="117" customFormat="1" ht="17.399999999999999">
      <c r="A17" s="110"/>
      <c r="B17" s="118" t="s">
        <v>131</v>
      </c>
      <c r="C17" s="119"/>
      <c r="D17" s="113"/>
      <c r="E17" s="124" t="str">
        <f>Calc!E56</f>
        <v>Water: Baseline capex (gross of adjustments)</v>
      </c>
      <c r="F17" s="124"/>
      <c r="G17" s="113"/>
      <c r="H17" s="120"/>
      <c r="I17" s="120"/>
      <c r="J17" s="121">
        <f>Calc!J56</f>
        <v>47.559461946427923</v>
      </c>
      <c r="K17" s="121">
        <f>Calc!K56</f>
        <v>63.814999334181799</v>
      </c>
      <c r="L17" s="121">
        <f>Calc!L56</f>
        <v>54.767034087886884</v>
      </c>
      <c r="M17" s="121">
        <f>Calc!M56</f>
        <v>45.499324651468832</v>
      </c>
      <c r="N17" s="121">
        <f>Calc!N56</f>
        <v>31.826065646827246</v>
      </c>
      <c r="O17" s="113"/>
      <c r="P17" s="113"/>
      <c r="Q17" s="113"/>
      <c r="R17" s="113"/>
      <c r="S17" s="113"/>
      <c r="T17" s="115"/>
      <c r="U17" s="295">
        <f t="shared" ref="U17:U18" si="0">SUM(J17:N17)</f>
        <v>243.46688566679268</v>
      </c>
    </row>
    <row r="18" spans="1:21" s="117" customFormat="1" ht="17.399999999999999">
      <c r="A18" s="110"/>
      <c r="B18" s="118" t="s">
        <v>132</v>
      </c>
      <c r="C18" s="119"/>
      <c r="D18" s="113"/>
      <c r="E18" s="124" t="str">
        <f>Calc!E57</f>
        <v>Water: Allowance capex (gross of adjustments)</v>
      </c>
      <c r="F18" s="124"/>
      <c r="G18" s="113"/>
      <c r="H18" s="286"/>
      <c r="I18" s="120"/>
      <c r="J18" s="121">
        <f>Calc!J57</f>
        <v>50.879065207963997</v>
      </c>
      <c r="K18" s="121">
        <f>Calc!K57</f>
        <v>68.269222978748985</v>
      </c>
      <c r="L18" s="121">
        <f>Calc!L57</f>
        <v>58.589718734479298</v>
      </c>
      <c r="M18" s="121">
        <f>Calc!M57</f>
        <v>48.675132373617565</v>
      </c>
      <c r="N18" s="121">
        <f>Calc!N57</f>
        <v>34.047493455284695</v>
      </c>
      <c r="O18" s="113"/>
      <c r="P18" s="113"/>
      <c r="Q18" s="113"/>
      <c r="R18" s="113"/>
      <c r="S18" s="113"/>
      <c r="T18" s="115"/>
      <c r="U18" s="295">
        <f t="shared" si="0"/>
        <v>260.46063275009453</v>
      </c>
    </row>
    <row r="19" spans="1:21" s="117" customFormat="1" ht="17.399999999999999">
      <c r="A19" s="110"/>
      <c r="B19" s="118" t="s">
        <v>133</v>
      </c>
      <c r="C19" s="119"/>
      <c r="D19" s="113"/>
      <c r="E19" s="124" t="str">
        <f>Calc!E94</f>
        <v>Water: CIS bid ratio</v>
      </c>
      <c r="F19" s="124"/>
      <c r="G19" s="301">
        <f>Calc!G94</f>
        <v>127.91960317192274</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56.454693480241133</v>
      </c>
      <c r="K24" s="121">
        <f>Calc!K62</f>
        <v>76.550283796408777</v>
      </c>
      <c r="L24" s="121">
        <f>Calc!L62</f>
        <v>65.645614419569512</v>
      </c>
      <c r="M24" s="121">
        <f>Calc!M62</f>
        <v>57.468357224982313</v>
      </c>
      <c r="N24" s="121">
        <f>Calc!N62</f>
        <v>55.322925078798271</v>
      </c>
      <c r="O24" s="113"/>
      <c r="P24" s="113"/>
      <c r="Q24" s="113"/>
      <c r="R24" s="113"/>
      <c r="S24" s="113"/>
      <c r="T24" s="115"/>
      <c r="U24" s="295">
        <f t="shared" ref="U24:U26" si="2">SUM(J24:N24)</f>
        <v>311.44187400000004</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47.559461946427923</v>
      </c>
      <c r="K25" s="121">
        <f>Calc!K63</f>
        <v>63.814999334181799</v>
      </c>
      <c r="L25" s="121">
        <f>Calc!L63</f>
        <v>54.767034087886884</v>
      </c>
      <c r="M25" s="121">
        <f>Calc!M63</f>
        <v>45.499324651468832</v>
      </c>
      <c r="N25" s="121">
        <f>Calc!N63</f>
        <v>31.826065646827246</v>
      </c>
      <c r="O25" s="113"/>
      <c r="P25" s="113"/>
      <c r="Q25" s="113"/>
      <c r="R25" s="113"/>
      <c r="S25" s="113"/>
      <c r="T25" s="115"/>
      <c r="U25" s="295">
        <f t="shared" si="2"/>
        <v>243.46688566679268</v>
      </c>
    </row>
    <row r="26" spans="1:21" s="117" customFormat="1" ht="17.399999999999999">
      <c r="A26" s="110"/>
      <c r="B26" s="118" t="s">
        <v>138</v>
      </c>
      <c r="C26" s="119"/>
      <c r="D26" s="113"/>
      <c r="E26" s="113" t="str">
        <f>Calc!E64</f>
        <v>Water: Allowance capex (net of adjustments)</v>
      </c>
      <c r="F26" s="113"/>
      <c r="G26" s="113"/>
      <c r="H26" s="120"/>
      <c r="I26" s="120"/>
      <c r="J26" s="121">
        <f>Calc!J64</f>
        <v>50.879065207963997</v>
      </c>
      <c r="K26" s="121">
        <f>Calc!K64</f>
        <v>68.269222978748971</v>
      </c>
      <c r="L26" s="121">
        <f>Calc!L64</f>
        <v>58.589718734479305</v>
      </c>
      <c r="M26" s="121">
        <f>Calc!M64</f>
        <v>48.675132373617565</v>
      </c>
      <c r="N26" s="121">
        <f>Calc!N64</f>
        <v>34.047493455284695</v>
      </c>
      <c r="O26" s="113"/>
      <c r="P26" s="113"/>
      <c r="Q26" s="113"/>
      <c r="R26" s="113"/>
      <c r="S26" s="113"/>
      <c r="T26" s="115"/>
      <c r="U26" s="295">
        <f t="shared" si="2"/>
        <v>260.46063275009453</v>
      </c>
    </row>
    <row r="27" spans="1:21" s="117" customFormat="1" ht="17.399999999999999">
      <c r="A27" s="110"/>
      <c r="B27" s="118" t="s">
        <v>139</v>
      </c>
      <c r="C27" s="119"/>
      <c r="D27" s="113"/>
      <c r="E27" s="113" t="str">
        <f>Calc!E106</f>
        <v>Water: Restated CIS bid ratio</v>
      </c>
      <c r="F27" s="113"/>
      <c r="G27" s="301">
        <f>Calc!G106</f>
        <v>127.91960317192274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50.163144438902997</v>
      </c>
      <c r="K30" s="121">
        <f>Calc!K79</f>
        <v>66.46145440261337</v>
      </c>
      <c r="L30" s="121">
        <f>Calc!L79</f>
        <v>57.108487196254245</v>
      </c>
      <c r="M30" s="121">
        <f>Calc!M79</f>
        <v>50.099253728230345</v>
      </c>
      <c r="N30" s="121">
        <f>Calc!N79</f>
        <v>48.478136614465264</v>
      </c>
      <c r="O30" s="113"/>
      <c r="P30" s="113"/>
      <c r="Q30" s="113"/>
      <c r="R30" s="113"/>
      <c r="S30" s="113"/>
      <c r="T30" s="115"/>
      <c r="U30" s="295">
        <f t="shared" ref="U30:U33" si="3">SUM(J30:N30)</f>
        <v>272.31047638046618</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42.259235007451935</v>
      </c>
      <c r="K31" s="121">
        <f>Calc!K80</f>
        <v>55.404597581001994</v>
      </c>
      <c r="L31" s="121">
        <f>Calc!L80</f>
        <v>47.644652162057085</v>
      </c>
      <c r="M31" s="121">
        <f>Calc!M80</f>
        <v>39.66499688259993</v>
      </c>
      <c r="N31" s="121">
        <f>Calc!N80</f>
        <v>27.888408939517799</v>
      </c>
      <c r="O31" s="113"/>
      <c r="P31" s="113"/>
      <c r="Q31" s="113"/>
      <c r="R31" s="113"/>
      <c r="S31" s="113"/>
      <c r="T31" s="115"/>
      <c r="U31" s="295">
        <f t="shared" si="3"/>
        <v>212.86189057262874</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45.208887686844648</v>
      </c>
      <c r="K32" s="121">
        <f>Calc!K81</f>
        <v>59.271783526906113</v>
      </c>
      <c r="L32" s="121">
        <f>Calc!L81</f>
        <v>50.970201616129394</v>
      </c>
      <c r="M32" s="121">
        <f>Calc!M81</f>
        <v>42.433574314544288</v>
      </c>
      <c r="N32" s="121">
        <f>Calc!N81</f>
        <v>29.834992216236898</v>
      </c>
      <c r="O32" s="113"/>
      <c r="P32" s="113"/>
      <c r="Q32" s="113"/>
      <c r="R32" s="113"/>
      <c r="S32" s="113"/>
      <c r="T32" s="115"/>
      <c r="U32" s="295">
        <f t="shared" si="3"/>
        <v>227.71943936066134</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18.470459359016843</v>
      </c>
      <c r="K33" s="121">
        <f>Calc!K82</f>
        <v>49.496888767950573</v>
      </c>
      <c r="L33" s="121">
        <f>Calc!L82</f>
        <v>72.080175028098608</v>
      </c>
      <c r="M33" s="121">
        <f>Calc!M82</f>
        <v>59.669038334216282</v>
      </c>
      <c r="N33" s="121">
        <f>Calc!N82</f>
        <v>42.807670561226971</v>
      </c>
      <c r="O33" s="113"/>
      <c r="P33" s="113"/>
      <c r="Q33" s="113"/>
      <c r="R33" s="113"/>
      <c r="S33" s="113"/>
      <c r="T33" s="115"/>
      <c r="U33" s="295">
        <f t="shared" si="3"/>
        <v>242.52423205050928</v>
      </c>
    </row>
    <row r="34" spans="1:21" s="117" customFormat="1" ht="17.399999999999999">
      <c r="A34" s="110"/>
      <c r="B34" s="118" t="s">
        <v>145</v>
      </c>
      <c r="C34" s="118"/>
      <c r="D34" s="113"/>
      <c r="E34" s="113" t="str">
        <f>Calc!E116</f>
        <v>Water: CIS outturn ratio</v>
      </c>
      <c r="F34" s="113"/>
      <c r="G34" s="301">
        <f>Calc!G116</f>
        <v>113.93501739465182</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-8.9060670899952399</v>
      </c>
    </row>
    <row r="38" spans="1:21" s="117" customFormat="1" ht="17.399999999999999">
      <c r="A38" s="110"/>
      <c r="B38" s="118" t="s">
        <v>152</v>
      </c>
      <c r="C38" s="119"/>
      <c r="D38" s="113"/>
      <c r="E38" s="113" t="str">
        <f>Calc!E127</f>
        <v>Water: Additional income (applied at FD)</v>
      </c>
      <c r="F38" s="113"/>
      <c r="G38" s="113"/>
      <c r="H38" s="113"/>
      <c r="I38" s="113"/>
      <c r="J38" s="121">
        <f>Calc!J127</f>
        <v>-1.7254566772867099</v>
      </c>
      <c r="K38" s="121">
        <f>Calc!K127</f>
        <v>-1.7254566772867099</v>
      </c>
      <c r="L38" s="121">
        <f>Calc!L127</f>
        <v>-1.7254566772867099</v>
      </c>
      <c r="M38" s="121">
        <f>Calc!M127</f>
        <v>-1.7254566772867099</v>
      </c>
      <c r="N38" s="121">
        <f>Calc!N127</f>
        <v>-1.7254566772867099</v>
      </c>
      <c r="O38" s="113"/>
      <c r="P38" s="113"/>
      <c r="Q38" s="113"/>
      <c r="R38" s="113"/>
      <c r="S38" s="113"/>
      <c r="T38" s="115"/>
      <c r="U38" s="295">
        <f t="shared" ref="U38" si="4">SUM(J38:N38)</f>
        <v>-8.6272833864335503</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-0.27878370356168958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BRL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13.875098374208227</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-5.2092523662375889</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-6.1103774809277143</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258.20287999999999</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2.5700000000001388E-2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0.80785956634824141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117.095825</v>
      </c>
      <c r="N17" s="375">
        <f>IF('Input FD'!N106=0,M17*(1+'Input FD'!N107),'Input FD'!N106)</f>
        <v>120.72579557500001</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1.0520738993710692</v>
      </c>
      <c r="N18" s="377">
        <f t="shared" si="4"/>
        <v>1.0846881902515724</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87.17711127899004</v>
      </c>
      <c r="N20" s="375">
        <f>((N17/'Input FD'!$G$117)/(N13/'Input FD'!$G$116))*100</f>
        <v>87.62757309996941</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0.87177111278990038</v>
      </c>
      <c r="N21" s="377">
        <f t="shared" si="5"/>
        <v>0.87627573099969414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4.5782571583752318E-3</v>
      </c>
      <c r="J25" s="359">
        <f>IF(J$5=1,0,'Input FD'!J111/'Input FD'!I111-1)</f>
        <v>3.1000000000001693E-2</v>
      </c>
      <c r="K25" s="359">
        <f>IF(K$5=1,0,'Input FD'!K111/'Input FD'!J111-1)</f>
        <v>2.7000000000000135E-2</v>
      </c>
      <c r="L25" s="359">
        <f>IF(L$5=1,0,'Input FD'!L111/'Input FD'!K111-1)</f>
        <v>2.8999999999997028E-2</v>
      </c>
      <c r="M25" s="359">
        <f>IF(M$5=1,0,'Input FD'!M111/'Input FD'!L111-1)</f>
        <v>3.1000000000003247E-2</v>
      </c>
      <c r="N25" s="376">
        <f>IF(N$5=1,0,'Input FD'!N111/'Input FD'!M111-1)</f>
        <v>2.7999999999996916E-2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0.96674648540089592</v>
      </c>
      <c r="J26" s="144">
        <f>'Input FD'!$G$111/'Input FD'!J111</f>
        <v>0.93767845334713329</v>
      </c>
      <c r="K26" s="144">
        <f>'Input FD'!$G$111/'Input FD'!K111</f>
        <v>0.91302673159409264</v>
      </c>
      <c r="L26" s="144">
        <f>'Input FD'!$G$111/'Input FD'!L111</f>
        <v>0.88729517161719651</v>
      </c>
      <c r="M26" s="144">
        <f>'Input FD'!$G$111/'Input FD'!M111</f>
        <v>0.86061607334354395</v>
      </c>
      <c r="N26" s="377">
        <f>'Input FD'!$G$111/'Input FD'!N111</f>
        <v>0.83717516862212693</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108.90705</v>
      </c>
      <c r="I28" s="134">
        <f>IF('Input FD'!I113=0,H28*(1+'Input FD'!I114),'Input FD'!I113)</f>
        <v>102.48153405000001</v>
      </c>
      <c r="J28" s="135">
        <f>IF('Input FD'!J113=0,I28*(1+'Input FD'!J114),'Input FD'!J113)</f>
        <v>106.42707311092501</v>
      </c>
      <c r="K28" s="135">
        <f>IF('Input FD'!K113=0,J28*(1+'Input FD'!K114),'Input FD'!K113)</f>
        <v>110.09880713325192</v>
      </c>
      <c r="L28" s="135">
        <f>IF('Input FD'!L113=0,K28*(1+'Input FD'!L114),'Input FD'!L113)</f>
        <v>114.11741359361562</v>
      </c>
      <c r="M28" s="135">
        <f>IF('Input FD'!M113=0,L28*(1+'Input FD'!M114),'Input FD'!M113)</f>
        <v>118.51093401696983</v>
      </c>
      <c r="N28" s="375">
        <f>IF('Input FD'!N113=0,M28*(1+'Input FD'!N114),'Input FD'!N113)</f>
        <v>122.71807217457227</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0.97850000000000004</v>
      </c>
      <c r="I29" s="143">
        <f>IF(OR(I$5&lt;4,'Input FD'!$O$152=0),I28/$G$28,H29*(1+('Input FD'!I$111/'Input FD'!H$111-1)))</f>
        <v>0.9207685000000001</v>
      </c>
      <c r="J29" s="152">
        <f>IF(OR(J$5&lt;4,'Input FD'!$O$152=0),J28/$G$28,I29*(1+('Input FD'!J$111/'Input FD'!I$111-1)))</f>
        <v>0.95621808725000013</v>
      </c>
      <c r="K29" s="152">
        <f>IF(OR(K$5&lt;4,'Input FD'!$O$152=0),K28/$G$28,J29*(1+('Input FD'!K$111/'Input FD'!J$111-1)))</f>
        <v>0.98920761126012513</v>
      </c>
      <c r="L29" s="152">
        <f>IF(OR(L$5&lt;4,'Input FD'!$O$152=0),L28/$G$28,K29*(1+('Input FD'!L$111/'Input FD'!K$111-1)))</f>
        <v>1.0253136890711196</v>
      </c>
      <c r="M29" s="152">
        <f>IF(OR(M$5&lt;4,'Input FD'!$O$152=0),M28/$G$28,L29*(1+('Input FD'!M$111/'Input FD'!L$111-1)))</f>
        <v>1.0647882661003578</v>
      </c>
      <c r="N29" s="379">
        <f>IF(OR(N$5&lt;4,'Input FD'!$O$152=0),N28/$G$28,M29*(1+('Input FD'!N$111/'Input FD'!M$111-1)))</f>
        <v>1.1025882495469208</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95.029229068053382</v>
      </c>
      <c r="I31" s="134">
        <f>IF(OR(I$5&lt;4,'Input FD'!$O$152=0),((I28/'Input FD'!$G$117)/('Input FD'!I111/'Input FD'!$G$116))*100,H31)</f>
        <v>89.014971124285907</v>
      </c>
      <c r="J31" s="135">
        <f>IF(OR(J$5&lt;4,'Input FD'!$O$152=0),((J28/'Input FD'!$G$117)/('Input FD'!J111/'Input FD'!$G$116))*100,I31)</f>
        <v>89.662509711513849</v>
      </c>
      <c r="K31" s="135">
        <f>IF(OR(K$5&lt;4,'Input FD'!$O$152=0),((K28/'Input FD'!$G$117)/('Input FD'!K111/'Input FD'!$G$116))*100,J31)</f>
        <v>90.317299217683626</v>
      </c>
      <c r="L31" s="135">
        <f>IF(OR(L$5&lt;4,'Input FD'!$O$152=0),((L28/'Input FD'!$G$117)/('Input FD'!L111/'Input FD'!$G$116))*100,K31)</f>
        <v>90.975588570582445</v>
      </c>
      <c r="M31" s="135">
        <f>IF(OR(M$5&lt;4,'Input FD'!$O$152=0),((M28/'Input FD'!$G$117)/('Input FD'!M111/'Input FD'!$G$116))*100,L31)</f>
        <v>91.637389651357509</v>
      </c>
      <c r="N31" s="375">
        <f>IF(OR(N$5&lt;4,'Input FD'!$O$152=0),((N28/'Input FD'!$G$117)/('Input FD'!N111/'Input FD'!$G$116))*100,M31)</f>
        <v>92.305950373522379</v>
      </c>
      <c r="O31" s="361"/>
      <c r="P31" s="150"/>
      <c r="Q31" s="131"/>
      <c r="R31" s="137" t="s">
        <v>75</v>
      </c>
    </row>
    <row r="32" spans="1:18" s="138" customFormat="1">
      <c r="C32" s="139"/>
      <c r="D32" s="140" t="s">
        <v>58</v>
      </c>
      <c r="E32" s="141" t="s">
        <v>395</v>
      </c>
      <c r="F32" s="131"/>
      <c r="G32" s="143">
        <f>G31/$G$31</f>
        <v>1</v>
      </c>
      <c r="H32" s="143">
        <f t="shared" ref="H32:N32" si="6">H31/$G$31</f>
        <v>0.95029229068052923</v>
      </c>
      <c r="I32" s="143">
        <f t="shared" si="6"/>
        <v>0.8901497112428548</v>
      </c>
      <c r="J32" s="152">
        <f>J31/$G$31</f>
        <v>0.89662509711513416</v>
      </c>
      <c r="K32" s="152">
        <f t="shared" si="6"/>
        <v>0.90317299217683189</v>
      </c>
      <c r="L32" s="152">
        <f t="shared" si="6"/>
        <v>0.90975588570582011</v>
      </c>
      <c r="M32" s="152">
        <f t="shared" si="6"/>
        <v>0.91637389651357071</v>
      </c>
      <c r="N32" s="379">
        <f t="shared" si="6"/>
        <v>0.92305950373521928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18.104646099500236</v>
      </c>
      <c r="K39" s="156">
        <f>IF(OR(K$5&lt;4,K$5&gt;8),'Input FD'!K30,'Input FD'!K30*$G$95/100)</f>
        <v>21.139641308925558</v>
      </c>
      <c r="L39" s="156">
        <f>IF(OR(L$5&lt;4,L$5&gt;8),'Input FD'!L30,'Input FD'!L30*$G$95/100)</f>
        <v>21.20739911961795</v>
      </c>
      <c r="M39" s="156">
        <f>IF(OR(M$5&lt;4,M$5&gt;8),'Input FD'!M30,'Input FD'!M30*$G$95/100)</f>
        <v>22.644908235383099</v>
      </c>
      <c r="N39" s="365">
        <f>IF(OR(N$5&lt;4,N$5&gt;8),'Input FD'!N30,'Input FD'!N30*$G$95/100)</f>
        <v>22.451496466092348</v>
      </c>
      <c r="O39" s="157"/>
      <c r="P39" s="158"/>
      <c r="Q39" s="148"/>
      <c r="R39" s="147" t="s">
        <v>242</v>
      </c>
    </row>
    <row r="40" spans="1:23" s="37" customFormat="1">
      <c r="C40" s="131"/>
      <c r="D40" s="153" t="s">
        <v>57</v>
      </c>
      <c r="E40" s="154" t="s">
        <v>61</v>
      </c>
      <c r="F40" s="155"/>
      <c r="G40" s="148"/>
      <c r="H40" s="148"/>
      <c r="I40" s="148"/>
      <c r="J40" s="156">
        <f>IF(OR(J$5&lt;4,J$5&gt;8),'Input FD'!J31,'Input FD'!J31*$G$95/100)</f>
        <v>14.284411850462625</v>
      </c>
      <c r="K40" s="156">
        <f>IF(OR(K$5&lt;4,K$5&gt;8),'Input FD'!K31,'Input FD'!K31*$G$95/100)</f>
        <v>17.943872549657687</v>
      </c>
      <c r="L40" s="156">
        <f>IF(OR(L$5&lt;4,L$5&gt;8),'Input FD'!L31,'Input FD'!L31*$G$95/100)</f>
        <v>15.105611364960932</v>
      </c>
      <c r="M40" s="156">
        <f>IF(OR(M$5&lt;4,M$5&gt;8),'Input FD'!M31,'Input FD'!M31*$G$95/100)</f>
        <v>8.0195790709218038</v>
      </c>
      <c r="N40" s="365">
        <f>IF(OR(N$5&lt;4,N$5&gt;8),'Input FD'!N31,'Input FD'!N31*$G$95/100)</f>
        <v>6.1996464535201588</v>
      </c>
      <c r="O40" s="157"/>
      <c r="P40" s="158"/>
      <c r="Q40" s="148"/>
      <c r="R40" s="147" t="s">
        <v>242</v>
      </c>
    </row>
    <row r="41" spans="1:23" s="37" customFormat="1">
      <c r="C41" s="131"/>
      <c r="D41" s="153" t="s">
        <v>57</v>
      </c>
      <c r="E41" s="154" t="s">
        <v>63</v>
      </c>
      <c r="F41" s="155"/>
      <c r="G41" s="148"/>
      <c r="H41" s="148"/>
      <c r="I41" s="148"/>
      <c r="J41" s="156">
        <f>IF(OR(J$5&lt;4,J$5&gt;8),'Input FD'!J32,'Input FD'!J32*$G$95/100)</f>
        <v>9.4415916978728713</v>
      </c>
      <c r="K41" s="156">
        <f>IF(OR(K$5&lt;4,K$5&gt;8),'Input FD'!K32,'Input FD'!K32*$G$95/100)</f>
        <v>14.405696626042817</v>
      </c>
      <c r="L41" s="156">
        <f>IF(OR(L$5&lt;4,L$5&gt;8),'Input FD'!L32,'Input FD'!L32*$G$95/100)</f>
        <v>7.1428627210451143</v>
      </c>
      <c r="M41" s="156">
        <f>IF(OR(M$5&lt;4,M$5&gt;8),'Input FD'!M32,'Input FD'!M32*$G$95/100)</f>
        <v>7.4416479704606013</v>
      </c>
      <c r="N41" s="365">
        <f>IF(OR(N$5&lt;4,N$5&gt;8),'Input FD'!N32,'Input FD'!N32*$G$95/100)</f>
        <v>2.6765262647527091</v>
      </c>
      <c r="O41" s="157"/>
      <c r="P41" s="158"/>
      <c r="Q41" s="148"/>
      <c r="R41" s="147" t="s">
        <v>242</v>
      </c>
    </row>
    <row r="42" spans="1:23" s="37" customFormat="1">
      <c r="C42" s="131"/>
      <c r="D42" s="153" t="s">
        <v>57</v>
      </c>
      <c r="E42" s="154" t="s">
        <v>62</v>
      </c>
      <c r="F42" s="155"/>
      <c r="G42" s="148"/>
      <c r="H42" s="148"/>
      <c r="I42" s="148"/>
      <c r="J42" s="156">
        <f>IF(OR(J$5&lt;4,J$5&gt;8),'Input FD'!J33,'Input FD'!J33*$G$95/100)</f>
        <v>9.0484155601282605</v>
      </c>
      <c r="K42" s="156">
        <f>IF(OR(K$5&lt;4,K$5&gt;8),'Input FD'!K33,'Input FD'!K33*$G$95/100)</f>
        <v>14.780012494122914</v>
      </c>
      <c r="L42" s="156">
        <f>IF(OR(L$5&lt;4,L$5&gt;8),'Input FD'!L33,'Input FD'!L33*$G$95/100)</f>
        <v>15.133845528855302</v>
      </c>
      <c r="M42" s="156">
        <f>IF(OR(M$5&lt;4,M$5&gt;8),'Input FD'!M33,'Input FD'!M33*$G$95/100)</f>
        <v>10.568997096852057</v>
      </c>
      <c r="N42" s="365">
        <f>IF(OR(N$5&lt;4,N$5&gt;8),'Input FD'!N33,'Input FD'!N33*$G$95/100)</f>
        <v>2.7198242709194802</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56.454693480241133</v>
      </c>
      <c r="K55" s="156">
        <f>SUM('Input FD'!K10:K13)-'Input FD'!K14-'Input FD'!K17+'Input FD'!K15+'Input FD'!K16</f>
        <v>76.550283796408777</v>
      </c>
      <c r="L55" s="156">
        <f>SUM('Input FD'!L10:L13)-'Input FD'!L14-'Input FD'!L17+'Input FD'!L15+'Input FD'!L16</f>
        <v>65.645614419569512</v>
      </c>
      <c r="M55" s="156">
        <f>SUM('Input FD'!M10:M13)-'Input FD'!M14-'Input FD'!M17+'Input FD'!M15+'Input FD'!M16</f>
        <v>57.468357224982313</v>
      </c>
      <c r="N55" s="365">
        <f>SUM('Input FD'!N10:N13)-'Input FD'!N14-'Input FD'!N17+'Input FD'!N15+'Input FD'!N16</f>
        <v>55.322925078798271</v>
      </c>
      <c r="O55" s="157"/>
      <c r="P55" s="158"/>
      <c r="Q55" s="148"/>
      <c r="R55" s="147" t="s">
        <v>242</v>
      </c>
    </row>
    <row r="56" spans="1:18" s="37" customFormat="1">
      <c r="C56" s="131"/>
      <c r="D56" s="153" t="s">
        <v>57</v>
      </c>
      <c r="E56" s="154" t="s">
        <v>114</v>
      </c>
      <c r="F56" s="155"/>
      <c r="G56" s="148"/>
      <c r="H56" s="148"/>
      <c r="I56" s="148"/>
      <c r="J56" s="156">
        <f>SUM('Input FD'!J30:J35)</f>
        <v>47.559461946427923</v>
      </c>
      <c r="K56" s="156">
        <f>SUM('Input FD'!K30:K35)</f>
        <v>63.814999334181799</v>
      </c>
      <c r="L56" s="156">
        <f>SUM('Input FD'!L30:L35)</f>
        <v>54.767034087886884</v>
      </c>
      <c r="M56" s="156">
        <f>SUM('Input FD'!M30:M35)</f>
        <v>45.499324651468832</v>
      </c>
      <c r="N56" s="365">
        <f>SUM('Input FD'!N30:N35)</f>
        <v>31.826065646827246</v>
      </c>
      <c r="O56" s="157"/>
      <c r="P56" s="158"/>
      <c r="Q56" s="148"/>
      <c r="R56" s="147" t="s">
        <v>242</v>
      </c>
    </row>
    <row r="57" spans="1:18" s="37" customFormat="1">
      <c r="C57" s="131"/>
      <c r="D57" s="153" t="s">
        <v>57</v>
      </c>
      <c r="E57" s="154" t="s">
        <v>115</v>
      </c>
      <c r="F57" s="155"/>
      <c r="G57" s="148"/>
      <c r="H57" s="148"/>
      <c r="I57" s="148"/>
      <c r="J57" s="156">
        <f>SUM(J39:J44)</f>
        <v>50.879065207963997</v>
      </c>
      <c r="K57" s="156">
        <f t="shared" ref="K57:N57" si="7">SUM(K39:K44)</f>
        <v>68.269222978748985</v>
      </c>
      <c r="L57" s="156">
        <f t="shared" si="7"/>
        <v>58.589718734479298</v>
      </c>
      <c r="M57" s="156">
        <f t="shared" si="7"/>
        <v>48.675132373617565</v>
      </c>
      <c r="N57" s="365">
        <f t="shared" si="7"/>
        <v>34.047493455284695</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56.454693480241133</v>
      </c>
      <c r="K62" s="156">
        <f t="shared" ref="K62:N63" si="8">K55+K59</f>
        <v>76.550283796408777</v>
      </c>
      <c r="L62" s="156">
        <f t="shared" si="8"/>
        <v>65.645614419569512</v>
      </c>
      <c r="M62" s="156">
        <f t="shared" si="8"/>
        <v>57.468357224982313</v>
      </c>
      <c r="N62" s="365">
        <f t="shared" si="8"/>
        <v>55.322925078798271</v>
      </c>
      <c r="O62" s="157"/>
      <c r="P62" s="158"/>
      <c r="Q62" s="148"/>
      <c r="R62" s="147" t="s">
        <v>242</v>
      </c>
    </row>
    <row r="63" spans="1:18" s="37" customFormat="1">
      <c r="C63" s="131"/>
      <c r="D63" s="153" t="s">
        <v>57</v>
      </c>
      <c r="E63" s="154" t="s">
        <v>182</v>
      </c>
      <c r="F63" s="155"/>
      <c r="G63" s="148"/>
      <c r="H63" s="148"/>
      <c r="I63" s="148"/>
      <c r="J63" s="156">
        <f>J56+J60</f>
        <v>47.559461946427923</v>
      </c>
      <c r="K63" s="156">
        <f t="shared" si="8"/>
        <v>63.814999334181799</v>
      </c>
      <c r="L63" s="156">
        <f t="shared" si="8"/>
        <v>54.767034087886884</v>
      </c>
      <c r="M63" s="156">
        <f t="shared" si="8"/>
        <v>45.499324651468832</v>
      </c>
      <c r="N63" s="365">
        <f t="shared" si="8"/>
        <v>31.826065646827246</v>
      </c>
      <c r="O63" s="157"/>
      <c r="P63" s="158"/>
      <c r="Q63" s="148"/>
      <c r="R63" s="147" t="s">
        <v>242</v>
      </c>
    </row>
    <row r="64" spans="1:18" s="37" customFormat="1">
      <c r="C64" s="131"/>
      <c r="D64" s="153" t="s">
        <v>57</v>
      </c>
      <c r="E64" s="154" t="s">
        <v>250</v>
      </c>
      <c r="F64" s="155"/>
      <c r="G64" s="148"/>
      <c r="H64" s="148"/>
      <c r="I64" s="148"/>
      <c r="J64" s="156">
        <f>J63*$G$107/100</f>
        <v>50.879065207963997</v>
      </c>
      <c r="K64" s="156">
        <f t="shared" ref="K64:N64" si="9">K63*$G$107/100</f>
        <v>68.269222978748971</v>
      </c>
      <c r="L64" s="156">
        <f t="shared" si="9"/>
        <v>58.589718734479305</v>
      </c>
      <c r="M64" s="156">
        <f t="shared" si="9"/>
        <v>48.675132373617565</v>
      </c>
      <c r="N64" s="365">
        <f t="shared" si="9"/>
        <v>34.047493455284695</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50.163144438902997</v>
      </c>
      <c r="K79" s="156">
        <f t="shared" ref="K79:N81" si="13">K62*K$21</f>
        <v>66.46145440261337</v>
      </c>
      <c r="L79" s="156">
        <f t="shared" si="13"/>
        <v>57.108487196254245</v>
      </c>
      <c r="M79" s="156">
        <f t="shared" si="13"/>
        <v>50.099253728230345</v>
      </c>
      <c r="N79" s="365">
        <f t="shared" si="13"/>
        <v>48.478136614465264</v>
      </c>
      <c r="P79" s="136"/>
      <c r="Q79" s="131"/>
      <c r="R79" s="147" t="s">
        <v>242</v>
      </c>
    </row>
    <row r="80" spans="1:18" s="37" customFormat="1">
      <c r="C80" s="131"/>
      <c r="D80" s="153" t="s">
        <v>57</v>
      </c>
      <c r="E80" s="132" t="s">
        <v>317</v>
      </c>
      <c r="F80" s="161"/>
      <c r="G80" s="162"/>
      <c r="H80" s="162"/>
      <c r="I80" s="163"/>
      <c r="J80" s="156">
        <f>J63*J$21</f>
        <v>42.259235007451935</v>
      </c>
      <c r="K80" s="156">
        <f t="shared" si="13"/>
        <v>55.404597581001994</v>
      </c>
      <c r="L80" s="156">
        <f t="shared" si="13"/>
        <v>47.644652162057085</v>
      </c>
      <c r="M80" s="156">
        <f t="shared" si="13"/>
        <v>39.66499688259993</v>
      </c>
      <c r="N80" s="365">
        <f t="shared" si="13"/>
        <v>27.888408939517799</v>
      </c>
      <c r="P80" s="136"/>
      <c r="Q80" s="131"/>
      <c r="R80" s="147" t="s">
        <v>242</v>
      </c>
    </row>
    <row r="81" spans="1:18" s="37" customFormat="1">
      <c r="C81" s="131"/>
      <c r="D81" s="153" t="s">
        <v>57</v>
      </c>
      <c r="E81" s="132" t="s">
        <v>318</v>
      </c>
      <c r="F81" s="161"/>
      <c r="G81" s="162"/>
      <c r="H81" s="162"/>
      <c r="I81" s="163"/>
      <c r="J81" s="156">
        <f>J64*J$21</f>
        <v>45.208887686844648</v>
      </c>
      <c r="K81" s="156">
        <f t="shared" si="13"/>
        <v>59.271783526906113</v>
      </c>
      <c r="L81" s="156">
        <f t="shared" si="13"/>
        <v>50.970201616129394</v>
      </c>
      <c r="M81" s="156">
        <f t="shared" si="13"/>
        <v>42.433574314544288</v>
      </c>
      <c r="N81" s="365">
        <f t="shared" si="13"/>
        <v>29.834992216236898</v>
      </c>
      <c r="P81" s="136"/>
      <c r="Q81" s="131"/>
      <c r="R81" s="147" t="s">
        <v>242</v>
      </c>
    </row>
    <row r="82" spans="1:18" s="37" customFormat="1">
      <c r="C82" s="131"/>
      <c r="D82" s="153" t="s">
        <v>57</v>
      </c>
      <c r="E82" s="132" t="s">
        <v>110</v>
      </c>
      <c r="F82" s="164"/>
      <c r="G82" s="164"/>
      <c r="H82" s="164"/>
      <c r="I82" s="164"/>
      <c r="J82" s="156">
        <f>SUM('Input FD'!J65:J70)*J$15</f>
        <v>18.470459359016843</v>
      </c>
      <c r="K82" s="156">
        <f>SUM('Input FD'!K65:K70)*K$15</f>
        <v>49.496888767950573</v>
      </c>
      <c r="L82" s="156">
        <f>SUM('Input FD'!L65:L70)*L$15</f>
        <v>72.080175028098608</v>
      </c>
      <c r="M82" s="156">
        <f>SUM('Input FD'!M65:M70)*M$15</f>
        <v>59.669038334216282</v>
      </c>
      <c r="N82" s="365">
        <f>SUM('Input FD'!N65:N70)*N$15</f>
        <v>42.807670561226971</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127.91960317192274</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106.97990079298069</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0.16040198414038631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-3.0683505394912558</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127.91960317192274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106.97990079298069</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0.16040198414038631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113.93501739465182</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-4.1839650423270474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-8.9060670899952399</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-1.7254566772867099</v>
      </c>
      <c r="K127" s="156">
        <f>IF('Input FD'!K49&lt;&gt;"",'Input FD'!K49,K56*$G$97/100)</f>
        <v>-1.7254566772867099</v>
      </c>
      <c r="L127" s="156">
        <f>IF('Input FD'!L49&lt;&gt;"",'Input FD'!L49,L56*$G$97/100)</f>
        <v>-1.7254566772867099</v>
      </c>
      <c r="M127" s="156">
        <f>IF('Input FD'!M49&lt;&gt;"",'Input FD'!M49,M56*$G$97/100)</f>
        <v>-1.7254566772867099</v>
      </c>
      <c r="N127" s="365">
        <f>IF('Input FD'!N49&lt;&gt;"",'Input FD'!N49,N56*$G$97/100)</f>
        <v>-1.7254566772867099</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-0.27878370356168958</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48.65148241422736</v>
      </c>
      <c r="K138" s="156">
        <f>(K57+'Input FD'!K83)*K$29</f>
        <v>67.532434985393124</v>
      </c>
      <c r="L138" s="156">
        <f>(L57+'Input FD'!L83)*L$29</f>
        <v>60.072840657288261</v>
      </c>
      <c r="M138" s="156">
        <f>(M57+'Input FD'!M83)*M$29</f>
        <v>51.828709802309639</v>
      </c>
      <c r="N138" s="365">
        <f>(N57+'Input FD'!N83)*N$29</f>
        <v>37.540366210322595</v>
      </c>
      <c r="O138" s="104"/>
      <c r="P138" s="136"/>
      <c r="Q138" s="104"/>
      <c r="R138" s="147" t="s">
        <v>87</v>
      </c>
      <c r="S138" s="147"/>
    </row>
    <row r="139" spans="1:19" s="37" customFormat="1">
      <c r="C139" s="104"/>
      <c r="D139" s="104" t="s">
        <v>57</v>
      </c>
      <c r="E139" s="104" t="s">
        <v>110</v>
      </c>
      <c r="F139" s="104"/>
      <c r="G139" s="104"/>
      <c r="H139" s="104"/>
      <c r="I139" s="104"/>
      <c r="J139" s="156">
        <f>SUM('Input FD'!J65:J70)</f>
        <v>20.053999999999998</v>
      </c>
      <c r="K139" s="156">
        <f>SUM('Input FD'!K65:K70)</f>
        <v>56.319000000000003</v>
      </c>
      <c r="L139" s="156">
        <f>SUM('Input FD'!L65:L70)</f>
        <v>84.548999999999992</v>
      </c>
      <c r="M139" s="156">
        <f>SUM('Input FD'!M65:M70)</f>
        <v>72.010000000000005</v>
      </c>
      <c r="N139" s="365">
        <f>SUM('Input FD'!N65:N70)</f>
        <v>52.989000000000004</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-27.148987424201124</v>
      </c>
      <c r="K140" s="672">
        <f>(K$139*K$15)-(K$138*K$26)</f>
        <v>-12.162029623353469</v>
      </c>
      <c r="L140" s="672">
        <f>(L$139*L$15)-(L$138*L$26)</f>
        <v>18.777833567557522</v>
      </c>
      <c r="M140" s="672">
        <f>(M$139*M$15)-(M$138*M$26)</f>
        <v>15.064417617690516</v>
      </c>
      <c r="N140" s="673">
        <f>(N$139*N$15)-(N$138*N$26)</f>
        <v>11.379808148963754</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264.22376567687598</v>
      </c>
      <c r="J148" s="156">
        <f>'Input FD'!J$54</f>
        <v>277.99080734748799</v>
      </c>
      <c r="K148" s="156">
        <f>'Input FD'!K$54</f>
        <v>306.874526251193</v>
      </c>
      <c r="L148" s="156">
        <f>'Input FD'!L$54</f>
        <v>326.25828972856698</v>
      </c>
      <c r="M148" s="156">
        <f>'Input FD'!M$54</f>
        <v>336.70611012907</v>
      </c>
      <c r="N148" s="365">
        <f>'Input FD'!N$54</f>
        <v>334.03593667583601</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5.9110422866571994</v>
      </c>
      <c r="Q149" s="161"/>
      <c r="R149" s="147" t="s">
        <v>242</v>
      </c>
    </row>
    <row r="150" spans="1:24" s="37" customFormat="1">
      <c r="A150" s="109"/>
      <c r="B150" s="109"/>
      <c r="C150" s="104"/>
      <c r="D150" s="104" t="s">
        <v>57</v>
      </c>
      <c r="E150" s="177" t="s">
        <v>386</v>
      </c>
      <c r="F150" s="131"/>
      <c r="G150" s="104"/>
      <c r="H150" s="104"/>
      <c r="I150" s="205"/>
      <c r="J150" s="156">
        <f>IF(J5=8,J148+$P$149,J148)</f>
        <v>277.99080734748799</v>
      </c>
      <c r="K150" s="156">
        <f>IF(K5=8,K148+$P$149,K148)</f>
        <v>306.874526251193</v>
      </c>
      <c r="L150" s="156">
        <f>IF(L5=8,L148+$P$149,L148)</f>
        <v>326.25828972856698</v>
      </c>
      <c r="M150" s="156">
        <f>IF(M5=8,M148+$P$149,M148)</f>
        <v>336.70611012907</v>
      </c>
      <c r="N150" s="365">
        <f>IF(N5=8,N148+$P$149,N148)</f>
        <v>339.94697896249323</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45.619446783217967</v>
      </c>
      <c r="L161" s="360">
        <f t="shared" si="16"/>
        <v>107.27836517452201</v>
      </c>
      <c r="M161" s="360">
        <f t="shared" si="16"/>
        <v>160.58070663506311</v>
      </c>
      <c r="N161" s="363">
        <f t="shared" si="16"/>
        <v>205.18532735158888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45.619446783217967</v>
      </c>
      <c r="K162" s="360">
        <f t="shared" ref="K162:N162" si="17">K161+K138*K$26</f>
        <v>107.27836517452201</v>
      </c>
      <c r="L162" s="360">
        <f t="shared" si="17"/>
        <v>160.58070663506311</v>
      </c>
      <c r="M162" s="360">
        <f t="shared" si="17"/>
        <v>205.18532735158888</v>
      </c>
      <c r="N162" s="363">
        <f t="shared" si="17"/>
        <v>236.61318976385209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22.809723391608983</v>
      </c>
      <c r="K163" s="360">
        <f t="shared" ref="K163:N163" si="18">(K162+K161)/2</f>
        <v>76.448905978869988</v>
      </c>
      <c r="L163" s="360">
        <f t="shared" si="18"/>
        <v>133.92953590479254</v>
      </c>
      <c r="M163" s="360">
        <f t="shared" si="18"/>
        <v>182.88301699332601</v>
      </c>
      <c r="N163" s="363">
        <f t="shared" si="18"/>
        <v>220.89925855772049</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18.470459359016843</v>
      </c>
      <c r="L171" s="360">
        <f t="shared" si="22"/>
        <v>67.967348126967408</v>
      </c>
      <c r="M171" s="360">
        <f t="shared" si="22"/>
        <v>140.04752315506602</v>
      </c>
      <c r="N171" s="363">
        <f t="shared" si="22"/>
        <v>199.7165614892823</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18.470459359016843</v>
      </c>
      <c r="K172" s="360">
        <f t="shared" ref="K172:N172" si="23">K171+K139*K$15</f>
        <v>67.967348126967408</v>
      </c>
      <c r="L172" s="360">
        <f t="shared" si="23"/>
        <v>140.04752315506602</v>
      </c>
      <c r="M172" s="360">
        <f t="shared" si="23"/>
        <v>199.7165614892823</v>
      </c>
      <c r="N172" s="363">
        <f t="shared" si="23"/>
        <v>242.52423205050928</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9.2352296795084214</v>
      </c>
      <c r="K173" s="360">
        <f t="shared" ref="K173:N173" si="24">(K172+K171)/2</f>
        <v>43.218903742992126</v>
      </c>
      <c r="L173" s="360">
        <f t="shared" si="24"/>
        <v>104.00743564101671</v>
      </c>
      <c r="M173" s="360">
        <f t="shared" si="24"/>
        <v>169.88204232217416</v>
      </c>
      <c r="N173" s="363">
        <f t="shared" si="24"/>
        <v>221.12039676989579</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-27.148987424201124</v>
      </c>
      <c r="K181" s="156">
        <f>(K$139*K$15)-(K$138*K$26)</f>
        <v>-12.162029623353469</v>
      </c>
      <c r="L181" s="156">
        <f>(L$139*L$15)-(L$138*L$26)</f>
        <v>18.777833567557522</v>
      </c>
      <c r="M181" s="156">
        <f>(M$139*M$15)-(M$138*M$26)</f>
        <v>15.064417617690516</v>
      </c>
      <c r="N181" s="365">
        <f>(N$139*N$15)-(N$138*N$26)</f>
        <v>11.379808148963754</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-0.65836294503687731</v>
      </c>
      <c r="K184" s="156">
        <f>(K173-K163)*'Input FD'!$O$59</f>
        <v>-1.6116551084400763</v>
      </c>
      <c r="L184" s="156">
        <f>(L173-L163)*'Input FD'!$O$59</f>
        <v>-1.4512218627931279</v>
      </c>
      <c r="M184" s="156">
        <f>(M173-M163)*'Input FD'!$O$59</f>
        <v>-0.63054727155086487</v>
      </c>
      <c r="N184" s="365">
        <f>(N173-N163)*'Input FD'!$O$59</f>
        <v>1.0725203290502279E-2</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-5.4458342063701988E-2</v>
      </c>
      <c r="K187" s="156">
        <f>$P$130*K63/SUM($J$63:$N$63)</f>
        <v>-7.3071875086610505E-2</v>
      </c>
      <c r="L187" s="156">
        <f>$P$130*L63/SUM($J$63:$N$63)</f>
        <v>-6.2711430157308179E-2</v>
      </c>
      <c r="M187" s="156">
        <f>$P$130*M63/SUM($J$63:$N$63)</f>
        <v>-5.2099365386601496E-2</v>
      </c>
      <c r="N187" s="365">
        <f>$P$130*N63/SUM($J$63:$N$63)</f>
        <v>-3.6442690867467417E-2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-0.71282128710057935</v>
      </c>
      <c r="K190" s="156">
        <f t="shared" ref="K190:N191" si="28">K187+K184</f>
        <v>-1.6847269835266867</v>
      </c>
      <c r="L190" s="156">
        <f t="shared" si="28"/>
        <v>-1.5139332929504361</v>
      </c>
      <c r="M190" s="156">
        <f t="shared" si="28"/>
        <v>-0.68264663693746641</v>
      </c>
      <c r="N190" s="365">
        <f t="shared" si="28"/>
        <v>-2.571748757696514E-2</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-0.86149825050211837</v>
      </c>
      <c r="K193" s="156">
        <f>IF('Input FD'!$O$156=0,(K190/(1+'Input FD'!$O$60)^K$6),(K190/(1+'Input FD'!$O$59)^K$6))</f>
        <v>-1.9419356573746007</v>
      </c>
      <c r="L193" s="156">
        <f>IF('Input FD'!$O$156=0,(L190/(1+'Input FD'!$O$60)^L$6),(L190/(1+'Input FD'!$O$59)^L$6))</f>
        <v>-1.6643459719549709</v>
      </c>
      <c r="M193" s="156">
        <f>IF('Input FD'!$O$156=0,(M190/(1+'Input FD'!$O$60)^M$6),(M190/(1+'Input FD'!$O$59)^M$6))</f>
        <v>-0.71575499882893356</v>
      </c>
      <c r="N193" s="664">
        <f>IF('Input FD'!$O$156=0,(N190/(1+'Input FD'!$O$60)^N$6),(N190/(1+'Input FD'!$O$59)^N$6))</f>
        <v>-2.571748757696514E-2</v>
      </c>
      <c r="O193" s="109"/>
      <c r="P193" s="622">
        <f>SUM(J193:N193)</f>
        <v>-5.2092523662375889</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-1.0105249543762798</v>
      </c>
      <c r="K196" s="156">
        <f t="shared" ref="K196:N197" si="29">K193*$L$13/$G$13</f>
        <v>-2.2778623641155189</v>
      </c>
      <c r="L196" s="156">
        <f t="shared" si="29"/>
        <v>-1.9522536887287691</v>
      </c>
      <c r="M196" s="156">
        <f t="shared" si="29"/>
        <v>-0.8395702337348202</v>
      </c>
      <c r="N196" s="365">
        <f t="shared" si="29"/>
        <v>-3.0166239972325204E-2</v>
      </c>
      <c r="O196" s="109"/>
      <c r="P196" s="622">
        <f>P193*$L$13/$G$13</f>
        <v>-6.1103774809277143</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6.9335668802102104</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-10.446687540623619</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-10.119678299271905</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-0.32700924135171405</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-5.0920027536973418</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-5.4190119950490558</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-6.1103774809277143</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-6.1103774809277143</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-6.1103774809277143</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-6.1103774809277143</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-6.1103774809277143</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-6.1103774809277143</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-1.3100095553113575</v>
      </c>
      <c r="S47" s="616">
        <f t="shared" si="8"/>
        <v>-1.3100095553113575</v>
      </c>
      <c r="T47" s="616">
        <f t="shared" si="8"/>
        <v>-1.3100095553113575</v>
      </c>
      <c r="U47" s="616">
        <f t="shared" si="8"/>
        <v>-1.3100095553113575</v>
      </c>
      <c r="V47" s="623">
        <f t="shared" si="8"/>
        <v>-1.3100095553113575</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-1.3100095553113575</v>
      </c>
      <c r="S52" s="616">
        <f t="shared" ref="S52:V52" si="9">S47*S51</f>
        <v>-1.2644879877522757</v>
      </c>
      <c r="T52" s="616">
        <f t="shared" si="9"/>
        <v>-1.2205482507261347</v>
      </c>
      <c r="U52" s="616">
        <f t="shared" si="9"/>
        <v>-1.1781353771487786</v>
      </c>
      <c r="V52" s="621">
        <f t="shared" si="9"/>
        <v>-1.1371963099891687</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-6.110377480927716</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-6.1103774809277143</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-6.1103774809277143</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-1.0105249543762798</v>
      </c>
      <c r="S94" s="616">
        <f>'Calc2 FD'!K196</f>
        <v>-2.2778623641155189</v>
      </c>
      <c r="T94" s="616">
        <f>'Calc2 FD'!L196</f>
        <v>-1.9522536887287691</v>
      </c>
      <c r="U94" s="616">
        <f>'Calc2 FD'!M196</f>
        <v>-0.8395702337348202</v>
      </c>
      <c r="V94" s="623">
        <f>'Calc2 FD'!N196</f>
        <v>-3.0166239972325204E-2</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-1.0105249543762798</v>
      </c>
      <c r="S99" s="616">
        <f t="shared" ref="S99:V99" si="23">S94*S98</f>
        <v>-2.1987088456713502</v>
      </c>
      <c r="T99" s="616">
        <f t="shared" si="23"/>
        <v>-1.8189331635716233</v>
      </c>
      <c r="U99" s="616">
        <f t="shared" si="23"/>
        <v>-0.75505357190235844</v>
      </c>
      <c r="V99" s="621">
        <f t="shared" si="23"/>
        <v>-2.6186783633515197E-2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-5.8094073191551274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-1.0105249543762798</v>
      </c>
      <c r="S106" s="616">
        <f>'Calc2 FD'!K196</f>
        <v>-2.2778623641155189</v>
      </c>
      <c r="T106" s="616">
        <f>'Calc2 FD'!L196</f>
        <v>-1.9522536887287691</v>
      </c>
      <c r="U106" s="616">
        <f>'Calc2 FD'!M196</f>
        <v>-0.8395702337348202</v>
      </c>
      <c r="V106" s="623">
        <f>'Calc2 FD'!N196</f>
        <v>-3.0166239972325204E-2</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-1.0105249543762798</v>
      </c>
      <c r="S111" s="616">
        <f t="shared" ref="S111:V111" si="25">S106*S110</f>
        <v>-2.1987088456713502</v>
      </c>
      <c r="T111" s="616">
        <f t="shared" si="25"/>
        <v>-1.8189331635716233</v>
      </c>
      <c r="U111" s="616">
        <f t="shared" si="25"/>
        <v>-0.75505357190235844</v>
      </c>
      <c r="V111" s="621">
        <f t="shared" si="25"/>
        <v>-2.6186783633515197E-2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-5.8094073191551274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-5.8094073191551274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-6.1103774809277143</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1.0518073781434141</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-1.0628776028110078</v>
      </c>
      <c r="S123" s="616">
        <f t="shared" si="27"/>
        <v>-2.3958724409719028</v>
      </c>
      <c r="T123" s="616">
        <f t="shared" si="27"/>
        <v>-2.0533948338126153</v>
      </c>
      <c r="U123" s="616">
        <f t="shared" si="27"/>
        <v>-0.88306616631187462</v>
      </c>
      <c r="V123" s="621">
        <f t="shared" si="27"/>
        <v>-3.1729073773736426E-2</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-1.0628776028110078</v>
      </c>
      <c r="S128" s="616">
        <f t="shared" ref="S128:V128" si="28">S123*S127</f>
        <v>-2.3126181862663153</v>
      </c>
      <c r="T128" s="616">
        <f t="shared" si="28"/>
        <v>-1.9131673217943748</v>
      </c>
      <c r="U128" s="616">
        <f t="shared" si="28"/>
        <v>-0.79417091782043947</v>
      </c>
      <c r="V128" s="621">
        <f t="shared" si="28"/>
        <v>-2.7543452235576485E-2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-6.1103774809277143</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-6.1103774809277143</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-1.3100095553113575</v>
      </c>
      <c r="S138" s="616">
        <f>S47</f>
        <v>-1.3100095553113575</v>
      </c>
      <c r="T138" s="616">
        <f>T47</f>
        <v>-1.3100095553113575</v>
      </c>
      <c r="U138" s="616">
        <f>U47</f>
        <v>-1.3100095553113575</v>
      </c>
      <c r="V138" s="621">
        <f>V47</f>
        <v>-1.3100095553113575</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-1.0105249543762798</v>
      </c>
      <c r="S141" s="616">
        <f>S94</f>
        <v>-2.2778623641155189</v>
      </c>
      <c r="T141" s="616">
        <f>T94</f>
        <v>-1.9522536887287691</v>
      </c>
      <c r="U141" s="616">
        <f>U94</f>
        <v>-0.8395702337348202</v>
      </c>
      <c r="V141" s="621">
        <f>V94</f>
        <v>-3.0166239972325204E-2</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-1.0628776028110078</v>
      </c>
      <c r="S142" s="616">
        <f t="shared" si="31"/>
        <v>-2.3958724409719028</v>
      </c>
      <c r="T142" s="616">
        <f t="shared" si="31"/>
        <v>-2.0533948338126153</v>
      </c>
      <c r="U142" s="616">
        <f t="shared" si="31"/>
        <v>-0.88306616631187462</v>
      </c>
      <c r="V142" s="621">
        <f t="shared" si="31"/>
        <v>-3.1729073773736426E-2</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-1.3100095553113575</v>
      </c>
      <c r="S143" s="630">
        <f t="shared" ref="S143:V143" si="32">CHOOSE($P$135+1,S137,S138,S139,S140,S141,S142)</f>
        <v>-1.3100095553113575</v>
      </c>
      <c r="T143" s="630">
        <f t="shared" si="32"/>
        <v>-1.3100095553113575</v>
      </c>
      <c r="U143" s="630">
        <f t="shared" si="32"/>
        <v>-1.3100095553113575</v>
      </c>
      <c r="V143" s="631">
        <f t="shared" si="32"/>
        <v>-1.3100095553113575</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-1.3100095553113575</v>
      </c>
      <c r="S156" s="627">
        <f t="shared" ref="S156:V156" si="36">S143</f>
        <v>-1.3100095553113575</v>
      </c>
      <c r="T156" s="627">
        <f t="shared" si="36"/>
        <v>-1.3100095553113575</v>
      </c>
      <c r="U156" s="627">
        <f t="shared" si="36"/>
        <v>-1.3100095553113575</v>
      </c>
      <c r="V156" s="628">
        <f t="shared" si="36"/>
        <v>-1.3100095553113575</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BRL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21.591000000000001</v>
      </c>
      <c r="K16" s="121">
        <f>'Input FD'!K10</f>
        <v>25.234000000000002</v>
      </c>
      <c r="L16" s="121">
        <f>'Input FD'!L10</f>
        <v>25.286999999999999</v>
      </c>
      <c r="M16" s="121">
        <f>'Input FD'!M10</f>
        <v>27.077000000000002</v>
      </c>
      <c r="N16" s="121">
        <f>'Input FD'!N10</f>
        <v>26.503</v>
      </c>
      <c r="O16" s="113"/>
      <c r="P16" s="113"/>
      <c r="Q16" s="113"/>
      <c r="R16" s="113"/>
      <c r="S16" s="113"/>
      <c r="T16" s="115"/>
      <c r="U16" s="122">
        <f t="shared" ref="U16:U34" si="0">SUM(J16:N16)</f>
        <v>125.69199999999999</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14.125999999999999</v>
      </c>
      <c r="K17" s="121">
        <f>'Input FD'!K11</f>
        <v>17.931000000000001</v>
      </c>
      <c r="L17" s="121">
        <f>'Input FD'!L11</f>
        <v>15.067</v>
      </c>
      <c r="M17" s="121">
        <f>'Input FD'!M11</f>
        <v>7.7969999999999997</v>
      </c>
      <c r="N17" s="121">
        <f>'Input FD'!N11</f>
        <v>5.9359999999999999</v>
      </c>
      <c r="O17" s="113"/>
      <c r="P17" s="113"/>
      <c r="Q17" s="113"/>
      <c r="R17" s="113"/>
      <c r="S17" s="113"/>
      <c r="T17" s="115"/>
      <c r="U17" s="122">
        <f t="shared" si="0"/>
        <v>60.856999999999999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10.823</v>
      </c>
      <c r="K18" s="121">
        <f>'Input FD'!K12</f>
        <v>17.779</v>
      </c>
      <c r="L18" s="121">
        <f>'Input FD'!L12</f>
        <v>11.446999999999999</v>
      </c>
      <c r="M18" s="121">
        <f>'Input FD'!M12</f>
        <v>14.250999999999999</v>
      </c>
      <c r="N18" s="121">
        <f>'Input FD'!N12</f>
        <v>22.138999999999999</v>
      </c>
      <c r="O18" s="113"/>
      <c r="P18" s="113"/>
      <c r="Q18" s="113"/>
      <c r="R18" s="113"/>
      <c r="S18" s="113"/>
      <c r="T18" s="115"/>
      <c r="U18" s="122">
        <f t="shared" si="0"/>
        <v>76.438999999999993</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10.878</v>
      </c>
      <c r="K19" s="121">
        <f>'Input FD'!K13</f>
        <v>16.831</v>
      </c>
      <c r="L19" s="121">
        <f>'Input FD'!L13</f>
        <v>18.053000000000001</v>
      </c>
      <c r="M19" s="121">
        <f>'Input FD'!M13</f>
        <v>12.182</v>
      </c>
      <c r="N19" s="121">
        <f>'Input FD'!N13</f>
        <v>5.9379999999999997</v>
      </c>
      <c r="O19" s="113"/>
      <c r="P19" s="113"/>
      <c r="Q19" s="113"/>
      <c r="R19" s="113"/>
      <c r="S19" s="113"/>
      <c r="T19" s="115"/>
      <c r="U19" s="122">
        <f t="shared" si="0"/>
        <v>63.882000000000005</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-2.1970000000000001</v>
      </c>
      <c r="K20" s="121">
        <f>-'Input FD'!K14</f>
        <v>-3.2570000000000001</v>
      </c>
      <c r="L20" s="121">
        <f>-'Input FD'!L14</f>
        <v>-2.198</v>
      </c>
      <c r="M20" s="121">
        <f>-'Input FD'!M14</f>
        <v>-1.8380000000000001</v>
      </c>
      <c r="N20" s="121">
        <f>-'Input FD'!N14</f>
        <v>-2.758</v>
      </c>
      <c r="O20" s="113"/>
      <c r="P20" s="113"/>
      <c r="Q20" s="113"/>
      <c r="R20" s="113"/>
      <c r="S20" s="113"/>
      <c r="T20" s="115"/>
      <c r="U20" s="122">
        <f t="shared" si="0"/>
        <v>-12.248000000000001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1.2336934802411399</v>
      </c>
      <c r="K21" s="121">
        <f>-'Input FD'!K17</f>
        <v>2.0322837964087701</v>
      </c>
      <c r="L21" s="121">
        <f>-'Input FD'!L17</f>
        <v>-2.0103855804304902</v>
      </c>
      <c r="M21" s="121">
        <f>-'Input FD'!M17</f>
        <v>-2.0006427750176901</v>
      </c>
      <c r="N21" s="121">
        <f>-'Input FD'!N17</f>
        <v>-2.4350749212017302</v>
      </c>
      <c r="O21" s="113"/>
      <c r="P21" s="113"/>
      <c r="Q21" s="113"/>
      <c r="R21" s="113"/>
      <c r="S21" s="113"/>
      <c r="T21" s="115"/>
      <c r="U21" s="122">
        <f t="shared" ref="U21:U23" si="1">SUM(J21:N21)</f>
        <v>-3.1801260000000005</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56.454693480241133</v>
      </c>
      <c r="K24" s="121">
        <f>'Calc2 FD'!K55</f>
        <v>76.550283796408777</v>
      </c>
      <c r="L24" s="121">
        <f>'Calc2 FD'!L55</f>
        <v>65.645614419569512</v>
      </c>
      <c r="M24" s="121">
        <f>'Calc2 FD'!M55</f>
        <v>57.468357224982313</v>
      </c>
      <c r="N24" s="121">
        <f>'Calc2 FD'!N55</f>
        <v>55.322925078798271</v>
      </c>
      <c r="O24" s="113"/>
      <c r="P24" s="113"/>
      <c r="Q24" s="113"/>
      <c r="R24" s="113"/>
      <c r="S24" s="113"/>
      <c r="T24" s="115"/>
      <c r="U24" s="122">
        <f t="shared" si="0"/>
        <v>311.44187400000004</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16.923408944391301</v>
      </c>
      <c r="K37" s="121">
        <f>'Input FD'!K30</f>
        <v>19.760385971784899</v>
      </c>
      <c r="L37" s="121">
        <f>'Input FD'!L30</f>
        <v>19.823722925913799</v>
      </c>
      <c r="M37" s="121">
        <f>'Input FD'!M30</f>
        <v>21.167441797505301</v>
      </c>
      <c r="N37" s="121">
        <f>'Input FD'!N30</f>
        <v>20.986649173977799</v>
      </c>
      <c r="O37" s="113"/>
      <c r="P37" s="113"/>
      <c r="Q37" s="113"/>
      <c r="R37" s="113"/>
      <c r="S37" s="113"/>
      <c r="T37" s="115"/>
      <c r="U37" s="122">
        <f t="shared" ref="U37:U51" si="3">SUM(J37:N37)</f>
        <v>98.661608813573096</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13.352425777721299</v>
      </c>
      <c r="K38" s="121">
        <f>'Input FD'!K31</f>
        <v>16.7731250605488</v>
      </c>
      <c r="L38" s="121">
        <f>'Input FD'!L31</f>
        <v>14.120046151652501</v>
      </c>
      <c r="M38" s="121">
        <f>'Input FD'!M31</f>
        <v>7.4963418469051302</v>
      </c>
      <c r="N38" s="121">
        <f>'Input FD'!N31</f>
        <v>5.7951506849097196</v>
      </c>
      <c r="O38" s="113"/>
      <c r="P38" s="113"/>
      <c r="Q38" s="113"/>
      <c r="R38" s="113"/>
      <c r="S38" s="113"/>
      <c r="T38" s="115"/>
      <c r="U38" s="122">
        <f t="shared" si="3"/>
        <v>57.537089521737457</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8.8255752976846704</v>
      </c>
      <c r="K39" s="121">
        <f>'Input FD'!K32</f>
        <v>13.465797331332</v>
      </c>
      <c r="L39" s="121">
        <f>'Input FD'!L32</f>
        <v>6.6768268320489801</v>
      </c>
      <c r="M39" s="121">
        <f>'Input FD'!M32</f>
        <v>6.9561178457821802</v>
      </c>
      <c r="N39" s="121">
        <f>'Input FD'!N32</f>
        <v>2.5018963795191</v>
      </c>
      <c r="O39" s="113"/>
      <c r="P39" s="113"/>
      <c r="Q39" s="113"/>
      <c r="R39" s="113"/>
      <c r="S39" s="113"/>
      <c r="T39" s="115"/>
      <c r="U39" s="122">
        <f t="shared" si="3"/>
        <v>38.426213686366935</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8.4580519266306506</v>
      </c>
      <c r="K40" s="121">
        <f>'Input FD'!K33</f>
        <v>13.8156909705161</v>
      </c>
      <c r="L40" s="121">
        <f>'Input FD'!L33</f>
        <v>14.1464381782716</v>
      </c>
      <c r="M40" s="121">
        <f>'Input FD'!M33</f>
        <v>9.87942316127622</v>
      </c>
      <c r="N40" s="121">
        <f>'Input FD'!N33</f>
        <v>2.5423694084206301</v>
      </c>
      <c r="O40" s="113"/>
      <c r="P40" s="113"/>
      <c r="Q40" s="113"/>
      <c r="R40" s="113"/>
      <c r="S40" s="113"/>
      <c r="T40" s="115"/>
      <c r="U40" s="122">
        <f t="shared" si="3"/>
        <v>48.841973645115203</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47.559461946427923</v>
      </c>
      <c r="K43" s="121">
        <f>'Calc2 FD'!K56</f>
        <v>63.814999334181799</v>
      </c>
      <c r="L43" s="121">
        <f>'Calc2 FD'!L56</f>
        <v>54.767034087886884</v>
      </c>
      <c r="M43" s="121">
        <f>'Calc2 FD'!M56</f>
        <v>45.499324651468832</v>
      </c>
      <c r="N43" s="121">
        <f>'Calc2 FD'!N56</f>
        <v>31.826065646827246</v>
      </c>
      <c r="O43" s="113"/>
      <c r="P43" s="113"/>
      <c r="Q43" s="113"/>
      <c r="R43" s="113"/>
      <c r="S43" s="113"/>
      <c r="T43" s="115"/>
      <c r="U43" s="122">
        <f t="shared" si="3"/>
        <v>243.46688566679268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18.104646099500236</v>
      </c>
      <c r="K54" s="121">
        <f>'Calc2 FD'!K39</f>
        <v>21.139641308925558</v>
      </c>
      <c r="L54" s="121">
        <f>'Calc2 FD'!L39</f>
        <v>21.20739911961795</v>
      </c>
      <c r="M54" s="121">
        <f>'Calc2 FD'!M39</f>
        <v>22.644908235383099</v>
      </c>
      <c r="N54" s="121">
        <f>'Calc2 FD'!N39</f>
        <v>22.451496466092348</v>
      </c>
      <c r="O54" s="113"/>
      <c r="P54" s="113"/>
      <c r="Q54" s="113"/>
      <c r="R54" s="113"/>
      <c r="S54" s="113"/>
      <c r="T54" s="115"/>
      <c r="U54" s="122">
        <f>SUM(J54:N54)</f>
        <v>105.54809122951919</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14.284411850462625</v>
      </c>
      <c r="K55" s="121">
        <f>'Calc2 FD'!K40</f>
        <v>17.943872549657687</v>
      </c>
      <c r="L55" s="121">
        <f>'Calc2 FD'!L40</f>
        <v>15.105611364960932</v>
      </c>
      <c r="M55" s="121">
        <f>'Calc2 FD'!M40</f>
        <v>8.0195790709218038</v>
      </c>
      <c r="N55" s="121">
        <f>'Calc2 FD'!N40</f>
        <v>6.1996464535201588</v>
      </c>
      <c r="O55" s="113"/>
      <c r="P55" s="113"/>
      <c r="Q55" s="113"/>
      <c r="R55" s="113"/>
      <c r="S55" s="113"/>
      <c r="T55" s="115"/>
      <c r="U55" s="122">
        <f>SUM(J55:N55)</f>
        <v>61.553121289523219</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9.4415916978728713</v>
      </c>
      <c r="K56" s="121">
        <f>'Calc2 FD'!K41</f>
        <v>14.405696626042817</v>
      </c>
      <c r="L56" s="121">
        <f>'Calc2 FD'!L41</f>
        <v>7.1428627210451143</v>
      </c>
      <c r="M56" s="121">
        <f>'Calc2 FD'!M41</f>
        <v>7.4416479704606013</v>
      </c>
      <c r="N56" s="121">
        <f>'Calc2 FD'!N41</f>
        <v>2.6765262647527091</v>
      </c>
      <c r="O56" s="113"/>
      <c r="P56" s="113"/>
      <c r="Q56" s="113"/>
      <c r="R56" s="113"/>
      <c r="S56" s="113"/>
      <c r="T56" s="115"/>
      <c r="U56" s="122">
        <f>SUM(J56:N56)</f>
        <v>41.108325280174114</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9.0484155601282605</v>
      </c>
      <c r="K57" s="121">
        <f>'Calc2 FD'!K42</f>
        <v>14.780012494122914</v>
      </c>
      <c r="L57" s="121">
        <f>'Calc2 FD'!L42</f>
        <v>15.133845528855302</v>
      </c>
      <c r="M57" s="121">
        <f>'Calc2 FD'!M42</f>
        <v>10.568997096852057</v>
      </c>
      <c r="N57" s="121">
        <f>'Calc2 FD'!N42</f>
        <v>2.7198242709194802</v>
      </c>
      <c r="O57" s="113"/>
      <c r="P57" s="113"/>
      <c r="Q57" s="113"/>
      <c r="R57" s="113"/>
      <c r="S57" s="113"/>
      <c r="T57" s="115"/>
      <c r="U57" s="122">
        <f>SUM(J57:N57)</f>
        <v>52.25109495087802</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50.879065207963997</v>
      </c>
      <c r="K60" s="121">
        <f>'Calc2 FD'!K57</f>
        <v>68.269222978748985</v>
      </c>
      <c r="L60" s="121">
        <f>'Calc2 FD'!L57</f>
        <v>58.589718734479298</v>
      </c>
      <c r="M60" s="121">
        <f>'Calc2 FD'!M57</f>
        <v>48.675132373617565</v>
      </c>
      <c r="N60" s="121">
        <f>'Calc2 FD'!N57</f>
        <v>34.047493455284695</v>
      </c>
      <c r="O60" s="113"/>
      <c r="P60" s="113"/>
      <c r="Q60" s="113"/>
      <c r="R60" s="113"/>
      <c r="S60" s="113"/>
      <c r="T60" s="115"/>
      <c r="U60" s="122">
        <f>SUM(J60:N60)</f>
        <v>260.46063275009453</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127.91960317192274</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-1.7254566772867099</v>
      </c>
      <c r="K73" s="121">
        <f>'Calc2 FD'!K127</f>
        <v>-1.7254566772867099</v>
      </c>
      <c r="L73" s="121">
        <f>'Calc2 FD'!L127</f>
        <v>-1.7254566772867099</v>
      </c>
      <c r="M73" s="121">
        <f>'Calc2 FD'!M127</f>
        <v>-1.7254566772867099</v>
      </c>
      <c r="N73" s="121">
        <f>'Calc2 FD'!N127</f>
        <v>-1.7254566772867099</v>
      </c>
      <c r="O73" s="113"/>
      <c r="P73" s="113"/>
      <c r="Q73" s="113"/>
      <c r="R73" s="113"/>
      <c r="S73" s="113"/>
      <c r="T73" s="115"/>
      <c r="U73" s="122">
        <f>SUM(J73:N73)</f>
        <v>-8.6272833864335503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BRL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56.454693480241133</v>
      </c>
      <c r="K16" s="121">
        <f>'Calc2 FD'!K55</f>
        <v>76.550283796408777</v>
      </c>
      <c r="L16" s="121">
        <f>'Calc2 FD'!L55</f>
        <v>65.645614419569512</v>
      </c>
      <c r="M16" s="121">
        <f>'Calc2 FD'!M55</f>
        <v>57.468357224982313</v>
      </c>
      <c r="N16" s="121">
        <f>'Calc2 FD'!N55</f>
        <v>55.322925078798271</v>
      </c>
      <c r="O16" s="113"/>
      <c r="P16" s="113"/>
      <c r="Q16" s="113"/>
      <c r="R16" s="113"/>
      <c r="S16" s="113"/>
      <c r="T16" s="115"/>
      <c r="U16" s="295">
        <f>SUM(J16:N16)</f>
        <v>311.44187400000004</v>
      </c>
    </row>
    <row r="17" spans="1:21" s="117" customFormat="1" ht="17.399999999999999">
      <c r="A17" s="110"/>
      <c r="B17" s="118" t="s">
        <v>131</v>
      </c>
      <c r="C17" s="119"/>
      <c r="D17" s="113"/>
      <c r="E17" s="124" t="str">
        <f>'Calc2 FD'!E56</f>
        <v>Water: Baseline capex (gross of adjustments)</v>
      </c>
      <c r="F17" s="124"/>
      <c r="G17" s="113"/>
      <c r="H17" s="120"/>
      <c r="I17" s="120"/>
      <c r="J17" s="121">
        <f>'Calc2 FD'!J56</f>
        <v>47.559461946427923</v>
      </c>
      <c r="K17" s="121">
        <f>'Calc2 FD'!K56</f>
        <v>63.814999334181799</v>
      </c>
      <c r="L17" s="121">
        <f>'Calc2 FD'!L56</f>
        <v>54.767034087886884</v>
      </c>
      <c r="M17" s="121">
        <f>'Calc2 FD'!M56</f>
        <v>45.499324651468832</v>
      </c>
      <c r="N17" s="121">
        <f>'Calc2 FD'!N56</f>
        <v>31.826065646827246</v>
      </c>
      <c r="O17" s="113"/>
      <c r="P17" s="113"/>
      <c r="Q17" s="113"/>
      <c r="R17" s="113"/>
      <c r="S17" s="113"/>
      <c r="T17" s="115"/>
      <c r="U17" s="295">
        <f t="shared" ref="U17:U18" si="0">SUM(J17:N17)</f>
        <v>243.46688566679268</v>
      </c>
    </row>
    <row r="18" spans="1:21" s="117" customFormat="1" ht="17.399999999999999">
      <c r="A18" s="110"/>
      <c r="B18" s="118" t="s">
        <v>132</v>
      </c>
      <c r="C18" s="119"/>
      <c r="D18" s="113"/>
      <c r="E18" s="124" t="str">
        <f>'Calc2 FD'!E57</f>
        <v>Water: Allowance capex (gross of adjustments)</v>
      </c>
      <c r="F18" s="124"/>
      <c r="G18" s="113"/>
      <c r="H18" s="286"/>
      <c r="I18" s="120"/>
      <c r="J18" s="121">
        <f>'Calc2 FD'!J57</f>
        <v>50.879065207963997</v>
      </c>
      <c r="K18" s="121">
        <f>'Calc2 FD'!K57</f>
        <v>68.269222978748985</v>
      </c>
      <c r="L18" s="121">
        <f>'Calc2 FD'!L57</f>
        <v>58.589718734479298</v>
      </c>
      <c r="M18" s="121">
        <f>'Calc2 FD'!M57</f>
        <v>48.675132373617565</v>
      </c>
      <c r="N18" s="121">
        <f>'Calc2 FD'!N57</f>
        <v>34.047493455284695</v>
      </c>
      <c r="O18" s="113"/>
      <c r="P18" s="113"/>
      <c r="Q18" s="113"/>
      <c r="R18" s="113"/>
      <c r="S18" s="113"/>
      <c r="T18" s="115"/>
      <c r="U18" s="295">
        <f t="shared" si="0"/>
        <v>260.46063275009453</v>
      </c>
    </row>
    <row r="19" spans="1:21" s="117" customFormat="1" ht="17.399999999999999">
      <c r="A19" s="110"/>
      <c r="B19" s="118" t="s">
        <v>133</v>
      </c>
      <c r="C19" s="119"/>
      <c r="D19" s="113"/>
      <c r="E19" s="124" t="str">
        <f>'Calc2 FD'!E94</f>
        <v>Water: CIS bid ratio</v>
      </c>
      <c r="F19" s="124"/>
      <c r="G19" s="301">
        <f>'Calc2 FD'!G94</f>
        <v>127.91960317192274</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56.454693480241133</v>
      </c>
      <c r="K24" s="121">
        <f>'Calc2 FD'!K62</f>
        <v>76.550283796408777</v>
      </c>
      <c r="L24" s="121">
        <f>'Calc2 FD'!L62</f>
        <v>65.645614419569512</v>
      </c>
      <c r="M24" s="121">
        <f>'Calc2 FD'!M62</f>
        <v>57.468357224982313</v>
      </c>
      <c r="N24" s="121">
        <f>'Calc2 FD'!N62</f>
        <v>55.322925078798271</v>
      </c>
      <c r="O24" s="113"/>
      <c r="P24" s="113"/>
      <c r="Q24" s="113"/>
      <c r="R24" s="113"/>
      <c r="S24" s="113"/>
      <c r="T24" s="115"/>
      <c r="U24" s="295">
        <f t="shared" ref="U24:U26" si="2">SUM(J24:N24)</f>
        <v>311.44187400000004</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47.559461946427923</v>
      </c>
      <c r="K25" s="121">
        <f>'Calc2 FD'!K63</f>
        <v>63.814999334181799</v>
      </c>
      <c r="L25" s="121">
        <f>'Calc2 FD'!L63</f>
        <v>54.767034087886884</v>
      </c>
      <c r="M25" s="121">
        <f>'Calc2 FD'!M63</f>
        <v>45.499324651468832</v>
      </c>
      <c r="N25" s="121">
        <f>'Calc2 FD'!N63</f>
        <v>31.826065646827246</v>
      </c>
      <c r="O25" s="113"/>
      <c r="P25" s="113"/>
      <c r="Q25" s="113"/>
      <c r="R25" s="113"/>
      <c r="S25" s="113"/>
      <c r="T25" s="115"/>
      <c r="U25" s="295">
        <f t="shared" si="2"/>
        <v>243.46688566679268</v>
      </c>
    </row>
    <row r="26" spans="1:21" s="117" customFormat="1" ht="17.399999999999999">
      <c r="A26" s="110"/>
      <c r="B26" s="118" t="s">
        <v>138</v>
      </c>
      <c r="C26" s="119"/>
      <c r="D26" s="113"/>
      <c r="E26" s="113" t="str">
        <f>'Calc2 FD'!E64</f>
        <v>Water: Allowance capex (net of adjustments)</v>
      </c>
      <c r="F26" s="113"/>
      <c r="G26" s="113"/>
      <c r="H26" s="120"/>
      <c r="I26" s="120"/>
      <c r="J26" s="121">
        <f>'Calc2 FD'!J64</f>
        <v>50.879065207963997</v>
      </c>
      <c r="K26" s="121">
        <f>'Calc2 FD'!K64</f>
        <v>68.269222978748971</v>
      </c>
      <c r="L26" s="121">
        <f>'Calc2 FD'!L64</f>
        <v>58.589718734479305</v>
      </c>
      <c r="M26" s="121">
        <f>'Calc2 FD'!M64</f>
        <v>48.675132373617565</v>
      </c>
      <c r="N26" s="121">
        <f>'Calc2 FD'!N64</f>
        <v>34.047493455284695</v>
      </c>
      <c r="O26" s="113"/>
      <c r="P26" s="113"/>
      <c r="Q26" s="113"/>
      <c r="R26" s="113"/>
      <c r="S26" s="113"/>
      <c r="T26" s="115"/>
      <c r="U26" s="295">
        <f t="shared" si="2"/>
        <v>260.46063275009453</v>
      </c>
    </row>
    <row r="27" spans="1:21" s="117" customFormat="1" ht="17.399999999999999">
      <c r="A27" s="110"/>
      <c r="B27" s="118" t="s">
        <v>139</v>
      </c>
      <c r="C27" s="119"/>
      <c r="D27" s="113"/>
      <c r="E27" s="113" t="str">
        <f>'Calc2 FD'!E106</f>
        <v>Water: Restated CIS bid ratio</v>
      </c>
      <c r="F27" s="113"/>
      <c r="G27" s="301">
        <f>'Calc2 FD'!G106</f>
        <v>127.91960317192274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50.163144438902997</v>
      </c>
      <c r="K30" s="121">
        <f>'Calc2 FD'!K79</f>
        <v>66.46145440261337</v>
      </c>
      <c r="L30" s="121">
        <f>'Calc2 FD'!L79</f>
        <v>57.108487196254245</v>
      </c>
      <c r="M30" s="121">
        <f>'Calc2 FD'!M79</f>
        <v>50.099253728230345</v>
      </c>
      <c r="N30" s="121">
        <f>'Calc2 FD'!N79</f>
        <v>48.478136614465264</v>
      </c>
      <c r="O30" s="113"/>
      <c r="P30" s="113"/>
      <c r="Q30" s="113"/>
      <c r="R30" s="113"/>
      <c r="S30" s="113"/>
      <c r="T30" s="115"/>
      <c r="U30" s="295">
        <f t="shared" ref="U30:U33" si="3">SUM(J30:N30)</f>
        <v>272.31047638046618</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42.259235007451935</v>
      </c>
      <c r="K31" s="121">
        <f>'Calc2 FD'!K80</f>
        <v>55.404597581001994</v>
      </c>
      <c r="L31" s="121">
        <f>'Calc2 FD'!L80</f>
        <v>47.644652162057085</v>
      </c>
      <c r="M31" s="121">
        <f>'Calc2 FD'!M80</f>
        <v>39.66499688259993</v>
      </c>
      <c r="N31" s="121">
        <f>'Calc2 FD'!N80</f>
        <v>27.888408939517799</v>
      </c>
      <c r="O31" s="113"/>
      <c r="P31" s="113"/>
      <c r="Q31" s="113"/>
      <c r="R31" s="113"/>
      <c r="S31" s="113"/>
      <c r="T31" s="115"/>
      <c r="U31" s="295">
        <f t="shared" si="3"/>
        <v>212.86189057262874</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45.208887686844648</v>
      </c>
      <c r="K32" s="121">
        <f>'Calc2 FD'!K81</f>
        <v>59.271783526906113</v>
      </c>
      <c r="L32" s="121">
        <f>'Calc2 FD'!L81</f>
        <v>50.970201616129394</v>
      </c>
      <c r="M32" s="121">
        <f>'Calc2 FD'!M81</f>
        <v>42.433574314544288</v>
      </c>
      <c r="N32" s="121">
        <f>'Calc2 FD'!N81</f>
        <v>29.834992216236898</v>
      </c>
      <c r="O32" s="113"/>
      <c r="P32" s="113"/>
      <c r="Q32" s="113"/>
      <c r="R32" s="113"/>
      <c r="S32" s="113"/>
      <c r="T32" s="115"/>
      <c r="U32" s="295">
        <f t="shared" si="3"/>
        <v>227.71943936066134</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18.470459359016843</v>
      </c>
      <c r="K33" s="121">
        <f>'Calc2 FD'!K82</f>
        <v>49.496888767950573</v>
      </c>
      <c r="L33" s="121">
        <f>'Calc2 FD'!L82</f>
        <v>72.080175028098608</v>
      </c>
      <c r="M33" s="121">
        <f>'Calc2 FD'!M82</f>
        <v>59.669038334216282</v>
      </c>
      <c r="N33" s="121">
        <f>'Calc2 FD'!N82</f>
        <v>42.807670561226971</v>
      </c>
      <c r="O33" s="113"/>
      <c r="P33" s="113"/>
      <c r="Q33" s="113"/>
      <c r="R33" s="113"/>
      <c r="S33" s="113"/>
      <c r="T33" s="115"/>
      <c r="U33" s="295">
        <f t="shared" si="3"/>
        <v>242.52423205050928</v>
      </c>
    </row>
    <row r="34" spans="1:21" s="117" customFormat="1" ht="17.399999999999999">
      <c r="A34" s="110"/>
      <c r="B34" s="118" t="s">
        <v>145</v>
      </c>
      <c r="C34" s="118"/>
      <c r="D34" s="113"/>
      <c r="E34" s="113" t="str">
        <f>'Calc2 FD'!E116</f>
        <v>Water: CIS outturn ratio</v>
      </c>
      <c r="F34" s="113"/>
      <c r="G34" s="301">
        <f>'Calc2 FD'!G116</f>
        <v>113.93501739465182</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-8.9060670899952399</v>
      </c>
    </row>
    <row r="38" spans="1:21" s="117" customFormat="1" ht="17.399999999999999">
      <c r="A38" s="110"/>
      <c r="B38" s="118" t="s">
        <v>152</v>
      </c>
      <c r="C38" s="119"/>
      <c r="D38" s="113"/>
      <c r="E38" s="113" t="str">
        <f>'Calc2 FD'!E127</f>
        <v>Water: Additional income (applied at FD)</v>
      </c>
      <c r="F38" s="113"/>
      <c r="G38" s="113"/>
      <c r="H38" s="113"/>
      <c r="I38" s="113"/>
      <c r="J38" s="121">
        <f>'Calc2 FD'!J127</f>
        <v>-1.7254566772867099</v>
      </c>
      <c r="K38" s="121">
        <f>'Calc2 FD'!K127</f>
        <v>-1.7254566772867099</v>
      </c>
      <c r="L38" s="121">
        <f>'Calc2 FD'!L127</f>
        <v>-1.7254566772867099</v>
      </c>
      <c r="M38" s="121">
        <f>'Calc2 FD'!M127</f>
        <v>-1.7254566772867099</v>
      </c>
      <c r="N38" s="121">
        <f>'Calc2 FD'!N127</f>
        <v>-1.7254566772867099</v>
      </c>
      <c r="O38" s="113"/>
      <c r="P38" s="113"/>
      <c r="Q38" s="113"/>
      <c r="R38" s="113"/>
      <c r="S38" s="113"/>
      <c r="T38" s="115"/>
      <c r="U38" s="295">
        <f t="shared" ref="U38" si="4">SUM(J38:N38)</f>
        <v>-8.6272833864335503</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-0.27878370356168958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BRL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5.9110422866571994</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-5.2092523662375889</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-6.1103774809277143</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21.591000000000001</v>
      </c>
      <c r="J4" s="566">
        <v>25.234000000000002</v>
      </c>
      <c r="K4" s="566">
        <v>25.286999999999999</v>
      </c>
      <c r="L4" s="566">
        <v>27.077000000000002</v>
      </c>
      <c r="M4" s="566">
        <v>26.503</v>
      </c>
      <c r="N4" s="566"/>
      <c r="O4" s="566"/>
    </row>
    <row r="5" spans="1:15">
      <c r="A5" t="s">
        <v>818</v>
      </c>
      <c r="B5" t="s">
        <v>452</v>
      </c>
      <c r="C5" t="s">
        <v>178</v>
      </c>
      <c r="D5" t="s">
        <v>497</v>
      </c>
      <c r="E5" t="s">
        <v>742</v>
      </c>
      <c r="F5" s="566"/>
      <c r="G5" s="566"/>
      <c r="H5" s="566"/>
      <c r="I5" s="566">
        <v>14.125999999999999</v>
      </c>
      <c r="J5" s="566">
        <v>17.931000000000001</v>
      </c>
      <c r="K5" s="566">
        <v>15.067</v>
      </c>
      <c r="L5" s="566">
        <v>7.7969999999999997</v>
      </c>
      <c r="M5" s="566">
        <v>5.9359999999999999</v>
      </c>
      <c r="N5" s="566"/>
      <c r="O5" s="566"/>
    </row>
    <row r="6" spans="1:15">
      <c r="A6" t="s">
        <v>818</v>
      </c>
      <c r="B6" t="s">
        <v>453</v>
      </c>
      <c r="C6" t="s">
        <v>123</v>
      </c>
      <c r="D6" t="s">
        <v>497</v>
      </c>
      <c r="E6" t="s">
        <v>742</v>
      </c>
      <c r="F6" s="566"/>
      <c r="G6" s="566"/>
      <c r="H6" s="566"/>
      <c r="I6" s="566">
        <v>10.823</v>
      </c>
      <c r="J6" s="566">
        <v>17.779</v>
      </c>
      <c r="K6" s="566">
        <v>11.446999999999999</v>
      </c>
      <c r="L6" s="566">
        <v>14.250999999999999</v>
      </c>
      <c r="M6" s="566">
        <v>22.138999999999999</v>
      </c>
      <c r="N6" s="566"/>
      <c r="O6" s="566"/>
    </row>
    <row r="7" spans="1:15">
      <c r="A7" t="s">
        <v>818</v>
      </c>
      <c r="B7" t="s">
        <v>454</v>
      </c>
      <c r="C7" t="s">
        <v>122</v>
      </c>
      <c r="D7" t="s">
        <v>497</v>
      </c>
      <c r="E7" t="s">
        <v>742</v>
      </c>
      <c r="F7" s="566"/>
      <c r="G7" s="566"/>
      <c r="H7" s="566"/>
      <c r="I7" s="566">
        <v>10.878</v>
      </c>
      <c r="J7" s="566">
        <v>16.831</v>
      </c>
      <c r="K7" s="566">
        <v>18.053000000000001</v>
      </c>
      <c r="L7" s="566">
        <v>12.182</v>
      </c>
      <c r="M7" s="566">
        <v>5.9379999999999997</v>
      </c>
      <c r="N7" s="566"/>
      <c r="O7" s="566"/>
    </row>
    <row r="8" spans="1:15">
      <c r="A8" t="s">
        <v>818</v>
      </c>
      <c r="B8" t="s">
        <v>455</v>
      </c>
      <c r="C8" t="s">
        <v>190</v>
      </c>
      <c r="D8" t="s">
        <v>497</v>
      </c>
      <c r="E8" t="s">
        <v>742</v>
      </c>
      <c r="F8" s="566"/>
      <c r="G8" s="566"/>
      <c r="H8" s="566"/>
      <c r="I8" s="566">
        <v>2.1970000000000001</v>
      </c>
      <c r="J8" s="566">
        <v>3.2570000000000001</v>
      </c>
      <c r="K8" s="566">
        <v>2.198</v>
      </c>
      <c r="L8" s="566">
        <v>1.8380000000000001</v>
      </c>
      <c r="M8" s="566">
        <v>2.758</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-1.2336934802411399</v>
      </c>
      <c r="J11" s="566">
        <v>-2.0322837964087701</v>
      </c>
      <c r="K11" s="566">
        <v>2.0103855804304902</v>
      </c>
      <c r="L11" s="566">
        <v>2.0006427750176901</v>
      </c>
      <c r="M11" s="566">
        <v>2.4350749212017302</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10.663</v>
      </c>
      <c r="G20" s="566">
        <v>10.631425351129</v>
      </c>
      <c r="H20" s="566">
        <v>8.2194367298960707</v>
      </c>
      <c r="I20" s="566">
        <v>16.923408944391301</v>
      </c>
      <c r="J20" s="566">
        <v>19.760385971784899</v>
      </c>
      <c r="K20" s="566">
        <v>19.823722925913799</v>
      </c>
      <c r="L20" s="566">
        <v>21.167441797505301</v>
      </c>
      <c r="M20" s="566">
        <v>20.986649173977799</v>
      </c>
      <c r="N20" s="566"/>
      <c r="O20" s="566"/>
    </row>
    <row r="21" spans="1:15">
      <c r="A21" t="s">
        <v>818</v>
      </c>
      <c r="B21" t="s">
        <v>529</v>
      </c>
      <c r="C21" t="s">
        <v>512</v>
      </c>
      <c r="D21" t="s">
        <v>497</v>
      </c>
      <c r="E21" t="s">
        <v>742</v>
      </c>
      <c r="F21" s="566">
        <v>11.788</v>
      </c>
      <c r="G21" s="566">
        <v>8.9551527896329599</v>
      </c>
      <c r="H21" s="566">
        <v>4.9121333832747496</v>
      </c>
      <c r="I21" s="566">
        <v>13.352425777721299</v>
      </c>
      <c r="J21" s="566">
        <v>16.7731250605488</v>
      </c>
      <c r="K21" s="566">
        <v>14.120046151652501</v>
      </c>
      <c r="L21" s="566">
        <v>7.4963418469051302</v>
      </c>
      <c r="M21" s="566">
        <v>5.7951506849097196</v>
      </c>
      <c r="N21" s="566"/>
      <c r="O21" s="566"/>
    </row>
    <row r="22" spans="1:15">
      <c r="A22" t="s">
        <v>818</v>
      </c>
      <c r="B22" t="s">
        <v>1</v>
      </c>
      <c r="C22" t="s">
        <v>513</v>
      </c>
      <c r="D22" t="s">
        <v>497</v>
      </c>
      <c r="E22" t="s">
        <v>742</v>
      </c>
      <c r="F22" s="566">
        <v>5.4558673273142704</v>
      </c>
      <c r="G22" s="566">
        <v>3.0442489584911701</v>
      </c>
      <c r="H22" s="566">
        <v>2.9850620460673598</v>
      </c>
      <c r="I22" s="566">
        <v>8.8255752976846704</v>
      </c>
      <c r="J22" s="566">
        <v>13.465797331332</v>
      </c>
      <c r="K22" s="566">
        <v>6.6768268320489801</v>
      </c>
      <c r="L22" s="566">
        <v>6.9561178457821802</v>
      </c>
      <c r="M22" s="566">
        <v>2.5018963795191</v>
      </c>
      <c r="N22" s="566"/>
      <c r="O22" s="566"/>
    </row>
    <row r="23" spans="1:15">
      <c r="A23" t="s">
        <v>818</v>
      </c>
      <c r="B23" t="s">
        <v>5</v>
      </c>
      <c r="C23" t="s">
        <v>514</v>
      </c>
      <c r="D23" t="s">
        <v>497</v>
      </c>
      <c r="E23" t="s">
        <v>742</v>
      </c>
      <c r="F23" s="566">
        <v>16.722132672685699</v>
      </c>
      <c r="G23" s="566">
        <v>4.2006978871672498</v>
      </c>
      <c r="H23" s="566">
        <v>4.2328060585437797</v>
      </c>
      <c r="I23" s="566">
        <v>8.4580519266306506</v>
      </c>
      <c r="J23" s="566">
        <v>13.8156909705161</v>
      </c>
      <c r="K23" s="566">
        <v>14.1464381782716</v>
      </c>
      <c r="L23" s="566">
        <v>9.87942316127622</v>
      </c>
      <c r="M23" s="566">
        <v>2.5423694084206301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127.919602677488</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-1.7254566772867099</v>
      </c>
      <c r="J34" s="566">
        <v>-1.7254566772867099</v>
      </c>
      <c r="K34" s="566">
        <v>-1.7254566772867099</v>
      </c>
      <c r="L34" s="566">
        <v>-1.7254566772867099</v>
      </c>
      <c r="M34" s="566">
        <v>-1.7254566772867099</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273.410063875341</v>
      </c>
      <c r="G36" s="566">
        <v>264.839478149679</v>
      </c>
      <c r="H36" s="566">
        <v>264.22376567687598</v>
      </c>
      <c r="I36" s="566">
        <v>277.99080734748799</v>
      </c>
      <c r="J36" s="566">
        <v>306.874526251193</v>
      </c>
      <c r="K36" s="566">
        <v>326.25828972856698</v>
      </c>
      <c r="L36" s="566">
        <v>336.70611012907</v>
      </c>
      <c r="M36" s="566">
        <v>334.03593667583601</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6.5000000000000002E-2</v>
      </c>
      <c r="G38" s="568">
        <v>5.5E-2</v>
      </c>
      <c r="H38" s="568">
        <v>5.5E-2</v>
      </c>
      <c r="I38" s="568">
        <v>4.8500000000000001E-2</v>
      </c>
      <c r="J38" s="568">
        <v>4.8500000000000001E-2</v>
      </c>
      <c r="K38" s="568">
        <v>4.8500000000000001E-2</v>
      </c>
      <c r="L38" s="568">
        <v>4.8500000000000001E-2</v>
      </c>
      <c r="M38" s="568">
        <v>4.8500000000000001E-2</v>
      </c>
      <c r="N38" s="568">
        <v>4.8500000000000001E-2</v>
      </c>
      <c r="O38" s="568"/>
    </row>
    <row r="39" spans="1:15">
      <c r="A39" t="s">
        <v>818</v>
      </c>
      <c r="B39" t="s">
        <v>533</v>
      </c>
      <c r="C39" t="s">
        <v>504</v>
      </c>
      <c r="D39" t="s">
        <v>499</v>
      </c>
      <c r="E39" t="s">
        <v>742</v>
      </c>
      <c r="F39" s="570"/>
      <c r="G39" s="570"/>
      <c r="H39" s="570"/>
      <c r="I39" s="570"/>
      <c r="J39" s="570"/>
      <c r="K39" s="570"/>
      <c r="L39" s="570"/>
      <c r="M39" s="570"/>
      <c r="N39" s="570">
        <v>5.9700000000000003E-2</v>
      </c>
      <c r="O39" s="570"/>
    </row>
    <row r="40" spans="1:15">
      <c r="A40" t="s">
        <v>818</v>
      </c>
      <c r="B40" t="s">
        <v>424</v>
      </c>
      <c r="C40" t="s">
        <v>8</v>
      </c>
      <c r="D40" t="s">
        <v>497</v>
      </c>
      <c r="E40" t="s">
        <v>742</v>
      </c>
      <c r="F40" s="566"/>
      <c r="G40" s="566"/>
      <c r="H40" s="566"/>
      <c r="I40" s="566">
        <v>9.8149999999999995</v>
      </c>
      <c r="J40" s="566">
        <v>23.376000000000001</v>
      </c>
      <c r="K40" s="566">
        <v>36.125999999999998</v>
      </c>
      <c r="L40" s="566">
        <v>33.591000000000001</v>
      </c>
      <c r="M40" s="566">
        <v>25.793977890000001</v>
      </c>
      <c r="N40" s="566"/>
      <c r="O40" s="566"/>
    </row>
    <row r="41" spans="1:15">
      <c r="A41" t="s">
        <v>818</v>
      </c>
      <c r="B41" t="s">
        <v>425</v>
      </c>
      <c r="C41" t="s">
        <v>65</v>
      </c>
      <c r="D41" t="s">
        <v>497</v>
      </c>
      <c r="E41" t="s">
        <v>742</v>
      </c>
      <c r="F41" s="566"/>
      <c r="G41" s="566"/>
      <c r="H41" s="566"/>
      <c r="I41" s="566">
        <v>5.399</v>
      </c>
      <c r="J41" s="566">
        <v>14.273</v>
      </c>
      <c r="K41" s="566">
        <v>19.132000000000001</v>
      </c>
      <c r="L41" s="566">
        <v>18.521000000000001</v>
      </c>
      <c r="M41" s="566">
        <v>18.287430499999999</v>
      </c>
      <c r="N41" s="566"/>
      <c r="O41" s="566"/>
    </row>
    <row r="42" spans="1:15">
      <c r="A42" t="s">
        <v>818</v>
      </c>
      <c r="B42" t="s">
        <v>426</v>
      </c>
      <c r="C42" t="s">
        <v>382</v>
      </c>
      <c r="D42" t="s">
        <v>497</v>
      </c>
      <c r="E42" t="s">
        <v>742</v>
      </c>
      <c r="F42" s="566"/>
      <c r="G42" s="566"/>
      <c r="H42" s="566"/>
      <c r="I42" s="566">
        <v>0.57299999999999995</v>
      </c>
      <c r="J42" s="566">
        <v>8.4570000000000007</v>
      </c>
      <c r="K42" s="566">
        <v>14.913</v>
      </c>
      <c r="L42" s="566">
        <v>5.1319999999999997</v>
      </c>
      <c r="M42" s="566">
        <v>2.13027313</v>
      </c>
      <c r="N42" s="566"/>
      <c r="O42" s="566"/>
    </row>
    <row r="43" spans="1:15">
      <c r="A43" t="s">
        <v>818</v>
      </c>
      <c r="B43" t="s">
        <v>427</v>
      </c>
      <c r="C43" t="s">
        <v>383</v>
      </c>
      <c r="D43" t="s">
        <v>497</v>
      </c>
      <c r="E43" t="s">
        <v>742</v>
      </c>
      <c r="F43" s="566"/>
      <c r="G43" s="566"/>
      <c r="H43" s="566"/>
      <c r="I43" s="566">
        <v>4.2670000000000003</v>
      </c>
      <c r="J43" s="566">
        <v>10.212999999999999</v>
      </c>
      <c r="K43" s="566">
        <v>14.378</v>
      </c>
      <c r="L43" s="566">
        <v>14.766</v>
      </c>
      <c r="M43" s="566">
        <v>8.7361794899999996</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3.1E-2</v>
      </c>
      <c r="M65" s="568">
        <v>3.1E-2</v>
      </c>
      <c r="N65" s="568"/>
      <c r="O65" s="568"/>
    </row>
    <row r="66" spans="1:15">
      <c r="A66" t="s">
        <v>818</v>
      </c>
      <c r="B66" t="s">
        <v>89</v>
      </c>
      <c r="C66" t="s">
        <v>91</v>
      </c>
      <c r="D66" t="s">
        <v>518</v>
      </c>
      <c r="E66" t="s">
        <v>742</v>
      </c>
      <c r="F66" s="569">
        <v>208.59166666666599</v>
      </c>
      <c r="G66" s="569">
        <v>214.78333333333299</v>
      </c>
      <c r="H66" s="569">
        <v>215.766666666666</v>
      </c>
      <c r="I66" s="569">
        <v>222.45543333333299</v>
      </c>
      <c r="J66" s="569">
        <v>228.461730033333</v>
      </c>
      <c r="K66" s="569">
        <v>235.087120204299</v>
      </c>
      <c r="L66" s="569">
        <v>242.37482093063301</v>
      </c>
      <c r="M66" s="569">
        <v>249.16131591669</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-2.1499999999999998E-2</v>
      </c>
      <c r="H68" s="568">
        <v>-5.8999999999999997E-2</v>
      </c>
      <c r="I68" s="568">
        <v>3.85E-2</v>
      </c>
      <c r="J68" s="568">
        <v>3.4500000000000003E-2</v>
      </c>
      <c r="K68" s="568">
        <v>3.6499999999999998E-2</v>
      </c>
      <c r="L68" s="568">
        <v>3.85E-2</v>
      </c>
      <c r="M68" s="568">
        <v>3.5499999999999997E-2</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3.6699999999999899E-2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21.591000000000001</v>
      </c>
      <c r="K10" s="221">
        <f>INDEX('F_Inputs BYR'!$B$4:$N$90,MATCH($C10,'F_Inputs BYR'!$B$4:$B$90,0),MATCH(K$2,'F_Inputs BYR'!$B$2:$N$2,0))</f>
        <v>25.234000000000002</v>
      </c>
      <c r="L10" s="221">
        <f>INDEX('F_Inputs BYR'!$B$4:$N$90,MATCH($C10,'F_Inputs BYR'!$B$4:$B$90,0),MATCH(L$2,'F_Inputs BYR'!$B$2:$N$2,0))</f>
        <v>25.286999999999999</v>
      </c>
      <c r="M10" s="221">
        <f>INDEX('F_Inputs BYR'!$B$4:$N$90,MATCH($C10,'F_Inputs BYR'!$B$4:$B$90,0),MATCH(M$2,'F_Inputs BYR'!$B$2:$N$2,0))</f>
        <v>27.077000000000002</v>
      </c>
      <c r="N10" s="395">
        <f>INDEX('F_Inputs BYR'!$B$4:$N$90,MATCH($C10,'F_Inputs BYR'!$B$4:$B$90,0),MATCH(N$2,'F_Inputs BYR'!$B$2:$N$2,0))</f>
        <v>26.503</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14.125999999999999</v>
      </c>
      <c r="K11" s="221">
        <f>INDEX('F_Inputs BYR'!$B$4:$N$90,MATCH($C11,'F_Inputs BYR'!$B$4:$B$90,0),MATCH(K$2,'F_Inputs BYR'!$B$2:$N$2,0))</f>
        <v>17.931000000000001</v>
      </c>
      <c r="L11" s="221">
        <f>INDEX('F_Inputs BYR'!$B$4:$N$90,MATCH($C11,'F_Inputs BYR'!$B$4:$B$90,0),MATCH(L$2,'F_Inputs BYR'!$B$2:$N$2,0))</f>
        <v>15.067</v>
      </c>
      <c r="M11" s="221">
        <f>INDEX('F_Inputs BYR'!$B$4:$N$90,MATCH($C11,'F_Inputs BYR'!$B$4:$B$90,0),MATCH(M$2,'F_Inputs BYR'!$B$2:$N$2,0))</f>
        <v>7.7969999999999997</v>
      </c>
      <c r="N11" s="395">
        <f>INDEX('F_Inputs BYR'!$B$4:$N$90,MATCH($C11,'F_Inputs BYR'!$B$4:$B$90,0),MATCH(N$2,'F_Inputs BYR'!$B$2:$N$2,0))</f>
        <v>5.9359999999999999</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10.823</v>
      </c>
      <c r="K12" s="221">
        <f>INDEX('F_Inputs BYR'!$B$4:$N$90,MATCH($C12,'F_Inputs BYR'!$B$4:$B$90,0),MATCH(K$2,'F_Inputs BYR'!$B$2:$N$2,0))</f>
        <v>17.779</v>
      </c>
      <c r="L12" s="221">
        <f>INDEX('F_Inputs BYR'!$B$4:$N$90,MATCH($C12,'F_Inputs BYR'!$B$4:$B$90,0),MATCH(L$2,'F_Inputs BYR'!$B$2:$N$2,0))</f>
        <v>11.446999999999999</v>
      </c>
      <c r="M12" s="221">
        <f>INDEX('F_Inputs BYR'!$B$4:$N$90,MATCH($C12,'F_Inputs BYR'!$B$4:$B$90,0),MATCH(M$2,'F_Inputs BYR'!$B$2:$N$2,0))</f>
        <v>14.250999999999999</v>
      </c>
      <c r="N12" s="395">
        <f>INDEX('F_Inputs BYR'!$B$4:$N$90,MATCH($C12,'F_Inputs BYR'!$B$4:$B$90,0),MATCH(N$2,'F_Inputs BYR'!$B$2:$N$2,0))</f>
        <v>22.138999999999999</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10.878</v>
      </c>
      <c r="K13" s="221">
        <f>INDEX('F_Inputs BYR'!$B$4:$N$90,MATCH($C13,'F_Inputs BYR'!$B$4:$B$90,0),MATCH(K$2,'F_Inputs BYR'!$B$2:$N$2,0))</f>
        <v>16.831</v>
      </c>
      <c r="L13" s="221">
        <f>INDEX('F_Inputs BYR'!$B$4:$N$90,MATCH($C13,'F_Inputs BYR'!$B$4:$B$90,0),MATCH(L$2,'F_Inputs BYR'!$B$2:$N$2,0))</f>
        <v>18.053000000000001</v>
      </c>
      <c r="M13" s="221">
        <f>INDEX('F_Inputs BYR'!$B$4:$N$90,MATCH($C13,'F_Inputs BYR'!$B$4:$B$90,0),MATCH(M$2,'F_Inputs BYR'!$B$2:$N$2,0))</f>
        <v>12.182</v>
      </c>
      <c r="N13" s="395">
        <f>INDEX('F_Inputs BYR'!$B$4:$N$90,MATCH($C13,'F_Inputs BYR'!$B$4:$B$90,0),MATCH(N$2,'F_Inputs BYR'!$B$2:$N$2,0))</f>
        <v>5.9379999999999997</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2.1970000000000001</v>
      </c>
      <c r="K14" s="221">
        <f>INDEX('F_Inputs BYR'!$B$4:$N$90,MATCH($C14,'F_Inputs BYR'!$B$4:$B$90,0),MATCH(K$2,'F_Inputs BYR'!$B$2:$N$2,0))</f>
        <v>3.2570000000000001</v>
      </c>
      <c r="L14" s="221">
        <f>INDEX('F_Inputs BYR'!$B$4:$N$90,MATCH($C14,'F_Inputs BYR'!$B$4:$B$90,0),MATCH(L$2,'F_Inputs BYR'!$B$2:$N$2,0))</f>
        <v>2.198</v>
      </c>
      <c r="M14" s="221">
        <f>INDEX('F_Inputs BYR'!$B$4:$N$90,MATCH($C14,'F_Inputs BYR'!$B$4:$B$90,0),MATCH(M$2,'F_Inputs BYR'!$B$2:$N$2,0))</f>
        <v>1.8380000000000001</v>
      </c>
      <c r="N14" s="395">
        <f>INDEX('F_Inputs BYR'!$B$4:$N$90,MATCH($C14,'F_Inputs BYR'!$B$4:$B$90,0),MATCH(N$2,'F_Inputs BYR'!$B$2:$N$2,0))</f>
        <v>2.758</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-1.2336934802411399</v>
      </c>
      <c r="K17" s="221">
        <f>INDEX('F_Inputs BYR'!$B$4:$N$90,MATCH($C17,'F_Inputs BYR'!$B$4:$B$90,0),MATCH(K$2,'F_Inputs BYR'!$B$2:$N$2,0))</f>
        <v>-2.0322837964087701</v>
      </c>
      <c r="L17" s="221">
        <f>INDEX('F_Inputs BYR'!$B$4:$N$90,MATCH($C17,'F_Inputs BYR'!$B$4:$B$90,0),MATCH(L$2,'F_Inputs BYR'!$B$2:$N$2,0))</f>
        <v>2.0103855804304902</v>
      </c>
      <c r="M17" s="221">
        <f>INDEX('F_Inputs BYR'!$B$4:$N$90,MATCH($C17,'F_Inputs BYR'!$B$4:$B$90,0),MATCH(M$2,'F_Inputs BYR'!$B$2:$N$2,0))</f>
        <v>2.0006427750176901</v>
      </c>
      <c r="N17" s="395">
        <f>INDEX('F_Inputs BYR'!$B$4:$N$90,MATCH($C17,'F_Inputs BYR'!$B$4:$B$90,0),MATCH(N$2,'F_Inputs BYR'!$B$2:$N$2,0))</f>
        <v>2.4350749212017302</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16.923408944391301</v>
      </c>
      <c r="K30" s="221">
        <f>INDEX('F_Inputs BYR'!$B$4:$N$90,MATCH($C30,'F_Inputs BYR'!$B$4:$B$90,0),MATCH(K$2,'F_Inputs BYR'!$B$2:$N$2,0))</f>
        <v>19.760385971784899</v>
      </c>
      <c r="L30" s="221">
        <f>INDEX('F_Inputs BYR'!$B$4:$N$90,MATCH($C30,'F_Inputs BYR'!$B$4:$B$90,0),MATCH(L$2,'F_Inputs BYR'!$B$2:$N$2,0))</f>
        <v>19.823722925913799</v>
      </c>
      <c r="M30" s="221">
        <f>INDEX('F_Inputs BYR'!$B$4:$N$90,MATCH($C30,'F_Inputs BYR'!$B$4:$B$90,0),MATCH(M$2,'F_Inputs BYR'!$B$2:$N$2,0))</f>
        <v>21.167441797505301</v>
      </c>
      <c r="N30" s="395">
        <f>INDEX('F_Inputs BYR'!$B$4:$N$90,MATCH($C30,'F_Inputs BYR'!$B$4:$B$90,0),MATCH(N$2,'F_Inputs BYR'!$B$2:$N$2,0))</f>
        <v>20.986649173977799</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13.352425777721299</v>
      </c>
      <c r="K31" s="221">
        <f>INDEX('F_Inputs BYR'!$B$4:$N$90,MATCH($C31,'F_Inputs BYR'!$B$4:$B$90,0),MATCH(K$2,'F_Inputs BYR'!$B$2:$N$2,0))</f>
        <v>16.7731250605488</v>
      </c>
      <c r="L31" s="221">
        <f>INDEX('F_Inputs BYR'!$B$4:$N$90,MATCH($C31,'F_Inputs BYR'!$B$4:$B$90,0),MATCH(L$2,'F_Inputs BYR'!$B$2:$N$2,0))</f>
        <v>14.120046151652501</v>
      </c>
      <c r="M31" s="221">
        <f>INDEX('F_Inputs BYR'!$B$4:$N$90,MATCH($C31,'F_Inputs BYR'!$B$4:$B$90,0),MATCH(M$2,'F_Inputs BYR'!$B$2:$N$2,0))</f>
        <v>7.4963418469051302</v>
      </c>
      <c r="N31" s="395">
        <f>INDEX('F_Inputs BYR'!$B$4:$N$90,MATCH($C31,'F_Inputs BYR'!$B$4:$B$90,0),MATCH(N$2,'F_Inputs BYR'!$B$2:$N$2,0))</f>
        <v>5.7951506849097196</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8.8255752976846704</v>
      </c>
      <c r="K32" s="221">
        <f>INDEX('F_Inputs BYR'!$B$4:$N$90,MATCH($C32,'F_Inputs BYR'!$B$4:$B$90,0),MATCH(K$2,'F_Inputs BYR'!$B$2:$N$2,0))</f>
        <v>13.465797331332</v>
      </c>
      <c r="L32" s="221">
        <f>INDEX('F_Inputs BYR'!$B$4:$N$90,MATCH($C32,'F_Inputs BYR'!$B$4:$B$90,0),MATCH(L$2,'F_Inputs BYR'!$B$2:$N$2,0))</f>
        <v>6.6768268320489801</v>
      </c>
      <c r="M32" s="221">
        <f>INDEX('F_Inputs BYR'!$B$4:$N$90,MATCH($C32,'F_Inputs BYR'!$B$4:$B$90,0),MATCH(M$2,'F_Inputs BYR'!$B$2:$N$2,0))</f>
        <v>6.9561178457821802</v>
      </c>
      <c r="N32" s="395">
        <f>INDEX('F_Inputs BYR'!$B$4:$N$90,MATCH($C32,'F_Inputs BYR'!$B$4:$B$90,0),MATCH(N$2,'F_Inputs BYR'!$B$2:$N$2,0))</f>
        <v>2.5018963795191</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8.4580519266306506</v>
      </c>
      <c r="K33" s="221">
        <f>INDEX('F_Inputs BYR'!$B$4:$N$90,MATCH($C33,'F_Inputs BYR'!$B$4:$B$90,0),MATCH(K$2,'F_Inputs BYR'!$B$2:$N$2,0))</f>
        <v>13.8156909705161</v>
      </c>
      <c r="L33" s="221">
        <f>INDEX('F_Inputs BYR'!$B$4:$N$90,MATCH($C33,'F_Inputs BYR'!$B$4:$B$90,0),MATCH(L$2,'F_Inputs BYR'!$B$2:$N$2,0))</f>
        <v>14.1464381782716</v>
      </c>
      <c r="M33" s="221">
        <f>INDEX('F_Inputs BYR'!$B$4:$N$90,MATCH($C33,'F_Inputs BYR'!$B$4:$B$90,0),MATCH(M$2,'F_Inputs BYR'!$B$2:$N$2,0))</f>
        <v>9.87942316127622</v>
      </c>
      <c r="N33" s="395">
        <f>INDEX('F_Inputs BYR'!$B$4:$N$90,MATCH($C33,'F_Inputs BYR'!$B$4:$B$90,0),MATCH(N$2,'F_Inputs BYR'!$B$2:$N$2,0))</f>
        <v>2.5423694084206301</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-1.7254566772867099</v>
      </c>
      <c r="K49" s="221">
        <f>IF(INDEX('F_Inputs BYR'!$B$4:$N$90,MATCH($C49,'F_Inputs BYR'!$B$4:$B$90,0),MATCH(K$2,'F_Inputs BYR'!$B$2:$N$2,0))="","",INDEX('F_Inputs BYR'!$B$4:$N$90,MATCH($C49,'F_Inputs BYR'!$B$4:$B$90,0),MATCH(K$2,'F_Inputs BYR'!$B$2:$N$2,0)))</f>
        <v>-1.7254566772867099</v>
      </c>
      <c r="L49" s="221">
        <f>IF(INDEX('F_Inputs BYR'!$B$4:$N$90,MATCH($C49,'F_Inputs BYR'!$B$4:$B$90,0),MATCH(L$2,'F_Inputs BYR'!$B$2:$N$2,0))="","",INDEX('F_Inputs BYR'!$B$4:$N$90,MATCH($C49,'F_Inputs BYR'!$B$4:$B$90,0),MATCH(L$2,'F_Inputs BYR'!$B$2:$N$2,0)))</f>
        <v>-1.7254566772867099</v>
      </c>
      <c r="M49" s="221">
        <f>IF(INDEX('F_Inputs BYR'!$B$4:$N$90,MATCH($C49,'F_Inputs BYR'!$B$4:$B$90,0),MATCH(M$2,'F_Inputs BYR'!$B$2:$N$2,0))="","",INDEX('F_Inputs BYR'!$B$4:$N$90,MATCH($C49,'F_Inputs BYR'!$B$4:$B$90,0),MATCH(M$2,'F_Inputs BYR'!$B$2:$N$2,0)))</f>
        <v>-1.7254566772867099</v>
      </c>
      <c r="N49" s="395">
        <f>IF(INDEX('F_Inputs BYR'!$B$4:$N$90,MATCH($C49,'F_Inputs BYR'!$B$4:$B$90,0),MATCH(N$2,'F_Inputs BYR'!$B$2:$N$2,0))="","",INDEX('F_Inputs BYR'!$B$4:$N$90,MATCH($C49,'F_Inputs BYR'!$B$4:$B$90,0),MATCH(N$2,'F_Inputs BYR'!$B$2:$N$2,0)))</f>
        <v>-1.7254566772867099</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264.22376567687598</v>
      </c>
      <c r="J54" s="221">
        <f>INDEX('F_Inputs BYR'!$B$4:$N$90,MATCH($C54,'F_Inputs BYR'!$B$4:$B$90,0),MATCH(J$2,'F_Inputs BYR'!$B$2:$N$2,0))</f>
        <v>277.99080734748799</v>
      </c>
      <c r="K54" s="221">
        <f>INDEX('F_Inputs BYR'!$B$4:$N$90,MATCH($C54,'F_Inputs BYR'!$B$4:$B$90,0),MATCH(K$2,'F_Inputs BYR'!$B$2:$N$2,0))</f>
        <v>306.874526251193</v>
      </c>
      <c r="L54" s="221">
        <f>INDEX('F_Inputs BYR'!$B$4:$N$90,MATCH($C54,'F_Inputs BYR'!$B$4:$B$90,0),MATCH(L$2,'F_Inputs BYR'!$B$2:$N$2,0))</f>
        <v>326.25828972856698</v>
      </c>
      <c r="M54" s="221">
        <f>INDEX('F_Inputs BYR'!$B$4:$N$90,MATCH($C54,'F_Inputs BYR'!$B$4:$B$90,0),MATCH(M$2,'F_Inputs BYR'!$B$2:$N$2,0))</f>
        <v>336.70611012907</v>
      </c>
      <c r="N54" s="395">
        <f>INDEX('F_Inputs BYR'!$B$4:$N$90,MATCH($C54,'F_Inputs BYR'!$B$4:$B$90,0),MATCH(N$2,'F_Inputs BYR'!$B$2:$N$2,0))</f>
        <v>334.03593667583601</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4.8500000000000001E-2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5.9700000000000003E-2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9.8149999999999995</v>
      </c>
      <c r="K65" s="221">
        <f>INDEX('F_Inputs BYR'!$B$4:$N$90,MATCH($C65,'F_Inputs BYR'!$B$4:$B$90,0),MATCH(K$2,'F_Inputs BYR'!$B$2:$N$2,0))</f>
        <v>23.376000000000001</v>
      </c>
      <c r="L65" s="221">
        <f>INDEX('F_Inputs BYR'!$B$4:$N$90,MATCH($C65,'F_Inputs BYR'!$B$4:$B$90,0),MATCH(L$2,'F_Inputs BYR'!$B$2:$N$2,0))</f>
        <v>36.125999999999998</v>
      </c>
      <c r="M65" s="221">
        <f>INDEX('F_Inputs BYR'!$B$4:$N$90,MATCH($C65,'F_Inputs BYR'!$B$4:$B$90,0),MATCH(M$2,'F_Inputs BYR'!$B$2:$N$2,0))</f>
        <v>33.591000000000001</v>
      </c>
      <c r="N65" s="395">
        <f>INDEX('F_Inputs BYR'!$B$4:$N$90,MATCH($C65,'F_Inputs BYR'!$B$4:$B$90,0),MATCH(N$2,'F_Inputs BYR'!$B$2:$N$2,0))</f>
        <v>25.793977890000001</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5.399</v>
      </c>
      <c r="K66" s="221">
        <f>INDEX('F_Inputs BYR'!$B$4:$N$90,MATCH($C66,'F_Inputs BYR'!$B$4:$B$90,0),MATCH(K$2,'F_Inputs BYR'!$B$2:$N$2,0))</f>
        <v>14.273</v>
      </c>
      <c r="L66" s="221">
        <f>INDEX('F_Inputs BYR'!$B$4:$N$90,MATCH($C66,'F_Inputs BYR'!$B$4:$B$90,0),MATCH(L$2,'F_Inputs BYR'!$B$2:$N$2,0))</f>
        <v>19.132000000000001</v>
      </c>
      <c r="M66" s="221">
        <f>INDEX('F_Inputs BYR'!$B$4:$N$90,MATCH($C66,'F_Inputs BYR'!$B$4:$B$90,0),MATCH(M$2,'F_Inputs BYR'!$B$2:$N$2,0))</f>
        <v>18.521000000000001</v>
      </c>
      <c r="N66" s="395">
        <f>INDEX('F_Inputs BYR'!$B$4:$N$90,MATCH($C66,'F_Inputs BYR'!$B$4:$B$90,0),MATCH(N$2,'F_Inputs BYR'!$B$2:$N$2,0))</f>
        <v>18.287430499999999</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0.57299999999999995</v>
      </c>
      <c r="K67" s="221">
        <f>INDEX('F_Inputs BYR'!$B$4:$N$90,MATCH($C67,'F_Inputs BYR'!$B$4:$B$90,0),MATCH(K$2,'F_Inputs BYR'!$B$2:$N$2,0))</f>
        <v>8.4570000000000007</v>
      </c>
      <c r="L67" s="221">
        <f>INDEX('F_Inputs BYR'!$B$4:$N$90,MATCH($C67,'F_Inputs BYR'!$B$4:$B$90,0),MATCH(L$2,'F_Inputs BYR'!$B$2:$N$2,0))</f>
        <v>14.913</v>
      </c>
      <c r="M67" s="221">
        <f>INDEX('F_Inputs BYR'!$B$4:$N$90,MATCH($C67,'F_Inputs BYR'!$B$4:$B$90,0),MATCH(M$2,'F_Inputs BYR'!$B$2:$N$2,0))</f>
        <v>5.1319999999999997</v>
      </c>
      <c r="N67" s="395">
        <f>INDEX('F_Inputs BYR'!$B$4:$N$90,MATCH($C67,'F_Inputs BYR'!$B$4:$B$90,0),MATCH(N$2,'F_Inputs BYR'!$B$2:$N$2,0))</f>
        <v>2.13027313</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4.2670000000000003</v>
      </c>
      <c r="K68" s="221">
        <f>INDEX('F_Inputs BYR'!$B$4:$N$90,MATCH($C68,'F_Inputs BYR'!$B$4:$B$90,0),MATCH(K$2,'F_Inputs BYR'!$B$2:$N$2,0))</f>
        <v>10.212999999999999</v>
      </c>
      <c r="L68" s="221">
        <f>INDEX('F_Inputs BYR'!$B$4:$N$90,MATCH($C68,'F_Inputs BYR'!$B$4:$B$90,0),MATCH(L$2,'F_Inputs BYR'!$B$2:$N$2,0))</f>
        <v>14.378</v>
      </c>
      <c r="M68" s="221">
        <f>INDEX('F_Inputs BYR'!$B$4:$N$90,MATCH($C68,'F_Inputs BYR'!$B$4:$B$90,0),MATCH(M$2,'F_Inputs BYR'!$B$2:$N$2,0))</f>
        <v>14.766</v>
      </c>
      <c r="N68" s="395">
        <f>INDEX('F_Inputs BYR'!$B$4:$N$90,MATCH($C68,'F_Inputs BYR'!$B$4:$B$90,0),MATCH(N$2,'F_Inputs BYR'!$B$2:$N$2,0))</f>
        <v>8.7361794899999996</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3.1E-2</v>
      </c>
      <c r="N107" s="416">
        <f>INDEX('F_Inputs BYR'!$B$4:$N$90,MATCH($C107,'F_Inputs BYR'!$B$4:$B$90,0),MATCH(N$2,'F_Inputs BYR'!$B$2:$N$2,0))</f>
        <v>3.1E-2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215.766666666666</v>
      </c>
      <c r="J111" s="564">
        <f>INDEX('F_Inputs BYR'!$B$4:$N$90,MATCH($C111,'F_Inputs BYR'!$B$4:$B$90,0),MATCH(J$2,'F_Inputs BYR'!$B$2:$N$2,0))</f>
        <v>222.45543333333299</v>
      </c>
      <c r="K111" s="564">
        <f>INDEX('F_Inputs BYR'!$B$4:$N$90,MATCH($C111,'F_Inputs BYR'!$B$4:$B$90,0),MATCH(K$2,'F_Inputs BYR'!$B$2:$N$2,0))</f>
        <v>228.461730033333</v>
      </c>
      <c r="L111" s="564">
        <f>INDEX('F_Inputs BYR'!$B$4:$N$90,MATCH($C111,'F_Inputs BYR'!$B$4:$B$90,0),MATCH(L$2,'F_Inputs BYR'!$B$2:$N$2,0))</f>
        <v>235.087120204299</v>
      </c>
      <c r="M111" s="564">
        <f>INDEX('F_Inputs BYR'!$B$4:$N$90,MATCH($C111,'F_Inputs BYR'!$B$4:$B$90,0),MATCH(M$2,'F_Inputs BYR'!$B$2:$N$2,0))</f>
        <v>242.37482093063301</v>
      </c>
      <c r="N111" s="565">
        <f>INDEX('F_Inputs BYR'!$B$4:$N$90,MATCH($C111,'F_Inputs BYR'!$B$4:$B$90,0),MATCH(N$2,'F_Inputs BYR'!$B$2:$N$2,0))</f>
        <v>249.16131591669</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-2.1499999999999998E-2</v>
      </c>
      <c r="I114" s="355">
        <f>INDEX('F_Inputs BYR'!$B$4:$N$90,MATCH($C114,'F_Inputs BYR'!$B$4:$B$90,0),MATCH(I$2,'F_Inputs BYR'!$B$2:$N$2,0))</f>
        <v>-5.8999999999999997E-2</v>
      </c>
      <c r="J114" s="355">
        <f>INDEX('F_Inputs BYR'!$B$4:$N$90,MATCH($C114,'F_Inputs BYR'!$B$4:$B$90,0),MATCH(J$2,'F_Inputs BYR'!$B$2:$N$2,0))</f>
        <v>3.85E-2</v>
      </c>
      <c r="K114" s="355">
        <f>INDEX('F_Inputs BYR'!$B$4:$N$90,MATCH($C114,'F_Inputs BYR'!$B$4:$B$90,0),MATCH(K$2,'F_Inputs BYR'!$B$2:$N$2,0))</f>
        <v>3.4500000000000003E-2</v>
      </c>
      <c r="L114" s="355">
        <f>INDEX('F_Inputs BYR'!$B$4:$N$90,MATCH($C114,'F_Inputs BYR'!$B$4:$B$90,0),MATCH(L$2,'F_Inputs BYR'!$B$2:$N$2,0))</f>
        <v>3.6499999999999998E-2</v>
      </c>
      <c r="M114" s="355">
        <f>INDEX('F_Inputs BYR'!$B$4:$N$90,MATCH($C114,'F_Inputs BYR'!$B$4:$B$90,0),MATCH(M$2,'F_Inputs BYR'!$B$2:$N$2,0))</f>
        <v>3.85E-2</v>
      </c>
      <c r="N114" s="416">
        <f>INDEX('F_Inputs BYR'!$B$4:$N$90,MATCH($C114,'F_Inputs BYR'!$B$4:$B$90,0),MATCH(N$2,'F_Inputs BYR'!$B$2:$N$2,0))</f>
        <v>3.5499999999999997E-2</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3.6699999999999899E-2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4.5782571583752318E-3</v>
      </c>
      <c r="J25" s="359">
        <f>IF(J$5=1,0,'Input BYR'!J111/'Input BYR'!I111-1)</f>
        <v>3.1000000000001693E-2</v>
      </c>
      <c r="K25" s="359">
        <f>IF(K$5=1,0,'Input BYR'!K111/'Input BYR'!J111-1)</f>
        <v>2.7000000000000135E-2</v>
      </c>
      <c r="L25" s="359">
        <f>IF(L$5=1,0,'Input BYR'!L111/'Input BYR'!K111-1)</f>
        <v>2.8999999999997028E-2</v>
      </c>
      <c r="M25" s="359">
        <f>IF(M$5=1,0,'Input BYR'!M111/'Input BYR'!L111-1)</f>
        <v>3.1000000000003247E-2</v>
      </c>
      <c r="N25" s="376">
        <f>IF(N$5=1,0,'Input BYR'!N111/'Input BYR'!M111-1)</f>
        <v>2.7999999999996916E-2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0.96674648540089592</v>
      </c>
      <c r="J26" s="144">
        <f>'Input BYR'!$G$111/'Input BYR'!J111</f>
        <v>0.93767845334713329</v>
      </c>
      <c r="K26" s="144">
        <f>'Input BYR'!$G$111/'Input BYR'!K111</f>
        <v>0.91302673159409264</v>
      </c>
      <c r="L26" s="144">
        <f>'Input BYR'!$G$111/'Input BYR'!L111</f>
        <v>0.88729517161719651</v>
      </c>
      <c r="M26" s="144">
        <f>'Input BYR'!$G$111/'Input BYR'!M111</f>
        <v>0.86061607334354395</v>
      </c>
      <c r="N26" s="377">
        <f>'Input BYR'!$G$111/'Input BYR'!N111</f>
        <v>0.83717516862212693</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108.90705</v>
      </c>
      <c r="I28" s="134">
        <f>IF('Input BYR'!I113=0,H28*(1+'Input BYR'!I114),'Input BYR'!I113)</f>
        <v>102.48153405000001</v>
      </c>
      <c r="J28" s="135">
        <f>IF('Input BYR'!J113=0,I28*(1+'Input BYR'!J114),'Input BYR'!J113)</f>
        <v>106.42707311092501</v>
      </c>
      <c r="K28" s="135">
        <f>IF('Input BYR'!K113=0,J28*(1+'Input BYR'!K114),'Input BYR'!K113)</f>
        <v>110.09880713325192</v>
      </c>
      <c r="L28" s="135">
        <f>IF('Input BYR'!L113=0,K28*(1+'Input BYR'!L114),'Input BYR'!L113)</f>
        <v>114.11741359361562</v>
      </c>
      <c r="M28" s="135">
        <f>IF('Input BYR'!M113=0,L28*(1+'Input BYR'!M114),'Input BYR'!M113)</f>
        <v>118.51093401696983</v>
      </c>
      <c r="N28" s="375">
        <f>IF('Input BYR'!N113=0,M28*(1+'Input BYR'!N114),'Input BYR'!N113)</f>
        <v>122.71807217457227</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0.97850000000000004</v>
      </c>
      <c r="I29" s="143">
        <f>IF(OR(I$5&lt;4,'Input BYR'!$O$152=0),I28/$G$28,H29*(1+('Input BYR'!I$111/'Input BYR'!H$111-1)))</f>
        <v>0.9207685000000001</v>
      </c>
      <c r="J29" s="152">
        <f>IF(OR(J$5&lt;4,'Input BYR'!$O$152=0),J28/$G$28,I29*(1+('Input BYR'!J$111/'Input BYR'!I$111-1)))</f>
        <v>0.95621808725000013</v>
      </c>
      <c r="K29" s="152">
        <f>IF(OR(K$5&lt;4,'Input BYR'!$O$152=0),K28/$G$28,J29*(1+('Input BYR'!K$111/'Input BYR'!J$111-1)))</f>
        <v>0.98920761126012513</v>
      </c>
      <c r="L29" s="152">
        <f>IF(OR(L$5&lt;4,'Input BYR'!$O$152=0),L28/$G$28,K29*(1+('Input BYR'!L$111/'Input BYR'!K$111-1)))</f>
        <v>1.0253136890711196</v>
      </c>
      <c r="M29" s="152">
        <f>IF(OR(M$5&lt;4,'Input BYR'!$O$152=0),M28/$G$28,L29*(1+('Input BYR'!M$111/'Input BYR'!L$111-1)))</f>
        <v>1.0647882661003578</v>
      </c>
      <c r="N29" s="379">
        <f>IF(OR(N$5&lt;4,'Input BYR'!$O$152=0),N28/$G$28,M29*(1+('Input BYR'!N$111/'Input BYR'!M$111-1)))</f>
        <v>1.1025882495469208</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95.029229068053382</v>
      </c>
      <c r="I31" s="134">
        <f>IF(OR(I$5&lt;4,'Input BYR'!$O$152=0),((I28/'Input BYR'!$G$117)/('Input BYR'!I111/'Input BYR'!$G$116))*100,H31)</f>
        <v>89.014971124285907</v>
      </c>
      <c r="J31" s="135">
        <f>IF(OR(J$5&lt;4,'Input BYR'!$O$152=0),((J28/'Input BYR'!$G$117)/('Input BYR'!J111/'Input BYR'!$G$116))*100,I31)</f>
        <v>89.662509711513849</v>
      </c>
      <c r="K31" s="135">
        <f>IF(OR(K$5&lt;4,'Input BYR'!$O$152=0),((K28/'Input BYR'!$G$117)/('Input BYR'!K111/'Input BYR'!$G$116))*100,J31)</f>
        <v>90.317299217683626</v>
      </c>
      <c r="L31" s="135">
        <f>IF(OR(L$5&lt;4,'Input BYR'!$O$152=0),((L28/'Input BYR'!$G$117)/('Input BYR'!L111/'Input BYR'!$G$116))*100,K31)</f>
        <v>90.975588570582445</v>
      </c>
      <c r="M31" s="135">
        <f>IF(OR(M$5&lt;4,'Input BYR'!$O$152=0),((M28/'Input BYR'!$G$117)/('Input BYR'!M111/'Input BYR'!$G$116))*100,L31)</f>
        <v>91.637389651357509</v>
      </c>
      <c r="N31" s="375">
        <f>IF(OR(N$5&lt;4,'Input BYR'!$O$152=0),((N28/'Input BYR'!$G$117)/('Input BYR'!N111/'Input BYR'!$G$116))*100,M31)</f>
        <v>92.305950373522379</v>
      </c>
      <c r="O31" s="361"/>
      <c r="P31" s="150"/>
      <c r="Q31" s="131"/>
      <c r="R31" s="137" t="s">
        <v>75</v>
      </c>
    </row>
    <row r="32" spans="1:18" s="138" customFormat="1">
      <c r="C32" s="139"/>
      <c r="D32" s="140" t="s">
        <v>58</v>
      </c>
      <c r="E32" s="141" t="s">
        <v>395</v>
      </c>
      <c r="F32" s="131"/>
      <c r="G32" s="143">
        <f>G31/$G$31</f>
        <v>1</v>
      </c>
      <c r="H32" s="143">
        <f t="shared" ref="H32:N32" si="6">H31/$G$31</f>
        <v>0.95029229068052923</v>
      </c>
      <c r="I32" s="143">
        <f t="shared" si="6"/>
        <v>0.8901497112428548</v>
      </c>
      <c r="J32" s="152">
        <f>J31/$G$31</f>
        <v>0.89662509711513416</v>
      </c>
      <c r="K32" s="152">
        <f t="shared" si="6"/>
        <v>0.90317299217683189</v>
      </c>
      <c r="L32" s="152">
        <f t="shared" si="6"/>
        <v>0.90975588570582011</v>
      </c>
      <c r="M32" s="152">
        <f t="shared" si="6"/>
        <v>0.91637389651357071</v>
      </c>
      <c r="N32" s="379">
        <f t="shared" si="6"/>
        <v>0.92305950373521928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18.104646099500236</v>
      </c>
      <c r="K39" s="156">
        <f>IF(OR(K$5&lt;4,K$5&gt;8),'Input BYR'!K30,'Input BYR'!K30*$G$95/100)</f>
        <v>21.139641308925558</v>
      </c>
      <c r="L39" s="156">
        <f>IF(OR(L$5&lt;4,L$5&gt;8),'Input BYR'!L30,'Input BYR'!L30*$G$95/100)</f>
        <v>21.20739911961795</v>
      </c>
      <c r="M39" s="156">
        <f>IF(OR(M$5&lt;4,M$5&gt;8),'Input BYR'!M30,'Input BYR'!M30*$G$95/100)</f>
        <v>22.644908235383099</v>
      </c>
      <c r="N39" s="365">
        <f>IF(OR(N$5&lt;4,N$5&gt;8),'Input BYR'!N30,'Input BYR'!N30*$G$95/100)</f>
        <v>22.451496466092348</v>
      </c>
      <c r="O39" s="157"/>
      <c r="P39" s="158"/>
      <c r="Q39" s="148"/>
      <c r="R39" s="147" t="s">
        <v>242</v>
      </c>
    </row>
    <row r="40" spans="1:23" s="37" customFormat="1">
      <c r="C40" s="131"/>
      <c r="D40" s="153" t="s">
        <v>57</v>
      </c>
      <c r="E40" s="154" t="s">
        <v>61</v>
      </c>
      <c r="F40" s="155"/>
      <c r="G40" s="148"/>
      <c r="H40" s="148"/>
      <c r="I40" s="148"/>
      <c r="J40" s="156">
        <f>IF(OR(J$5&lt;4,J$5&gt;8),'Input BYR'!J31,'Input BYR'!J31*$G$95/100)</f>
        <v>14.284411850462625</v>
      </c>
      <c r="K40" s="156">
        <f>IF(OR(K$5&lt;4,K$5&gt;8),'Input BYR'!K31,'Input BYR'!K31*$G$95/100)</f>
        <v>17.943872549657687</v>
      </c>
      <c r="L40" s="156">
        <f>IF(OR(L$5&lt;4,L$5&gt;8),'Input BYR'!L31,'Input BYR'!L31*$G$95/100)</f>
        <v>15.105611364960932</v>
      </c>
      <c r="M40" s="156">
        <f>IF(OR(M$5&lt;4,M$5&gt;8),'Input BYR'!M31,'Input BYR'!M31*$G$95/100)</f>
        <v>8.0195790709218038</v>
      </c>
      <c r="N40" s="365">
        <f>IF(OR(N$5&lt;4,N$5&gt;8),'Input BYR'!N31,'Input BYR'!N31*$G$95/100)</f>
        <v>6.1996464535201588</v>
      </c>
      <c r="O40" s="157"/>
      <c r="P40" s="158"/>
      <c r="Q40" s="148"/>
      <c r="R40" s="147" t="s">
        <v>242</v>
      </c>
    </row>
    <row r="41" spans="1:23" s="37" customFormat="1">
      <c r="C41" s="131"/>
      <c r="D41" s="153" t="s">
        <v>57</v>
      </c>
      <c r="E41" s="154" t="s">
        <v>63</v>
      </c>
      <c r="F41" s="155"/>
      <c r="G41" s="148"/>
      <c r="H41" s="148"/>
      <c r="I41" s="148"/>
      <c r="J41" s="156">
        <f>IF(OR(J$5&lt;4,J$5&gt;8),'Input BYR'!J32,'Input BYR'!J32*$G$95/100)</f>
        <v>9.4415916978728713</v>
      </c>
      <c r="K41" s="156">
        <f>IF(OR(K$5&lt;4,K$5&gt;8),'Input BYR'!K32,'Input BYR'!K32*$G$95/100)</f>
        <v>14.405696626042817</v>
      </c>
      <c r="L41" s="156">
        <f>IF(OR(L$5&lt;4,L$5&gt;8),'Input BYR'!L32,'Input BYR'!L32*$G$95/100)</f>
        <v>7.1428627210451143</v>
      </c>
      <c r="M41" s="156">
        <f>IF(OR(M$5&lt;4,M$5&gt;8),'Input BYR'!M32,'Input BYR'!M32*$G$95/100)</f>
        <v>7.4416479704606013</v>
      </c>
      <c r="N41" s="365">
        <f>IF(OR(N$5&lt;4,N$5&gt;8),'Input BYR'!N32,'Input BYR'!N32*$G$95/100)</f>
        <v>2.6765262647527091</v>
      </c>
      <c r="O41" s="157"/>
      <c r="P41" s="158"/>
      <c r="Q41" s="148"/>
      <c r="R41" s="147" t="s">
        <v>242</v>
      </c>
    </row>
    <row r="42" spans="1:23" s="37" customFormat="1">
      <c r="C42" s="131"/>
      <c r="D42" s="153" t="s">
        <v>57</v>
      </c>
      <c r="E42" s="154" t="s">
        <v>62</v>
      </c>
      <c r="F42" s="155"/>
      <c r="G42" s="148"/>
      <c r="H42" s="148"/>
      <c r="I42" s="148"/>
      <c r="J42" s="156">
        <f>IF(OR(J$5&lt;4,J$5&gt;8),'Input BYR'!J33,'Input BYR'!J33*$G$95/100)</f>
        <v>9.0484155601282605</v>
      </c>
      <c r="K42" s="156">
        <f>IF(OR(K$5&lt;4,K$5&gt;8),'Input BYR'!K33,'Input BYR'!K33*$G$95/100)</f>
        <v>14.780012494122914</v>
      </c>
      <c r="L42" s="156">
        <f>IF(OR(L$5&lt;4,L$5&gt;8),'Input BYR'!L33,'Input BYR'!L33*$G$95/100)</f>
        <v>15.133845528855302</v>
      </c>
      <c r="M42" s="156">
        <f>IF(OR(M$5&lt;4,M$5&gt;8),'Input BYR'!M33,'Input BYR'!M33*$G$95/100)</f>
        <v>10.568997096852057</v>
      </c>
      <c r="N42" s="365">
        <f>IF(OR(N$5&lt;4,N$5&gt;8),'Input BYR'!N33,'Input BYR'!N33*$G$95/100)</f>
        <v>2.7198242709194802</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56.454693480241133</v>
      </c>
      <c r="K55" s="156">
        <f>SUM('Input BYR'!K10:K13)-'Input BYR'!K14-'Input BYR'!K17+'Input BYR'!K15+'Input BYR'!K16</f>
        <v>76.550283796408777</v>
      </c>
      <c r="L55" s="156">
        <f>SUM('Input BYR'!L10:L13)-'Input BYR'!L14-'Input BYR'!L17+'Input BYR'!L15+'Input BYR'!L16</f>
        <v>65.645614419569512</v>
      </c>
      <c r="M55" s="156">
        <f>SUM('Input BYR'!M10:M13)-'Input BYR'!M14-'Input BYR'!M17+'Input BYR'!M15+'Input BYR'!M16</f>
        <v>57.468357224982313</v>
      </c>
      <c r="N55" s="365">
        <f>SUM('Input BYR'!N10:N13)-'Input BYR'!N14-'Input BYR'!N17+'Input BYR'!N15+'Input BYR'!N16</f>
        <v>55.322925078798271</v>
      </c>
      <c r="O55" s="157"/>
      <c r="P55" s="158"/>
      <c r="Q55" s="148"/>
      <c r="R55" s="147" t="s">
        <v>242</v>
      </c>
    </row>
    <row r="56" spans="1:18" s="37" customFormat="1">
      <c r="C56" s="131"/>
      <c r="D56" s="153" t="s">
        <v>57</v>
      </c>
      <c r="E56" s="154" t="s">
        <v>114</v>
      </c>
      <c r="F56" s="155"/>
      <c r="G56" s="148"/>
      <c r="H56" s="148"/>
      <c r="I56" s="148"/>
      <c r="J56" s="156">
        <f>SUM('Input BYR'!J30:J35)</f>
        <v>47.559461946427923</v>
      </c>
      <c r="K56" s="156">
        <f>SUM('Input BYR'!K30:K35)</f>
        <v>63.814999334181799</v>
      </c>
      <c r="L56" s="156">
        <f>SUM('Input BYR'!L30:L35)</f>
        <v>54.767034087886884</v>
      </c>
      <c r="M56" s="156">
        <f>SUM('Input BYR'!M30:M35)</f>
        <v>45.499324651468832</v>
      </c>
      <c r="N56" s="365">
        <f>SUM('Input BYR'!N30:N35)</f>
        <v>31.826065646827246</v>
      </c>
      <c r="O56" s="157"/>
      <c r="P56" s="158"/>
      <c r="Q56" s="148"/>
      <c r="R56" s="147" t="s">
        <v>242</v>
      </c>
    </row>
    <row r="57" spans="1:18" s="37" customFormat="1">
      <c r="C57" s="131"/>
      <c r="D57" s="153" t="s">
        <v>57</v>
      </c>
      <c r="E57" s="154" t="s">
        <v>115</v>
      </c>
      <c r="F57" s="155"/>
      <c r="G57" s="148"/>
      <c r="H57" s="148"/>
      <c r="I57" s="148"/>
      <c r="J57" s="156">
        <f>SUM(J39:J44)</f>
        <v>50.879065207963997</v>
      </c>
      <c r="K57" s="156">
        <f t="shared" ref="K57:N57" si="7">SUM(K39:K44)</f>
        <v>68.269222978748985</v>
      </c>
      <c r="L57" s="156">
        <f t="shared" si="7"/>
        <v>58.589718734479298</v>
      </c>
      <c r="M57" s="156">
        <f t="shared" si="7"/>
        <v>48.675132373617565</v>
      </c>
      <c r="N57" s="365">
        <f t="shared" si="7"/>
        <v>34.047493455284695</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56.454693480241133</v>
      </c>
      <c r="K62" s="156">
        <f t="shared" ref="K62:N63" si="8">K55+K59</f>
        <v>76.550283796408777</v>
      </c>
      <c r="L62" s="156">
        <f t="shared" si="8"/>
        <v>65.645614419569512</v>
      </c>
      <c r="M62" s="156">
        <f t="shared" si="8"/>
        <v>57.468357224982313</v>
      </c>
      <c r="N62" s="365">
        <f t="shared" si="8"/>
        <v>55.322925078798271</v>
      </c>
      <c r="O62" s="157"/>
      <c r="P62" s="158"/>
      <c r="Q62" s="148"/>
      <c r="R62" s="147" t="s">
        <v>242</v>
      </c>
    </row>
    <row r="63" spans="1:18" s="37" customFormat="1">
      <c r="C63" s="131"/>
      <c r="D63" s="153" t="s">
        <v>57</v>
      </c>
      <c r="E63" s="154" t="s">
        <v>182</v>
      </c>
      <c r="F63" s="155"/>
      <c r="G63" s="148"/>
      <c r="H63" s="148"/>
      <c r="I63" s="148"/>
      <c r="J63" s="156">
        <f>J56+J60</f>
        <v>47.559461946427923</v>
      </c>
      <c r="K63" s="156">
        <f t="shared" si="8"/>
        <v>63.814999334181799</v>
      </c>
      <c r="L63" s="156">
        <f t="shared" si="8"/>
        <v>54.767034087886884</v>
      </c>
      <c r="M63" s="156">
        <f t="shared" si="8"/>
        <v>45.499324651468832</v>
      </c>
      <c r="N63" s="365">
        <f t="shared" si="8"/>
        <v>31.826065646827246</v>
      </c>
      <c r="O63" s="157"/>
      <c r="P63" s="158"/>
      <c r="Q63" s="148"/>
      <c r="R63" s="147" t="s">
        <v>242</v>
      </c>
    </row>
    <row r="64" spans="1:18" s="37" customFormat="1">
      <c r="C64" s="131"/>
      <c r="D64" s="153" t="s">
        <v>57</v>
      </c>
      <c r="E64" s="154" t="s">
        <v>250</v>
      </c>
      <c r="F64" s="155"/>
      <c r="G64" s="148"/>
      <c r="H64" s="148"/>
      <c r="I64" s="148"/>
      <c r="J64" s="156">
        <f>J63*$G$107/100</f>
        <v>50.879065207963997</v>
      </c>
      <c r="K64" s="156">
        <f t="shared" ref="K64:N64" si="9">K63*$G$107/100</f>
        <v>68.269222978748971</v>
      </c>
      <c r="L64" s="156">
        <f t="shared" si="9"/>
        <v>58.589718734479305</v>
      </c>
      <c r="M64" s="156">
        <f t="shared" si="9"/>
        <v>48.675132373617565</v>
      </c>
      <c r="N64" s="365">
        <f t="shared" si="9"/>
        <v>34.047493455284695</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50.163144438902997</v>
      </c>
      <c r="K79" s="156">
        <f t="shared" ref="K79:N81" si="13">K62*K$21</f>
        <v>66.46145440261337</v>
      </c>
      <c r="L79" s="156">
        <f t="shared" si="13"/>
        <v>57.045633919568942</v>
      </c>
      <c r="M79" s="156">
        <f t="shared" si="13"/>
        <v>50.646546621788318</v>
      </c>
      <c r="N79" s="365">
        <f t="shared" si="13"/>
        <v>49.212323913634172</v>
      </c>
      <c r="P79" s="136"/>
      <c r="Q79" s="131"/>
      <c r="R79" s="147" t="s">
        <v>242</v>
      </c>
    </row>
    <row r="80" spans="1:18" s="37" customFormat="1">
      <c r="C80" s="131"/>
      <c r="D80" s="153" t="s">
        <v>57</v>
      </c>
      <c r="E80" s="132" t="s">
        <v>317</v>
      </c>
      <c r="F80" s="161"/>
      <c r="G80" s="162"/>
      <c r="H80" s="162"/>
      <c r="I80" s="163"/>
      <c r="J80" s="156">
        <f>J63*J$21</f>
        <v>42.259235007451935</v>
      </c>
      <c r="K80" s="156">
        <f t="shared" si="13"/>
        <v>55.404597581001994</v>
      </c>
      <c r="L80" s="156">
        <f t="shared" si="13"/>
        <v>47.592214728464668</v>
      </c>
      <c r="M80" s="156">
        <f t="shared" si="13"/>
        <v>40.098304153694343</v>
      </c>
      <c r="N80" s="365">
        <f t="shared" si="13"/>
        <v>28.310770793073715</v>
      </c>
      <c r="P80" s="136"/>
      <c r="Q80" s="131"/>
      <c r="R80" s="147" t="s">
        <v>242</v>
      </c>
    </row>
    <row r="81" spans="1:18" s="37" customFormat="1">
      <c r="C81" s="131"/>
      <c r="D81" s="153" t="s">
        <v>57</v>
      </c>
      <c r="E81" s="132" t="s">
        <v>318</v>
      </c>
      <c r="F81" s="161"/>
      <c r="G81" s="162"/>
      <c r="H81" s="162"/>
      <c r="I81" s="163"/>
      <c r="J81" s="156">
        <f>J64*J$21</f>
        <v>45.208887686844648</v>
      </c>
      <c r="K81" s="156">
        <f t="shared" si="13"/>
        <v>59.271783526906113</v>
      </c>
      <c r="L81" s="156">
        <f t="shared" si="13"/>
        <v>50.914104101693844</v>
      </c>
      <c r="M81" s="156">
        <f t="shared" si="13"/>
        <v>42.89712600328987</v>
      </c>
      <c r="N81" s="365">
        <f t="shared" si="13"/>
        <v>30.286834508158414</v>
      </c>
      <c r="P81" s="136"/>
      <c r="Q81" s="131"/>
      <c r="R81" s="147" t="s">
        <v>242</v>
      </c>
    </row>
    <row r="82" spans="1:18" s="37" customFormat="1">
      <c r="C82" s="131"/>
      <c r="D82" s="153" t="s">
        <v>57</v>
      </c>
      <c r="E82" s="132" t="s">
        <v>110</v>
      </c>
      <c r="F82" s="164"/>
      <c r="G82" s="164"/>
      <c r="H82" s="164"/>
      <c r="I82" s="164"/>
      <c r="J82" s="156">
        <f>SUM('Input BYR'!J65:J70)*J$15</f>
        <v>18.470459359016843</v>
      </c>
      <c r="K82" s="156">
        <f>SUM('Input BYR'!K65:K70)*K$15</f>
        <v>49.496888767950573</v>
      </c>
      <c r="L82" s="156">
        <f>SUM('Input BYR'!L65:L70)*L$15</f>
        <v>72.080175028098608</v>
      </c>
      <c r="M82" s="156">
        <f>SUM('Input BYR'!M65:M70)*M$15</f>
        <v>59.669038334216282</v>
      </c>
      <c r="N82" s="365">
        <f>SUM('Input BYR'!N65:N70)*N$15</f>
        <v>44.655841199393194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127.91960317192274</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106.97990079298069</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0.16040198414038631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-3.0683505394912558</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127.91960317192274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106.97990079298069</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0.16040198414038631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114.37168598209146</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-4.254007550164145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-9.0893304331646814</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-1.7254566772867099</v>
      </c>
      <c r="K127" s="156">
        <f>IF('Input BYR'!K49&lt;&gt;"",'Input BYR'!K49,K56*$G$97/100)</f>
        <v>-1.7254566772867099</v>
      </c>
      <c r="L127" s="156">
        <f>IF('Input BYR'!L49&lt;&gt;"",'Input BYR'!L49,L56*$G$97/100)</f>
        <v>-1.7254566772867099</v>
      </c>
      <c r="M127" s="156">
        <f>IF('Input BYR'!M49&lt;&gt;"",'Input BYR'!M49,M56*$G$97/100)</f>
        <v>-1.7254566772867099</v>
      </c>
      <c r="N127" s="365">
        <f>IF('Input BYR'!N49&lt;&gt;"",'Input BYR'!N49,N56*$G$97/100)</f>
        <v>-1.7254566772867099</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-0.46204704673113106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48.65148241422736</v>
      </c>
      <c r="K138" s="156">
        <f>(K57+'Input BYR'!K83)*K$29</f>
        <v>67.532434985393124</v>
      </c>
      <c r="L138" s="156">
        <f>(L57+'Input BYR'!L83)*L$29</f>
        <v>60.072840657288261</v>
      </c>
      <c r="M138" s="156">
        <f>(M57+'Input BYR'!M83)*M$29</f>
        <v>51.828709802309639</v>
      </c>
      <c r="N138" s="365">
        <f>(N57+'Input BYR'!N83)*N$29</f>
        <v>37.540366210322595</v>
      </c>
      <c r="O138" s="104"/>
      <c r="P138" s="136"/>
      <c r="Q138" s="104"/>
      <c r="R138" s="147" t="s">
        <v>87</v>
      </c>
      <c r="S138" s="147"/>
    </row>
    <row r="139" spans="1:19" s="37" customFormat="1">
      <c r="C139" s="131"/>
      <c r="D139" s="104" t="s">
        <v>57</v>
      </c>
      <c r="E139" s="104" t="s">
        <v>110</v>
      </c>
      <c r="F139" s="104"/>
      <c r="G139" s="104"/>
      <c r="H139" s="104"/>
      <c r="I139" s="104"/>
      <c r="J139" s="156">
        <f>SUM('Input BYR'!J65:J70)</f>
        <v>20.053999999999998</v>
      </c>
      <c r="K139" s="156">
        <f>SUM('Input BYR'!K65:K70)</f>
        <v>56.319000000000003</v>
      </c>
      <c r="L139" s="156">
        <f>SUM('Input BYR'!L65:L70)</f>
        <v>84.548999999999992</v>
      </c>
      <c r="M139" s="156">
        <f>SUM('Input BYR'!M65:M70)</f>
        <v>72.010000000000005</v>
      </c>
      <c r="N139" s="365">
        <f>SUM('Input BYR'!N65:N70)</f>
        <v>54.947861009999997</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-27.148987424201124</v>
      </c>
      <c r="K140" s="672">
        <f>(K$139*K$15)-(K$138*K$26)</f>
        <v>-12.162029623353469</v>
      </c>
      <c r="L140" s="672">
        <f>(L$139*L$15)-(L$138*L$26)</f>
        <v>18.777833567557522</v>
      </c>
      <c r="M140" s="672">
        <f>(M$139*M$15)-(M$138*M$26)</f>
        <v>15.064417617690516</v>
      </c>
      <c r="N140" s="673">
        <f>(N$139*N$15)-(N$138*N$26)</f>
        <v>13.227978787129977</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264.22376567687598</v>
      </c>
      <c r="J148" s="156">
        <f>'Input BYR'!J$54</f>
        <v>277.99080734748799</v>
      </c>
      <c r="K148" s="156">
        <f>'Input BYR'!K$54</f>
        <v>306.874526251193</v>
      </c>
      <c r="L148" s="156">
        <f>'Input BYR'!L$54</f>
        <v>326.25828972856698</v>
      </c>
      <c r="M148" s="156">
        <f>'Input BYR'!M$54</f>
        <v>336.70611012907</v>
      </c>
      <c r="N148" s="365">
        <f>'Input BYR'!N$54</f>
        <v>334.03593667583601</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7.759212924823423</v>
      </c>
      <c r="Q149" s="161"/>
      <c r="R149" s="147" t="s">
        <v>242</v>
      </c>
    </row>
    <row r="150" spans="1:24" s="37" customFormat="1">
      <c r="A150" s="109"/>
      <c r="B150" s="109"/>
      <c r="C150" s="104"/>
      <c r="D150" s="104" t="s">
        <v>57</v>
      </c>
      <c r="E150" s="177" t="s">
        <v>386</v>
      </c>
      <c r="F150" s="131"/>
      <c r="G150" s="104"/>
      <c r="H150" s="104"/>
      <c r="I150" s="205"/>
      <c r="J150" s="156">
        <f>IF(J5=8,J148+$P$149,J148)</f>
        <v>277.99080734748799</v>
      </c>
      <c r="K150" s="156">
        <f>IF(K5=8,K148+$P$149,K148)</f>
        <v>306.874526251193</v>
      </c>
      <c r="L150" s="156">
        <f>IF(L5=8,L148+$P$149,L148)</f>
        <v>326.25828972856698</v>
      </c>
      <c r="M150" s="156">
        <f>IF(M5=8,M148+$P$149,M148)</f>
        <v>336.70611012907</v>
      </c>
      <c r="N150" s="365">
        <f>IF(N5=8,N148+$P$149,N148)</f>
        <v>341.79514960065944</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45.619446783217967</v>
      </c>
      <c r="L161" s="360">
        <f t="shared" si="16"/>
        <v>107.27836517452201</v>
      </c>
      <c r="M161" s="360">
        <f t="shared" si="16"/>
        <v>160.58070663506311</v>
      </c>
      <c r="N161" s="363">
        <f t="shared" si="16"/>
        <v>205.18532735158888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45.619446783217967</v>
      </c>
      <c r="K162" s="360">
        <f t="shared" ref="K162:N162" si="17">K161+K138*K$26</f>
        <v>107.27836517452201</v>
      </c>
      <c r="L162" s="360">
        <f t="shared" si="17"/>
        <v>160.58070663506311</v>
      </c>
      <c r="M162" s="360">
        <f t="shared" si="17"/>
        <v>205.18532735158888</v>
      </c>
      <c r="N162" s="363">
        <f t="shared" si="17"/>
        <v>236.61318976385209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22.809723391608983</v>
      </c>
      <c r="K163" s="360">
        <f t="shared" ref="K163:N163" si="18">(K162+K161)/2</f>
        <v>76.448905978869988</v>
      </c>
      <c r="L163" s="360">
        <f t="shared" si="18"/>
        <v>133.92953590479254</v>
      </c>
      <c r="M163" s="360">
        <f t="shared" si="18"/>
        <v>182.88301699332601</v>
      </c>
      <c r="N163" s="363">
        <f t="shared" si="18"/>
        <v>220.89925855772049</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18.470459359016843</v>
      </c>
      <c r="L171" s="360">
        <f t="shared" si="22"/>
        <v>67.967348126967408</v>
      </c>
      <c r="M171" s="360">
        <f t="shared" si="22"/>
        <v>140.04752315506602</v>
      </c>
      <c r="N171" s="363">
        <f t="shared" si="22"/>
        <v>199.7165614892823</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18.470459359016843</v>
      </c>
      <c r="K172" s="360">
        <f t="shared" ref="K172:N172" si="23">K171+K139*K$15</f>
        <v>67.967348126967408</v>
      </c>
      <c r="L172" s="360">
        <f t="shared" si="23"/>
        <v>140.04752315506602</v>
      </c>
      <c r="M172" s="360">
        <f t="shared" si="23"/>
        <v>199.7165614892823</v>
      </c>
      <c r="N172" s="363">
        <f t="shared" si="23"/>
        <v>244.37240268867549</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9.2352296795084214</v>
      </c>
      <c r="K173" s="360">
        <f t="shared" ref="K173:N173" si="24">(K172+K171)/2</f>
        <v>43.218903742992126</v>
      </c>
      <c r="L173" s="360">
        <f t="shared" si="24"/>
        <v>104.00743564101671</v>
      </c>
      <c r="M173" s="360">
        <f t="shared" si="24"/>
        <v>169.88204232217416</v>
      </c>
      <c r="N173" s="363">
        <f t="shared" si="24"/>
        <v>222.0444820889789</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-27.148987424201124</v>
      </c>
      <c r="K181" s="156">
        <f>(K$139*K$15)-(K$138*K$26)</f>
        <v>-12.162029623353469</v>
      </c>
      <c r="L181" s="156">
        <f>(L$139*L$15)-(L$138*L$26)</f>
        <v>18.777833567557522</v>
      </c>
      <c r="M181" s="156">
        <f>(M$139*M$15)-(M$138*M$26)</f>
        <v>15.064417617690516</v>
      </c>
      <c r="N181" s="365">
        <f>(N$139*N$15)-(N$138*N$26)</f>
        <v>13.227978787129977</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-0.65836294503687731</v>
      </c>
      <c r="K184" s="156">
        <f>(K173-K163)*'Input BYR'!$O$59</f>
        <v>-1.6116551084400763</v>
      </c>
      <c r="L184" s="156">
        <f>(L173-L163)*'Input BYR'!$O$59</f>
        <v>-1.4512218627931279</v>
      </c>
      <c r="M184" s="156">
        <f>(M173-M163)*'Input BYR'!$O$59</f>
        <v>-0.63054727155086487</v>
      </c>
      <c r="N184" s="365">
        <f>(N173-N163)*'Input BYR'!$O$59</f>
        <v>5.5543341266032858E-2</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-9.0257485638285478E-2</v>
      </c>
      <c r="K187" s="156">
        <f>$P$130*K63/SUM($J$63:$N$63)</f>
        <v>-0.12110695012487865</v>
      </c>
      <c r="L187" s="156">
        <f>$P$130*L63/SUM($J$63:$N$63)</f>
        <v>-0.10393588552803651</v>
      </c>
      <c r="M187" s="156">
        <f>$P$130*M63/SUM($J$63:$N$63)</f>
        <v>-8.6347794386477023E-2</v>
      </c>
      <c r="N187" s="365">
        <f>$P$130*N63/SUM($J$63:$N$63)</f>
        <v>-6.0398931053453404E-2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-0.74862043067516282</v>
      </c>
      <c r="K190" s="156">
        <f t="shared" ref="K190:N191" si="28">K187+K184</f>
        <v>-1.732762058564955</v>
      </c>
      <c r="L190" s="156">
        <f t="shared" si="28"/>
        <v>-1.5551577483211645</v>
      </c>
      <c r="M190" s="156">
        <f t="shared" si="28"/>
        <v>-0.71689506593734187</v>
      </c>
      <c r="N190" s="365">
        <f t="shared" si="28"/>
        <v>-4.8555897874205459E-3</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-0.9047642136784203</v>
      </c>
      <c r="K193" s="156">
        <f>IF('Input BYR'!$O$156=0,(K190/(1+'Input BYR'!$O$60)^K$6),(K190/(1+'Input BYR'!$O$59)^K$6))</f>
        <v>-1.9973042873862183</v>
      </c>
      <c r="L193" s="156">
        <f>IF('Input BYR'!$O$156=0,(L190/(1+'Input BYR'!$O$60)^L$6),(L190/(1+'Input BYR'!$O$59)^L$6))</f>
        <v>-1.7096661697218056</v>
      </c>
      <c r="M193" s="156">
        <f>IF('Input BYR'!$O$156=0,(M190/(1+'Input BYR'!$O$60)^M$6),(M190/(1+'Input BYR'!$O$59)^M$6))</f>
        <v>-0.75166447663530289</v>
      </c>
      <c r="N193" s="664">
        <f>IF('Input BYR'!$O$156=0,(N190/(1+'Input BYR'!$O$60)^N$6),(N190/(1+'Input BYR'!$O$59)^N$6))</f>
        <v>-4.8555897874205459E-3</v>
      </c>
      <c r="O193" s="109"/>
      <c r="P193" s="622">
        <f>SUM(J193:N193)</f>
        <v>-5.3682547372091678</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-1.0612753017383267</v>
      </c>
      <c r="K196" s="156">
        <f t="shared" ref="K196:N197" si="29">K193*$L$13/$G$13</f>
        <v>-2.3428089641623053</v>
      </c>
      <c r="L196" s="156">
        <f t="shared" si="29"/>
        <v>-2.0054136234749653</v>
      </c>
      <c r="M196" s="156">
        <f t="shared" si="29"/>
        <v>-0.88169153044181592</v>
      </c>
      <c r="N196" s="365">
        <f t="shared" si="29"/>
        <v>-5.6955364047962297E-3</v>
      </c>
      <c r="O196" s="109"/>
      <c r="P196" s="622">
        <f>P193*$L$13/$G$13</f>
        <v>-6.2968849562222093</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9.1014442365762509</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-10.661652784473164</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-10.119678299271905</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-0.54197448520125913</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-5.0394317278054661</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-5.5814062130067255</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-6.2968849562222093</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-6.2968849562222093</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3.6699999999999899E-2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0.9645992090286486</v>
      </c>
      <c r="T20" s="610">
        <f t="shared" si="4"/>
        <v>0.93045163405869458</v>
      </c>
      <c r="U20" s="610">
        <f t="shared" si="4"/>
        <v>0.89751291025243052</v>
      </c>
      <c r="V20" s="611">
        <f t="shared" si="4"/>
        <v>0.86574024332249488</v>
      </c>
    </row>
    <row r="21" spans="1:22" s="138" customFormat="1">
      <c r="C21" s="139"/>
      <c r="D21" s="153" t="s">
        <v>556</v>
      </c>
      <c r="E21" s="645" t="s">
        <v>570</v>
      </c>
      <c r="F21" s="142"/>
      <c r="G21" s="134"/>
      <c r="H21" s="134"/>
      <c r="I21" s="134"/>
      <c r="J21" s="135"/>
      <c r="K21" s="135"/>
      <c r="L21" s="135"/>
      <c r="M21" s="135"/>
      <c r="N21" s="608"/>
      <c r="O21" s="37"/>
      <c r="P21" s="613">
        <f>SUM(R20:V20)</f>
        <v>4.6583039966622692</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-6.2968849562222093</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0.9645992090286486</v>
      </c>
      <c r="T35" s="616">
        <f>T$20</f>
        <v>0.93045163405869458</v>
      </c>
      <c r="U35" s="616">
        <f>U$20</f>
        <v>0.89751291025243052</v>
      </c>
      <c r="V35" s="621">
        <f>V$20</f>
        <v>0.86574024332249488</v>
      </c>
    </row>
    <row r="36" spans="1:22" s="37" customFormat="1">
      <c r="C36" s="131"/>
      <c r="D36" s="104" t="s">
        <v>57</v>
      </c>
      <c r="E36" s="643" t="s">
        <v>411</v>
      </c>
      <c r="F36" s="131"/>
      <c r="G36" s="148"/>
      <c r="H36" s="148"/>
      <c r="I36" s="148"/>
      <c r="J36" s="106"/>
      <c r="K36" s="106"/>
      <c r="L36" s="106"/>
      <c r="M36" s="106"/>
      <c r="N36" s="612"/>
      <c r="O36" s="203"/>
      <c r="P36" s="136"/>
      <c r="Q36" s="131"/>
      <c r="R36" s="603">
        <f>R31*R35</f>
        <v>-6.2968849562222093</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-6.2968849562222093</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-6.2968849562222093</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4.6583039966622692</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-1.3517548362524221</v>
      </c>
      <c r="S47" s="616">
        <f t="shared" si="8"/>
        <v>-1.3517548362524221</v>
      </c>
      <c r="T47" s="616">
        <f t="shared" si="8"/>
        <v>-1.3517548362524221</v>
      </c>
      <c r="U47" s="616">
        <f t="shared" si="8"/>
        <v>-1.3517548362524221</v>
      </c>
      <c r="V47" s="623">
        <f t="shared" si="8"/>
        <v>-1.3517548362524221</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0.9645992090286486</v>
      </c>
      <c r="T51" s="616">
        <f>T$20</f>
        <v>0.93045163405869458</v>
      </c>
      <c r="U51" s="616">
        <f>U$20</f>
        <v>0.89751291025243052</v>
      </c>
      <c r="V51" s="621">
        <f>V$20</f>
        <v>0.86574024332249488</v>
      </c>
    </row>
    <row r="52" spans="1:22" s="37" customFormat="1">
      <c r="C52" s="131"/>
      <c r="D52" s="104" t="s">
        <v>57</v>
      </c>
      <c r="E52" s="643" t="s">
        <v>411</v>
      </c>
      <c r="F52" s="131"/>
      <c r="G52" s="148"/>
      <c r="H52" s="148"/>
      <c r="I52" s="148"/>
      <c r="J52" s="106"/>
      <c r="K52" s="106"/>
      <c r="L52" s="106"/>
      <c r="M52" s="106"/>
      <c r="N52" s="612"/>
      <c r="O52" s="203"/>
      <c r="P52" s="136"/>
      <c r="Q52" s="131"/>
      <c r="R52" s="603">
        <f>R47*R51</f>
        <v>-1.3517548362524221</v>
      </c>
      <c r="S52" s="616">
        <f t="shared" ref="S52:V52" si="9">S47*S51</f>
        <v>-1.3039016458497368</v>
      </c>
      <c r="T52" s="616">
        <f t="shared" si="9"/>
        <v>-1.2577424962378092</v>
      </c>
      <c r="U52" s="616">
        <f t="shared" si="9"/>
        <v>-1.213217417032709</v>
      </c>
      <c r="V52" s="621">
        <f t="shared" si="9"/>
        <v>-1.1702685608495311</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-6.2968849562222085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-6.2968849562222093</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0.9645992090286486</v>
      </c>
      <c r="T68" s="616">
        <f>T$20</f>
        <v>0.93045163405869458</v>
      </c>
      <c r="U68" s="616">
        <f>U$20</f>
        <v>0.89751291025243052</v>
      </c>
      <c r="V68" s="621">
        <f>V$20</f>
        <v>0.86574024332249488</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-6.2968849562222093</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3.6699999999999899E-2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0.9645992090286486</v>
      </c>
      <c r="T86" s="616">
        <f>T$20</f>
        <v>0.93045163405869458</v>
      </c>
      <c r="U86" s="616">
        <f>U$20</f>
        <v>0.89751291025243052</v>
      </c>
      <c r="V86" s="621">
        <f>V$20</f>
        <v>0.86574024332249488</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-1.0612753017383267</v>
      </c>
      <c r="S94" s="616">
        <f>'Calc2 BYR'!K196</f>
        <v>-2.3428089641623053</v>
      </c>
      <c r="T94" s="616">
        <f>'Calc2 BYR'!L196</f>
        <v>-2.0054136234749653</v>
      </c>
      <c r="U94" s="616">
        <f>'Calc2 BYR'!M196</f>
        <v>-0.88169153044181592</v>
      </c>
      <c r="V94" s="623">
        <f>'Calc2 BYR'!N196</f>
        <v>-5.6955364047962297E-3</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0.9645992090286486</v>
      </c>
      <c r="T98" s="616">
        <f>T$20</f>
        <v>0.93045163405869458</v>
      </c>
      <c r="U98" s="616">
        <f>U$20</f>
        <v>0.89751291025243052</v>
      </c>
      <c r="V98" s="621">
        <f>V$20</f>
        <v>0.86574024332249488</v>
      </c>
    </row>
    <row r="99" spans="1:22" s="37" customFormat="1">
      <c r="C99" s="131"/>
      <c r="D99" s="104" t="s">
        <v>57</v>
      </c>
      <c r="E99" s="643" t="s">
        <v>411</v>
      </c>
      <c r="F99" s="131"/>
      <c r="G99" s="148"/>
      <c r="H99" s="148"/>
      <c r="I99" s="148"/>
      <c r="J99" s="106"/>
      <c r="K99" s="106"/>
      <c r="L99" s="106"/>
      <c r="M99" s="106"/>
      <c r="N99" s="612"/>
      <c r="O99" s="203"/>
      <c r="P99" s="136"/>
      <c r="Q99" s="131"/>
      <c r="R99" s="603">
        <f>R94*R98</f>
        <v>-1.0612753017383267</v>
      </c>
      <c r="S99" s="616">
        <f t="shared" ref="S99:V99" si="23">S94*S98</f>
        <v>-2.2598716737361872</v>
      </c>
      <c r="T99" s="616">
        <f t="shared" si="23"/>
        <v>-1.8659403829258492</v>
      </c>
      <c r="U99" s="616">
        <f t="shared" si="23"/>
        <v>-0.79132953143175366</v>
      </c>
      <c r="V99" s="621">
        <f t="shared" si="23"/>
        <v>-4.9308550729404155E-3</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-5.9833477449050578</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-1.0612753017383267</v>
      </c>
      <c r="S106" s="616">
        <f>'Calc2 BYR'!K196</f>
        <v>-2.3428089641623053</v>
      </c>
      <c r="T106" s="616">
        <f>'Calc2 BYR'!L196</f>
        <v>-2.0054136234749653</v>
      </c>
      <c r="U106" s="616">
        <f>'Calc2 BYR'!M196</f>
        <v>-0.88169153044181592</v>
      </c>
      <c r="V106" s="623">
        <f>'Calc2 BYR'!N196</f>
        <v>-5.6955364047962297E-3</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0.9645992090286486</v>
      </c>
      <c r="T110" s="616">
        <f>T$20</f>
        <v>0.93045163405869458</v>
      </c>
      <c r="U110" s="616">
        <f>U$20</f>
        <v>0.89751291025243052</v>
      </c>
      <c r="V110" s="621">
        <f>V$20</f>
        <v>0.86574024332249488</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-1.0612753017383267</v>
      </c>
      <c r="S111" s="616">
        <f t="shared" ref="S111:V111" si="25">S106*S110</f>
        <v>-2.2598716737361872</v>
      </c>
      <c r="T111" s="616">
        <f t="shared" si="25"/>
        <v>-1.8659403829258492</v>
      </c>
      <c r="U111" s="616">
        <f t="shared" si="25"/>
        <v>-0.79132953143175366</v>
      </c>
      <c r="V111" s="621">
        <f t="shared" si="25"/>
        <v>-4.9308550729404155E-3</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-5.9833477449050578</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-5.9833477449050578</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-6.2968849562222093</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1.05240163612154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-1.1168878639247961</v>
      </c>
      <c r="S123" s="616">
        <f t="shared" si="27"/>
        <v>-2.4655759870046206</v>
      </c>
      <c r="T123" s="616">
        <f t="shared" si="27"/>
        <v>-2.1105005784454796</v>
      </c>
      <c r="U123" s="616">
        <f t="shared" si="27"/>
        <v>-0.92789360919147168</v>
      </c>
      <c r="V123" s="621">
        <f t="shared" si="27"/>
        <v>-5.9939918309973462E-3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0.9645992090286486</v>
      </c>
      <c r="T127" s="616">
        <f>T$20</f>
        <v>0.93045163405869458</v>
      </c>
      <c r="U127" s="616">
        <f>U$20</f>
        <v>0.89751291025243052</v>
      </c>
      <c r="V127" s="621">
        <f>V$20</f>
        <v>0.86574024332249488</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-1.1168878639247961</v>
      </c>
      <c r="S128" s="616">
        <f t="shared" ref="S128:V128" si="28">S123*S127</f>
        <v>-2.3782926468646863</v>
      </c>
      <c r="T128" s="616">
        <f t="shared" si="28"/>
        <v>-1.9637187118964166</v>
      </c>
      <c r="U128" s="616">
        <f t="shared" si="28"/>
        <v>-0.83279649359006913</v>
      </c>
      <c r="V128" s="621">
        <f t="shared" si="28"/>
        <v>-5.1892399462406891E-3</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-6.2968849562222085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-6.2968849562222093</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-1.3517548362524221</v>
      </c>
      <c r="S138" s="616">
        <f>S47</f>
        <v>-1.3517548362524221</v>
      </c>
      <c r="T138" s="616">
        <f>T47</f>
        <v>-1.3517548362524221</v>
      </c>
      <c r="U138" s="616">
        <f>U47</f>
        <v>-1.3517548362524221</v>
      </c>
      <c r="V138" s="621">
        <f>V47</f>
        <v>-1.3517548362524221</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-1.0612753017383267</v>
      </c>
      <c r="S141" s="616">
        <f>S94</f>
        <v>-2.3428089641623053</v>
      </c>
      <c r="T141" s="616">
        <f>T94</f>
        <v>-2.0054136234749653</v>
      </c>
      <c r="U141" s="616">
        <f>U94</f>
        <v>-0.88169153044181592</v>
      </c>
      <c r="V141" s="621">
        <f>V94</f>
        <v>-5.6955364047962297E-3</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-1.1168878639247961</v>
      </c>
      <c r="S142" s="616">
        <f t="shared" si="31"/>
        <v>-2.4655759870046206</v>
      </c>
      <c r="T142" s="616">
        <f t="shared" si="31"/>
        <v>-2.1105005784454796</v>
      </c>
      <c r="U142" s="616">
        <f t="shared" si="31"/>
        <v>-0.92789360919147168</v>
      </c>
      <c r="V142" s="621">
        <f t="shared" si="31"/>
        <v>-5.9939918309973462E-3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-1.3517548362524221</v>
      </c>
      <c r="S143" s="630">
        <f t="shared" ref="S143:V143" si="32">CHOOSE($P$135+1,S137,S138,S139,S140,S141,S142)</f>
        <v>-1.3517548362524221</v>
      </c>
      <c r="T143" s="630">
        <f t="shared" si="32"/>
        <v>-1.3517548362524221</v>
      </c>
      <c r="U143" s="630">
        <f t="shared" si="32"/>
        <v>-1.3517548362524221</v>
      </c>
      <c r="V143" s="631">
        <f t="shared" si="32"/>
        <v>-1.3517548362524221</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-1.3517548362524221</v>
      </c>
      <c r="S156" s="627">
        <f t="shared" ref="S156:V156" si="36">S143</f>
        <v>-1.3517548362524221</v>
      </c>
      <c r="T156" s="627">
        <f t="shared" si="36"/>
        <v>-1.3517548362524221</v>
      </c>
      <c r="U156" s="627">
        <f t="shared" si="36"/>
        <v>-1.3517548362524221</v>
      </c>
      <c r="V156" s="628">
        <f t="shared" si="36"/>
        <v>-1.3517548362524221</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BRL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21.591000000000001</v>
      </c>
      <c r="K16" s="121">
        <f>'Input BYR'!K10</f>
        <v>25.234000000000002</v>
      </c>
      <c r="L16" s="121">
        <f>'Input BYR'!L10</f>
        <v>25.286999999999999</v>
      </c>
      <c r="M16" s="121">
        <f>'Input BYR'!M10</f>
        <v>27.077000000000002</v>
      </c>
      <c r="N16" s="121">
        <f>'Input BYR'!N10</f>
        <v>26.503</v>
      </c>
      <c r="O16" s="113"/>
      <c r="P16" s="113"/>
      <c r="Q16" s="113"/>
      <c r="R16" s="113"/>
      <c r="S16" s="113"/>
      <c r="T16" s="115"/>
      <c r="U16" s="122">
        <f t="shared" ref="U16:U34" si="0">SUM(J16:N16)</f>
        <v>125.69199999999999</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14.125999999999999</v>
      </c>
      <c r="K17" s="121">
        <f>'Input BYR'!K11</f>
        <v>17.931000000000001</v>
      </c>
      <c r="L17" s="121">
        <f>'Input BYR'!L11</f>
        <v>15.067</v>
      </c>
      <c r="M17" s="121">
        <f>'Input BYR'!M11</f>
        <v>7.7969999999999997</v>
      </c>
      <c r="N17" s="121">
        <f>'Input BYR'!N11</f>
        <v>5.9359999999999999</v>
      </c>
      <c r="O17" s="113"/>
      <c r="P17" s="113"/>
      <c r="Q17" s="113"/>
      <c r="R17" s="113"/>
      <c r="S17" s="113"/>
      <c r="T17" s="115"/>
      <c r="U17" s="122">
        <f t="shared" si="0"/>
        <v>60.856999999999999</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10.823</v>
      </c>
      <c r="K18" s="121">
        <f>'Input BYR'!K12</f>
        <v>17.779</v>
      </c>
      <c r="L18" s="121">
        <f>'Input BYR'!L12</f>
        <v>11.446999999999999</v>
      </c>
      <c r="M18" s="121">
        <f>'Input BYR'!M12</f>
        <v>14.250999999999999</v>
      </c>
      <c r="N18" s="121">
        <f>'Input BYR'!N12</f>
        <v>22.138999999999999</v>
      </c>
      <c r="O18" s="113"/>
      <c r="P18" s="113"/>
      <c r="Q18" s="113"/>
      <c r="R18" s="113"/>
      <c r="S18" s="113"/>
      <c r="T18" s="115"/>
      <c r="U18" s="122">
        <f t="shared" si="0"/>
        <v>76.438999999999993</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10.878</v>
      </c>
      <c r="K19" s="121">
        <f>'Input BYR'!K13</f>
        <v>16.831</v>
      </c>
      <c r="L19" s="121">
        <f>'Input BYR'!L13</f>
        <v>18.053000000000001</v>
      </c>
      <c r="M19" s="121">
        <f>'Input BYR'!M13</f>
        <v>12.182</v>
      </c>
      <c r="N19" s="121">
        <f>'Input BYR'!N13</f>
        <v>5.9379999999999997</v>
      </c>
      <c r="O19" s="113"/>
      <c r="P19" s="113"/>
      <c r="Q19" s="113"/>
      <c r="R19" s="113"/>
      <c r="S19" s="113"/>
      <c r="T19" s="115"/>
      <c r="U19" s="122">
        <f t="shared" si="0"/>
        <v>63.882000000000005</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-2.1970000000000001</v>
      </c>
      <c r="K20" s="121">
        <f>-'Input BYR'!K14</f>
        <v>-3.2570000000000001</v>
      </c>
      <c r="L20" s="121">
        <f>-'Input BYR'!L14</f>
        <v>-2.198</v>
      </c>
      <c r="M20" s="121">
        <f>-'Input BYR'!M14</f>
        <v>-1.8380000000000001</v>
      </c>
      <c r="N20" s="121">
        <f>-'Input BYR'!N14</f>
        <v>-2.758</v>
      </c>
      <c r="O20" s="113"/>
      <c r="P20" s="113"/>
      <c r="Q20" s="113"/>
      <c r="R20" s="113"/>
      <c r="S20" s="113"/>
      <c r="T20" s="115"/>
      <c r="U20" s="122">
        <f t="shared" si="0"/>
        <v>-12.248000000000001</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1.2336934802411399</v>
      </c>
      <c r="K21" s="121">
        <f>-'Input BYR'!K17</f>
        <v>2.0322837964087701</v>
      </c>
      <c r="L21" s="121">
        <f>-'Input BYR'!L17</f>
        <v>-2.0103855804304902</v>
      </c>
      <c r="M21" s="121">
        <f>-'Input BYR'!M17</f>
        <v>-2.0006427750176901</v>
      </c>
      <c r="N21" s="121">
        <f>-'Input BYR'!N17</f>
        <v>-2.4350749212017302</v>
      </c>
      <c r="O21" s="113"/>
      <c r="P21" s="113"/>
      <c r="Q21" s="113"/>
      <c r="R21" s="113"/>
      <c r="S21" s="113"/>
      <c r="T21" s="115"/>
      <c r="U21" s="122">
        <f t="shared" ref="U21:U23" si="1">SUM(J21:N21)</f>
        <v>-3.1801260000000005</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56.454693480241133</v>
      </c>
      <c r="K24" s="121">
        <f>'Calc2 BYR'!K55</f>
        <v>76.550283796408777</v>
      </c>
      <c r="L24" s="121">
        <f>'Calc2 BYR'!L55</f>
        <v>65.645614419569512</v>
      </c>
      <c r="M24" s="121">
        <f>'Calc2 BYR'!M55</f>
        <v>57.468357224982313</v>
      </c>
      <c r="N24" s="121">
        <f>'Calc2 BYR'!N55</f>
        <v>55.322925078798271</v>
      </c>
      <c r="O24" s="113"/>
      <c r="P24" s="113"/>
      <c r="Q24" s="113"/>
      <c r="R24" s="113"/>
      <c r="S24" s="113"/>
      <c r="T24" s="115"/>
      <c r="U24" s="122">
        <f t="shared" si="0"/>
        <v>311.44187400000004</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16.923408944391301</v>
      </c>
      <c r="K37" s="121">
        <f>'Input BYR'!K30</f>
        <v>19.760385971784899</v>
      </c>
      <c r="L37" s="121">
        <f>'Input BYR'!L30</f>
        <v>19.823722925913799</v>
      </c>
      <c r="M37" s="121">
        <f>'Input BYR'!M30</f>
        <v>21.167441797505301</v>
      </c>
      <c r="N37" s="121">
        <f>'Input BYR'!N30</f>
        <v>20.986649173977799</v>
      </c>
      <c r="O37" s="113"/>
      <c r="P37" s="113"/>
      <c r="Q37" s="113"/>
      <c r="R37" s="113"/>
      <c r="S37" s="113"/>
      <c r="T37" s="115"/>
      <c r="U37" s="122">
        <f t="shared" ref="U37:U51" si="3">SUM(J37:N37)</f>
        <v>98.661608813573096</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13.352425777721299</v>
      </c>
      <c r="K38" s="121">
        <f>'Input BYR'!K31</f>
        <v>16.7731250605488</v>
      </c>
      <c r="L38" s="121">
        <f>'Input BYR'!L31</f>
        <v>14.120046151652501</v>
      </c>
      <c r="M38" s="121">
        <f>'Input BYR'!M31</f>
        <v>7.4963418469051302</v>
      </c>
      <c r="N38" s="121">
        <f>'Input BYR'!N31</f>
        <v>5.7951506849097196</v>
      </c>
      <c r="O38" s="113"/>
      <c r="P38" s="113"/>
      <c r="Q38" s="113"/>
      <c r="R38" s="113"/>
      <c r="S38" s="113"/>
      <c r="T38" s="115"/>
      <c r="U38" s="122">
        <f t="shared" si="3"/>
        <v>57.537089521737457</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8.8255752976846704</v>
      </c>
      <c r="K39" s="121">
        <f>'Input BYR'!K32</f>
        <v>13.465797331332</v>
      </c>
      <c r="L39" s="121">
        <f>'Input BYR'!L32</f>
        <v>6.6768268320489801</v>
      </c>
      <c r="M39" s="121">
        <f>'Input BYR'!M32</f>
        <v>6.9561178457821802</v>
      </c>
      <c r="N39" s="121">
        <f>'Input BYR'!N32</f>
        <v>2.5018963795191</v>
      </c>
      <c r="O39" s="113"/>
      <c r="P39" s="113"/>
      <c r="Q39" s="113"/>
      <c r="R39" s="113"/>
      <c r="S39" s="113"/>
      <c r="T39" s="115"/>
      <c r="U39" s="122">
        <f t="shared" si="3"/>
        <v>38.426213686366935</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8.4580519266306506</v>
      </c>
      <c r="K40" s="121">
        <f>'Input BYR'!K33</f>
        <v>13.8156909705161</v>
      </c>
      <c r="L40" s="121">
        <f>'Input BYR'!L33</f>
        <v>14.1464381782716</v>
      </c>
      <c r="M40" s="121">
        <f>'Input BYR'!M33</f>
        <v>9.87942316127622</v>
      </c>
      <c r="N40" s="121">
        <f>'Input BYR'!N33</f>
        <v>2.5423694084206301</v>
      </c>
      <c r="O40" s="113"/>
      <c r="P40" s="113"/>
      <c r="Q40" s="113"/>
      <c r="R40" s="113"/>
      <c r="S40" s="113"/>
      <c r="T40" s="115"/>
      <c r="U40" s="122">
        <f t="shared" si="3"/>
        <v>48.841973645115203</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47.559461946427923</v>
      </c>
      <c r="K43" s="121">
        <f>'Calc2 BYR'!K56</f>
        <v>63.814999334181799</v>
      </c>
      <c r="L43" s="121">
        <f>'Calc2 BYR'!L56</f>
        <v>54.767034087886884</v>
      </c>
      <c r="M43" s="121">
        <f>'Calc2 BYR'!M56</f>
        <v>45.499324651468832</v>
      </c>
      <c r="N43" s="121">
        <f>'Calc2 BYR'!N56</f>
        <v>31.826065646827246</v>
      </c>
      <c r="O43" s="113"/>
      <c r="P43" s="113"/>
      <c r="Q43" s="113"/>
      <c r="R43" s="113"/>
      <c r="S43" s="113"/>
      <c r="T43" s="115"/>
      <c r="U43" s="122">
        <f t="shared" si="3"/>
        <v>243.46688566679268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18.104646099500236</v>
      </c>
      <c r="K54" s="121">
        <f>'Calc2 BYR'!K39</f>
        <v>21.139641308925558</v>
      </c>
      <c r="L54" s="121">
        <f>'Calc2 BYR'!L39</f>
        <v>21.20739911961795</v>
      </c>
      <c r="M54" s="121">
        <f>'Calc2 BYR'!M39</f>
        <v>22.644908235383099</v>
      </c>
      <c r="N54" s="121">
        <f>'Calc2 BYR'!N39</f>
        <v>22.451496466092348</v>
      </c>
      <c r="O54" s="113"/>
      <c r="P54" s="113"/>
      <c r="Q54" s="113"/>
      <c r="R54" s="113"/>
      <c r="S54" s="113"/>
      <c r="T54" s="115"/>
      <c r="U54" s="122">
        <f>SUM(J54:N54)</f>
        <v>105.54809122951919</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14.284411850462625</v>
      </c>
      <c r="K55" s="121">
        <f>'Calc2 BYR'!K40</f>
        <v>17.943872549657687</v>
      </c>
      <c r="L55" s="121">
        <f>'Calc2 BYR'!L40</f>
        <v>15.105611364960932</v>
      </c>
      <c r="M55" s="121">
        <f>'Calc2 BYR'!M40</f>
        <v>8.0195790709218038</v>
      </c>
      <c r="N55" s="121">
        <f>'Calc2 BYR'!N40</f>
        <v>6.1996464535201588</v>
      </c>
      <c r="O55" s="113"/>
      <c r="P55" s="113"/>
      <c r="Q55" s="113"/>
      <c r="R55" s="113"/>
      <c r="S55" s="113"/>
      <c r="T55" s="115"/>
      <c r="U55" s="122">
        <f>SUM(J55:N55)</f>
        <v>61.553121289523219</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9.4415916978728713</v>
      </c>
      <c r="K56" s="121">
        <f>'Calc2 BYR'!K41</f>
        <v>14.405696626042817</v>
      </c>
      <c r="L56" s="121">
        <f>'Calc2 BYR'!L41</f>
        <v>7.1428627210451143</v>
      </c>
      <c r="M56" s="121">
        <f>'Calc2 BYR'!M41</f>
        <v>7.4416479704606013</v>
      </c>
      <c r="N56" s="121">
        <f>'Calc2 BYR'!N41</f>
        <v>2.6765262647527091</v>
      </c>
      <c r="O56" s="113"/>
      <c r="P56" s="113"/>
      <c r="Q56" s="113"/>
      <c r="R56" s="113"/>
      <c r="S56" s="113"/>
      <c r="T56" s="115"/>
      <c r="U56" s="122">
        <f>SUM(J56:N56)</f>
        <v>41.108325280174114</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9.0484155601282605</v>
      </c>
      <c r="K57" s="121">
        <f>'Calc2 BYR'!K42</f>
        <v>14.780012494122914</v>
      </c>
      <c r="L57" s="121">
        <f>'Calc2 BYR'!L42</f>
        <v>15.133845528855302</v>
      </c>
      <c r="M57" s="121">
        <f>'Calc2 BYR'!M42</f>
        <v>10.568997096852057</v>
      </c>
      <c r="N57" s="121">
        <f>'Calc2 BYR'!N42</f>
        <v>2.7198242709194802</v>
      </c>
      <c r="O57" s="113"/>
      <c r="P57" s="113"/>
      <c r="Q57" s="113"/>
      <c r="R57" s="113"/>
      <c r="S57" s="113"/>
      <c r="T57" s="115"/>
      <c r="U57" s="122">
        <f>SUM(J57:N57)</f>
        <v>52.25109495087802</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50.879065207963997</v>
      </c>
      <c r="K60" s="121">
        <f>'Calc2 BYR'!K57</f>
        <v>68.269222978748985</v>
      </c>
      <c r="L60" s="121">
        <f>'Calc2 BYR'!L57</f>
        <v>58.589718734479298</v>
      </c>
      <c r="M60" s="121">
        <f>'Calc2 BYR'!M57</f>
        <v>48.675132373617565</v>
      </c>
      <c r="N60" s="121">
        <f>'Calc2 BYR'!N57</f>
        <v>34.047493455284695</v>
      </c>
      <c r="O60" s="113"/>
      <c r="P60" s="113"/>
      <c r="Q60" s="113"/>
      <c r="R60" s="113"/>
      <c r="S60" s="113"/>
      <c r="T60" s="115"/>
      <c r="U60" s="122">
        <f>SUM(J60:N60)</f>
        <v>260.46063275009453</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127.91960317192274</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-1.7254566772867099</v>
      </c>
      <c r="K73" s="121">
        <f>'Calc2 BYR'!K127</f>
        <v>-1.7254566772867099</v>
      </c>
      <c r="L73" s="121">
        <f>'Calc2 BYR'!L127</f>
        <v>-1.7254566772867099</v>
      </c>
      <c r="M73" s="121">
        <f>'Calc2 BYR'!M127</f>
        <v>-1.7254566772867099</v>
      </c>
      <c r="N73" s="121">
        <f>'Calc2 BYR'!N127</f>
        <v>-1.7254566772867099</v>
      </c>
      <c r="O73" s="113"/>
      <c r="P73" s="113"/>
      <c r="Q73" s="113"/>
      <c r="R73" s="113"/>
      <c r="S73" s="113"/>
      <c r="T73" s="115"/>
      <c r="U73" s="122">
        <f>SUM(J73:N73)</f>
        <v>-8.6272833864335503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BRL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56.454693480241133</v>
      </c>
      <c r="K16" s="121">
        <f>'Calc2 BYR'!K55</f>
        <v>76.550283796408777</v>
      </c>
      <c r="L16" s="121">
        <f>'Calc2 BYR'!L55</f>
        <v>65.645614419569512</v>
      </c>
      <c r="M16" s="121">
        <f>'Calc2 BYR'!M55</f>
        <v>57.468357224982313</v>
      </c>
      <c r="N16" s="121">
        <f>'Calc2 BYR'!N55</f>
        <v>55.322925078798271</v>
      </c>
      <c r="O16" s="113"/>
      <c r="P16" s="113"/>
      <c r="Q16" s="113"/>
      <c r="R16" s="113"/>
      <c r="S16" s="113"/>
      <c r="T16" s="115"/>
      <c r="U16" s="295">
        <f>SUM(J16:N16)</f>
        <v>311.44187400000004</v>
      </c>
    </row>
    <row r="17" spans="1:21" s="117" customFormat="1" ht="17.399999999999999">
      <c r="A17" s="110"/>
      <c r="B17" s="118" t="s">
        <v>131</v>
      </c>
      <c r="C17" s="119"/>
      <c r="D17" s="113"/>
      <c r="E17" s="124" t="str">
        <f>'Calc2 BYR'!E56</f>
        <v>Water: Baseline capex (gross of adjustments)</v>
      </c>
      <c r="F17" s="124"/>
      <c r="G17" s="113"/>
      <c r="H17" s="120"/>
      <c r="I17" s="120"/>
      <c r="J17" s="121">
        <f>'Calc2 BYR'!J56</f>
        <v>47.559461946427923</v>
      </c>
      <c r="K17" s="121">
        <f>'Calc2 BYR'!K56</f>
        <v>63.814999334181799</v>
      </c>
      <c r="L17" s="121">
        <f>'Calc2 BYR'!L56</f>
        <v>54.767034087886884</v>
      </c>
      <c r="M17" s="121">
        <f>'Calc2 BYR'!M56</f>
        <v>45.499324651468832</v>
      </c>
      <c r="N17" s="121">
        <f>'Calc2 BYR'!N56</f>
        <v>31.826065646827246</v>
      </c>
      <c r="O17" s="113"/>
      <c r="P17" s="113"/>
      <c r="Q17" s="113"/>
      <c r="R17" s="113"/>
      <c r="S17" s="113"/>
      <c r="T17" s="115"/>
      <c r="U17" s="295">
        <f t="shared" ref="U17:U18" si="0">SUM(J17:N17)</f>
        <v>243.46688566679268</v>
      </c>
    </row>
    <row r="18" spans="1:21" s="117" customFormat="1" ht="17.399999999999999">
      <c r="A18" s="110"/>
      <c r="B18" s="118" t="s">
        <v>132</v>
      </c>
      <c r="C18" s="119"/>
      <c r="D18" s="113"/>
      <c r="E18" s="124" t="str">
        <f>'Calc2 BYR'!E57</f>
        <v>Water: Allowance capex (gross of adjustments)</v>
      </c>
      <c r="F18" s="124"/>
      <c r="G18" s="113"/>
      <c r="H18" s="286"/>
      <c r="I18" s="120"/>
      <c r="J18" s="121">
        <f>'Calc2 BYR'!J57</f>
        <v>50.879065207963997</v>
      </c>
      <c r="K18" s="121">
        <f>'Calc2 BYR'!K57</f>
        <v>68.269222978748985</v>
      </c>
      <c r="L18" s="121">
        <f>'Calc2 BYR'!L57</f>
        <v>58.589718734479298</v>
      </c>
      <c r="M18" s="121">
        <f>'Calc2 BYR'!M57</f>
        <v>48.675132373617565</v>
      </c>
      <c r="N18" s="121">
        <f>'Calc2 BYR'!N57</f>
        <v>34.047493455284695</v>
      </c>
      <c r="O18" s="113"/>
      <c r="P18" s="113"/>
      <c r="Q18" s="113"/>
      <c r="R18" s="113"/>
      <c r="S18" s="113"/>
      <c r="T18" s="115"/>
      <c r="U18" s="295">
        <f t="shared" si="0"/>
        <v>260.46063275009453</v>
      </c>
    </row>
    <row r="19" spans="1:21" s="117" customFormat="1" ht="17.399999999999999">
      <c r="A19" s="110"/>
      <c r="B19" s="118" t="s">
        <v>133</v>
      </c>
      <c r="C19" s="119"/>
      <c r="D19" s="113"/>
      <c r="E19" s="124" t="str">
        <f>'Calc2 BYR'!E94</f>
        <v>Water: CIS bid ratio</v>
      </c>
      <c r="F19" s="124"/>
      <c r="G19" s="301">
        <f>'Calc2 BYR'!G94</f>
        <v>127.91960317192274</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56.454693480241133</v>
      </c>
      <c r="K24" s="121">
        <f>'Calc2 BYR'!K62</f>
        <v>76.550283796408777</v>
      </c>
      <c r="L24" s="121">
        <f>'Calc2 BYR'!L62</f>
        <v>65.645614419569512</v>
      </c>
      <c r="M24" s="121">
        <f>'Calc2 BYR'!M62</f>
        <v>57.468357224982313</v>
      </c>
      <c r="N24" s="121">
        <f>'Calc2 BYR'!N62</f>
        <v>55.322925078798271</v>
      </c>
      <c r="O24" s="113"/>
      <c r="P24" s="113"/>
      <c r="Q24" s="113"/>
      <c r="R24" s="113"/>
      <c r="S24" s="113"/>
      <c r="T24" s="115"/>
      <c r="U24" s="295">
        <f t="shared" ref="U24:U26" si="2">SUM(J24:N24)</f>
        <v>311.44187400000004</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47.559461946427923</v>
      </c>
      <c r="K25" s="121">
        <f>'Calc2 BYR'!K63</f>
        <v>63.814999334181799</v>
      </c>
      <c r="L25" s="121">
        <f>'Calc2 BYR'!L63</f>
        <v>54.767034087886884</v>
      </c>
      <c r="M25" s="121">
        <f>'Calc2 BYR'!M63</f>
        <v>45.499324651468832</v>
      </c>
      <c r="N25" s="121">
        <f>'Calc2 BYR'!N63</f>
        <v>31.826065646827246</v>
      </c>
      <c r="O25" s="113"/>
      <c r="P25" s="113"/>
      <c r="Q25" s="113"/>
      <c r="R25" s="113"/>
      <c r="S25" s="113"/>
      <c r="T25" s="115"/>
      <c r="U25" s="295">
        <f t="shared" si="2"/>
        <v>243.46688566679268</v>
      </c>
    </row>
    <row r="26" spans="1:21" s="117" customFormat="1" ht="17.399999999999999">
      <c r="A26" s="110"/>
      <c r="B26" s="118" t="s">
        <v>138</v>
      </c>
      <c r="C26" s="119"/>
      <c r="D26" s="113"/>
      <c r="E26" s="113" t="str">
        <f>'Calc2 BYR'!E64</f>
        <v>Water: Allowance capex (net of adjustments)</v>
      </c>
      <c r="F26" s="113"/>
      <c r="G26" s="113"/>
      <c r="H26" s="120"/>
      <c r="I26" s="120"/>
      <c r="J26" s="121">
        <f>'Calc2 BYR'!J64</f>
        <v>50.879065207963997</v>
      </c>
      <c r="K26" s="121">
        <f>'Calc2 BYR'!K64</f>
        <v>68.269222978748971</v>
      </c>
      <c r="L26" s="121">
        <f>'Calc2 BYR'!L64</f>
        <v>58.589718734479305</v>
      </c>
      <c r="M26" s="121">
        <f>'Calc2 BYR'!M64</f>
        <v>48.675132373617565</v>
      </c>
      <c r="N26" s="121">
        <f>'Calc2 BYR'!N64</f>
        <v>34.047493455284695</v>
      </c>
      <c r="O26" s="113"/>
      <c r="P26" s="113"/>
      <c r="Q26" s="113"/>
      <c r="R26" s="113"/>
      <c r="S26" s="113"/>
      <c r="T26" s="115"/>
      <c r="U26" s="295">
        <f t="shared" si="2"/>
        <v>260.46063275009453</v>
      </c>
    </row>
    <row r="27" spans="1:21" s="117" customFormat="1" ht="17.399999999999999">
      <c r="A27" s="110"/>
      <c r="B27" s="118" t="s">
        <v>139</v>
      </c>
      <c r="C27" s="119"/>
      <c r="D27" s="113"/>
      <c r="E27" s="113" t="str">
        <f>'Calc2 BYR'!E106</f>
        <v>Water: Restated CIS bid ratio</v>
      </c>
      <c r="F27" s="113"/>
      <c r="G27" s="301">
        <f>'Calc2 BYR'!G106</f>
        <v>127.91960317192274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50.163144438902997</v>
      </c>
      <c r="K30" s="121">
        <f>'Calc2 BYR'!K79</f>
        <v>66.46145440261337</v>
      </c>
      <c r="L30" s="121">
        <f>'Calc2 BYR'!L79</f>
        <v>57.045633919568942</v>
      </c>
      <c r="M30" s="121">
        <f>'Calc2 BYR'!M79</f>
        <v>50.646546621788318</v>
      </c>
      <c r="N30" s="121">
        <f>'Calc2 BYR'!N79</f>
        <v>49.212323913634172</v>
      </c>
      <c r="O30" s="113"/>
      <c r="P30" s="113"/>
      <c r="Q30" s="113"/>
      <c r="R30" s="113"/>
      <c r="S30" s="113"/>
      <c r="T30" s="115"/>
      <c r="U30" s="295">
        <f t="shared" ref="U30:U33" si="3">SUM(J30:N30)</f>
        <v>273.5291032965078</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42.259235007451935</v>
      </c>
      <c r="K31" s="121">
        <f>'Calc2 BYR'!K80</f>
        <v>55.404597581001994</v>
      </c>
      <c r="L31" s="121">
        <f>'Calc2 BYR'!L80</f>
        <v>47.592214728464668</v>
      </c>
      <c r="M31" s="121">
        <f>'Calc2 BYR'!M80</f>
        <v>40.098304153694343</v>
      </c>
      <c r="N31" s="121">
        <f>'Calc2 BYR'!N80</f>
        <v>28.310770793073715</v>
      </c>
      <c r="O31" s="113"/>
      <c r="P31" s="113"/>
      <c r="Q31" s="113"/>
      <c r="R31" s="113"/>
      <c r="S31" s="113"/>
      <c r="T31" s="115"/>
      <c r="U31" s="295">
        <f t="shared" si="3"/>
        <v>213.66512226368664</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45.208887686844648</v>
      </c>
      <c r="K32" s="121">
        <f>'Calc2 BYR'!K81</f>
        <v>59.271783526906113</v>
      </c>
      <c r="L32" s="121">
        <f>'Calc2 BYR'!L81</f>
        <v>50.914104101693844</v>
      </c>
      <c r="M32" s="121">
        <f>'Calc2 BYR'!M81</f>
        <v>42.89712600328987</v>
      </c>
      <c r="N32" s="121">
        <f>'Calc2 BYR'!N81</f>
        <v>30.286834508158414</v>
      </c>
      <c r="O32" s="113"/>
      <c r="P32" s="113"/>
      <c r="Q32" s="113"/>
      <c r="R32" s="113"/>
      <c r="S32" s="113"/>
      <c r="T32" s="115"/>
      <c r="U32" s="295">
        <f t="shared" si="3"/>
        <v>228.57873582689288</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18.470459359016843</v>
      </c>
      <c r="K33" s="121">
        <f>'Calc2 BYR'!K82</f>
        <v>49.496888767950573</v>
      </c>
      <c r="L33" s="121">
        <f>'Calc2 BYR'!L82</f>
        <v>72.080175028098608</v>
      </c>
      <c r="M33" s="121">
        <f>'Calc2 BYR'!M82</f>
        <v>59.669038334216282</v>
      </c>
      <c r="N33" s="121">
        <f>'Calc2 BYR'!N82</f>
        <v>44.655841199393194</v>
      </c>
      <c r="O33" s="113"/>
      <c r="P33" s="113"/>
      <c r="Q33" s="113"/>
      <c r="R33" s="113"/>
      <c r="S33" s="113"/>
      <c r="T33" s="115"/>
      <c r="U33" s="295">
        <f t="shared" si="3"/>
        <v>244.37240268867549</v>
      </c>
    </row>
    <row r="34" spans="1:21" s="117" customFormat="1" ht="17.399999999999999">
      <c r="A34" s="110"/>
      <c r="B34" s="118" t="s">
        <v>145</v>
      </c>
      <c r="C34" s="118"/>
      <c r="D34" s="113"/>
      <c r="E34" s="113" t="str">
        <f>'Calc2 BYR'!E116</f>
        <v>Water: CIS outturn ratio</v>
      </c>
      <c r="F34" s="113"/>
      <c r="G34" s="301">
        <f>'Calc2 BYR'!G116</f>
        <v>114.37168598209146</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-9.0893304331646814</v>
      </c>
    </row>
    <row r="38" spans="1:21" s="117" customFormat="1" ht="17.399999999999999">
      <c r="A38" s="110"/>
      <c r="B38" s="118" t="s">
        <v>152</v>
      </c>
      <c r="C38" s="119"/>
      <c r="D38" s="113"/>
      <c r="E38" s="113" t="str">
        <f>'Calc2 BYR'!E127</f>
        <v>Water: Additional income (applied at FD)</v>
      </c>
      <c r="F38" s="113"/>
      <c r="G38" s="113"/>
      <c r="H38" s="113"/>
      <c r="I38" s="113"/>
      <c r="J38" s="121">
        <f>'Calc2 BYR'!J127</f>
        <v>-1.7254566772867099</v>
      </c>
      <c r="K38" s="121">
        <f>'Calc2 BYR'!K127</f>
        <v>-1.7254566772867099</v>
      </c>
      <c r="L38" s="121">
        <f>'Calc2 BYR'!L127</f>
        <v>-1.7254566772867099</v>
      </c>
      <c r="M38" s="121">
        <f>'Calc2 BYR'!M127</f>
        <v>-1.7254566772867099</v>
      </c>
      <c r="N38" s="121">
        <f>'Calc2 BYR'!N127</f>
        <v>-1.7254566772867099</v>
      </c>
      <c r="O38" s="113"/>
      <c r="P38" s="113"/>
      <c r="Q38" s="113"/>
      <c r="R38" s="113"/>
      <c r="S38" s="113"/>
      <c r="T38" s="115"/>
      <c r="U38" s="295">
        <f t="shared" ref="U38" si="4">SUM(J38:N38)</f>
        <v>-8.6272833864335503</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-0.46204704673113106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BRL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7.759212924823423</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-5.3682547372091678</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-6.2968849562222093</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13.875098374208227</v>
      </c>
      <c r="G4" s="571"/>
      <c r="H4" s="571"/>
      <c r="I4" s="571"/>
      <c r="J4" s="571"/>
      <c r="K4" s="571"/>
      <c r="L4" s="571"/>
      <c r="M4" s="571"/>
      <c r="O4" s="552">
        <f>VLOOKUP($B4,'Calc2 FD'!$C$1:$P$216,14,FALSE)</f>
        <v>5.9110422866571994</v>
      </c>
      <c r="P4" s="571"/>
      <c r="Q4" s="571"/>
      <c r="R4" s="571"/>
      <c r="S4" s="571"/>
      <c r="T4" s="571"/>
      <c r="U4" s="571"/>
      <c r="V4" s="571"/>
      <c r="X4" s="690">
        <f>O4-F4</f>
        <v>-7.9640560875510271</v>
      </c>
      <c r="Y4" s="691"/>
      <c r="Z4" s="691"/>
      <c r="AA4" s="691"/>
      <c r="AB4" s="691"/>
      <c r="AC4" s="691"/>
      <c r="AD4" s="691"/>
      <c r="AE4" s="691"/>
      <c r="AG4" s="550" t="s">
        <v>711</v>
      </c>
      <c r="AH4" s="696">
        <f>VLOOKUP($AG4,'Calc2 BYR'!$C$1:$P$216,14,FALSE)</f>
        <v>7.759212924823423</v>
      </c>
      <c r="AI4" s="571"/>
      <c r="AJ4" s="571"/>
      <c r="AK4" s="571"/>
      <c r="AL4" s="571"/>
      <c r="AM4" s="571"/>
      <c r="AN4" s="571"/>
      <c r="AO4" s="571"/>
      <c r="AQ4" s="690">
        <f>AH4-O4</f>
        <v>1.8481706381662235</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-1.3100095553113575</v>
      </c>
      <c r="H6" s="687">
        <f>VLOOKUP($B6,Profiling!$C$1:$V$159,17,FALSE)</f>
        <v>-1.3100095553113575</v>
      </c>
      <c r="I6" s="687">
        <f>VLOOKUP($B6,Profiling!$C$1:$V$159,18,FALSE)</f>
        <v>-1.3100095553113575</v>
      </c>
      <c r="J6" s="687">
        <f>VLOOKUP($B6,Profiling!$C$1:$V$159,19,FALSE)</f>
        <v>-1.3100095553113575</v>
      </c>
      <c r="K6" s="687">
        <f>VLOOKUP($B6,Profiling!$C$1:$V$159,20,FALSE)</f>
        <v>-1.3100095553113575</v>
      </c>
      <c r="L6" s="571"/>
      <c r="M6" s="571"/>
      <c r="O6" s="571"/>
      <c r="P6" s="633">
        <f>VLOOKUP($B6,'Profiling2 FD'!$C$1:$V$159,16,FALSE)</f>
        <v>-1.3100095553113575</v>
      </c>
      <c r="Q6" s="552">
        <f>VLOOKUP($B6,'Profiling2 FD'!$C$1:$V$159,17,FALSE)</f>
        <v>-1.3100095553113575</v>
      </c>
      <c r="R6" s="552">
        <f>VLOOKUP($B6,'Profiling2 FD'!$C$1:$V$159,18,FALSE)</f>
        <v>-1.3100095553113575</v>
      </c>
      <c r="S6" s="552">
        <f>VLOOKUP($B6,'Profiling2 FD'!$C$1:$V$159,19,FALSE)</f>
        <v>-1.3100095553113575</v>
      </c>
      <c r="T6" s="552">
        <f>VLOOKUP($B6,'Profiling2 FD'!$C$1:$V$159,20,FALSE)</f>
        <v>-1.3100095553113575</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-1.3517548362524221</v>
      </c>
      <c r="AJ6" s="696">
        <f>VLOOKUP($AG6,'Profiling2 BYR'!$C$1:$V$159,17,FALSE)</f>
        <v>-1.3517548362524221</v>
      </c>
      <c r="AK6" s="696">
        <f>VLOOKUP($AG6,'Profiling2 BYR'!$C$1:$V$159,18,FALSE)</f>
        <v>-1.3517548362524221</v>
      </c>
      <c r="AL6" s="696">
        <f>VLOOKUP($AG6,'Profiling2 BYR'!$C$1:$V$159,19,FALSE)</f>
        <v>-1.3517548362524221</v>
      </c>
      <c r="AM6" s="696">
        <f>VLOOKUP($AG6,'Profiling2 BYR'!$C$1:$V$159,20,FALSE)</f>
        <v>-1.3517548362524221</v>
      </c>
      <c r="AN6" s="571"/>
      <c r="AO6" s="571"/>
      <c r="AQ6" s="691"/>
      <c r="AR6" s="690">
        <f>AI6-P6</f>
        <v>-4.1745280941064555E-2</v>
      </c>
      <c r="AS6" s="690">
        <f t="shared" ref="AS6:AS7" si="1">AJ6-Q6</f>
        <v>-4.1745280941064555E-2</v>
      </c>
      <c r="AT6" s="690">
        <f t="shared" ref="AT6:AT7" si="2">AK6-R6</f>
        <v>-4.1745280941064555E-2</v>
      </c>
      <c r="AU6" s="690">
        <f t="shared" ref="AU6:AU7" si="3">AL6-S6</f>
        <v>-4.1745280941064555E-2</v>
      </c>
      <c r="AV6" s="690">
        <f t="shared" ref="AV6:AV7" si="4">AM6-T6</f>
        <v>-4.1745280941064555E-2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3.6699999999999899E-2</v>
      </c>
      <c r="AQ8" s="693"/>
      <c r="AR8" s="693"/>
      <c r="AS8" s="693"/>
      <c r="AT8" s="693"/>
      <c r="AU8" s="693"/>
      <c r="AV8" s="693"/>
      <c r="AW8" s="693"/>
      <c r="AX8" s="694">
        <f>AO8-V8</f>
        <v>6.9999999999990209E-4</v>
      </c>
    </row>
    <row r="9" spans="1:50">
      <c r="B9" s="654" t="s">
        <v>583</v>
      </c>
      <c r="C9" t="s">
        <v>175</v>
      </c>
      <c r="D9" s="547" t="s">
        <v>55</v>
      </c>
      <c r="E9" s="657" t="s">
        <v>505</v>
      </c>
      <c r="F9" s="570"/>
      <c r="G9" s="570"/>
      <c r="H9" s="570"/>
      <c r="I9" s="570"/>
      <c r="J9" s="570"/>
      <c r="K9" s="570"/>
      <c r="L9" s="689">
        <f>VLOOKUP($B9,Calc!$C$1:$P$216,5,FALSE)</f>
        <v>127.91960317192274</v>
      </c>
      <c r="M9" s="570"/>
      <c r="O9" s="570"/>
      <c r="P9" s="570"/>
      <c r="Q9" s="570"/>
      <c r="R9" s="570"/>
      <c r="S9" s="570"/>
      <c r="T9" s="570"/>
      <c r="U9" s="663">
        <f>VLOOKUP($B9,'Calc2 FD'!$C$1:$P$216,5,FALSE)</f>
        <v>127.91960317192274</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127.91960317192274</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127.91960317192274</v>
      </c>
      <c r="M10" s="570"/>
      <c r="O10" s="570"/>
      <c r="P10" s="570"/>
      <c r="Q10" s="570"/>
      <c r="R10" s="570"/>
      <c r="S10" s="570"/>
      <c r="T10" s="570"/>
      <c r="U10" s="663">
        <f>VLOOKUP($B10,'Calc2 FD'!$C$1:$P$216,5,FALSE)</f>
        <v>127.91960317192274</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127.91960317192274</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113.93501739465182</v>
      </c>
      <c r="M11" s="570"/>
      <c r="O11" s="570"/>
      <c r="P11" s="570"/>
      <c r="Q11" s="570"/>
      <c r="R11" s="570"/>
      <c r="S11" s="570"/>
      <c r="T11" s="570"/>
      <c r="U11" s="663">
        <f>VLOOKUP($B11,'Calc2 FD'!$C$1:$P$216,5,FALSE)</f>
        <v>113.93501739465182</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114.37168598209146</v>
      </c>
      <c r="AO11" s="570"/>
      <c r="AQ11" s="695"/>
      <c r="AR11" s="695"/>
      <c r="AS11" s="695"/>
      <c r="AT11" s="695"/>
      <c r="AU11" s="695"/>
      <c r="AV11" s="695"/>
      <c r="AW11" s="690">
        <f t="shared" si="6"/>
        <v>0.43666858743964099</v>
      </c>
      <c r="AX11" s="695"/>
    </row>
    <row r="12" spans="1:50">
      <c r="B12" s="654" t="s">
        <v>586</v>
      </c>
      <c r="C12" t="s">
        <v>83</v>
      </c>
      <c r="D12" s="547" t="s">
        <v>55</v>
      </c>
      <c r="E12" s="657" t="s">
        <v>505</v>
      </c>
      <c r="F12" s="570"/>
      <c r="G12" s="570"/>
      <c r="H12" s="570"/>
      <c r="I12" s="570"/>
      <c r="J12" s="570"/>
      <c r="K12" s="570"/>
      <c r="L12" s="689">
        <f>VLOOKUP($B12,Calc!$C$1:$P$216,5,FALSE)</f>
        <v>-4.1839650423270474</v>
      </c>
      <c r="M12" s="570"/>
      <c r="O12" s="570"/>
      <c r="P12" s="570"/>
      <c r="Q12" s="570"/>
      <c r="R12" s="570"/>
      <c r="S12" s="570"/>
      <c r="T12" s="570"/>
      <c r="U12" s="663">
        <f>VLOOKUP($B12,'Calc2 FD'!$C$1:$P$216,5,FALSE)</f>
        <v>-4.1839650423270474</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-4.254007550164145</v>
      </c>
      <c r="AO12" s="570"/>
      <c r="AQ12" s="695"/>
      <c r="AR12" s="695"/>
      <c r="AS12" s="695"/>
      <c r="AT12" s="695"/>
      <c r="AU12" s="695"/>
      <c r="AV12" s="695"/>
      <c r="AW12" s="690">
        <f t="shared" si="6"/>
        <v>-7.0042507837097645E-2</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16.27528917602681</v>
      </c>
      <c r="M17" s="566"/>
      <c r="O17" s="566"/>
      <c r="P17" s="566"/>
      <c r="Q17" s="566"/>
      <c r="R17" s="566"/>
      <c r="S17" s="566"/>
      <c r="T17" s="566"/>
      <c r="U17" s="552">
        <f>VLOOKUP($B17,'Calc2 FD'!$C$1:$P$216,14,FALSE)</f>
        <v>6.9335668802102104</v>
      </c>
      <c r="V17" s="566"/>
      <c r="X17" s="692"/>
      <c r="Y17" s="692"/>
      <c r="Z17" s="692"/>
      <c r="AA17" s="692"/>
      <c r="AB17" s="692"/>
      <c r="AC17" s="692"/>
      <c r="AD17" s="690">
        <f t="shared" si="5"/>
        <v>-9.3417222958165986</v>
      </c>
      <c r="AE17" s="692"/>
      <c r="AG17" s="22" t="s">
        <v>724</v>
      </c>
      <c r="AH17" s="566"/>
      <c r="AI17" s="566"/>
      <c r="AJ17" s="566"/>
      <c r="AK17" s="566"/>
      <c r="AL17" s="566"/>
      <c r="AM17" s="566"/>
      <c r="AN17" s="696">
        <f>VLOOKUP($AG17,'Calc2 BYR'!$C$1:$P$216,14,FALSE)</f>
        <v>9.1014442365762509</v>
      </c>
      <c r="AO17" s="566"/>
      <c r="AQ17" s="692"/>
      <c r="AR17" s="692"/>
      <c r="AS17" s="692"/>
      <c r="AT17" s="692"/>
      <c r="AU17" s="692"/>
      <c r="AV17" s="692"/>
      <c r="AW17" s="690">
        <f t="shared" si="6"/>
        <v>2.1678773563660405</v>
      </c>
      <c r="AX17" s="692"/>
    </row>
    <row r="18" spans="2:50">
      <c r="B18" s="22" t="s">
        <v>592</v>
      </c>
      <c r="C18" t="s">
        <v>323</v>
      </c>
      <c r="D18" s="547" t="s">
        <v>497</v>
      </c>
      <c r="E18" s="547" t="s">
        <v>505</v>
      </c>
      <c r="F18" s="566"/>
      <c r="G18" s="566"/>
      <c r="H18" s="566"/>
      <c r="I18" s="566"/>
      <c r="J18" s="566"/>
      <c r="K18" s="566"/>
      <c r="L18" s="687">
        <f>VLOOKUP($B18,Calc!$C$1:$P$216,14,FALSE)</f>
        <v>-10.446687540623619</v>
      </c>
      <c r="M18" s="566"/>
      <c r="O18" s="566"/>
      <c r="P18" s="566"/>
      <c r="Q18" s="566"/>
      <c r="R18" s="566"/>
      <c r="S18" s="566"/>
      <c r="T18" s="566"/>
      <c r="U18" s="552">
        <f>VLOOKUP($B18,'Calc2 FD'!$C$1:$P$216,14,FALSE)</f>
        <v>-10.446687540623619</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-10.661652784473164</v>
      </c>
      <c r="AO18" s="566"/>
      <c r="AQ18" s="692"/>
      <c r="AR18" s="692"/>
      <c r="AS18" s="692"/>
      <c r="AT18" s="692"/>
      <c r="AU18" s="692"/>
      <c r="AV18" s="692"/>
      <c r="AW18" s="690">
        <f t="shared" si="6"/>
        <v>-0.21496524384954441</v>
      </c>
      <c r="AX18" s="692"/>
    </row>
    <row r="19" spans="2:50">
      <c r="B19" s="22" t="s">
        <v>593</v>
      </c>
      <c r="C19" t="s">
        <v>72</v>
      </c>
      <c r="D19" s="547" t="s">
        <v>497</v>
      </c>
      <c r="E19" s="547" t="s">
        <v>505</v>
      </c>
      <c r="F19" s="566"/>
      <c r="G19" s="566"/>
      <c r="H19" s="566"/>
      <c r="I19" s="566"/>
      <c r="J19" s="566"/>
      <c r="K19" s="566"/>
      <c r="L19" s="687">
        <f>VLOOKUP($B19,Calc!$C$1:$P$216,14,FALSE)</f>
        <v>-10.119678299271905</v>
      </c>
      <c r="M19" s="566"/>
      <c r="O19" s="566"/>
      <c r="P19" s="566"/>
      <c r="Q19" s="566"/>
      <c r="R19" s="566"/>
      <c r="S19" s="566"/>
      <c r="T19" s="566"/>
      <c r="U19" s="552">
        <f>VLOOKUP($B19,'Calc2 FD'!$C$1:$P$216,14,FALSE)</f>
        <v>-10.119678299271905</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-10.119678299271905</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-0.32700924135171405</v>
      </c>
      <c r="M20" s="566"/>
      <c r="O20" s="566"/>
      <c r="P20" s="566"/>
      <c r="Q20" s="566"/>
      <c r="R20" s="566"/>
      <c r="S20" s="566"/>
      <c r="T20" s="566"/>
      <c r="U20" s="552">
        <f>VLOOKUP($B20,'Calc2 FD'!$C$1:$P$216,14,FALSE)</f>
        <v>-0.32700924135171405</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-0.54197448520125913</v>
      </c>
      <c r="AO20" s="566"/>
      <c r="AQ20" s="692"/>
      <c r="AR20" s="692"/>
      <c r="AS20" s="692"/>
      <c r="AT20" s="692"/>
      <c r="AU20" s="692"/>
      <c r="AV20" s="692"/>
      <c r="AW20" s="690">
        <f t="shared" si="6"/>
        <v>-0.21496524384954507</v>
      </c>
      <c r="AX20" s="692"/>
    </row>
    <row r="21" spans="2:50">
      <c r="B21" s="22" t="s">
        <v>595</v>
      </c>
      <c r="C21" t="s">
        <v>248</v>
      </c>
      <c r="D21" s="547" t="s">
        <v>497</v>
      </c>
      <c r="E21" s="547" t="s">
        <v>505</v>
      </c>
      <c r="F21" s="566"/>
      <c r="G21" s="566"/>
      <c r="H21" s="566"/>
      <c r="I21" s="566"/>
      <c r="J21" s="566"/>
      <c r="K21" s="566"/>
      <c r="L21" s="687">
        <f>VLOOKUP($B21,Calc!$C$1:$P$216,14,FALSE)</f>
        <v>-5.0920027536973418</v>
      </c>
      <c r="M21" s="566"/>
      <c r="O21" s="566"/>
      <c r="P21" s="566"/>
      <c r="Q21" s="566"/>
      <c r="R21" s="566"/>
      <c r="S21" s="566"/>
      <c r="T21" s="566"/>
      <c r="U21" s="552">
        <f>VLOOKUP($B21,'Calc2 FD'!$C$1:$P$216,14,FALSE)</f>
        <v>-5.0920027536973418</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-5.0394317278054661</v>
      </c>
      <c r="AO21" s="566"/>
      <c r="AQ21" s="692"/>
      <c r="AR21" s="692"/>
      <c r="AS21" s="692"/>
      <c r="AT21" s="692"/>
      <c r="AU21" s="692"/>
      <c r="AV21" s="692"/>
      <c r="AW21" s="690">
        <f t="shared" si="6"/>
        <v>5.2571025891875678E-2</v>
      </c>
      <c r="AX21" s="692"/>
    </row>
    <row r="22" spans="2:50">
      <c r="B22" s="22" t="s">
        <v>596</v>
      </c>
      <c r="C22" t="s">
        <v>606</v>
      </c>
      <c r="D22" s="547" t="s">
        <v>497</v>
      </c>
      <c r="E22" s="547" t="s">
        <v>505</v>
      </c>
      <c r="F22" s="566"/>
      <c r="G22" s="566"/>
      <c r="H22" s="566"/>
      <c r="I22" s="566"/>
      <c r="J22" s="566"/>
      <c r="K22" s="566"/>
      <c r="L22" s="687">
        <f>VLOOKUP($B22,Calc!$C$1:$P$216,14,FALSE)</f>
        <v>-5.4190119950490558</v>
      </c>
      <c r="M22" s="566"/>
      <c r="O22" s="566"/>
      <c r="P22" s="566"/>
      <c r="Q22" s="566"/>
      <c r="R22" s="566"/>
      <c r="S22" s="566"/>
      <c r="T22" s="566"/>
      <c r="U22" s="552">
        <f>VLOOKUP($B22,'Calc2 FD'!$C$1:$P$216,14,FALSE)</f>
        <v>-5.4190119950490558</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-5.5814062130067255</v>
      </c>
      <c r="AO22" s="566"/>
      <c r="AQ22" s="692"/>
      <c r="AR22" s="692"/>
      <c r="AS22" s="692"/>
      <c r="AT22" s="692"/>
      <c r="AU22" s="692"/>
      <c r="AV22" s="692"/>
      <c r="AW22" s="690">
        <f t="shared" si="6"/>
        <v>-0.16239421795766962</v>
      </c>
      <c r="AX22" s="692"/>
    </row>
    <row r="23" spans="2:50">
      <c r="B23" s="22" t="s">
        <v>597</v>
      </c>
      <c r="C23" t="s">
        <v>610</v>
      </c>
      <c r="D23" s="547" t="s">
        <v>497</v>
      </c>
      <c r="E23" s="547" t="s">
        <v>505</v>
      </c>
      <c r="F23" s="566"/>
      <c r="G23" s="566"/>
      <c r="H23" s="566"/>
      <c r="I23" s="566"/>
      <c r="J23" s="566"/>
      <c r="K23" s="566"/>
      <c r="L23" s="687">
        <f>VLOOKUP($B23,Calc!$C$1:$P$216,14,FALSE)</f>
        <v>-6.1103774809277143</v>
      </c>
      <c r="M23" s="566"/>
      <c r="O23" s="566"/>
      <c r="P23" s="566"/>
      <c r="Q23" s="566"/>
      <c r="R23" s="566"/>
      <c r="S23" s="566"/>
      <c r="T23" s="566"/>
      <c r="U23" s="552">
        <f>VLOOKUP($B23,'Calc2 FD'!$C$1:$P$216,14,FALSE)</f>
        <v>-6.1103774809277143</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-6.2968849562222093</v>
      </c>
      <c r="AO23" s="566"/>
      <c r="AQ23" s="692"/>
      <c r="AR23" s="692"/>
      <c r="AS23" s="692"/>
      <c r="AT23" s="692"/>
      <c r="AU23" s="692"/>
      <c r="AV23" s="692"/>
      <c r="AW23" s="690">
        <f t="shared" si="6"/>
        <v>-0.18650747529449507</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822</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5.9110422866571994</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-1.3100095553113575</v>
      </c>
      <c r="H6" s="552">
        <f>VLOOKUP($B6,'Profiling2 FD'!$C$1:$V$159,17,FALSE)</f>
        <v>-1.3100095553113575</v>
      </c>
      <c r="I6" s="552">
        <f>VLOOKUP($B6,'Profiling2 FD'!$C$1:$V$159,18,FALSE)</f>
        <v>-1.3100095553113575</v>
      </c>
      <c r="J6" s="552">
        <f>VLOOKUP($B6,'Profiling2 FD'!$C$1:$V$159,19,FALSE)</f>
        <v>-1.3100095553113575</v>
      </c>
      <c r="K6" s="552">
        <f>VLOOKUP($B6,'Profiling2 FD'!$C$1:$V$159,20,FALSE)</f>
        <v>-1.3100095553113575</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127.91960317192274</v>
      </c>
      <c r="M9" s="703"/>
    </row>
    <row r="10" spans="1:13">
      <c r="B10" s="654" t="s">
        <v>584</v>
      </c>
      <c r="C10" t="s">
        <v>312</v>
      </c>
      <c r="D10" s="547" t="s">
        <v>55</v>
      </c>
      <c r="E10" t="s">
        <v>742</v>
      </c>
      <c r="F10" s="570"/>
      <c r="G10" s="570"/>
      <c r="H10" s="570"/>
      <c r="I10" s="570"/>
      <c r="J10" s="570"/>
      <c r="K10" s="570"/>
      <c r="L10" s="663">
        <f>VLOOKUP($B10,'Calc2 FD'!$C$1:$P$216,5,FALSE)</f>
        <v>127.91960317192274</v>
      </c>
      <c r="M10" s="703"/>
    </row>
    <row r="11" spans="1:13">
      <c r="B11" s="654" t="s">
        <v>585</v>
      </c>
      <c r="C11" t="s">
        <v>304</v>
      </c>
      <c r="D11" s="547" t="s">
        <v>55</v>
      </c>
      <c r="E11" t="s">
        <v>742</v>
      </c>
      <c r="F11" s="570"/>
      <c r="G11" s="570"/>
      <c r="H11" s="570"/>
      <c r="I11" s="570"/>
      <c r="J11" s="570"/>
      <c r="K11" s="570"/>
      <c r="L11" s="663">
        <f>VLOOKUP($B11,'Calc2 FD'!$C$1:$P$216,5,FALSE)</f>
        <v>113.93501739465182</v>
      </c>
      <c r="M11" s="703"/>
    </row>
    <row r="12" spans="1:13">
      <c r="B12" s="654" t="s">
        <v>586</v>
      </c>
      <c r="C12" t="s">
        <v>83</v>
      </c>
      <c r="D12" s="547" t="s">
        <v>55</v>
      </c>
      <c r="E12" t="s">
        <v>742</v>
      </c>
      <c r="F12" s="570"/>
      <c r="G12" s="570"/>
      <c r="H12" s="570"/>
      <c r="I12" s="570"/>
      <c r="J12" s="570"/>
      <c r="K12" s="570"/>
      <c r="L12" s="663">
        <f>VLOOKUP($B12,'Calc2 FD'!$C$1:$P$216,5,FALSE)</f>
        <v>-4.1839650423270474</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6.9335668802102104</v>
      </c>
      <c r="M17" s="686"/>
    </row>
    <row r="18" spans="1:13">
      <c r="B18" s="22" t="s">
        <v>592</v>
      </c>
      <c r="C18" t="s">
        <v>323</v>
      </c>
      <c r="D18" s="547" t="s">
        <v>497</v>
      </c>
      <c r="E18" t="s">
        <v>742</v>
      </c>
      <c r="F18" s="566"/>
      <c r="G18" s="566"/>
      <c r="H18" s="566"/>
      <c r="I18" s="566"/>
      <c r="J18" s="566"/>
      <c r="K18" s="566"/>
      <c r="L18" s="552">
        <f>VLOOKUP($B18,'Calc2 FD'!$C$1:$P$216,14,FALSE)</f>
        <v>-10.446687540623619</v>
      </c>
      <c r="M18" s="686"/>
    </row>
    <row r="19" spans="1:13">
      <c r="B19" s="22" t="s">
        <v>593</v>
      </c>
      <c r="C19" t="s">
        <v>72</v>
      </c>
      <c r="D19" s="547" t="s">
        <v>497</v>
      </c>
      <c r="E19" t="s">
        <v>742</v>
      </c>
      <c r="F19" s="566"/>
      <c r="G19" s="566"/>
      <c r="H19" s="566"/>
      <c r="I19" s="566"/>
      <c r="J19" s="566"/>
      <c r="K19" s="566"/>
      <c r="L19" s="552">
        <f>VLOOKUP($B19,'Calc2 FD'!$C$1:$P$216,14,FALSE)</f>
        <v>-10.119678299271905</v>
      </c>
      <c r="M19" s="686"/>
    </row>
    <row r="20" spans="1:13">
      <c r="B20" s="22" t="s">
        <v>594</v>
      </c>
      <c r="C20" t="s">
        <v>244</v>
      </c>
      <c r="D20" s="547" t="s">
        <v>497</v>
      </c>
      <c r="E20" t="s">
        <v>742</v>
      </c>
      <c r="F20" s="566"/>
      <c r="G20" s="566"/>
      <c r="H20" s="566"/>
      <c r="I20" s="566"/>
      <c r="J20" s="566"/>
      <c r="K20" s="566"/>
      <c r="L20" s="552">
        <f>VLOOKUP($B20,'Calc2 FD'!$C$1:$P$216,14,FALSE)</f>
        <v>-0.32700924135171405</v>
      </c>
      <c r="M20" s="686"/>
    </row>
    <row r="21" spans="1:13">
      <c r="B21" s="22" t="s">
        <v>595</v>
      </c>
      <c r="C21" t="s">
        <v>248</v>
      </c>
      <c r="D21" s="547" t="s">
        <v>497</v>
      </c>
      <c r="E21" t="s">
        <v>742</v>
      </c>
      <c r="F21" s="566"/>
      <c r="G21" s="566"/>
      <c r="H21" s="566"/>
      <c r="I21" s="566"/>
      <c r="J21" s="566"/>
      <c r="K21" s="566"/>
      <c r="L21" s="552">
        <f>VLOOKUP($B21,'Calc2 FD'!$C$1:$P$216,14,FALSE)</f>
        <v>-5.0920027536973418</v>
      </c>
      <c r="M21" s="686"/>
    </row>
    <row r="22" spans="1:13">
      <c r="B22" s="22" t="s">
        <v>596</v>
      </c>
      <c r="C22" t="s">
        <v>606</v>
      </c>
      <c r="D22" s="547" t="s">
        <v>497</v>
      </c>
      <c r="E22" t="s">
        <v>742</v>
      </c>
      <c r="F22" s="566"/>
      <c r="G22" s="566"/>
      <c r="H22" s="566"/>
      <c r="I22" s="566"/>
      <c r="J22" s="566"/>
      <c r="K22" s="566"/>
      <c r="L22" s="552">
        <f>VLOOKUP($B22,'Calc2 FD'!$C$1:$P$216,14,FALSE)</f>
        <v>-5.4190119950490558</v>
      </c>
      <c r="M22" s="686"/>
    </row>
    <row r="23" spans="1:13">
      <c r="B23" s="22" t="s">
        <v>597</v>
      </c>
      <c r="C23" t="s">
        <v>610</v>
      </c>
      <c r="D23" s="547" t="s">
        <v>497</v>
      </c>
      <c r="E23" t="s">
        <v>742</v>
      </c>
      <c r="F23" s="566"/>
      <c r="G23" s="566"/>
      <c r="H23" s="566"/>
      <c r="I23" s="566"/>
      <c r="J23" s="566"/>
      <c r="K23" s="566"/>
      <c r="L23" s="552">
        <f>VLOOKUP($B23,'Calc2 FD'!$C$1:$P$216,14,FALSE)</f>
        <v>-6.1103774809277143</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7.759212924823423</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-1.3517548362524221</v>
      </c>
      <c r="H33" s="552">
        <f>VLOOKUP($B33,'Profiling2 BYR'!$C$1:$V$159,17,FALSE)</f>
        <v>-1.3517548362524221</v>
      </c>
      <c r="I33" s="552">
        <f>VLOOKUP($B33,'Profiling2 BYR'!$C$1:$V$159,18,FALSE)</f>
        <v>-1.3517548362524221</v>
      </c>
      <c r="J33" s="552">
        <f>VLOOKUP($B33,'Profiling2 BYR'!$C$1:$V$159,19,FALSE)</f>
        <v>-1.3517548362524221</v>
      </c>
      <c r="K33" s="552">
        <f>VLOOKUP($B33,'Profiling2 BYR'!$C$1:$V$159,20,FALSE)</f>
        <v>-1.3517548362524221</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3.6699999999999899E-2</v>
      </c>
    </row>
    <row r="36" spans="1:13">
      <c r="B36" s="654" t="s">
        <v>716</v>
      </c>
      <c r="C36" t="s">
        <v>175</v>
      </c>
      <c r="D36" s="547" t="s">
        <v>55</v>
      </c>
      <c r="E36" t="s">
        <v>742</v>
      </c>
      <c r="F36" s="570"/>
      <c r="G36" s="570"/>
      <c r="H36" s="570"/>
      <c r="I36" s="570"/>
      <c r="J36" s="570"/>
      <c r="K36" s="570"/>
      <c r="L36" s="663">
        <f>VLOOKUP($B36,'Calc2 BYR'!$C$1:$P$216,5,FALSE)</f>
        <v>127.91960317192274</v>
      </c>
      <c r="M36" s="703"/>
    </row>
    <row r="37" spans="1:13">
      <c r="B37" s="654" t="s">
        <v>717</v>
      </c>
      <c r="C37" t="s">
        <v>312</v>
      </c>
      <c r="D37" s="547" t="s">
        <v>55</v>
      </c>
      <c r="E37" t="s">
        <v>742</v>
      </c>
      <c r="F37" s="570"/>
      <c r="G37" s="570"/>
      <c r="H37" s="570"/>
      <c r="I37" s="570"/>
      <c r="J37" s="570"/>
      <c r="K37" s="570"/>
      <c r="L37" s="663">
        <f>VLOOKUP($B37,'Calc2 BYR'!$C$1:$P$216,5,FALSE)</f>
        <v>127.91960317192274</v>
      </c>
      <c r="M37" s="703"/>
    </row>
    <row r="38" spans="1:13">
      <c r="B38" s="654" t="s">
        <v>718</v>
      </c>
      <c r="C38" t="s">
        <v>304</v>
      </c>
      <c r="D38" s="547" t="s">
        <v>55</v>
      </c>
      <c r="E38" t="s">
        <v>742</v>
      </c>
      <c r="F38" s="570"/>
      <c r="G38" s="570"/>
      <c r="H38" s="570"/>
      <c r="I38" s="570"/>
      <c r="J38" s="570"/>
      <c r="K38" s="570"/>
      <c r="L38" s="663">
        <f>VLOOKUP($B38,'Calc2 BYR'!$C$1:$P$216,5,FALSE)</f>
        <v>114.37168598209146</v>
      </c>
      <c r="M38" s="703"/>
    </row>
    <row r="39" spans="1:13">
      <c r="B39" s="654" t="s">
        <v>719</v>
      </c>
      <c r="C39" t="s">
        <v>83</v>
      </c>
      <c r="D39" s="547" t="s">
        <v>55</v>
      </c>
      <c r="E39" t="s">
        <v>742</v>
      </c>
      <c r="F39" s="570"/>
      <c r="G39" s="570"/>
      <c r="H39" s="570"/>
      <c r="I39" s="570"/>
      <c r="J39" s="570"/>
      <c r="K39" s="570"/>
      <c r="L39" s="663">
        <f>VLOOKUP($B39,'Calc2 BYR'!$C$1:$P$216,5,FALSE)</f>
        <v>-4.254007550164145</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9.1014442365762509</v>
      </c>
      <c r="M44" s="686"/>
    </row>
    <row r="45" spans="1:13">
      <c r="B45" s="22" t="s">
        <v>725</v>
      </c>
      <c r="C45" t="s">
        <v>323</v>
      </c>
      <c r="D45" s="547" t="s">
        <v>497</v>
      </c>
      <c r="E45" t="s">
        <v>742</v>
      </c>
      <c r="F45" s="566"/>
      <c r="G45" s="566"/>
      <c r="H45" s="566"/>
      <c r="I45" s="566"/>
      <c r="J45" s="566"/>
      <c r="K45" s="566"/>
      <c r="L45" s="552">
        <f>VLOOKUP($B45,'Calc2 BYR'!$C$1:$P$216,14,FALSE)</f>
        <v>-10.661652784473164</v>
      </c>
      <c r="M45" s="686"/>
    </row>
    <row r="46" spans="1:13">
      <c r="B46" s="22" t="s">
        <v>726</v>
      </c>
      <c r="C46" t="s">
        <v>72</v>
      </c>
      <c r="D46" s="547" t="s">
        <v>497</v>
      </c>
      <c r="E46" t="s">
        <v>742</v>
      </c>
      <c r="F46" s="566"/>
      <c r="G46" s="566"/>
      <c r="H46" s="566"/>
      <c r="I46" s="566"/>
      <c r="J46" s="566"/>
      <c r="K46" s="566"/>
      <c r="L46" s="552">
        <f>VLOOKUP($B46,'Calc2 BYR'!$C$1:$P$216,14,FALSE)</f>
        <v>-10.119678299271905</v>
      </c>
      <c r="M46" s="686"/>
    </row>
    <row r="47" spans="1:13">
      <c r="B47" s="22" t="s">
        <v>727</v>
      </c>
      <c r="C47" t="s">
        <v>244</v>
      </c>
      <c r="D47" s="547" t="s">
        <v>497</v>
      </c>
      <c r="E47" t="s">
        <v>742</v>
      </c>
      <c r="F47" s="566"/>
      <c r="G47" s="566"/>
      <c r="H47" s="566"/>
      <c r="I47" s="566"/>
      <c r="J47" s="566"/>
      <c r="K47" s="566"/>
      <c r="L47" s="552">
        <f>VLOOKUP($B47,'Calc2 BYR'!$C$1:$P$216,14,FALSE)</f>
        <v>-0.54197448520125913</v>
      </c>
      <c r="M47" s="686"/>
    </row>
    <row r="48" spans="1:13">
      <c r="B48" s="22" t="s">
        <v>728</v>
      </c>
      <c r="C48" t="s">
        <v>248</v>
      </c>
      <c r="D48" s="547" t="s">
        <v>497</v>
      </c>
      <c r="E48" t="s">
        <v>742</v>
      </c>
      <c r="F48" s="566"/>
      <c r="G48" s="566"/>
      <c r="H48" s="566"/>
      <c r="I48" s="566"/>
      <c r="J48" s="566"/>
      <c r="K48" s="566"/>
      <c r="L48" s="552">
        <f>VLOOKUP($B48,'Calc2 BYR'!$C$1:$P$216,14,FALSE)</f>
        <v>-5.0394317278054661</v>
      </c>
      <c r="M48" s="686"/>
    </row>
    <row r="49" spans="2:13">
      <c r="B49" s="22" t="s">
        <v>729</v>
      </c>
      <c r="C49" t="s">
        <v>606</v>
      </c>
      <c r="D49" s="547" t="s">
        <v>497</v>
      </c>
      <c r="E49" t="s">
        <v>742</v>
      </c>
      <c r="F49" s="566"/>
      <c r="G49" s="566"/>
      <c r="H49" s="566"/>
      <c r="I49" s="566"/>
      <c r="J49" s="566"/>
      <c r="K49" s="566"/>
      <c r="L49" s="552">
        <f>VLOOKUP($B49,'Calc2 BYR'!$C$1:$P$216,14,FALSE)</f>
        <v>-5.5814062130067255</v>
      </c>
      <c r="M49" s="686"/>
    </row>
    <row r="50" spans="2:13">
      <c r="B50" s="22" t="s">
        <v>730</v>
      </c>
      <c r="C50" t="s">
        <v>610</v>
      </c>
      <c r="D50" s="547" t="s">
        <v>497</v>
      </c>
      <c r="E50" t="s">
        <v>742</v>
      </c>
      <c r="F50" s="566"/>
      <c r="G50" s="566"/>
      <c r="H50" s="566"/>
      <c r="I50" s="566"/>
      <c r="J50" s="566"/>
      <c r="K50" s="566"/>
      <c r="L50" s="552">
        <f>VLOOKUP($B50,'Calc2 BYR'!$C$1:$P$216,14,FALSE)</f>
        <v>-6.2968849562222093</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823</v>
      </c>
    </row>
    <row r="3" spans="1:2">
      <c r="A3" t="s">
        <v>775</v>
      </c>
      <c r="B3" t="s">
        <v>781</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819</v>
      </c>
    </row>
    <row r="22" spans="1:2">
      <c r="A22" t="s">
        <v>813</v>
      </c>
      <c r="B22" t="s">
        <v>799</v>
      </c>
    </row>
    <row r="23" spans="1:2">
      <c r="A23" t="s">
        <v>814</v>
      </c>
      <c r="B23" t="s">
        <v>820</v>
      </c>
    </row>
    <row r="24" spans="1:2">
      <c r="A24" t="s">
        <v>815</v>
      </c>
      <c r="B24" t="s">
        <v>821</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21.591000000000001</v>
      </c>
      <c r="J4" s="566">
        <v>25.234000000000002</v>
      </c>
      <c r="K4" s="566">
        <v>25.286999999999999</v>
      </c>
      <c r="L4" s="566">
        <v>27.077000000000002</v>
      </c>
      <c r="M4" s="566">
        <v>26.503</v>
      </c>
      <c r="N4" s="566"/>
      <c r="O4" s="566"/>
    </row>
    <row r="5" spans="1:15">
      <c r="A5" t="s">
        <v>818</v>
      </c>
      <c r="B5" t="s">
        <v>452</v>
      </c>
      <c r="C5" t="s">
        <v>178</v>
      </c>
      <c r="D5" t="s">
        <v>497</v>
      </c>
      <c r="E5" t="s">
        <v>742</v>
      </c>
      <c r="F5" s="566"/>
      <c r="G5" s="566"/>
      <c r="H5" s="566"/>
      <c r="I5" s="566">
        <v>14.125999999999999</v>
      </c>
      <c r="J5" s="566">
        <v>17.931000000000001</v>
      </c>
      <c r="K5" s="566">
        <v>15.067</v>
      </c>
      <c r="L5" s="566">
        <v>7.7969999999999997</v>
      </c>
      <c r="M5" s="566">
        <v>5.9359999999999999</v>
      </c>
      <c r="N5" s="566"/>
      <c r="O5" s="566"/>
    </row>
    <row r="6" spans="1:15">
      <c r="A6" t="s">
        <v>818</v>
      </c>
      <c r="B6" t="s">
        <v>453</v>
      </c>
      <c r="C6" t="s">
        <v>123</v>
      </c>
      <c r="D6" t="s">
        <v>497</v>
      </c>
      <c r="E6" t="s">
        <v>742</v>
      </c>
      <c r="F6" s="566"/>
      <c r="G6" s="566"/>
      <c r="H6" s="566"/>
      <c r="I6" s="566">
        <v>10.823</v>
      </c>
      <c r="J6" s="566">
        <v>17.779</v>
      </c>
      <c r="K6" s="566">
        <v>11.446999999999999</v>
      </c>
      <c r="L6" s="566">
        <v>14.250999999999999</v>
      </c>
      <c r="M6" s="566">
        <v>22.138999999999999</v>
      </c>
      <c r="N6" s="566"/>
      <c r="O6" s="566"/>
    </row>
    <row r="7" spans="1:15">
      <c r="A7" t="s">
        <v>818</v>
      </c>
      <c r="B7" t="s">
        <v>454</v>
      </c>
      <c r="C7" t="s">
        <v>122</v>
      </c>
      <c r="D7" t="s">
        <v>497</v>
      </c>
      <c r="E7" t="s">
        <v>742</v>
      </c>
      <c r="F7" s="566"/>
      <c r="G7" s="566"/>
      <c r="H7" s="566"/>
      <c r="I7" s="566">
        <v>10.878</v>
      </c>
      <c r="J7" s="566">
        <v>16.831</v>
      </c>
      <c r="K7" s="566">
        <v>18.053000000000001</v>
      </c>
      <c r="L7" s="566">
        <v>12.182</v>
      </c>
      <c r="M7" s="566">
        <v>5.9379999999999997</v>
      </c>
      <c r="N7" s="566"/>
      <c r="O7" s="566"/>
    </row>
    <row r="8" spans="1:15">
      <c r="A8" t="s">
        <v>818</v>
      </c>
      <c r="B8" t="s">
        <v>455</v>
      </c>
      <c r="C8" t="s">
        <v>190</v>
      </c>
      <c r="D8" t="s">
        <v>497</v>
      </c>
      <c r="E8" t="s">
        <v>742</v>
      </c>
      <c r="F8" s="566"/>
      <c r="G8" s="566"/>
      <c r="H8" s="566"/>
      <c r="I8" s="566">
        <v>2.1970000000000001</v>
      </c>
      <c r="J8" s="566">
        <v>3.2570000000000001</v>
      </c>
      <c r="K8" s="566">
        <v>2.198</v>
      </c>
      <c r="L8" s="566">
        <v>1.8380000000000001</v>
      </c>
      <c r="M8" s="566">
        <v>2.758</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-1.2336934802411399</v>
      </c>
      <c r="J11" s="566">
        <v>-2.0322837964087701</v>
      </c>
      <c r="K11" s="566">
        <v>2.0103855804304902</v>
      </c>
      <c r="L11" s="566">
        <v>2.0006427750176901</v>
      </c>
      <c r="M11" s="566">
        <v>2.4350749212017302</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10.663</v>
      </c>
      <c r="G20" s="566">
        <v>10.631425351129</v>
      </c>
      <c r="H20" s="566">
        <v>8.2194367298960707</v>
      </c>
      <c r="I20" s="566">
        <v>16.923408944391301</v>
      </c>
      <c r="J20" s="566">
        <v>19.760385971784899</v>
      </c>
      <c r="K20" s="566">
        <v>19.823722925913799</v>
      </c>
      <c r="L20" s="566">
        <v>21.167441797505301</v>
      </c>
      <c r="M20" s="566">
        <v>20.986649173977799</v>
      </c>
      <c r="N20" s="566"/>
      <c r="O20" s="566"/>
    </row>
    <row r="21" spans="1:15">
      <c r="A21" t="s">
        <v>818</v>
      </c>
      <c r="B21" t="s">
        <v>529</v>
      </c>
      <c r="C21" t="s">
        <v>512</v>
      </c>
      <c r="D21" t="s">
        <v>497</v>
      </c>
      <c r="E21" t="s">
        <v>742</v>
      </c>
      <c r="F21" s="566">
        <v>11.788</v>
      </c>
      <c r="G21" s="566">
        <v>8.9551527896329599</v>
      </c>
      <c r="H21" s="566">
        <v>4.9121333832747496</v>
      </c>
      <c r="I21" s="566">
        <v>13.352425777721299</v>
      </c>
      <c r="J21" s="566">
        <v>16.7731250605488</v>
      </c>
      <c r="K21" s="566">
        <v>14.120046151652501</v>
      </c>
      <c r="L21" s="566">
        <v>7.4963418469051302</v>
      </c>
      <c r="M21" s="566">
        <v>5.7951506849097196</v>
      </c>
      <c r="N21" s="566"/>
      <c r="O21" s="566"/>
    </row>
    <row r="22" spans="1:15">
      <c r="A22" t="s">
        <v>818</v>
      </c>
      <c r="B22" t="s">
        <v>1</v>
      </c>
      <c r="C22" t="s">
        <v>513</v>
      </c>
      <c r="D22" t="s">
        <v>497</v>
      </c>
      <c r="E22" t="s">
        <v>742</v>
      </c>
      <c r="F22" s="566">
        <v>5.4558673273142704</v>
      </c>
      <c r="G22" s="566">
        <v>3.0442489584911701</v>
      </c>
      <c r="H22" s="566">
        <v>2.9850620460673598</v>
      </c>
      <c r="I22" s="566">
        <v>8.8255752976846704</v>
      </c>
      <c r="J22" s="566">
        <v>13.465797331332</v>
      </c>
      <c r="K22" s="566">
        <v>6.6768268320489801</v>
      </c>
      <c r="L22" s="566">
        <v>6.9561178457821802</v>
      </c>
      <c r="M22" s="566">
        <v>2.5018963795191</v>
      </c>
      <c r="N22" s="566"/>
      <c r="O22" s="566"/>
    </row>
    <row r="23" spans="1:15">
      <c r="A23" t="s">
        <v>818</v>
      </c>
      <c r="B23" t="s">
        <v>5</v>
      </c>
      <c r="C23" t="s">
        <v>514</v>
      </c>
      <c r="D23" t="s">
        <v>497</v>
      </c>
      <c r="E23" t="s">
        <v>742</v>
      </c>
      <c r="F23" s="566">
        <v>16.722132672685699</v>
      </c>
      <c r="G23" s="566">
        <v>4.2006978871672498</v>
      </c>
      <c r="H23" s="566">
        <v>4.2328060585437797</v>
      </c>
      <c r="I23" s="566">
        <v>8.4580519266306506</v>
      </c>
      <c r="J23" s="566">
        <v>13.8156909705161</v>
      </c>
      <c r="K23" s="566">
        <v>14.1464381782716</v>
      </c>
      <c r="L23" s="566">
        <v>9.87942316127622</v>
      </c>
      <c r="M23" s="566">
        <v>2.5423694084206301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127.919602677488</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-1.7254566772867099</v>
      </c>
      <c r="J34" s="566">
        <v>-1.7254566772867099</v>
      </c>
      <c r="K34" s="566">
        <v>-1.7254566772867099</v>
      </c>
      <c r="L34" s="566">
        <v>-1.7254566772867099</v>
      </c>
      <c r="M34" s="566">
        <v>-1.7254566772867099</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273.410063875341</v>
      </c>
      <c r="G36" s="566">
        <v>264.839478149679</v>
      </c>
      <c r="H36" s="566">
        <v>264.22376567687598</v>
      </c>
      <c r="I36" s="566">
        <v>277.99080734748799</v>
      </c>
      <c r="J36" s="566">
        <v>306.874526251193</v>
      </c>
      <c r="K36" s="566">
        <v>326.25828972856698</v>
      </c>
      <c r="L36" s="566">
        <v>336.70611012907</v>
      </c>
      <c r="M36" s="566">
        <v>334.03593667583601</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6.5000000000000002E-2</v>
      </c>
      <c r="G38" s="568">
        <v>5.5E-2</v>
      </c>
      <c r="H38" s="568">
        <v>5.5E-2</v>
      </c>
      <c r="I38" s="568">
        <v>4.8500000000000001E-2</v>
      </c>
      <c r="J38" s="568">
        <v>4.8500000000000001E-2</v>
      </c>
      <c r="K38" s="568">
        <v>4.8500000000000001E-2</v>
      </c>
      <c r="L38" s="568">
        <v>4.8500000000000001E-2</v>
      </c>
      <c r="M38" s="568">
        <v>4.8500000000000001E-2</v>
      </c>
      <c r="N38" s="568">
        <v>4.8500000000000001E-2</v>
      </c>
      <c r="O38" s="568"/>
    </row>
    <row r="39" spans="1:15">
      <c r="A39" t="s">
        <v>818</v>
      </c>
      <c r="B39" t="s">
        <v>533</v>
      </c>
      <c r="C39" t="s">
        <v>504</v>
      </c>
      <c r="D39" t="s">
        <v>499</v>
      </c>
      <c r="E39" t="s">
        <v>742</v>
      </c>
      <c r="F39" s="570"/>
      <c r="G39" s="570"/>
      <c r="H39" s="570"/>
      <c r="I39" s="570"/>
      <c r="J39" s="570"/>
      <c r="K39" s="570"/>
      <c r="L39" s="570"/>
      <c r="M39" s="570"/>
      <c r="N39" s="570">
        <v>5.9700000000000003E-2</v>
      </c>
      <c r="O39" s="570"/>
    </row>
    <row r="40" spans="1:15">
      <c r="A40" t="s">
        <v>818</v>
      </c>
      <c r="B40" t="s">
        <v>424</v>
      </c>
      <c r="C40" t="s">
        <v>8</v>
      </c>
      <c r="D40" t="s">
        <v>497</v>
      </c>
      <c r="E40" t="s">
        <v>742</v>
      </c>
      <c r="F40" s="566"/>
      <c r="G40" s="566"/>
      <c r="H40" s="566"/>
      <c r="I40" s="566">
        <v>9.8149999999999995</v>
      </c>
      <c r="J40" s="566">
        <v>23.376000000000001</v>
      </c>
      <c r="K40" s="566">
        <v>36.125999999999998</v>
      </c>
      <c r="L40" s="566">
        <v>33.591000000000001</v>
      </c>
      <c r="M40" s="566">
        <v>25.793977890000001</v>
      </c>
      <c r="N40" s="566"/>
      <c r="O40" s="566"/>
    </row>
    <row r="41" spans="1:15">
      <c r="A41" t="s">
        <v>818</v>
      </c>
      <c r="B41" t="s">
        <v>425</v>
      </c>
      <c r="C41" t="s">
        <v>65</v>
      </c>
      <c r="D41" t="s">
        <v>497</v>
      </c>
      <c r="E41" t="s">
        <v>742</v>
      </c>
      <c r="F41" s="566"/>
      <c r="G41" s="566"/>
      <c r="H41" s="566"/>
      <c r="I41" s="566">
        <v>5.399</v>
      </c>
      <c r="J41" s="566">
        <v>14.273</v>
      </c>
      <c r="K41" s="566">
        <v>19.132000000000001</v>
      </c>
      <c r="L41" s="566">
        <v>18.521000000000001</v>
      </c>
      <c r="M41" s="566">
        <v>18.287430499999999</v>
      </c>
      <c r="N41" s="566"/>
      <c r="O41" s="566"/>
    </row>
    <row r="42" spans="1:15">
      <c r="A42" t="s">
        <v>818</v>
      </c>
      <c r="B42" t="s">
        <v>426</v>
      </c>
      <c r="C42" t="s">
        <v>382</v>
      </c>
      <c r="D42" t="s">
        <v>497</v>
      </c>
      <c r="E42" t="s">
        <v>742</v>
      </c>
      <c r="F42" s="566"/>
      <c r="G42" s="566"/>
      <c r="H42" s="566"/>
      <c r="I42" s="566">
        <v>0.57299999999999995</v>
      </c>
      <c r="J42" s="566">
        <v>8.4570000000000007</v>
      </c>
      <c r="K42" s="566">
        <v>14.913</v>
      </c>
      <c r="L42" s="566">
        <v>5.1319999999999997</v>
      </c>
      <c r="M42" s="566">
        <v>2.13027313</v>
      </c>
      <c r="N42" s="566"/>
      <c r="O42" s="566"/>
    </row>
    <row r="43" spans="1:15">
      <c r="A43" t="s">
        <v>818</v>
      </c>
      <c r="B43" t="s">
        <v>427</v>
      </c>
      <c r="C43" t="s">
        <v>383</v>
      </c>
      <c r="D43" t="s">
        <v>497</v>
      </c>
      <c r="E43" t="s">
        <v>742</v>
      </c>
      <c r="F43" s="566"/>
      <c r="G43" s="566"/>
      <c r="H43" s="566"/>
      <c r="I43" s="566">
        <v>4.2670000000000003</v>
      </c>
      <c r="J43" s="566">
        <v>10.212999999999999</v>
      </c>
      <c r="K43" s="566">
        <v>14.378</v>
      </c>
      <c r="L43" s="566">
        <v>14.766</v>
      </c>
      <c r="M43" s="566">
        <v>8.7361794899999996</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3.1E-2</v>
      </c>
      <c r="M65" s="568">
        <v>3.1E-2</v>
      </c>
      <c r="N65" s="568"/>
      <c r="O65" s="568"/>
    </row>
    <row r="66" spans="1:15">
      <c r="A66" t="s">
        <v>818</v>
      </c>
      <c r="B66" t="s">
        <v>89</v>
      </c>
      <c r="C66" t="s">
        <v>91</v>
      </c>
      <c r="D66" t="s">
        <v>518</v>
      </c>
      <c r="E66" t="s">
        <v>742</v>
      </c>
      <c r="F66" s="569">
        <v>208.59166666666599</v>
      </c>
      <c r="G66" s="569">
        <v>214.78333333333299</v>
      </c>
      <c r="H66" s="569">
        <v>215.766666666666</v>
      </c>
      <c r="I66" s="569">
        <v>222.45543333333299</v>
      </c>
      <c r="J66" s="569">
        <v>228.461730033333</v>
      </c>
      <c r="K66" s="569">
        <v>235.087120204299</v>
      </c>
      <c r="L66" s="569">
        <v>242.37482093063301</v>
      </c>
      <c r="M66" s="569">
        <v>249.16131591669</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-2.1499999999999998E-2</v>
      </c>
      <c r="H68" s="568">
        <v>-5.8999999999999997E-2</v>
      </c>
      <c r="I68" s="568">
        <v>3.85E-2</v>
      </c>
      <c r="J68" s="568">
        <v>3.4500000000000003E-2</v>
      </c>
      <c r="K68" s="568">
        <v>3.6499999999999998E-2</v>
      </c>
      <c r="L68" s="568">
        <v>3.85E-2</v>
      </c>
      <c r="M68" s="568">
        <v>3.5499999999999997E-2</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3.6699999999999899E-2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21.591000000000001</v>
      </c>
      <c r="J4" s="566">
        <v>25.234000000000002</v>
      </c>
      <c r="K4" s="566">
        <v>25.286999999999999</v>
      </c>
      <c r="L4" s="566">
        <v>27.077000000000002</v>
      </c>
      <c r="M4" s="566">
        <v>26.503</v>
      </c>
      <c r="N4" s="566"/>
      <c r="O4" s="566"/>
    </row>
    <row r="5" spans="1:15">
      <c r="B5" t="s">
        <v>452</v>
      </c>
      <c r="C5" t="s">
        <v>178</v>
      </c>
      <c r="D5" t="s">
        <v>497</v>
      </c>
      <c r="E5" t="s">
        <v>742</v>
      </c>
      <c r="F5" s="566"/>
      <c r="G5" s="566"/>
      <c r="H5" s="566"/>
      <c r="I5" s="566">
        <v>14.125999999999999</v>
      </c>
      <c r="J5" s="566">
        <v>17.931000000000001</v>
      </c>
      <c r="K5" s="566">
        <v>15.067</v>
      </c>
      <c r="L5" s="566">
        <v>7.7969999999999997</v>
      </c>
      <c r="M5" s="566">
        <v>5.9359999999999999</v>
      </c>
      <c r="N5" s="566"/>
      <c r="O5" s="566"/>
    </row>
    <row r="6" spans="1:15">
      <c r="B6" t="s">
        <v>453</v>
      </c>
      <c r="C6" t="s">
        <v>123</v>
      </c>
      <c r="D6" t="s">
        <v>497</v>
      </c>
      <c r="E6" t="s">
        <v>742</v>
      </c>
      <c r="F6" s="566"/>
      <c r="G6" s="566"/>
      <c r="H6" s="566"/>
      <c r="I6" s="566">
        <v>10.823</v>
      </c>
      <c r="J6" s="566">
        <v>17.779</v>
      </c>
      <c r="K6" s="566">
        <v>11.446999999999999</v>
      </c>
      <c r="L6" s="566">
        <v>14.250999999999999</v>
      </c>
      <c r="M6" s="566">
        <v>22.138999999999999</v>
      </c>
      <c r="N6" s="566"/>
      <c r="O6" s="566"/>
    </row>
    <row r="7" spans="1:15">
      <c r="B7" t="s">
        <v>454</v>
      </c>
      <c r="C7" t="s">
        <v>122</v>
      </c>
      <c r="D7" t="s">
        <v>497</v>
      </c>
      <c r="E7" t="s">
        <v>742</v>
      </c>
      <c r="F7" s="566"/>
      <c r="G7" s="566"/>
      <c r="H7" s="566"/>
      <c r="I7" s="566">
        <v>10.878</v>
      </c>
      <c r="J7" s="566">
        <v>16.831</v>
      </c>
      <c r="K7" s="566">
        <v>18.053000000000001</v>
      </c>
      <c r="L7" s="566">
        <v>12.182</v>
      </c>
      <c r="M7" s="566">
        <v>5.9379999999999997</v>
      </c>
      <c r="N7" s="566"/>
      <c r="O7" s="566"/>
    </row>
    <row r="8" spans="1:15">
      <c r="B8" t="s">
        <v>455</v>
      </c>
      <c r="C8" t="s">
        <v>190</v>
      </c>
      <c r="D8" t="s">
        <v>497</v>
      </c>
      <c r="E8" t="s">
        <v>742</v>
      </c>
      <c r="F8" s="566"/>
      <c r="G8" s="566"/>
      <c r="H8" s="566"/>
      <c r="I8" s="566">
        <v>2.1970000000000001</v>
      </c>
      <c r="J8" s="566">
        <v>3.2570000000000001</v>
      </c>
      <c r="K8" s="566">
        <v>2.198</v>
      </c>
      <c r="L8" s="566">
        <v>1.8380000000000001</v>
      </c>
      <c r="M8" s="566">
        <v>2.758</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-1.2336934802411399</v>
      </c>
      <c r="J11" s="566">
        <v>-2.0322837964087701</v>
      </c>
      <c r="K11" s="566">
        <v>2.0103855804304902</v>
      </c>
      <c r="L11" s="566">
        <v>2.0006427750176901</v>
      </c>
      <c r="M11" s="566">
        <v>2.4350749212017302</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10.663</v>
      </c>
      <c r="G20" s="566">
        <v>10.631425351129</v>
      </c>
      <c r="H20" s="566">
        <v>8.2194367298960707</v>
      </c>
      <c r="I20" s="566">
        <v>16.923408944391301</v>
      </c>
      <c r="J20" s="566">
        <v>19.760385971784899</v>
      </c>
      <c r="K20" s="566">
        <v>19.823722925913799</v>
      </c>
      <c r="L20" s="566">
        <v>21.167441797505301</v>
      </c>
      <c r="M20" s="566">
        <v>20.986649173977799</v>
      </c>
      <c r="N20" s="566"/>
      <c r="O20" s="566"/>
    </row>
    <row r="21" spans="2:15">
      <c r="B21" t="s">
        <v>529</v>
      </c>
      <c r="C21" t="s">
        <v>512</v>
      </c>
      <c r="D21" t="s">
        <v>497</v>
      </c>
      <c r="E21" t="s">
        <v>742</v>
      </c>
      <c r="F21" s="566">
        <v>11.788</v>
      </c>
      <c r="G21" s="566">
        <v>8.9551527896329599</v>
      </c>
      <c r="H21" s="566">
        <v>4.9121333832747496</v>
      </c>
      <c r="I21" s="566">
        <v>13.352425777721299</v>
      </c>
      <c r="J21" s="566">
        <v>16.7731250605488</v>
      </c>
      <c r="K21" s="566">
        <v>14.120046151652501</v>
      </c>
      <c r="L21" s="566">
        <v>7.4963418469051302</v>
      </c>
      <c r="M21" s="566">
        <v>5.7951506849097196</v>
      </c>
      <c r="N21" s="566"/>
      <c r="O21" s="566"/>
    </row>
    <row r="22" spans="2:15">
      <c r="B22" t="s">
        <v>1</v>
      </c>
      <c r="C22" t="s">
        <v>513</v>
      </c>
      <c r="D22" t="s">
        <v>497</v>
      </c>
      <c r="E22" t="s">
        <v>742</v>
      </c>
      <c r="F22" s="566">
        <v>5.4558673273142704</v>
      </c>
      <c r="G22" s="566">
        <v>3.0442489584911701</v>
      </c>
      <c r="H22" s="566">
        <v>2.9850620460673598</v>
      </c>
      <c r="I22" s="566">
        <v>8.8255752976846704</v>
      </c>
      <c r="J22" s="566">
        <v>13.465797331332</v>
      </c>
      <c r="K22" s="566">
        <v>6.6768268320489801</v>
      </c>
      <c r="L22" s="566">
        <v>6.9561178457821802</v>
      </c>
      <c r="M22" s="566">
        <v>2.5018963795191</v>
      </c>
      <c r="N22" s="566"/>
      <c r="O22" s="566"/>
    </row>
    <row r="23" spans="2:15">
      <c r="B23" t="s">
        <v>5</v>
      </c>
      <c r="C23" t="s">
        <v>514</v>
      </c>
      <c r="D23" t="s">
        <v>497</v>
      </c>
      <c r="E23" t="s">
        <v>742</v>
      </c>
      <c r="F23" s="566">
        <v>16.722132672685699</v>
      </c>
      <c r="G23" s="566">
        <v>4.2006978871672498</v>
      </c>
      <c r="H23" s="566">
        <v>4.2328060585437797</v>
      </c>
      <c r="I23" s="566">
        <v>8.4580519266306506</v>
      </c>
      <c r="J23" s="566">
        <v>13.8156909705161</v>
      </c>
      <c r="K23" s="566">
        <v>14.1464381782716</v>
      </c>
      <c r="L23" s="566">
        <v>9.87942316127622</v>
      </c>
      <c r="M23" s="566">
        <v>2.5423694084206301</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127.919602677488</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-1.7254566772867099</v>
      </c>
      <c r="J34" s="566">
        <v>-1.7254566772867099</v>
      </c>
      <c r="K34" s="566">
        <v>-1.7254566772867099</v>
      </c>
      <c r="L34" s="566">
        <v>-1.7254566772867099</v>
      </c>
      <c r="M34" s="566">
        <v>-1.7254566772867099</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273.410063875341</v>
      </c>
      <c r="G36" s="566">
        <v>264.839478149679</v>
      </c>
      <c r="H36" s="566">
        <v>264.22376567687598</v>
      </c>
      <c r="I36" s="566">
        <v>277.99080734748799</v>
      </c>
      <c r="J36" s="566">
        <v>306.874526251193</v>
      </c>
      <c r="K36" s="566">
        <v>326.25828972856698</v>
      </c>
      <c r="L36" s="566">
        <v>336.70611012907</v>
      </c>
      <c r="M36" s="566">
        <v>334.03593667583601</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6.5000000000000002E-2</v>
      </c>
      <c r="G38" s="568">
        <v>5.5E-2</v>
      </c>
      <c r="H38" s="568">
        <v>5.5E-2</v>
      </c>
      <c r="I38" s="568">
        <v>4.8500000000000001E-2</v>
      </c>
      <c r="J38" s="568">
        <v>4.8500000000000001E-2</v>
      </c>
      <c r="K38" s="568">
        <v>4.8500000000000001E-2</v>
      </c>
      <c r="L38" s="568">
        <v>4.8500000000000001E-2</v>
      </c>
      <c r="M38" s="568">
        <v>4.8500000000000001E-2</v>
      </c>
      <c r="N38" s="568">
        <v>4.8500000000000001E-2</v>
      </c>
      <c r="O38" s="568"/>
    </row>
    <row r="39" spans="2:15">
      <c r="B39" t="s">
        <v>533</v>
      </c>
      <c r="C39" t="s">
        <v>504</v>
      </c>
      <c r="D39" t="s">
        <v>499</v>
      </c>
      <c r="E39" t="s">
        <v>742</v>
      </c>
      <c r="F39" s="570"/>
      <c r="G39" s="570"/>
      <c r="H39" s="570"/>
      <c r="I39" s="570"/>
      <c r="J39" s="570"/>
      <c r="K39" s="570"/>
      <c r="L39" s="570"/>
      <c r="M39" s="570"/>
      <c r="N39" s="570">
        <v>5.9700000000000003E-2</v>
      </c>
      <c r="O39" s="570"/>
    </row>
    <row r="40" spans="2:15">
      <c r="B40" t="s">
        <v>424</v>
      </c>
      <c r="C40" t="s">
        <v>8</v>
      </c>
      <c r="D40" t="s">
        <v>497</v>
      </c>
      <c r="E40" t="s">
        <v>742</v>
      </c>
      <c r="F40" s="566"/>
      <c r="G40" s="566"/>
      <c r="H40" s="566"/>
      <c r="I40" s="566">
        <v>9.8149999999999995</v>
      </c>
      <c r="J40" s="566">
        <v>23.376000000000001</v>
      </c>
      <c r="K40" s="566">
        <v>36.125999999999998</v>
      </c>
      <c r="L40" s="566">
        <v>33.591000000000001</v>
      </c>
      <c r="M40" s="566">
        <v>26.256</v>
      </c>
      <c r="N40" s="566"/>
      <c r="O40" s="566"/>
    </row>
    <row r="41" spans="2:15">
      <c r="B41" t="s">
        <v>425</v>
      </c>
      <c r="C41" t="s">
        <v>65</v>
      </c>
      <c r="D41" t="s">
        <v>497</v>
      </c>
      <c r="E41" t="s">
        <v>742</v>
      </c>
      <c r="F41" s="566"/>
      <c r="G41" s="566"/>
      <c r="H41" s="566"/>
      <c r="I41" s="566">
        <v>5.399</v>
      </c>
      <c r="J41" s="566">
        <v>14.273</v>
      </c>
      <c r="K41" s="566">
        <v>19.132000000000001</v>
      </c>
      <c r="L41" s="566">
        <v>18.521000000000001</v>
      </c>
      <c r="M41" s="566">
        <v>18.385000000000002</v>
      </c>
      <c r="N41" s="566"/>
      <c r="O41" s="566"/>
    </row>
    <row r="42" spans="2:15">
      <c r="B42" t="s">
        <v>426</v>
      </c>
      <c r="C42" t="s">
        <v>382</v>
      </c>
      <c r="D42" t="s">
        <v>497</v>
      </c>
      <c r="E42" t="s">
        <v>742</v>
      </c>
      <c r="F42" s="566"/>
      <c r="G42" s="566"/>
      <c r="H42" s="566"/>
      <c r="I42" s="566">
        <v>0.57299999999999995</v>
      </c>
      <c r="J42" s="566">
        <v>8.4570000000000007</v>
      </c>
      <c r="K42" s="566">
        <v>14.913</v>
      </c>
      <c r="L42" s="566">
        <v>5.1319999999999997</v>
      </c>
      <c r="M42" s="566">
        <v>-0.248</v>
      </c>
      <c r="N42" s="566"/>
      <c r="O42" s="566"/>
    </row>
    <row r="43" spans="2:15">
      <c r="B43" t="s">
        <v>427</v>
      </c>
      <c r="C43" t="s">
        <v>383</v>
      </c>
      <c r="D43" t="s">
        <v>497</v>
      </c>
      <c r="E43" t="s">
        <v>742</v>
      </c>
      <c r="F43" s="566"/>
      <c r="G43" s="566"/>
      <c r="H43" s="566"/>
      <c r="I43" s="566">
        <v>4.2670000000000003</v>
      </c>
      <c r="J43" s="566">
        <v>10.212999999999999</v>
      </c>
      <c r="K43" s="566">
        <v>14.378</v>
      </c>
      <c r="L43" s="566">
        <v>14.766</v>
      </c>
      <c r="M43" s="566">
        <v>8.5960000000000001</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258.20287999999999</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117.095825</v>
      </c>
      <c r="M64" s="569">
        <v>120.72579557500001</v>
      </c>
      <c r="N64" s="569"/>
      <c r="O64" s="569"/>
    </row>
    <row r="65" spans="2:15">
      <c r="B65" t="s">
        <v>534</v>
      </c>
      <c r="C65" t="s">
        <v>559</v>
      </c>
      <c r="D65" t="s">
        <v>522</v>
      </c>
      <c r="E65" t="s">
        <v>742</v>
      </c>
      <c r="F65" s="568"/>
      <c r="G65" s="568"/>
      <c r="H65" s="568"/>
      <c r="I65" s="568"/>
      <c r="J65" s="568"/>
      <c r="K65" s="568"/>
      <c r="L65" s="568">
        <v>3.1E-2</v>
      </c>
      <c r="M65" s="568">
        <v>3.1E-2</v>
      </c>
      <c r="N65" s="568"/>
      <c r="O65" s="568"/>
    </row>
    <row r="66" spans="2:15">
      <c r="B66" t="s">
        <v>89</v>
      </c>
      <c r="C66" t="s">
        <v>91</v>
      </c>
      <c r="D66" t="s">
        <v>518</v>
      </c>
      <c r="E66" t="s">
        <v>742</v>
      </c>
      <c r="F66" s="569">
        <v>208.59166666666599</v>
      </c>
      <c r="G66" s="569">
        <v>214.78333333333299</v>
      </c>
      <c r="H66" s="569">
        <v>215.766666666666</v>
      </c>
      <c r="I66" s="569">
        <v>222.45543333333299</v>
      </c>
      <c r="J66" s="569">
        <v>228.461730033333</v>
      </c>
      <c r="K66" s="569">
        <v>235.087120204299</v>
      </c>
      <c r="L66" s="569">
        <v>242.37482093063301</v>
      </c>
      <c r="M66" s="569">
        <v>249.16131591669</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-2.1499999999999998E-2</v>
      </c>
      <c r="H68" s="568">
        <v>-5.8999999999999997E-2</v>
      </c>
      <c r="I68" s="568">
        <v>3.85E-2</v>
      </c>
      <c r="J68" s="568">
        <v>3.4500000000000003E-2</v>
      </c>
      <c r="K68" s="568">
        <v>3.6499999999999998E-2</v>
      </c>
      <c r="L68" s="568">
        <v>3.85E-2</v>
      </c>
      <c r="M68" s="568">
        <v>3.5499999999999997E-2</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21.591000000000001</v>
      </c>
      <c r="K10" s="221">
        <f>INDEX('F_Inputs FD'!$B$4:$O$90,MATCH($C10,'F_Inputs FD'!$B$4:$B$90,0),MATCH(K$2,'F_Inputs FD'!$B$2:$N$2,0))</f>
        <v>25.234000000000002</v>
      </c>
      <c r="L10" s="221">
        <f>INDEX('F_Inputs FD'!$B$4:$O$90,MATCH($C10,'F_Inputs FD'!$B$4:$B$90,0),MATCH(L$2,'F_Inputs FD'!$B$2:$N$2,0))</f>
        <v>25.286999999999999</v>
      </c>
      <c r="M10" s="221">
        <f>INDEX('F_Inputs FD'!$B$4:$O$90,MATCH($C10,'F_Inputs FD'!$B$4:$B$90,0),MATCH(M$2,'F_Inputs FD'!$B$2:$N$2,0))</f>
        <v>27.077000000000002</v>
      </c>
      <c r="N10" s="395">
        <f>INDEX('F_Inputs FD'!$B$4:$O$90,MATCH($C10,'F_Inputs FD'!$B$4:$B$90,0),MATCH(N$2,'F_Inputs FD'!$B$2:$N$2,0))</f>
        <v>26.503</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14.125999999999999</v>
      </c>
      <c r="K11" s="221">
        <f>INDEX('F_Inputs FD'!$B$4:$O$90,MATCH($C11,'F_Inputs FD'!$B$4:$B$90,0),MATCH(K$2,'F_Inputs FD'!$B$2:$N$2,0))</f>
        <v>17.931000000000001</v>
      </c>
      <c r="L11" s="221">
        <f>INDEX('F_Inputs FD'!$B$4:$O$90,MATCH($C11,'F_Inputs FD'!$B$4:$B$90,0),MATCH(L$2,'F_Inputs FD'!$B$2:$N$2,0))</f>
        <v>15.067</v>
      </c>
      <c r="M11" s="221">
        <f>INDEX('F_Inputs FD'!$B$4:$O$90,MATCH($C11,'F_Inputs FD'!$B$4:$B$90,0),MATCH(M$2,'F_Inputs FD'!$B$2:$N$2,0))</f>
        <v>7.7969999999999997</v>
      </c>
      <c r="N11" s="395">
        <f>INDEX('F_Inputs FD'!$B$4:$O$90,MATCH($C11,'F_Inputs FD'!$B$4:$B$90,0),MATCH(N$2,'F_Inputs FD'!$B$2:$N$2,0))</f>
        <v>5.9359999999999999</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10.823</v>
      </c>
      <c r="K12" s="221">
        <f>INDEX('F_Inputs FD'!$B$4:$O$90,MATCH($C12,'F_Inputs FD'!$B$4:$B$90,0),MATCH(K$2,'F_Inputs FD'!$B$2:$N$2,0))</f>
        <v>17.779</v>
      </c>
      <c r="L12" s="221">
        <f>INDEX('F_Inputs FD'!$B$4:$O$90,MATCH($C12,'F_Inputs FD'!$B$4:$B$90,0),MATCH(L$2,'F_Inputs FD'!$B$2:$N$2,0))</f>
        <v>11.446999999999999</v>
      </c>
      <c r="M12" s="221">
        <f>INDEX('F_Inputs FD'!$B$4:$O$90,MATCH($C12,'F_Inputs FD'!$B$4:$B$90,0),MATCH(M$2,'F_Inputs FD'!$B$2:$N$2,0))</f>
        <v>14.250999999999999</v>
      </c>
      <c r="N12" s="395">
        <f>INDEX('F_Inputs FD'!$B$4:$O$90,MATCH($C12,'F_Inputs FD'!$B$4:$B$90,0),MATCH(N$2,'F_Inputs FD'!$B$2:$N$2,0))</f>
        <v>22.138999999999999</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10.878</v>
      </c>
      <c r="K13" s="221">
        <f>INDEX('F_Inputs FD'!$B$4:$O$90,MATCH($C13,'F_Inputs FD'!$B$4:$B$90,0),MATCH(K$2,'F_Inputs FD'!$B$2:$N$2,0))</f>
        <v>16.831</v>
      </c>
      <c r="L13" s="221">
        <f>INDEX('F_Inputs FD'!$B$4:$O$90,MATCH($C13,'F_Inputs FD'!$B$4:$B$90,0),MATCH(L$2,'F_Inputs FD'!$B$2:$N$2,0))</f>
        <v>18.053000000000001</v>
      </c>
      <c r="M13" s="221">
        <f>INDEX('F_Inputs FD'!$B$4:$O$90,MATCH($C13,'F_Inputs FD'!$B$4:$B$90,0),MATCH(M$2,'F_Inputs FD'!$B$2:$N$2,0))</f>
        <v>12.182</v>
      </c>
      <c r="N13" s="395">
        <f>INDEX('F_Inputs FD'!$B$4:$O$90,MATCH($C13,'F_Inputs FD'!$B$4:$B$90,0),MATCH(N$2,'F_Inputs FD'!$B$2:$N$2,0))</f>
        <v>5.9379999999999997</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2.1970000000000001</v>
      </c>
      <c r="K14" s="221">
        <f>INDEX('F_Inputs FD'!$B$4:$O$90,MATCH($C14,'F_Inputs FD'!$B$4:$B$90,0),MATCH(K$2,'F_Inputs FD'!$B$2:$N$2,0))</f>
        <v>3.2570000000000001</v>
      </c>
      <c r="L14" s="221">
        <f>INDEX('F_Inputs FD'!$B$4:$O$90,MATCH($C14,'F_Inputs FD'!$B$4:$B$90,0),MATCH(L$2,'F_Inputs FD'!$B$2:$N$2,0))</f>
        <v>2.198</v>
      </c>
      <c r="M14" s="221">
        <f>INDEX('F_Inputs FD'!$B$4:$O$90,MATCH($C14,'F_Inputs FD'!$B$4:$B$90,0),MATCH(M$2,'F_Inputs FD'!$B$2:$N$2,0))</f>
        <v>1.8380000000000001</v>
      </c>
      <c r="N14" s="395">
        <f>INDEX('F_Inputs FD'!$B$4:$O$90,MATCH($C14,'F_Inputs FD'!$B$4:$B$90,0),MATCH(N$2,'F_Inputs FD'!$B$2:$N$2,0))</f>
        <v>2.758</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-1.2336934802411399</v>
      </c>
      <c r="K17" s="221">
        <f>INDEX('F_Inputs FD'!$B$4:$O$90,MATCH($C17,'F_Inputs FD'!$B$4:$B$90,0),MATCH(K$2,'F_Inputs FD'!$B$2:$N$2,0))</f>
        <v>-2.0322837964087701</v>
      </c>
      <c r="L17" s="221">
        <f>INDEX('F_Inputs FD'!$B$4:$O$90,MATCH($C17,'F_Inputs FD'!$B$4:$B$90,0),MATCH(L$2,'F_Inputs FD'!$B$2:$N$2,0))</f>
        <v>2.0103855804304902</v>
      </c>
      <c r="M17" s="221">
        <f>INDEX('F_Inputs FD'!$B$4:$O$90,MATCH($C17,'F_Inputs FD'!$B$4:$B$90,0),MATCH(M$2,'F_Inputs FD'!$B$2:$N$2,0))</f>
        <v>2.0006427750176901</v>
      </c>
      <c r="N17" s="395">
        <f>INDEX('F_Inputs FD'!$B$4:$O$90,MATCH($C17,'F_Inputs FD'!$B$4:$B$90,0),MATCH(N$2,'F_Inputs FD'!$B$2:$N$2,0))</f>
        <v>2.4350749212017302</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16.923408944391301</v>
      </c>
      <c r="K30" s="221">
        <f>INDEX('F_Inputs FD'!$B$4:$O$90,MATCH($C30,'F_Inputs FD'!$B$4:$B$90,0),MATCH(K$2,'F_Inputs FD'!$B$2:$N$2,0))</f>
        <v>19.760385971784899</v>
      </c>
      <c r="L30" s="221">
        <f>INDEX('F_Inputs FD'!$B$4:$O$90,MATCH($C30,'F_Inputs FD'!$B$4:$B$90,0),MATCH(L$2,'F_Inputs FD'!$B$2:$N$2,0))</f>
        <v>19.823722925913799</v>
      </c>
      <c r="M30" s="221">
        <f>INDEX('F_Inputs FD'!$B$4:$O$90,MATCH($C30,'F_Inputs FD'!$B$4:$B$90,0),MATCH(M$2,'F_Inputs FD'!$B$2:$N$2,0))</f>
        <v>21.167441797505301</v>
      </c>
      <c r="N30" s="395">
        <f>INDEX('F_Inputs FD'!$B$4:$O$90,MATCH($C30,'F_Inputs FD'!$B$4:$B$90,0),MATCH(N$2,'F_Inputs FD'!$B$2:$N$2,0))</f>
        <v>20.986649173977799</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13.352425777721299</v>
      </c>
      <c r="K31" s="221">
        <f>INDEX('F_Inputs FD'!$B$4:$O$90,MATCH($C31,'F_Inputs FD'!$B$4:$B$90,0),MATCH(K$2,'F_Inputs FD'!$B$2:$N$2,0))</f>
        <v>16.7731250605488</v>
      </c>
      <c r="L31" s="221">
        <f>INDEX('F_Inputs FD'!$B$4:$O$90,MATCH($C31,'F_Inputs FD'!$B$4:$B$90,0),MATCH(L$2,'F_Inputs FD'!$B$2:$N$2,0))</f>
        <v>14.120046151652501</v>
      </c>
      <c r="M31" s="221">
        <f>INDEX('F_Inputs FD'!$B$4:$O$90,MATCH($C31,'F_Inputs FD'!$B$4:$B$90,0),MATCH(M$2,'F_Inputs FD'!$B$2:$N$2,0))</f>
        <v>7.4963418469051302</v>
      </c>
      <c r="N31" s="395">
        <f>INDEX('F_Inputs FD'!$B$4:$O$90,MATCH($C31,'F_Inputs FD'!$B$4:$B$90,0),MATCH(N$2,'F_Inputs FD'!$B$2:$N$2,0))</f>
        <v>5.7951506849097196</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8.8255752976846704</v>
      </c>
      <c r="K32" s="221">
        <f>INDEX('F_Inputs FD'!$B$4:$O$90,MATCH($C32,'F_Inputs FD'!$B$4:$B$90,0),MATCH(K$2,'F_Inputs FD'!$B$2:$N$2,0))</f>
        <v>13.465797331332</v>
      </c>
      <c r="L32" s="221">
        <f>INDEX('F_Inputs FD'!$B$4:$O$90,MATCH($C32,'F_Inputs FD'!$B$4:$B$90,0),MATCH(L$2,'F_Inputs FD'!$B$2:$N$2,0))</f>
        <v>6.6768268320489801</v>
      </c>
      <c r="M32" s="221">
        <f>INDEX('F_Inputs FD'!$B$4:$O$90,MATCH($C32,'F_Inputs FD'!$B$4:$B$90,0),MATCH(M$2,'F_Inputs FD'!$B$2:$N$2,0))</f>
        <v>6.9561178457821802</v>
      </c>
      <c r="N32" s="395">
        <f>INDEX('F_Inputs FD'!$B$4:$O$90,MATCH($C32,'F_Inputs FD'!$B$4:$B$90,0),MATCH(N$2,'F_Inputs FD'!$B$2:$N$2,0))</f>
        <v>2.5018963795191</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8.4580519266306506</v>
      </c>
      <c r="K33" s="221">
        <f>INDEX('F_Inputs FD'!$B$4:$O$90,MATCH($C33,'F_Inputs FD'!$B$4:$B$90,0),MATCH(K$2,'F_Inputs FD'!$B$2:$N$2,0))</f>
        <v>13.8156909705161</v>
      </c>
      <c r="L33" s="221">
        <f>INDEX('F_Inputs FD'!$B$4:$O$90,MATCH($C33,'F_Inputs FD'!$B$4:$B$90,0),MATCH(L$2,'F_Inputs FD'!$B$2:$N$2,0))</f>
        <v>14.1464381782716</v>
      </c>
      <c r="M33" s="221">
        <f>INDEX('F_Inputs FD'!$B$4:$O$90,MATCH($C33,'F_Inputs FD'!$B$4:$B$90,0),MATCH(M$2,'F_Inputs FD'!$B$2:$N$2,0))</f>
        <v>9.87942316127622</v>
      </c>
      <c r="N33" s="395">
        <f>INDEX('F_Inputs FD'!$B$4:$O$90,MATCH($C33,'F_Inputs FD'!$B$4:$B$90,0),MATCH(N$2,'F_Inputs FD'!$B$2:$N$2,0))</f>
        <v>2.5423694084206301</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-1.7254566772867099</v>
      </c>
      <c r="K49" s="221">
        <f>IF(INDEX('F_Inputs FD'!$B$4:$O$90,MATCH($C49,'F_Inputs FD'!$B$4:$B$90,0),MATCH(K$2,'F_Inputs FD'!$B$2:$N$2,0))="","",INDEX('F_Inputs FD'!$B$4:$O$90,MATCH($C49,'F_Inputs FD'!$B$4:$B$90,0),MATCH(K$2,'F_Inputs FD'!$B$2:$N$2,0)))</f>
        <v>-1.7254566772867099</v>
      </c>
      <c r="L49" s="221">
        <f>IF(INDEX('F_Inputs FD'!$B$4:$O$90,MATCH($C49,'F_Inputs FD'!$B$4:$B$90,0),MATCH(L$2,'F_Inputs FD'!$B$2:$N$2,0))="","",INDEX('F_Inputs FD'!$B$4:$O$90,MATCH($C49,'F_Inputs FD'!$B$4:$B$90,0),MATCH(L$2,'F_Inputs FD'!$B$2:$N$2,0)))</f>
        <v>-1.7254566772867099</v>
      </c>
      <c r="M49" s="221">
        <f>IF(INDEX('F_Inputs FD'!$B$4:$O$90,MATCH($C49,'F_Inputs FD'!$B$4:$B$90,0),MATCH(M$2,'F_Inputs FD'!$B$2:$N$2,0))="","",INDEX('F_Inputs FD'!$B$4:$O$90,MATCH($C49,'F_Inputs FD'!$B$4:$B$90,0),MATCH(M$2,'F_Inputs FD'!$B$2:$N$2,0)))</f>
        <v>-1.7254566772867099</v>
      </c>
      <c r="N49" s="395">
        <f>IF(INDEX('F_Inputs FD'!$B$4:$O$90,MATCH($C49,'F_Inputs FD'!$B$4:$B$90,0),MATCH(N$2,'F_Inputs FD'!$B$2:$N$2,0))="","",INDEX('F_Inputs FD'!$B$4:$O$90,MATCH($C49,'F_Inputs FD'!$B$4:$B$90,0),MATCH(N$2,'F_Inputs FD'!$B$2:$N$2,0)))</f>
        <v>-1.7254566772867099</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264.22376567687598</v>
      </c>
      <c r="J54" s="221">
        <f>INDEX('F_Inputs FD'!$B$4:$O$90,MATCH($C54,'F_Inputs FD'!$B$4:$B$90,0),MATCH(J$2,'F_Inputs FD'!$B$2:$N$2,0))</f>
        <v>277.99080734748799</v>
      </c>
      <c r="K54" s="221">
        <f>INDEX('F_Inputs FD'!$B$4:$O$90,MATCH($C54,'F_Inputs FD'!$B$4:$B$90,0),MATCH(K$2,'F_Inputs FD'!$B$2:$N$2,0))</f>
        <v>306.874526251193</v>
      </c>
      <c r="L54" s="221">
        <f>INDEX('F_Inputs FD'!$B$4:$O$90,MATCH($C54,'F_Inputs FD'!$B$4:$B$90,0),MATCH(L$2,'F_Inputs FD'!$B$2:$N$2,0))</f>
        <v>326.25828972856698</v>
      </c>
      <c r="M54" s="221">
        <f>INDEX('F_Inputs FD'!$B$4:$O$90,MATCH($C54,'F_Inputs FD'!$B$4:$B$90,0),MATCH(M$2,'F_Inputs FD'!$B$2:$N$2,0))</f>
        <v>336.70611012907</v>
      </c>
      <c r="N54" s="395">
        <f>INDEX('F_Inputs FD'!$B$4:$O$90,MATCH($C54,'F_Inputs FD'!$B$4:$B$90,0),MATCH(N$2,'F_Inputs FD'!$B$2:$N$2,0))</f>
        <v>334.03593667583601</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4.8500000000000001E-2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5.9700000000000003E-2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9.8149999999999995</v>
      </c>
      <c r="K65" s="221">
        <f>INDEX('F_Inputs FD'!$B$4:$O$90,MATCH($C65,'F_Inputs FD'!$B$4:$B$90,0),MATCH(K$2,'F_Inputs FD'!$B$2:$N$2,0))</f>
        <v>23.376000000000001</v>
      </c>
      <c r="L65" s="221">
        <f>INDEX('F_Inputs FD'!$B$4:$O$90,MATCH($C65,'F_Inputs FD'!$B$4:$B$90,0),MATCH(L$2,'F_Inputs FD'!$B$2:$N$2,0))</f>
        <v>36.125999999999998</v>
      </c>
      <c r="M65" s="221">
        <f>INDEX('F_Inputs FD'!$B$4:$O$90,MATCH($C65,'F_Inputs FD'!$B$4:$B$90,0),MATCH(M$2,'F_Inputs FD'!$B$2:$N$2,0))</f>
        <v>33.591000000000001</v>
      </c>
      <c r="N65" s="395">
        <f>INDEX('F_Inputs FD'!$B$4:$O$90,MATCH($C65,'F_Inputs FD'!$B$4:$B$90,0),MATCH(N$2,'F_Inputs FD'!$B$2:$N$2,0))</f>
        <v>26.256</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5.399</v>
      </c>
      <c r="K66" s="221">
        <f>INDEX('F_Inputs FD'!$B$4:$O$90,MATCH($C66,'F_Inputs FD'!$B$4:$B$90,0),MATCH(K$2,'F_Inputs FD'!$B$2:$N$2,0))</f>
        <v>14.273</v>
      </c>
      <c r="L66" s="221">
        <f>INDEX('F_Inputs FD'!$B$4:$O$90,MATCH($C66,'F_Inputs FD'!$B$4:$B$90,0),MATCH(L$2,'F_Inputs FD'!$B$2:$N$2,0))</f>
        <v>19.132000000000001</v>
      </c>
      <c r="M66" s="221">
        <f>INDEX('F_Inputs FD'!$B$4:$O$90,MATCH($C66,'F_Inputs FD'!$B$4:$B$90,0),MATCH(M$2,'F_Inputs FD'!$B$2:$N$2,0))</f>
        <v>18.521000000000001</v>
      </c>
      <c r="N66" s="395">
        <f>INDEX('F_Inputs FD'!$B$4:$O$90,MATCH($C66,'F_Inputs FD'!$B$4:$B$90,0),MATCH(N$2,'F_Inputs FD'!$B$2:$N$2,0))</f>
        <v>18.385000000000002</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0.57299999999999995</v>
      </c>
      <c r="K67" s="221">
        <f>INDEX('F_Inputs FD'!$B$4:$O$90,MATCH($C67,'F_Inputs FD'!$B$4:$B$90,0),MATCH(K$2,'F_Inputs FD'!$B$2:$N$2,0))</f>
        <v>8.4570000000000007</v>
      </c>
      <c r="L67" s="221">
        <f>INDEX('F_Inputs FD'!$B$4:$O$90,MATCH($C67,'F_Inputs FD'!$B$4:$B$90,0),MATCH(L$2,'F_Inputs FD'!$B$2:$N$2,0))</f>
        <v>14.913</v>
      </c>
      <c r="M67" s="221">
        <f>INDEX('F_Inputs FD'!$B$4:$O$90,MATCH($C67,'F_Inputs FD'!$B$4:$B$90,0),MATCH(M$2,'F_Inputs FD'!$B$2:$N$2,0))</f>
        <v>5.1319999999999997</v>
      </c>
      <c r="N67" s="395">
        <f>INDEX('F_Inputs FD'!$B$4:$O$90,MATCH($C67,'F_Inputs FD'!$B$4:$B$90,0),MATCH(N$2,'F_Inputs FD'!$B$2:$N$2,0))</f>
        <v>-0.248</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4.2670000000000003</v>
      </c>
      <c r="K68" s="221">
        <f>INDEX('F_Inputs FD'!$B$4:$O$90,MATCH($C68,'F_Inputs FD'!$B$4:$B$90,0),MATCH(K$2,'F_Inputs FD'!$B$2:$N$2,0))</f>
        <v>10.212999999999999</v>
      </c>
      <c r="L68" s="221">
        <f>INDEX('F_Inputs FD'!$B$4:$O$90,MATCH($C68,'F_Inputs FD'!$B$4:$B$90,0),MATCH(L$2,'F_Inputs FD'!$B$2:$N$2,0))</f>
        <v>14.378</v>
      </c>
      <c r="M68" s="221">
        <f>INDEX('F_Inputs FD'!$B$4:$O$90,MATCH($C68,'F_Inputs FD'!$B$4:$B$90,0),MATCH(M$2,'F_Inputs FD'!$B$2:$N$2,0))</f>
        <v>14.766</v>
      </c>
      <c r="N68" s="395">
        <f>INDEX('F_Inputs FD'!$B$4:$O$90,MATCH($C68,'F_Inputs FD'!$B$4:$B$90,0),MATCH(N$2,'F_Inputs FD'!$B$2:$N$2,0))</f>
        <v>8.5960000000000001</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258.20287999999999</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117.095825</v>
      </c>
      <c r="N106" s="565">
        <f>INDEX('F_Inputs FD'!$B$4:$O$90,MATCH($C106,'F_Inputs FD'!$B$4:$B$90,0),MATCH(N$2,'F_Inputs FD'!$B$2:$N$2,0))</f>
        <v>120.72579557500001</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3.1E-2</v>
      </c>
      <c r="N107" s="416">
        <f>INDEX('F_Inputs FD'!$B$4:$O$90,MATCH($C107,'F_Inputs FD'!$B$4:$B$90,0),MATCH(N$2,'F_Inputs FD'!$B$2:$N$2,0))</f>
        <v>3.1E-2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215.766666666666</v>
      </c>
      <c r="J111" s="564">
        <f>INDEX('F_Inputs FD'!$B$4:$O$90,MATCH($C111,'F_Inputs FD'!$B$4:$B$90,0),MATCH(J$2,'F_Inputs FD'!$B$2:$N$2,0))</f>
        <v>222.45543333333299</v>
      </c>
      <c r="K111" s="564">
        <f>INDEX('F_Inputs FD'!$B$4:$O$90,MATCH($C111,'F_Inputs FD'!$B$4:$B$90,0),MATCH(K$2,'F_Inputs FD'!$B$2:$N$2,0))</f>
        <v>228.461730033333</v>
      </c>
      <c r="L111" s="564">
        <f>INDEX('F_Inputs FD'!$B$4:$O$90,MATCH($C111,'F_Inputs FD'!$B$4:$B$90,0),MATCH(L$2,'F_Inputs FD'!$B$2:$N$2,0))</f>
        <v>235.087120204299</v>
      </c>
      <c r="M111" s="564">
        <f>INDEX('F_Inputs FD'!$B$4:$O$90,MATCH($C111,'F_Inputs FD'!$B$4:$B$90,0),MATCH(M$2,'F_Inputs FD'!$B$2:$N$2,0))</f>
        <v>242.37482093063301</v>
      </c>
      <c r="N111" s="565">
        <f>INDEX('F_Inputs FD'!$B$4:$O$90,MATCH($C111,'F_Inputs FD'!$B$4:$B$90,0),MATCH(N$2,'F_Inputs FD'!$B$2:$N$2,0))</f>
        <v>249.16131591669</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-2.1499999999999998E-2</v>
      </c>
      <c r="I114" s="355">
        <f>INDEX('F_Inputs FD'!$B$4:$O$90,MATCH($C114,'F_Inputs FD'!$B$4:$B$90,0),MATCH(I$2,'F_Inputs FD'!$B$2:$N$2,0))</f>
        <v>-5.8999999999999997E-2</v>
      </c>
      <c r="J114" s="355">
        <f>INDEX('F_Inputs FD'!$B$4:$O$90,MATCH($C114,'F_Inputs FD'!$B$4:$B$90,0),MATCH(J$2,'F_Inputs FD'!$B$2:$N$2,0))</f>
        <v>3.85E-2</v>
      </c>
      <c r="K114" s="355">
        <f>INDEX('F_Inputs FD'!$B$4:$O$90,MATCH($C114,'F_Inputs FD'!$B$4:$B$90,0),MATCH(K$2,'F_Inputs FD'!$B$2:$N$2,0))</f>
        <v>3.4500000000000003E-2</v>
      </c>
      <c r="L114" s="355">
        <f>INDEX('F_Inputs FD'!$B$4:$O$90,MATCH($C114,'F_Inputs FD'!$B$4:$B$90,0),MATCH(L$2,'F_Inputs FD'!$B$2:$N$2,0))</f>
        <v>3.6499999999999998E-2</v>
      </c>
      <c r="M114" s="355">
        <f>INDEX('F_Inputs FD'!$B$4:$O$90,MATCH($C114,'F_Inputs FD'!$B$4:$B$90,0),MATCH(M$2,'F_Inputs FD'!$B$2:$N$2,0))</f>
        <v>3.85E-2</v>
      </c>
      <c r="N114" s="416">
        <f>INDEX('F_Inputs FD'!$B$4:$O$90,MATCH($C114,'F_Inputs FD'!$B$4:$B$90,0),MATCH(N$2,'F_Inputs FD'!$B$2:$N$2,0))</f>
        <v>3.5499999999999997E-2</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258.20287999999999</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2.5700000000001388E-2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0.80785956634824141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117.095825</v>
      </c>
      <c r="N17" s="375">
        <f>IF('Input FD'!N106=0,M17*(1+'Input FD'!N107),'Input FD'!N106)</f>
        <v>120.72579557500001</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1.0520738993710692</v>
      </c>
      <c r="N18" s="377">
        <f t="shared" si="4"/>
        <v>1.0846881902515724</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87.17711127899004</v>
      </c>
      <c r="N20" s="375">
        <f>((N17/'Input FD'!$G$117)/(N13/'Input FD'!$G$116))*100</f>
        <v>87.62757309996941</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0.87177111278990038</v>
      </c>
      <c r="N21" s="377">
        <f t="shared" si="5"/>
        <v>0.87627573099969414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4.5782571583752318E-3</v>
      </c>
      <c r="J25" s="359">
        <f>IF(J$5=1,0,'Input FD'!J111/'Input FD'!I111-1)</f>
        <v>3.1000000000001693E-2</v>
      </c>
      <c r="K25" s="359">
        <f>IF(K$5=1,0,'Input FD'!K111/'Input FD'!J111-1)</f>
        <v>2.7000000000000135E-2</v>
      </c>
      <c r="L25" s="359">
        <f>IF(L$5=1,0,'Input FD'!L111/'Input FD'!K111-1)</f>
        <v>2.8999999999997028E-2</v>
      </c>
      <c r="M25" s="359">
        <f>IF(M$5=1,0,'Input FD'!M111/'Input FD'!L111-1)</f>
        <v>3.1000000000003247E-2</v>
      </c>
      <c r="N25" s="376">
        <f>IF(N$5=1,0,'Input FD'!N111/'Input FD'!M111-1)</f>
        <v>2.7999999999996916E-2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0.96674648540089592</v>
      </c>
      <c r="J26" s="144">
        <f>'Input FD'!$G$111/'Input FD'!J111</f>
        <v>0.93767845334713329</v>
      </c>
      <c r="K26" s="144">
        <f>'Input FD'!$G$111/'Input FD'!K111</f>
        <v>0.91302673159409264</v>
      </c>
      <c r="L26" s="144">
        <f>'Input FD'!$G$111/'Input FD'!L111</f>
        <v>0.88729517161719651</v>
      </c>
      <c r="M26" s="144">
        <f>'Input FD'!$G$111/'Input FD'!M111</f>
        <v>0.86061607334354395</v>
      </c>
      <c r="N26" s="377">
        <f>'Input FD'!$G$111/'Input FD'!N111</f>
        <v>0.83717516862212693</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108.90705</v>
      </c>
      <c r="I28" s="134">
        <f>IF('Input FD'!I113=0,H28*(1+'Input FD'!I114),'Input FD'!I113)</f>
        <v>102.48153405000001</v>
      </c>
      <c r="J28" s="135">
        <f>IF('Input FD'!J113=0,I28*(1+'Input FD'!J114),'Input FD'!J113)</f>
        <v>106.42707311092501</v>
      </c>
      <c r="K28" s="135">
        <f>IF('Input FD'!K113=0,J28*(1+'Input FD'!K114),'Input FD'!K113)</f>
        <v>110.09880713325192</v>
      </c>
      <c r="L28" s="135">
        <f>IF('Input FD'!L113=0,K28*(1+'Input FD'!L114),'Input FD'!L113)</f>
        <v>114.11741359361562</v>
      </c>
      <c r="M28" s="135">
        <f>IF('Input FD'!M113=0,L28*(1+'Input FD'!M114),'Input FD'!M113)</f>
        <v>118.51093401696983</v>
      </c>
      <c r="N28" s="375">
        <f>IF('Input FD'!N113=0,M28*(1+'Input FD'!N114),'Input FD'!N113)</f>
        <v>122.71807217457227</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0.97850000000000004</v>
      </c>
      <c r="I29" s="143">
        <f>IF(OR(I$5&lt;4,'Input FD'!$O$152=0),I28/$G$28,H29*(1+('Input FD'!I$111/'Input FD'!H$111-1)))</f>
        <v>0.9207685000000001</v>
      </c>
      <c r="J29" s="152">
        <f>IF(OR(J$5&lt;4,'Input FD'!$O$152=0),J28/$G$28,I29*(1+('Input FD'!J$111/'Input FD'!I$111-1)))</f>
        <v>0.95621808725000013</v>
      </c>
      <c r="K29" s="152">
        <f>IF(OR(K$5&lt;4,'Input FD'!$O$152=0),K28/$G$28,J29*(1+('Input FD'!K$111/'Input FD'!J$111-1)))</f>
        <v>0.98920761126012513</v>
      </c>
      <c r="L29" s="152">
        <f>IF(OR(L$5&lt;4,'Input FD'!$O$152=0),L28/$G$28,K29*(1+('Input FD'!L$111/'Input FD'!K$111-1)))</f>
        <v>1.0253136890711196</v>
      </c>
      <c r="M29" s="152">
        <f>IF(OR(M$5&lt;4,'Input FD'!$O$152=0),M28/$G$28,L29*(1+('Input FD'!M$111/'Input FD'!L$111-1)))</f>
        <v>1.0647882661003578</v>
      </c>
      <c r="N29" s="379">
        <f>IF(OR(N$5&lt;4,'Input FD'!$O$152=0),N28/$G$28,M29*(1+('Input FD'!N$111/'Input FD'!M$111-1)))</f>
        <v>1.1025882495469208</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95.029229068053382</v>
      </c>
      <c r="I31" s="134">
        <f>IF(OR(I$5&lt;4,'Input FD'!$O$152=0),((I28/'Input FD'!$G$117)/('Input FD'!I111/'Input FD'!$G$116))*100,H31)</f>
        <v>89.014971124285907</v>
      </c>
      <c r="J31" s="135">
        <f>IF(OR(J$5&lt;4,'Input FD'!$O$152=0),((J28/'Input FD'!$G$117)/('Input FD'!J111/'Input FD'!$G$116))*100,I31)</f>
        <v>89.662509711513849</v>
      </c>
      <c r="K31" s="135">
        <f>IF(OR(K$5&lt;4,'Input FD'!$O$152=0),((K28/'Input FD'!$G$117)/('Input FD'!K111/'Input FD'!$G$116))*100,J31)</f>
        <v>90.317299217683626</v>
      </c>
      <c r="L31" s="135">
        <f>IF(OR(L$5&lt;4,'Input FD'!$O$152=0),((L28/'Input FD'!$G$117)/('Input FD'!L111/'Input FD'!$G$116))*100,K31)</f>
        <v>90.975588570582445</v>
      </c>
      <c r="M31" s="135">
        <f>IF(OR(M$5&lt;4,'Input FD'!$O$152=0),((M28/'Input FD'!$G$117)/('Input FD'!M111/'Input FD'!$G$116))*100,L31)</f>
        <v>91.637389651357509</v>
      </c>
      <c r="N31" s="375">
        <f>IF(OR(N$5&lt;4,'Input FD'!$O$152=0),((N28/'Input FD'!$G$117)/('Input FD'!N111/'Input FD'!$G$116))*100,M31)</f>
        <v>92.305950373522379</v>
      </c>
      <c r="O31" s="361"/>
      <c r="P31" s="150"/>
      <c r="Q31" s="131"/>
      <c r="R31" s="137" t="s">
        <v>75</v>
      </c>
    </row>
    <row r="32" spans="1:18" s="138" customFormat="1">
      <c r="C32" s="139"/>
      <c r="D32" s="140" t="s">
        <v>58</v>
      </c>
      <c r="E32" s="141" t="s">
        <v>395</v>
      </c>
      <c r="F32" s="131"/>
      <c r="G32" s="143">
        <f>G31/$G$31</f>
        <v>1</v>
      </c>
      <c r="H32" s="143">
        <f t="shared" ref="H32:N32" si="6">H31/$G$31</f>
        <v>0.95029229068052923</v>
      </c>
      <c r="I32" s="143">
        <f t="shared" si="6"/>
        <v>0.8901497112428548</v>
      </c>
      <c r="J32" s="152">
        <f>J31/$G$31</f>
        <v>0.89662509711513416</v>
      </c>
      <c r="K32" s="152">
        <f t="shared" si="6"/>
        <v>0.90317299217683189</v>
      </c>
      <c r="L32" s="152">
        <f t="shared" si="6"/>
        <v>0.90975588570582011</v>
      </c>
      <c r="M32" s="152">
        <f t="shared" si="6"/>
        <v>0.91637389651357071</v>
      </c>
      <c r="N32" s="379">
        <f t="shared" si="6"/>
        <v>0.92305950373521928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18.104646099500236</v>
      </c>
      <c r="K39" s="156">
        <f>IF(OR(K$5&lt;4,K$5&gt;8),'Input FD'!K30,'Input FD'!K30*$G$95/100)</f>
        <v>21.139641308925558</v>
      </c>
      <c r="L39" s="156">
        <f>IF(OR(L$5&lt;4,L$5&gt;8),'Input FD'!L30,'Input FD'!L30*$G$95/100)</f>
        <v>21.20739911961795</v>
      </c>
      <c r="M39" s="156">
        <f>IF(OR(M$5&lt;4,M$5&gt;8),'Input FD'!M30,'Input FD'!M30*$G$95/100)</f>
        <v>22.644908235383099</v>
      </c>
      <c r="N39" s="365">
        <f>IF(OR(N$5&lt;4,N$5&gt;8),'Input FD'!N30,'Input FD'!N30*$G$95/100)</f>
        <v>22.451496466092348</v>
      </c>
      <c r="O39" s="157"/>
      <c r="P39" s="158"/>
      <c r="Q39" s="148"/>
      <c r="R39" s="147" t="s">
        <v>242</v>
      </c>
    </row>
    <row r="40" spans="1:23" s="37" customFormat="1">
      <c r="C40" s="131"/>
      <c r="D40" s="153" t="s">
        <v>57</v>
      </c>
      <c r="E40" s="154" t="s">
        <v>61</v>
      </c>
      <c r="F40" s="155"/>
      <c r="G40" s="148"/>
      <c r="H40" s="148"/>
      <c r="I40" s="148"/>
      <c r="J40" s="156">
        <f>IF(OR(J$5&lt;4,J$5&gt;8),'Input FD'!J31,'Input FD'!J31*$G$95/100)</f>
        <v>14.284411850462625</v>
      </c>
      <c r="K40" s="156">
        <f>IF(OR(K$5&lt;4,K$5&gt;8),'Input FD'!K31,'Input FD'!K31*$G$95/100)</f>
        <v>17.943872549657687</v>
      </c>
      <c r="L40" s="156">
        <f>IF(OR(L$5&lt;4,L$5&gt;8),'Input FD'!L31,'Input FD'!L31*$G$95/100)</f>
        <v>15.105611364960932</v>
      </c>
      <c r="M40" s="156">
        <f>IF(OR(M$5&lt;4,M$5&gt;8),'Input FD'!M31,'Input FD'!M31*$G$95/100)</f>
        <v>8.0195790709218038</v>
      </c>
      <c r="N40" s="365">
        <f>IF(OR(N$5&lt;4,N$5&gt;8),'Input FD'!N31,'Input FD'!N31*$G$95/100)</f>
        <v>6.1996464535201588</v>
      </c>
      <c r="O40" s="157"/>
      <c r="P40" s="158"/>
      <c r="Q40" s="148"/>
      <c r="R40" s="147" t="s">
        <v>242</v>
      </c>
    </row>
    <row r="41" spans="1:23" s="37" customFormat="1">
      <c r="C41" s="131"/>
      <c r="D41" s="153" t="s">
        <v>57</v>
      </c>
      <c r="E41" s="154" t="s">
        <v>63</v>
      </c>
      <c r="F41" s="155"/>
      <c r="G41" s="148"/>
      <c r="H41" s="148"/>
      <c r="I41" s="148"/>
      <c r="J41" s="156">
        <f>IF(OR(J$5&lt;4,J$5&gt;8),'Input FD'!J32,'Input FD'!J32*$G$95/100)</f>
        <v>9.4415916978728713</v>
      </c>
      <c r="K41" s="156">
        <f>IF(OR(K$5&lt;4,K$5&gt;8),'Input FD'!K32,'Input FD'!K32*$G$95/100)</f>
        <v>14.405696626042817</v>
      </c>
      <c r="L41" s="156">
        <f>IF(OR(L$5&lt;4,L$5&gt;8),'Input FD'!L32,'Input FD'!L32*$G$95/100)</f>
        <v>7.1428627210451143</v>
      </c>
      <c r="M41" s="156">
        <f>IF(OR(M$5&lt;4,M$5&gt;8),'Input FD'!M32,'Input FD'!M32*$G$95/100)</f>
        <v>7.4416479704606013</v>
      </c>
      <c r="N41" s="365">
        <f>IF(OR(N$5&lt;4,N$5&gt;8),'Input FD'!N32,'Input FD'!N32*$G$95/100)</f>
        <v>2.6765262647527091</v>
      </c>
      <c r="O41" s="157"/>
      <c r="P41" s="158"/>
      <c r="Q41" s="148"/>
      <c r="R41" s="147" t="s">
        <v>242</v>
      </c>
    </row>
    <row r="42" spans="1:23" s="37" customFormat="1">
      <c r="C42" s="131"/>
      <c r="D42" s="153" t="s">
        <v>57</v>
      </c>
      <c r="E42" s="154" t="s">
        <v>62</v>
      </c>
      <c r="F42" s="155"/>
      <c r="G42" s="148"/>
      <c r="H42" s="148"/>
      <c r="I42" s="148"/>
      <c r="J42" s="156">
        <f>IF(OR(J$5&lt;4,J$5&gt;8),'Input FD'!J33,'Input FD'!J33*$G$95/100)</f>
        <v>9.0484155601282605</v>
      </c>
      <c r="K42" s="156">
        <f>IF(OR(K$5&lt;4,K$5&gt;8),'Input FD'!K33,'Input FD'!K33*$G$95/100)</f>
        <v>14.780012494122914</v>
      </c>
      <c r="L42" s="156">
        <f>IF(OR(L$5&lt;4,L$5&gt;8),'Input FD'!L33,'Input FD'!L33*$G$95/100)</f>
        <v>15.133845528855302</v>
      </c>
      <c r="M42" s="156">
        <f>IF(OR(M$5&lt;4,M$5&gt;8),'Input FD'!M33,'Input FD'!M33*$G$95/100)</f>
        <v>10.568997096852057</v>
      </c>
      <c r="N42" s="365">
        <f>IF(OR(N$5&lt;4,N$5&gt;8),'Input FD'!N33,'Input FD'!N33*$G$95/100)</f>
        <v>2.7198242709194802</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56.454693480241133</v>
      </c>
      <c r="K55" s="156">
        <f>SUM('Input FD'!K10:K13)-'Input FD'!K14-'Input FD'!K17+'Input FD'!K15+'Input FD'!K16</f>
        <v>76.550283796408777</v>
      </c>
      <c r="L55" s="156">
        <f>SUM('Input FD'!L10:L13)-'Input FD'!L14-'Input FD'!L17+'Input FD'!L15+'Input FD'!L16</f>
        <v>65.645614419569512</v>
      </c>
      <c r="M55" s="156">
        <f>SUM('Input FD'!M10:M13)-'Input FD'!M14-'Input FD'!M17+'Input FD'!M15+'Input FD'!M16</f>
        <v>57.468357224982313</v>
      </c>
      <c r="N55" s="365">
        <f>SUM('Input FD'!N10:N13)-'Input FD'!N14-'Input FD'!N17+'Input FD'!N15+'Input FD'!N16</f>
        <v>55.322925078798271</v>
      </c>
      <c r="O55" s="157"/>
      <c r="P55" s="158"/>
      <c r="Q55" s="148"/>
      <c r="R55" s="147" t="s">
        <v>242</v>
      </c>
    </row>
    <row r="56" spans="1:18" s="37" customFormat="1">
      <c r="C56" s="131"/>
      <c r="D56" s="153" t="s">
        <v>57</v>
      </c>
      <c r="E56" s="154" t="s">
        <v>114</v>
      </c>
      <c r="F56" s="155"/>
      <c r="G56" s="148"/>
      <c r="H56" s="148"/>
      <c r="I56" s="148"/>
      <c r="J56" s="156">
        <f>SUM('Input FD'!J30:J35)</f>
        <v>47.559461946427923</v>
      </c>
      <c r="K56" s="156">
        <f>SUM('Input FD'!K30:K35)</f>
        <v>63.814999334181799</v>
      </c>
      <c r="L56" s="156">
        <f>SUM('Input FD'!L30:L35)</f>
        <v>54.767034087886884</v>
      </c>
      <c r="M56" s="156">
        <f>SUM('Input FD'!M30:M35)</f>
        <v>45.499324651468832</v>
      </c>
      <c r="N56" s="365">
        <f>SUM('Input FD'!N30:N35)</f>
        <v>31.826065646827246</v>
      </c>
      <c r="O56" s="157"/>
      <c r="P56" s="158"/>
      <c r="Q56" s="148"/>
      <c r="R56" s="147" t="s">
        <v>242</v>
      </c>
    </row>
    <row r="57" spans="1:18" s="37" customFormat="1">
      <c r="C57" s="131"/>
      <c r="D57" s="153" t="s">
        <v>57</v>
      </c>
      <c r="E57" s="154" t="s">
        <v>115</v>
      </c>
      <c r="F57" s="155"/>
      <c r="G57" s="148"/>
      <c r="H57" s="148"/>
      <c r="I57" s="148"/>
      <c r="J57" s="156">
        <f>SUM(J39:J44)</f>
        <v>50.879065207963997</v>
      </c>
      <c r="K57" s="156">
        <f t="shared" ref="K57:N57" si="7">SUM(K39:K44)</f>
        <v>68.269222978748985</v>
      </c>
      <c r="L57" s="156">
        <f t="shared" si="7"/>
        <v>58.589718734479298</v>
      </c>
      <c r="M57" s="156">
        <f t="shared" si="7"/>
        <v>48.675132373617565</v>
      </c>
      <c r="N57" s="365">
        <f t="shared" si="7"/>
        <v>34.047493455284695</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56.454693480241133</v>
      </c>
      <c r="K62" s="156">
        <f t="shared" ref="K62:N62" si="8">K55+K59</f>
        <v>76.550283796408777</v>
      </c>
      <c r="L62" s="156">
        <f t="shared" si="8"/>
        <v>65.645614419569512</v>
      </c>
      <c r="M62" s="156">
        <f t="shared" si="8"/>
        <v>57.468357224982313</v>
      </c>
      <c r="N62" s="365">
        <f t="shared" si="8"/>
        <v>55.322925078798271</v>
      </c>
      <c r="O62" s="157"/>
      <c r="P62" s="158"/>
      <c r="Q62" s="148"/>
      <c r="R62" s="147" t="s">
        <v>242</v>
      </c>
    </row>
    <row r="63" spans="1:18" s="37" customFormat="1">
      <c r="C63" s="131"/>
      <c r="D63" s="153" t="s">
        <v>57</v>
      </c>
      <c r="E63" s="154" t="s">
        <v>182</v>
      </c>
      <c r="F63" s="155"/>
      <c r="G63" s="148"/>
      <c r="H63" s="148"/>
      <c r="I63" s="148"/>
      <c r="J63" s="156">
        <f>J56+J60</f>
        <v>47.559461946427923</v>
      </c>
      <c r="K63" s="156">
        <f t="shared" ref="K63:N63" si="9">K56+K60</f>
        <v>63.814999334181799</v>
      </c>
      <c r="L63" s="156">
        <f t="shared" si="9"/>
        <v>54.767034087886884</v>
      </c>
      <c r="M63" s="156">
        <f t="shared" si="9"/>
        <v>45.499324651468832</v>
      </c>
      <c r="N63" s="365">
        <f t="shared" si="9"/>
        <v>31.826065646827246</v>
      </c>
      <c r="O63" s="157"/>
      <c r="P63" s="158"/>
      <c r="Q63" s="148"/>
      <c r="R63" s="147" t="s">
        <v>242</v>
      </c>
    </row>
    <row r="64" spans="1:18" s="37" customFormat="1">
      <c r="C64" s="131"/>
      <c r="D64" s="153" t="s">
        <v>57</v>
      </c>
      <c r="E64" s="154" t="s">
        <v>250</v>
      </c>
      <c r="F64" s="155"/>
      <c r="G64" s="148"/>
      <c r="H64" s="148"/>
      <c r="I64" s="148"/>
      <c r="J64" s="156">
        <f>J63*$G$107/100</f>
        <v>50.879065207963997</v>
      </c>
      <c r="K64" s="156">
        <f t="shared" ref="K64:N64" si="10">K63*$G$107/100</f>
        <v>68.269222978748971</v>
      </c>
      <c r="L64" s="156">
        <f t="shared" si="10"/>
        <v>58.589718734479305</v>
      </c>
      <c r="M64" s="156">
        <f t="shared" si="10"/>
        <v>48.675132373617565</v>
      </c>
      <c r="N64" s="365">
        <f t="shared" si="10"/>
        <v>34.047493455284695</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50.163144438902997</v>
      </c>
      <c r="K79" s="156">
        <f t="shared" ref="K79:N79" si="14">K62*K$21</f>
        <v>66.46145440261337</v>
      </c>
      <c r="L79" s="156">
        <f t="shared" si="14"/>
        <v>57.108487196254245</v>
      </c>
      <c r="M79" s="156">
        <f t="shared" si="14"/>
        <v>50.099253728230345</v>
      </c>
      <c r="N79" s="365">
        <f t="shared" si="14"/>
        <v>48.478136614465264</v>
      </c>
      <c r="P79" s="136"/>
      <c r="Q79" s="131"/>
      <c r="R79" s="147" t="s">
        <v>242</v>
      </c>
    </row>
    <row r="80" spans="1:18" s="37" customFormat="1">
      <c r="C80" s="131"/>
      <c r="D80" s="153" t="s">
        <v>57</v>
      </c>
      <c r="E80" s="132" t="s">
        <v>317</v>
      </c>
      <c r="F80" s="161"/>
      <c r="G80" s="162"/>
      <c r="H80" s="162"/>
      <c r="I80" s="163"/>
      <c r="J80" s="156">
        <f>J63*J$21</f>
        <v>42.259235007451935</v>
      </c>
      <c r="K80" s="156">
        <f t="shared" ref="K80:N80" si="15">K63*K$21</f>
        <v>55.404597581001994</v>
      </c>
      <c r="L80" s="156">
        <f t="shared" si="15"/>
        <v>47.644652162057085</v>
      </c>
      <c r="M80" s="156">
        <f t="shared" si="15"/>
        <v>39.66499688259993</v>
      </c>
      <c r="N80" s="365">
        <f t="shared" si="15"/>
        <v>27.888408939517799</v>
      </c>
      <c r="P80" s="136"/>
      <c r="Q80" s="131"/>
      <c r="R80" s="147" t="s">
        <v>242</v>
      </c>
    </row>
    <row r="81" spans="1:18" s="37" customFormat="1">
      <c r="C81" s="131"/>
      <c r="D81" s="153" t="s">
        <v>57</v>
      </c>
      <c r="E81" s="132" t="s">
        <v>318</v>
      </c>
      <c r="F81" s="161"/>
      <c r="G81" s="162"/>
      <c r="H81" s="162"/>
      <c r="I81" s="163"/>
      <c r="J81" s="156">
        <f>J64*J$21</f>
        <v>45.208887686844648</v>
      </c>
      <c r="K81" s="156">
        <f t="shared" ref="K81:N81" si="16">K64*K$21</f>
        <v>59.271783526906113</v>
      </c>
      <c r="L81" s="156">
        <f t="shared" si="16"/>
        <v>50.970201616129394</v>
      </c>
      <c r="M81" s="156">
        <f t="shared" si="16"/>
        <v>42.433574314544288</v>
      </c>
      <c r="N81" s="365">
        <f t="shared" si="16"/>
        <v>29.834992216236898</v>
      </c>
      <c r="P81" s="136"/>
      <c r="Q81" s="131"/>
      <c r="R81" s="147" t="s">
        <v>242</v>
      </c>
    </row>
    <row r="82" spans="1:18" s="37" customFormat="1">
      <c r="C82" s="131"/>
      <c r="D82" s="153" t="s">
        <v>57</v>
      </c>
      <c r="E82" s="132" t="s">
        <v>110</v>
      </c>
      <c r="F82" s="164"/>
      <c r="G82" s="164"/>
      <c r="H82" s="164"/>
      <c r="I82" s="164"/>
      <c r="J82" s="156">
        <f>SUM('Input FD'!J65:J70)*J$15</f>
        <v>18.470459359016843</v>
      </c>
      <c r="K82" s="156">
        <f>SUM('Input FD'!K65:K70)*K$15</f>
        <v>49.496888767950573</v>
      </c>
      <c r="L82" s="156">
        <f>SUM('Input FD'!L65:L70)*L$15</f>
        <v>72.080175028098608</v>
      </c>
      <c r="M82" s="156">
        <f>SUM('Input FD'!M65:M70)*M$15</f>
        <v>59.669038334216282</v>
      </c>
      <c r="N82" s="365">
        <f>SUM('Input FD'!N65:N70)*N$15</f>
        <v>42.807670561226971</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127.91960317192274</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106.97990079298069</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0.16040198414038631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-3.0683505394912558</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127.91960317192274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106.97990079298069</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0.16040198414038631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113.93501739465182</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-4.1839650423270474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-8.9060670899952399</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-1.7254566772867099</v>
      </c>
      <c r="K127" s="156">
        <f>IF('Input FD'!K49&lt;&gt;"",'Input FD'!K49,K56*$G$97/100)</f>
        <v>-1.7254566772867099</v>
      </c>
      <c r="L127" s="156">
        <f>IF('Input FD'!L49&lt;&gt;"",'Input FD'!L49,L56*$G$97/100)</f>
        <v>-1.7254566772867099</v>
      </c>
      <c r="M127" s="156">
        <f>IF('Input FD'!M49&lt;&gt;"",'Input FD'!M49,M56*$G$97/100)</f>
        <v>-1.7254566772867099</v>
      </c>
      <c r="N127" s="365">
        <f>IF('Input FD'!N49&lt;&gt;"",'Input FD'!N49,N56*$G$97/100)</f>
        <v>-1.7254566772867099</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-0.27878370356168958</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48.65148241422736</v>
      </c>
      <c r="K138" s="156">
        <f>(K57+'Input FD'!K83)*K$29</f>
        <v>67.532434985393124</v>
      </c>
      <c r="L138" s="156">
        <f>(L57+'Input FD'!L83)*L$29</f>
        <v>60.072840657288261</v>
      </c>
      <c r="M138" s="156">
        <f>(M57+'Input FD'!M83)*M$29</f>
        <v>51.828709802309639</v>
      </c>
      <c r="N138" s="365">
        <f>(N57+'Input FD'!N83)*N$29</f>
        <v>37.540366210322595</v>
      </c>
      <c r="O138" s="109"/>
      <c r="P138" s="136"/>
      <c r="Q138" s="104"/>
      <c r="R138" s="147" t="s">
        <v>87</v>
      </c>
    </row>
    <row r="139" spans="1:18" s="37" customFormat="1">
      <c r="C139" s="131"/>
      <c r="D139" s="131" t="s">
        <v>57</v>
      </c>
      <c r="E139" s="132" t="s">
        <v>110</v>
      </c>
      <c r="F139" s="131"/>
      <c r="G139" s="131"/>
      <c r="H139" s="182"/>
      <c r="I139" s="148"/>
      <c r="J139" s="156">
        <f>SUM('Input FD'!J65:J70)</f>
        <v>20.053999999999998</v>
      </c>
      <c r="K139" s="156">
        <f>SUM('Input FD'!K65:K70)</f>
        <v>56.319000000000003</v>
      </c>
      <c r="L139" s="156">
        <f>SUM('Input FD'!L65:L70)</f>
        <v>84.548999999999992</v>
      </c>
      <c r="M139" s="156">
        <f>SUM('Input FD'!M65:M70)</f>
        <v>72.010000000000005</v>
      </c>
      <c r="N139" s="365">
        <f>SUM('Input FD'!N65:N70)</f>
        <v>52.989000000000004</v>
      </c>
      <c r="P139" s="136"/>
      <c r="Q139" s="131"/>
      <c r="R139" s="147" t="s">
        <v>87</v>
      </c>
    </row>
    <row r="140" spans="1:18" s="37" customFormat="1">
      <c r="C140" s="131"/>
      <c r="D140" s="131" t="s">
        <v>57</v>
      </c>
      <c r="E140" s="132" t="s">
        <v>192</v>
      </c>
      <c r="F140" s="131"/>
      <c r="G140" s="131"/>
      <c r="H140" s="131"/>
      <c r="I140" s="181"/>
      <c r="J140" s="205">
        <f>(J139-J138)*J$15</f>
        <v>-26.339315682765804</v>
      </c>
      <c r="K140" s="205">
        <f>(K139-K138)*K$15</f>
        <v>-9.8551136237974539</v>
      </c>
      <c r="L140" s="205">
        <f>(L139-L138)*L$15</f>
        <v>20.866548976786156</v>
      </c>
      <c r="M140" s="205">
        <f>(M139-M138)*M$15</f>
        <v>16.722652109983748</v>
      </c>
      <c r="N140" s="675">
        <f>(N139-N138)*N$15</f>
        <v>12.48032659400158</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264.22376567687598</v>
      </c>
      <c r="J148" s="156">
        <f>'Input FD'!J$54</f>
        <v>277.99080734748799</v>
      </c>
      <c r="K148" s="156">
        <f>'Input FD'!K$54</f>
        <v>306.874526251193</v>
      </c>
      <c r="L148" s="156">
        <f>'Input FD'!L$54</f>
        <v>326.25828972856698</v>
      </c>
      <c r="M148" s="156">
        <f>'Input FD'!M$54</f>
        <v>336.70611012907</v>
      </c>
      <c r="N148" s="365">
        <f>'Input FD'!N$54</f>
        <v>334.03593667583601</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13.875098374208227</v>
      </c>
      <c r="Q149" s="161"/>
      <c r="R149" s="147" t="s">
        <v>242</v>
      </c>
    </row>
    <row r="150" spans="1:24" s="37" customFormat="1">
      <c r="A150" s="109"/>
      <c r="B150" s="109"/>
      <c r="C150" s="104"/>
      <c r="D150" s="104" t="s">
        <v>57</v>
      </c>
      <c r="E150" s="177" t="s">
        <v>386</v>
      </c>
      <c r="F150" s="131"/>
      <c r="G150" s="104"/>
      <c r="H150" s="104"/>
      <c r="I150" s="205"/>
      <c r="J150" s="156">
        <f>IF(J5=8,J148+$P$149,J148)</f>
        <v>277.99080734748799</v>
      </c>
      <c r="K150" s="156">
        <f>IF(K5=8,K148+$P$149,K148)</f>
        <v>306.874526251193</v>
      </c>
      <c r="L150" s="156">
        <f>IF(L5=8,L148+$P$149,L148)</f>
        <v>326.25828972856698</v>
      </c>
      <c r="M150" s="156">
        <f>IF(M5=8,M148+$P$149,M148)</f>
        <v>336.70611012907</v>
      </c>
      <c r="N150" s="365">
        <f>IF(N5=8,N148+$P$149,N148)</f>
        <v>347.91103505004423</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45.619446783217967</v>
      </c>
      <c r="L161" s="360">
        <f t="shared" si="21"/>
        <v>107.27836517452201</v>
      </c>
      <c r="M161" s="360">
        <f t="shared" si="21"/>
        <v>160.58070663506311</v>
      </c>
      <c r="N161" s="363">
        <f t="shared" si="21"/>
        <v>205.18532735158888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45.619446783217967</v>
      </c>
      <c r="K162" s="360">
        <f t="shared" ref="K162:N162" si="22">K161+K138*K$26</f>
        <v>107.27836517452201</v>
      </c>
      <c r="L162" s="360">
        <f t="shared" si="22"/>
        <v>160.58070663506311</v>
      </c>
      <c r="M162" s="360">
        <f t="shared" si="22"/>
        <v>205.18532735158888</v>
      </c>
      <c r="N162" s="363">
        <f t="shared" si="22"/>
        <v>236.61318976385209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22.809723391608983</v>
      </c>
      <c r="K163" s="360">
        <f t="shared" ref="K163:N163" si="23">(K162+K161)/2</f>
        <v>76.448905978869988</v>
      </c>
      <c r="L163" s="360">
        <f t="shared" si="23"/>
        <v>133.92953590479254</v>
      </c>
      <c r="M163" s="360">
        <f t="shared" si="23"/>
        <v>182.88301699332601</v>
      </c>
      <c r="N163" s="363">
        <f t="shared" si="23"/>
        <v>220.89925855772049</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18.470459359016843</v>
      </c>
      <c r="L171" s="360">
        <f t="shared" si="30"/>
        <v>67.967348126967408</v>
      </c>
      <c r="M171" s="360">
        <f t="shared" si="30"/>
        <v>140.04752315506602</v>
      </c>
      <c r="N171" s="363">
        <f t="shared" si="30"/>
        <v>199.7165614892823</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18.470459359016843</v>
      </c>
      <c r="K172" s="360">
        <f t="shared" ref="K172:N172" si="31">K171+K139*K$15</f>
        <v>67.967348126967408</v>
      </c>
      <c r="L172" s="360">
        <f t="shared" si="31"/>
        <v>140.04752315506602</v>
      </c>
      <c r="M172" s="360">
        <f t="shared" si="31"/>
        <v>199.7165614892823</v>
      </c>
      <c r="N172" s="363">
        <f t="shared" si="31"/>
        <v>242.52423205050928</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9.2352296795084214</v>
      </c>
      <c r="K173" s="360">
        <f t="shared" ref="K173" si="32">(K172+K171)/2</f>
        <v>43.218903742992126</v>
      </c>
      <c r="L173" s="360">
        <f t="shared" ref="L173" si="33">(L172+L171)/2</f>
        <v>104.00743564101671</v>
      </c>
      <c r="M173" s="360">
        <f t="shared" ref="M173" si="34">(M172+M171)/2</f>
        <v>169.88204232217416</v>
      </c>
      <c r="N173" s="363">
        <f t="shared" ref="N173" si="35">(N172+N171)/2</f>
        <v>221.12039676989579</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-27.148987424201124</v>
      </c>
      <c r="K181" s="156">
        <f>(K$139*K$15)-(K$138*K$26)</f>
        <v>-12.162029623353469</v>
      </c>
      <c r="L181" s="156">
        <f>(L$139*L$15)-(L$138*L$26)</f>
        <v>18.777833567557522</v>
      </c>
      <c r="M181" s="156">
        <f>(M$139*M$15)-(M$138*M$26)</f>
        <v>15.064417617690516</v>
      </c>
      <c r="N181" s="365">
        <f>(N$139*N$15)-(N$138*N$26)</f>
        <v>11.379808148963754</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-0.65836294503687731</v>
      </c>
      <c r="K184" s="156">
        <f>(K173-K163)*'Input FD'!$O$59</f>
        <v>-1.6116551084400763</v>
      </c>
      <c r="L184" s="156">
        <f>(L173-L163)*'Input FD'!$O$59</f>
        <v>-1.4512218627931279</v>
      </c>
      <c r="M184" s="156">
        <f>(M173-M163)*'Input FD'!$O$59</f>
        <v>-0.63054727155086487</v>
      </c>
      <c r="N184" s="365">
        <f>(N173-N163)*'Input FD'!$O$59</f>
        <v>1.0725203290502279E-2</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-5.4458342063701988E-2</v>
      </c>
      <c r="K187" s="156">
        <f>$P$130*K63/SUM($J$63:$N$63)</f>
        <v>-7.3071875086610505E-2</v>
      </c>
      <c r="L187" s="156">
        <f>$P$130*L63/SUM($J$63:$N$63)</f>
        <v>-6.2711430157308179E-2</v>
      </c>
      <c r="M187" s="156">
        <f>$P$130*M63/SUM($J$63:$N$63)</f>
        <v>-5.2099365386601496E-2</v>
      </c>
      <c r="N187" s="365">
        <f>$P$130*N63/SUM($J$63:$N$63)</f>
        <v>-3.6442690867467417E-2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-0.71282128710057935</v>
      </c>
      <c r="K190" s="156">
        <f t="shared" ref="K190:N190" si="42">K187+K184</f>
        <v>-1.6847269835266867</v>
      </c>
      <c r="L190" s="156">
        <f t="shared" si="42"/>
        <v>-1.5139332929504361</v>
      </c>
      <c r="M190" s="156">
        <f t="shared" si="42"/>
        <v>-0.68264663693746641</v>
      </c>
      <c r="N190" s="365">
        <f t="shared" si="42"/>
        <v>-2.571748757696514E-2</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-0.86149825050211837</v>
      </c>
      <c r="K193" s="156">
        <f>IF('Input FD'!$O$156=0,(K190/(1+'Input FD'!$O$60)^K$6),(K190/(1+'Input FD'!$O$59)^K$6))</f>
        <v>-1.9419356573746007</v>
      </c>
      <c r="L193" s="156">
        <f>IF('Input FD'!$O$156=0,(L190/(1+'Input FD'!$O$60)^L$6),(L190/(1+'Input FD'!$O$59)^L$6))</f>
        <v>-1.6643459719549709</v>
      </c>
      <c r="M193" s="156">
        <f>IF('Input FD'!$O$156=0,(M190/(1+'Input FD'!$O$60)^M$6),(M190/(1+'Input FD'!$O$59)^M$6))</f>
        <v>-0.71575499882893356</v>
      </c>
      <c r="N193" s="664">
        <f>IF('Input FD'!$O$156=0,(N190/(1+'Input FD'!$O$60)^N$6),(N190/(1+'Input FD'!$O$59)^N$6))</f>
        <v>-2.571748757696514E-2</v>
      </c>
      <c r="O193" s="109"/>
      <c r="P193" s="622">
        <f>SUM(J193:N193)</f>
        <v>-5.2092523662375889</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-1.0105249543762798</v>
      </c>
      <c r="K196" s="156">
        <f t="shared" ref="K196:N197" si="44">K193*$L$13/$G$13</f>
        <v>-2.2778623641155189</v>
      </c>
      <c r="L196" s="156">
        <f t="shared" si="44"/>
        <v>-1.9522536887287691</v>
      </c>
      <c r="M196" s="156">
        <f t="shared" si="44"/>
        <v>-0.8395702337348202</v>
      </c>
      <c r="N196" s="365">
        <f t="shared" si="44"/>
        <v>-3.0166239972325204E-2</v>
      </c>
      <c r="O196" s="109"/>
      <c r="P196" s="622">
        <f>P193*$L$13/$G$13</f>
        <v>-6.1103774809277143</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16.27528917602681</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-10.446687540623619</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-10.119678299271905</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-0.32700924135171405</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-5.0920027536973418</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-5.4190119950490558</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-6.1103774809277143</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2016-09-30T09:18:52Z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