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L23" i="31" s="1"/>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U62" i="32" s="1"/>
  <c r="M82" i="29"/>
  <c r="M33" i="32" s="1"/>
  <c r="U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80" i="29"/>
  <c r="M31" i="32" s="1"/>
  <c r="M84" i="29"/>
  <c r="M59" i="32" s="1"/>
  <c r="M79" i="29"/>
  <c r="M30" i="32" s="1"/>
  <c r="N5" i="30"/>
  <c r="M6" i="30"/>
  <c r="L62" i="31"/>
  <c r="L68" i="29"/>
  <c r="M81" i="29"/>
  <c r="M32" i="32" s="1"/>
  <c r="J162" i="29"/>
  <c r="J140" i="29"/>
  <c r="J181" i="29"/>
  <c r="V8" i="26"/>
  <c r="AX8" i="26" s="1"/>
  <c r="M8" i="26"/>
  <c r="M60" i="32" l="1"/>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U64" i="31" s="1"/>
  <c r="N50" i="29"/>
  <c r="N66" i="31" s="1"/>
  <c r="U66" i="31" s="1"/>
  <c r="M54" i="31"/>
  <c r="M57" i="29"/>
  <c r="K181" i="29"/>
  <c r="K140" i="29"/>
  <c r="J163" i="29"/>
  <c r="J184" i="29" s="1"/>
  <c r="K161" i="29"/>
  <c r="K162" i="29" s="1"/>
  <c r="R5" i="30"/>
  <c r="N6" i="30"/>
  <c r="L18" i="32"/>
  <c r="L60" i="31"/>
  <c r="L138" i="29"/>
  <c r="N84" i="29"/>
  <c r="N59" i="32" s="1"/>
  <c r="U59" i="32" s="1"/>
  <c r="N85" i="29"/>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N60" i="32" l="1"/>
  <c r="U60" i="32" s="1"/>
  <c r="P125" i="29"/>
  <c r="G116" i="29"/>
  <c r="G119"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J5" i="21"/>
  <c r="P79" i="21"/>
  <c r="E212" i="4"/>
  <c r="E213" i="4"/>
  <c r="E205" i="4"/>
  <c r="E204" i="4"/>
  <c r="AN11" i="26" l="1"/>
  <c r="G34" i="32"/>
  <c r="G117" i="29"/>
  <c r="L38" i="17"/>
  <c r="AN15" i="26"/>
  <c r="L42" i="17"/>
  <c r="G63" i="32"/>
  <c r="P210" i="29"/>
  <c r="U66" i="32"/>
  <c r="P131" i="29"/>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L191" i="29" s="1"/>
  <c r="L194" i="29" s="1"/>
  <c r="L197" i="29" s="1"/>
  <c r="M165" i="29"/>
  <c r="M166" i="29" s="1"/>
  <c r="M140" i="29"/>
  <c r="M181" i="29"/>
  <c r="R80" i="30"/>
  <c r="R62" i="30"/>
  <c r="R20" i="30"/>
  <c r="K5" i="21"/>
  <c r="J6" i="21"/>
  <c r="E215" i="4"/>
  <c r="E209" i="4"/>
  <c r="E214" i="4"/>
  <c r="E211" i="4"/>
  <c r="E210" i="4"/>
  <c r="E207" i="4"/>
  <c r="E201" i="4"/>
  <c r="E206" i="4"/>
  <c r="E203" i="4"/>
  <c r="E202" i="4"/>
  <c r="AN25" i="26" l="1"/>
  <c r="L52" i="17"/>
  <c r="AN12" i="26"/>
  <c r="P124" i="29"/>
  <c r="L39" i="17"/>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T107" i="30"/>
  <c r="T95" i="30"/>
  <c r="S62" i="30"/>
  <c r="S80" i="30"/>
  <c r="S20" i="30"/>
  <c r="N182" i="29"/>
  <c r="N144" i="29"/>
  <c r="P153" i="29" s="1"/>
  <c r="S149" i="30"/>
  <c r="L5" i="21"/>
  <c r="K6" i="21"/>
  <c r="P135" i="18"/>
  <c r="P18" i="18"/>
  <c r="AH5" i="26" l="1"/>
  <c r="O14" i="33"/>
  <c r="F32" i="17"/>
  <c r="N154" i="29"/>
  <c r="P209" i="29"/>
  <c r="P213" i="29"/>
  <c r="P214" i="29"/>
  <c r="AH4" i="26"/>
  <c r="P201" i="29"/>
  <c r="N150" i="29"/>
  <c r="F31" i="17"/>
  <c r="O13" i="33"/>
  <c r="P194" i="29"/>
  <c r="P197" i="29" s="1"/>
  <c r="P202" i="29"/>
  <c r="P130" i="29"/>
  <c r="U37" i="32"/>
  <c r="P205" i="29"/>
  <c r="T149" i="30"/>
  <c r="U107" i="30"/>
  <c r="U95" i="30"/>
  <c r="S110" i="30"/>
  <c r="S86" i="30"/>
  <c r="S51" i="30"/>
  <c r="S35" i="30"/>
  <c r="S98" i="30"/>
  <c r="S68" i="30"/>
  <c r="S127" i="30"/>
  <c r="V107" i="30"/>
  <c r="V95"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O17" i="33" l="1"/>
  <c r="L48" i="17"/>
  <c r="AN21" i="26"/>
  <c r="L44" i="17"/>
  <c r="AN17" i="26"/>
  <c r="L45" i="17"/>
  <c r="AN18" i="26"/>
  <c r="L55" i="17"/>
  <c r="AN28" i="26"/>
  <c r="K187" i="29"/>
  <c r="K190" i="29" s="1"/>
  <c r="K193" i="29" s="1"/>
  <c r="K196" i="29" s="1"/>
  <c r="J187" i="29"/>
  <c r="M187" i="29"/>
  <c r="M190" i="29" s="1"/>
  <c r="M193" i="29" s="1"/>
  <c r="M196" i="29" s="1"/>
  <c r="L187" i="29"/>
  <c r="L190" i="29" s="1"/>
  <c r="L193" i="29" s="1"/>
  <c r="L196" i="29" s="1"/>
  <c r="N187" i="29"/>
  <c r="N190" i="29" s="1"/>
  <c r="N193" i="29" s="1"/>
  <c r="N196" i="29" s="1"/>
  <c r="AN29" i="26"/>
  <c r="L56" i="17"/>
  <c r="AN24" i="26"/>
  <c r="L51" i="17"/>
  <c r="R149" i="30"/>
  <c r="R100" i="30"/>
  <c r="S37" i="30"/>
  <c r="S36" i="30"/>
  <c r="U149" i="30"/>
  <c r="T127" i="30"/>
  <c r="T98" i="30"/>
  <c r="T68" i="30"/>
  <c r="T110" i="30"/>
  <c r="T86" i="30"/>
  <c r="T51" i="30"/>
  <c r="T35" i="30"/>
  <c r="V80" i="30"/>
  <c r="V62" i="30"/>
  <c r="V20" i="30"/>
  <c r="V149" i="30"/>
  <c r="S100" i="30"/>
  <c r="S112" i="30"/>
  <c r="O20" i="33"/>
  <c r="P215" i="29"/>
  <c r="P14" i="30"/>
  <c r="U62" i="30"/>
  <c r="U80" i="30"/>
  <c r="U20" i="30"/>
  <c r="M6" i="21"/>
  <c r="N5" i="21"/>
  <c r="C94" i="18"/>
  <c r="E98" i="18"/>
  <c r="D98" i="18"/>
  <c r="C64" i="18"/>
  <c r="C47" i="18"/>
  <c r="C31" i="18"/>
  <c r="P204" i="29" l="1"/>
  <c r="U39" i="32"/>
  <c r="J190" i="29"/>
  <c r="V106" i="30"/>
  <c r="V94" i="30"/>
  <c r="V141" i="30" s="1"/>
  <c r="S106" i="30"/>
  <c r="S111" i="30" s="1"/>
  <c r="S94" i="30"/>
  <c r="U94" i="30"/>
  <c r="U141" i="30" s="1"/>
  <c r="U106" i="30"/>
  <c r="T94" i="30"/>
  <c r="T141" i="30" s="1"/>
  <c r="T106" i="30"/>
  <c r="L57" i="17"/>
  <c r="AN30" i="26"/>
  <c r="T37" i="30"/>
  <c r="T36" i="30"/>
  <c r="T100" i="30"/>
  <c r="U65" i="30"/>
  <c r="U110" i="30"/>
  <c r="U98" i="30"/>
  <c r="U68" i="30"/>
  <c r="U127" i="30"/>
  <c r="U51" i="30"/>
  <c r="U35" i="30"/>
  <c r="U86" i="30"/>
  <c r="V127" i="30"/>
  <c r="V51" i="30"/>
  <c r="V35" i="30"/>
  <c r="V86" i="30"/>
  <c r="V110" i="30"/>
  <c r="V68" i="30"/>
  <c r="V98" i="30"/>
  <c r="P77" i="30"/>
  <c r="V83" i="30" s="1"/>
  <c r="P119" i="30"/>
  <c r="P60" i="30"/>
  <c r="P44" i="30"/>
  <c r="R32" i="30"/>
  <c r="V65" i="30"/>
  <c r="P21" i="30"/>
  <c r="P45" i="30" s="1"/>
  <c r="T112" i="30"/>
  <c r="T111" i="30"/>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J193" i="29" l="1"/>
  <c r="P206" i="29"/>
  <c r="AN20" i="26"/>
  <c r="L47" i="17"/>
  <c r="S141" i="30"/>
  <c r="S99" i="30"/>
  <c r="R83" i="30"/>
  <c r="S83" i="30"/>
  <c r="T83" i="30"/>
  <c r="U83" i="30"/>
  <c r="R65" i="30"/>
  <c r="S65" i="30"/>
  <c r="T65" i="30"/>
  <c r="T99" i="30"/>
  <c r="U48" i="30"/>
  <c r="T48" i="30"/>
  <c r="R48" i="30"/>
  <c r="V48" i="30"/>
  <c r="S48" i="30"/>
  <c r="V112" i="30"/>
  <c r="V111" i="30"/>
  <c r="V148" i="30"/>
  <c r="V88" i="30"/>
  <c r="V100" i="30"/>
  <c r="V99" i="30"/>
  <c r="V37" i="30"/>
  <c r="V36" i="30"/>
  <c r="U147" i="30"/>
  <c r="U70" i="30"/>
  <c r="V70" i="30"/>
  <c r="V147" i="30"/>
  <c r="R37" i="30"/>
  <c r="R145" i="30"/>
  <c r="U36" i="30"/>
  <c r="U37" i="30"/>
  <c r="U100" i="30"/>
  <c r="P102" i="30" s="1"/>
  <c r="U99" i="30"/>
  <c r="U148" i="30"/>
  <c r="U88" i="30"/>
  <c r="U112" i="30"/>
  <c r="U111" i="30"/>
  <c r="S5" i="21"/>
  <c r="R6" i="21"/>
  <c r="C83" i="18"/>
  <c r="C148" i="18" s="1"/>
  <c r="C140" i="18"/>
  <c r="P78" i="18"/>
  <c r="P114" i="30" l="1"/>
  <c r="P117" i="30" s="1"/>
  <c r="P121" i="30" s="1"/>
  <c r="S124" i="30" s="1"/>
  <c r="T88" i="30"/>
  <c r="T148" i="30"/>
  <c r="P39" i="30"/>
  <c r="S147" i="30"/>
  <c r="S70" i="30"/>
  <c r="S88" i="30"/>
  <c r="S148" i="30"/>
  <c r="R147" i="30"/>
  <c r="R70" i="30"/>
  <c r="R88" i="30"/>
  <c r="R148" i="30"/>
  <c r="T147" i="30"/>
  <c r="T70" i="30"/>
  <c r="P193" i="29"/>
  <c r="J196" i="29"/>
  <c r="L49" i="17"/>
  <c r="AN22" i="26"/>
  <c r="S146" i="30"/>
  <c r="S151" i="30" s="1"/>
  <c r="S157" i="30" s="1"/>
  <c r="S53" i="30"/>
  <c r="R146" i="30"/>
  <c r="R151" i="30" s="1"/>
  <c r="R157" i="30" s="1"/>
  <c r="R53" i="30"/>
  <c r="U146" i="30"/>
  <c r="U151" i="30" s="1"/>
  <c r="U157" i="30" s="1"/>
  <c r="U53" i="30"/>
  <c r="V146" i="30"/>
  <c r="V151" i="30" s="1"/>
  <c r="V157" i="30" s="1"/>
  <c r="V53" i="30"/>
  <c r="T53" i="30"/>
  <c r="T146" i="30"/>
  <c r="T151" i="30" s="1"/>
  <c r="T157" i="30" s="1"/>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P90" i="30" l="1"/>
  <c r="U124" i="30"/>
  <c r="V124" i="30"/>
  <c r="V150" i="30" s="1"/>
  <c r="P72" i="30"/>
  <c r="R124" i="30"/>
  <c r="R129" i="30" s="1"/>
  <c r="P131" i="30" s="1"/>
  <c r="S129" i="30"/>
  <c r="S150" i="30"/>
  <c r="T124" i="30"/>
  <c r="G34" i="17"/>
  <c r="AI7" i="26"/>
  <c r="O16" i="33"/>
  <c r="P196" i="29"/>
  <c r="AM7" i="26"/>
  <c r="K34" i="17"/>
  <c r="AL7" i="26"/>
  <c r="J34" i="17"/>
  <c r="AK7" i="26"/>
  <c r="I34" i="17"/>
  <c r="R150" i="30"/>
  <c r="P55" i="30"/>
  <c r="AJ7" i="26"/>
  <c r="H34" i="17"/>
  <c r="R94" i="30"/>
  <c r="R106" i="30"/>
  <c r="R111" i="30" s="1"/>
  <c r="P113" i="30" s="1"/>
  <c r="P116" i="30" s="1"/>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31" i="20" s="1"/>
  <c r="G31" i="20"/>
  <c r="G32" i="20" s="1"/>
  <c r="H31" i="20"/>
  <c r="G29" i="20"/>
  <c r="H29"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V129" i="30" l="1"/>
  <c r="U129" i="30"/>
  <c r="U150" i="30"/>
  <c r="T129" i="30"/>
  <c r="T150" i="30"/>
  <c r="L29" i="20"/>
  <c r="L31" i="20"/>
  <c r="O19" i="33"/>
  <c r="P207" i="29"/>
  <c r="P13" i="30"/>
  <c r="N29" i="20"/>
  <c r="K29" i="20"/>
  <c r="U16" i="22"/>
  <c r="R141" i="30"/>
  <c r="R99" i="30"/>
  <c r="P101" i="30" s="1"/>
  <c r="M29" i="20"/>
  <c r="J31" i="20"/>
  <c r="J32" i="20" s="1"/>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P118" i="30" l="1"/>
  <c r="P120" i="30" s="1"/>
  <c r="P76" i="30"/>
  <c r="P59" i="30"/>
  <c r="R31" i="30"/>
  <c r="P43" i="30"/>
  <c r="AN23" i="26"/>
  <c r="L50" i="17"/>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36" i="30" l="1"/>
  <c r="P38" i="30" s="1"/>
  <c r="R137" i="30"/>
  <c r="R64" i="30"/>
  <c r="S64" i="30"/>
  <c r="T64" i="30"/>
  <c r="U64" i="30"/>
  <c r="V64" i="30"/>
  <c r="R82" i="30"/>
  <c r="S82" i="30"/>
  <c r="T82" i="30"/>
  <c r="U82" i="30"/>
  <c r="V82" i="30"/>
  <c r="T47" i="30"/>
  <c r="S47" i="30"/>
  <c r="V47" i="30"/>
  <c r="U47" i="30"/>
  <c r="R47" i="30"/>
  <c r="R123" i="30"/>
  <c r="S123" i="30"/>
  <c r="T123" i="30"/>
  <c r="V123" i="30"/>
  <c r="U123"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J64" i="22" s="1"/>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L56" i="22" s="1"/>
  <c r="N43" i="20"/>
  <c r="N58" i="22" s="1"/>
  <c r="J40" i="20"/>
  <c r="J55" i="22" s="1"/>
  <c r="L42" i="20"/>
  <c r="L57" i="22" s="1"/>
  <c r="N44" i="20"/>
  <c r="N59" i="22" s="1"/>
  <c r="K40" i="20"/>
  <c r="K55" i="22" s="1"/>
  <c r="M42" i="20"/>
  <c r="M57" i="22" s="1"/>
  <c r="K42" i="20"/>
  <c r="K57" i="22" s="1"/>
  <c r="M44" i="20"/>
  <c r="M59" i="22" s="1"/>
  <c r="K43" i="20"/>
  <c r="K58" i="22" s="1"/>
  <c r="J41" i="20"/>
  <c r="J56" i="22" s="1"/>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U14" i="26"/>
  <c r="AW14" i="26" s="1"/>
  <c r="G56" i="23"/>
  <c r="L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S142" i="30" l="1"/>
  <c r="S128" i="30"/>
  <c r="V52" i="30"/>
  <c r="V138" i="30"/>
  <c r="V143" i="30" s="1"/>
  <c r="V156" i="30" s="1"/>
  <c r="U140" i="30"/>
  <c r="U87" i="30"/>
  <c r="V139" i="30"/>
  <c r="V69" i="30"/>
  <c r="R139" i="30"/>
  <c r="R69" i="30"/>
  <c r="T128" i="30"/>
  <c r="T142" i="30"/>
  <c r="U138" i="30"/>
  <c r="U143" i="30" s="1"/>
  <c r="U156" i="30" s="1"/>
  <c r="U52" i="30"/>
  <c r="R140" i="30"/>
  <c r="R87" i="30"/>
  <c r="U142" i="30"/>
  <c r="U128" i="30"/>
  <c r="R128" i="30"/>
  <c r="R142" i="30"/>
  <c r="S52" i="30"/>
  <c r="S138" i="30"/>
  <c r="S143" i="30" s="1"/>
  <c r="S156" i="30" s="1"/>
  <c r="T140" i="30"/>
  <c r="T87" i="30"/>
  <c r="U139" i="30"/>
  <c r="U69" i="30"/>
  <c r="V140" i="30"/>
  <c r="V87" i="30"/>
  <c r="S139" i="30"/>
  <c r="S69" i="30"/>
  <c r="M57" i="20"/>
  <c r="M138" i="20" s="1"/>
  <c r="V142" i="30"/>
  <c r="V128" i="30"/>
  <c r="R52" i="30"/>
  <c r="R138" i="30"/>
  <c r="R143" i="30" s="1"/>
  <c r="R156" i="30" s="1"/>
  <c r="T138" i="30"/>
  <c r="T143" i="30" s="1"/>
  <c r="T156" i="30" s="1"/>
  <c r="T52" i="30"/>
  <c r="S140" i="30"/>
  <c r="S87" i="30"/>
  <c r="T69" i="30"/>
  <c r="T139" i="30"/>
  <c r="K57" i="20"/>
  <c r="K138" i="20" s="1"/>
  <c r="J57" i="20"/>
  <c r="J138" i="20" s="1"/>
  <c r="J162" i="20" s="1"/>
  <c r="K161" i="20" s="1"/>
  <c r="K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P130" i="30" l="1"/>
  <c r="P54" i="30"/>
  <c r="AI6" i="26"/>
  <c r="G33" i="17"/>
  <c r="P89" i="30"/>
  <c r="AM6" i="26"/>
  <c r="K33" i="17"/>
  <c r="J140" i="20"/>
  <c r="P71" i="30"/>
  <c r="AJ6" i="26"/>
  <c r="H33" i="17"/>
  <c r="J181" i="20"/>
  <c r="I33" i="17"/>
  <c r="AK6" i="26"/>
  <c r="J33" i="17"/>
  <c r="AL6" i="26"/>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V36" i="18"/>
  <c r="U37" i="18"/>
  <c r="K28" i="4"/>
  <c r="J31" i="4"/>
  <c r="J32" i="4" s="1"/>
  <c r="J29" i="4"/>
  <c r="N2" i="6"/>
  <c r="N3" i="6"/>
  <c r="N4" i="6"/>
  <c r="S106" i="21" l="1"/>
  <c r="S111" i="21" s="1"/>
  <c r="U106" i="2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U65" i="21"/>
  <c r="V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U147" i="21" l="1"/>
  <c r="U70" i="21"/>
  <c r="S88" i="21"/>
  <c r="S148" i="21"/>
  <c r="T70" i="21"/>
  <c r="T147" i="21"/>
  <c r="U88" i="21"/>
  <c r="U148" i="21"/>
  <c r="R148" i="21"/>
  <c r="R88" i="21"/>
  <c r="S147" i="21"/>
  <c r="S70" i="21"/>
  <c r="T148" i="21"/>
  <c r="T88" i="21"/>
  <c r="V88" i="21"/>
  <c r="V148" i="21"/>
  <c r="V70" i="21"/>
  <c r="V147" i="21"/>
  <c r="R147" i="21"/>
  <c r="R70" i="21"/>
  <c r="R141" i="2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P72" i="21" l="1"/>
  <c r="R82" i="21"/>
  <c r="S82" i="21"/>
  <c r="T82" i="21"/>
  <c r="U82" i="21"/>
  <c r="V82" i="21"/>
  <c r="R64" i="21"/>
  <c r="S64" i="21"/>
  <c r="T64" i="21"/>
  <c r="V64" i="21"/>
  <c r="U64" i="21"/>
  <c r="P90" i="21"/>
  <c r="R7" i="26"/>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T139" i="21" l="1"/>
  <c r="T69" i="21"/>
  <c r="U140" i="21"/>
  <c r="U87" i="21"/>
  <c r="S139" i="21"/>
  <c r="S69" i="21"/>
  <c r="T87" i="21"/>
  <c r="T140" i="21"/>
  <c r="U69" i="21"/>
  <c r="U139" i="21"/>
  <c r="R139" i="21"/>
  <c r="R69" i="21"/>
  <c r="S87" i="21"/>
  <c r="S140" i="21"/>
  <c r="V139" i="21"/>
  <c r="V69" i="21"/>
  <c r="V87" i="21"/>
  <c r="V140" i="21"/>
  <c r="R87" i="21"/>
  <c r="R140"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P71" i="21" l="1"/>
  <c r="P89" i="21"/>
  <c r="T6" i="26"/>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<sst xmlns="http://schemas.openxmlformats.org/spreadsheetml/2006/main" count="4980" uniqueCount="826">
  <si>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</si>
  <si>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</si>
  <si>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</si>
  <si>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</si>
  <si>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</si>
  <si>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</si>
  <si>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</si>
  <si>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</si>
  <si>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</si>
  <si>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</si>
  <si>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</si>
  <si>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</si>
  <si>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</si>
  <si>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</si>
  <si>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</si>
  <si>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</si>
  <si>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</si>
  <si>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</si>
  <si>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</si>
  <si>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</si>
  <si>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</si>
  <si>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</si>
  <si>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</si>
  <si>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</si>
  <si>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</si>
  <si>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</si>
  <si>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</si>
  <si>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</si>
  <si>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</si>
  <si>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</si>
  <si>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</si>
  <si>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</si>
  <si>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</si>
  <si>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</si>
  <si>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</si>
  <si>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</si>
  <si>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</si>
  <si>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</si>
  <si>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</si>
  <si>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</si>
  <si>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</si>
  <si>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</si>
  <si>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</si>
  <si>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</si>
  <si>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</si>
  <si>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</si>
  <si>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</si>
  <si>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</si>
  <si>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</si>
  <si>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</si>
  <si>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</si>
  <si>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</si>
  <si>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</si>
  <si>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</si>
  <si>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</si>
  <si>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</si>
  <si>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</si>
  <si>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</si>
  <si>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</si>
  <si>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</si>
  <si>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</si>
  <si>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</si>
  <si>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</si>
  <si>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</si>
  <si>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</si>
  <si>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</si>
  <si>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</si>
  <si>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</si>
  <si>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</si>
  <si>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</si>
  <si>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</si>
  <si>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</si>
  <si>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</si>
  <si>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</si>
  <si>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</si>
  <si>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</si>
  <si>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</si>
  <si>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</si>
  <si>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</si>
  <si>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</si>
  <si>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</si>
  <si>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</si>
  <si>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</si>
  <si>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</si>
  <si>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</si>
  <si>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</si>
  <si>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</si>
  <si>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</si>
  <si>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</si>
  <si>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</si>
  <si>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</si>
  <si>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</si>
  <si>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</si>
  <si>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</si>
  <si>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</si>
  <si>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</si>
  <si>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</si>
  <si>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</si>
  <si>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</si>
  <si>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</si>
  <si>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</si>
  <si>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</si>
  <si>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</si>
  <si>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</si>
  <si>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</si>
  <si>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</si>
  <si>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</si>
  <si>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</si>
  <si>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</si>
  <si>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</si>
  <si>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</si>
  <si>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</si>
  <si>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</si>
  <si>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</si>
  <si>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</si>
  <si>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</si>
  <si>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</si>
  <si>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</si>
  <si>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</si>
  <si>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</si>
  <si>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</si>
  <si>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</si>
  <si>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</si>
  <si>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</si>
  <si>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</si>
  <si>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</si>
  <si>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</si>
  <si>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</si>
  <si>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</si>
  <si>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</si>
  <si>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</si>
  <si>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</si>
  <si>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</si>
  <si>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</si>
  <si>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</si>
  <si>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</si>
  <si>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</si>
  <si>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</si>
  <si>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</si>
  <si>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</si>
  <si>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</si>
  <si>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</si>
  <si>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</si>
  <si>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</si>
  <si>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</si>
  <si>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</si>
  <si>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</si>
  <si>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</si>
  <si>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</si>
  <si>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</si>
  <si>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</si>
  <si>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</si>
  <si>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</si>
  <si>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</si>
  <si>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</si>
  <si>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</si>
  <si>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</si>
  <si>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</si>
  <si>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</si>
  <si>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</si>
  <si>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</si>
  <si>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</si>
  <si>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</si>
  <si>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</si>
  <si>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</si>
  <si>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</si>
  <si>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</si>
  <si>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</si>
  <si>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</si>
  <si>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</si>
  <si>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</si>
  <si>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</si>
  <si>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</si>
  <si>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</si>
  <si>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</si>
  <si>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</si>
  <si>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</si>
  <si>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</si>
  <si>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</si>
  <si>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</si>
  <si>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</si>
  <si>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</si>
  <si>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</si>
  <si>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</si>
  <si>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</si>
  <si>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</si>
  <si>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</si>
  <si>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</si>
  <si>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</si>
  <si>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</si>
  <si>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</si>
  <si>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</si>
  <si>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</si>
  <si>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</si>
  <si>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</si>
  <si>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</si>
  <si>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</si>
  <si>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</si>
  <si>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</si>
  <si>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</si>
  <si>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</si>
  <si>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</si>
  <si>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</si>
  <si>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</si>
  <si>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</si>
  <si>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</si>
  <si>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</si>
  <si>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</si>
  <si>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</si>
  <si>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</si>
  <si>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</si>
  <si>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</si>
  <si>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</si>
  <si>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</si>
  <si>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</si>
  <si>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</si>
  <si>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</si>
  <si>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</si>
  <si>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</si>
  <si>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</si>
  <si>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</si>
  <si>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</si>
  <si>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</si>
  <si>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</si>
  <si>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</si>
  <si>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</si>
  <si>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</si>
  <si>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</si>
  <si>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</si>
  <si>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</si>
  <si>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</si>
  <si>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</si>
  <si>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</si>
  <si>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</si>
  <si>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</si>
  <si>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</si>
  <si>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</si>
  <si>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</si>
  <si>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</si>
  <si>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</si>
  <si>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</si>
  <si>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</si>
  <si>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</si>
  <si>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</si>
  <si>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</si>
  <si>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</si>
  <si>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</si>
  <si>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</si>
  <si>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</si>
  <si>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</si>
  <si>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</si>
  <si>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</si>
  <si>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</si>
  <si>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</si>
  <si>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</si>
  <si>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</si>
  <si>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</si>
  <si>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</si>
  <si>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</si>
  <si>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</si>
  <si>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</si>
  <si>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</si>
  <si>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</si>
  <si>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</si>
  <si>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</si>
  <si>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</si>
  <si>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</si>
  <si>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</si>
  <si>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</si>
  <si>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</si>
  <si>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</si>
  <si>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</si>
  <si>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</si>
  <si>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</si>
  <si>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</si>
  <si>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</si>
  <si>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</si>
  <si>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</si>
  <si>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</si>
  <si>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</si>
  <si>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</si>
  <si>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</si>
  <si>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</si>
  <si>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</si>
  <si>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</si>
  <si>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</si>
  <si>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</si>
  <si>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</si>
  <si>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</si>
  <si>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</si>
  <si>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</si>
  <si>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</si>
  <si>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</si>
  <si>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</si>
  <si>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</si>
  <si>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</si>
  <si>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</si>
  <si>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</si>
  <si>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</si>
  <si>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</si>
  <si>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</si>
  <si>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</si>
  <si>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</si>
  <si>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</si>
  <si>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</si>
  <si>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</si>
  <si>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</si>
  <si>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</si>
  <si>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</si>
  <si>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</si>
  <si>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</si>
  <si>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</si>
  <si>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</si>
  <si>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</si>
  <si>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</si>
  <si>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</si>
  <si>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</si>
  <si>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</si>
  <si>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</si>
  <si>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</si>
  <si>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</si>
  <si>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</si>
  <si>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</si>
  <si>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</si>
  <si>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</si>
  <si>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</si>
  <si>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</si>
  <si>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</si>
  <si>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</si>
  <si>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</si>
  <si>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</si>
  <si>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</si>
  <si>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</si>
  <si>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</si>
  <si>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</si>
  <si>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</si>
  <si>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</si>
  <si>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</si>
  <si>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</si>
  <si>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</si>
  <si>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</si>
  <si>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</si>
  <si>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</si>
  <si>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</si>
  <si>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</si>
  <si>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</si>
  <si>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</si>
  <si>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</si>
  <si>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</si>
  <si>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</si>
  <si>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</si>
  <si>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</si>
  <si>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</si>
  <si>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</si>
  <si>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</si>
  <si>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</si>
  <si>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</si>
  <si>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</si>
  <si>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</si>
  <si>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</si>
  <si>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</si>
  <si>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</si>
  <si>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</si>
  <si>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</si>
  <si>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</si>
  <si>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</si>
  <si>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</si>
  <si>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</si>
  <si>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</si>
  <si>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</si>
  <si>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</si>
  <si>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</si>
  <si>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</si>
  <si>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</si>
  <si>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</si>
  <si>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</si>
  <si>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</si>
  <si>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</si>
  <si>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</si>
  <si>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</si>
  <si>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</si>
  <si>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</si>
  <si>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</si>
  <si>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</si>
  <si>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</si>
  <si>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</si>
  <si>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</si>
  <si>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</si>
  <si>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</si>
  <si>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</si>
  <si>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</si>
  <si>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</si>
  <si>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</si>
  <si>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</si>
  <si>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</si>
  <si>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</si>
  <si>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</si>
  <si>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</si>
  <si>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</si>
  <si>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</si>
  <si>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</si>
  <si>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</si>
  <si>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</si>
  <si>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</si>
  <si>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</si>
  <si>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</si>
  <si>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</si>
  <si>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</si>
  <si>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</si>
  <si>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</si>
  <si>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</si>
  <si>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</si>
  <si>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</si>
  <si>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</si>
  <si>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</si>
  <si>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</si>
  <si>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</si>
  <si>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</si>
  <si>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</si>
  <si>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</si>
  <si>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</si>
  <si>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</si>
  <si>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</si>
  <si>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</si>
  <si>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</si>
  <si>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</si>
  <si>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</si>
  <si>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</si>
  <si>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</si>
  <si>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</si>
  <si>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</si>
  <si>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</si>
  <si>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</si>
  <si>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</si>
  <si>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</si>
  <si>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</si>
  <si>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</si>
  <si>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</si>
  <si>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</si>
  <si>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</si>
  <si>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</si>
  <si>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</si>
  <si>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</si>
  <si>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</si>
  <si>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</si>
  <si>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</si>
  <si>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</si>
  <si>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</si>
  <si>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</si>
  <si>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</si>
  <si>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</si>
  <si>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</si>
  <si>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</si>
  <si>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</si>
  <si>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</si>
  <si>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</si>
  <si>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</si>
  <si>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</si>
  <si>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</si>
  <si>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</si>
  <si>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</si>
  <si>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</si>
  <si>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</si>
  <si>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</si>
  <si>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</si>
  <si>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</si>
  <si>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</si>
  <si>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</si>
  <si>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</si>
  <si>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</si>
  <si>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</si>
  <si>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</si>
  <si>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</si>
  <si>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</si>
  <si>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</si>
  <si>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</si>
  <si>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</si>
  <si>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</si>
  <si>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</si>
  <si>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</si>
  <si>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</si>
  <si>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</si>
  <si>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</si>
  <si>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</si>
  <si>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</si>
  <si>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</si>
  <si>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</si>
  <si>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</si>
  <si>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</si>
  <si>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</si>
  <si>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</si>
  <si>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</si>
  <si>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</si>
  <si>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</si>
  <si>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</si>
  <si>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</si>
  <si>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</si>
  <si>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</si>
  <si>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</si>
  <si>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</si>
  <si>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</si>
  <si>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</si>
  <si>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</si>
  <si>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</si>
  <si>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</si>
  <si>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</si>
  <si>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</si>
  <si>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</si>
  <si>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</si>
  <si>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</si>
  <si>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</si>
  <si>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</si>
  <si>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</si>
  <si>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</si>
  <si>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</si>
  <si>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</si>
  <si>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</si>
  <si>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</si>
  <si>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</si>
  <si>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</si>
  <si>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</si>
  <si>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</si>
  <si>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</si>
  <si>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</si>
  <si>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</si>
  <si>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</si>
  <si>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</si>
  <si>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</si>
  <si>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</si>
  <si>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</si>
  <si>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</si>
  <si>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</si>
  <si>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</si>
  <si>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</si>
  <si>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</si>
  <si>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</si>
  <si>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</si>
  <si>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</si>
  <si>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</si>
  <si>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</si>
  <si>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</si>
  <si>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</si>
  <si>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</si>
  <si>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</si>
  <si>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</si>
  <si>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</si>
  <si>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</si>
  <si>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</si>
  <si>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</si>
  <si>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</si>
  <si>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</si>
  <si>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</si>
  <si>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</si>
  <si>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</si>
  <si>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</si>
  <si>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</si>
  <si>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</si>
  <si>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</si>
  <si>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</si>
  <si>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</si>
  <si>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</si>
  <si>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</si>
  <si>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</si>
  <si>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</si>
  <si>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</si>
  <si>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</si>
  <si>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</si>
  <si>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</si>
  <si>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</si>
  <si>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</si>
  <si>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</si>
  <si>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</si>
  <si>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</si>
  <si>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</si>
  <si>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</si>
  <si>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</si>
  <si>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</si>
  <si>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</si>
  <si>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</si>
  <si>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</si>
  <si>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</si>
  <si>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</si>
  <si>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</si>
  <si>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</si>
  <si>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</si>
  <si>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</si>
  <si>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</si>
  <si>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</si>
  <si>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</si>
  <si>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</si>
  <si>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</si>
  <si>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</si>
  <si>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</si>
  <si>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</si>
  <si>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</si>
  <si>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</si>
  <si>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</si>
  <si>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</si>
  <si>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</si>
  <si>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</si>
  <si>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</si>
  <si>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</si>
  <si>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</si>
  <si>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</si>
  <si>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</si>
  <si>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</si>
  <si>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</si>
  <si>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</si>
  <si>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</si>
  <si>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</si>
  <si>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</si>
  <si>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</si>
  <si>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</si>
  <si>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</si>
  <si>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</si>
  <si>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</si>
  <si>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</si>
  <si>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</si>
  <si>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</si>
  <si>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</si>
  <si>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</si>
  <si>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</si>
  <si>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</si>
  <si>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</si>
  <si>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</si>
  <si>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</si>
  <si>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</si>
  <si>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</si>
  <si>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</si>
  <si>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</si>
  <si>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</si>
  <si>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</si>
  <si>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</si>
  <si>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</si>
  <si>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</si>
  <si>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</si>
  <si>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</si>
  <si>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</si>
  <si>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</si>
  <si>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</si>
  <si>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</si>
  <si>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</si>
  <si>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</si>
  <si>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</si>
  <si>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</si>
  <si>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</si>
  <si>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</si>
  <si>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</si>
  <si>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</si>
  <si>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</si>
  <si>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</si>
  <si>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</si>
  <si>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</si>
  <si>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</si>
  <si>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</si>
  <si>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</si>
  <si>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</si>
  <si>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</si>
  <si>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</si>
  <si>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</si>
  <si>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</si>
  <si>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</si>
  <si>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</si>
  <si>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</si>
  <si>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</si>
  <si>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</si>
  <si>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</si>
  <si>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</si>
  <si>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</si>
  <si>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</si>
  <si>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</si>
  <si>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</si>
  <si>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</si>
  <si>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</si>
  <si>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</si>
  <si>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</si>
  <si>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</si>
  <si>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</si>
  <si>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</si>
  <si>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</si>
  <si>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</si>
  <si>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</si>
  <si>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</si>
  <si>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</si>
  <si>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</si>
  <si>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</si>
  <si>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</si>
  <si>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</si>
  <si>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</si>
  <si>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</si>
  <si>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</si>
  <si>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</si>
  <si>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</si>
  <si>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</si>
  <si>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</si>
  <si>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</si>
  <si>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</si>
  <si>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</si>
  <si>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</si>
  <si>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</si>
  <si>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</si>
  <si>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</si>
  <si>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</si>
  <si>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</si>
  <si>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</si>
  <si>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</si>
  <si>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</si>
  <si>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</si>
  <si>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</si>
  <si>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</si>
  <si>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</si>
  <si>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</si>
  <si>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</si>
  <si>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</si>
  <si>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</si>
  <si>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</si>
  <si>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</si>
  <si>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</si>
  <si>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</si>
  <si>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</si>
  <si>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</si>
  <si>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</si>
  <si>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</si>
  <si>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</si>
  <si>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</si>
  <si>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</si>
  <si>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</si>
  <si>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</si>
  <si>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</si>
  <si>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</si>
  <si>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</si>
  <si>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</si>
  <si>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</si>
  <si>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</si>
  <si>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</si>
  <si>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</si>
  <si>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</si>
  <si>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</si>
  <si>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</si>
  <si>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</si>
  <si>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</si>
  <si>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</si>
  <si>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</si>
  <si>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</si>
  <si>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</si>
  <si>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</si>
  <si>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</si>
  <si>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</si>
  <si>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</si>
  <si>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</si>
  <si>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</si>
  <si>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</si>
  <si>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</si>
  <si>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</si>
  <si>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</si>
  <si>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</si>
  <si>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</si>
  <si>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</si>
  <si>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</si>
  <si>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</si>
  <si>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</si>
  <si>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</si>
  <si>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</si>
  <si>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</si>
  <si>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</si>
  <si>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</si>
  <si>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</si>
  <si>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</si>
  <si>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</si>
  <si>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</si>
  <si>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</si>
  <si>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</si>
  <si>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</si>
  <si>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</si>
  <si>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</si>
  <si>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</si>
  <si>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</si>
  <si>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</si>
  <si>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</si>
  <si>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</si>
  <si>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PRT Inputs as at FD</t>
  </si>
  <si>
    <t>companyId</t>
  </si>
  <si>
    <t>51_XLSPF</t>
  </si>
  <si>
    <t>companyName</t>
  </si>
  <si>
    <t>Portsmouth Water Ltd_XLSPF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</si>
  <si>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</si>
  <si>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</si>
  <si>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</si>
  <si>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</si>
  <si>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</si>
  <si>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</si>
  <si>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</si>
  <si>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</si>
  <si>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</si>
  <si>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</si>
  <si>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</si>
  <si>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</si>
  <si>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</si>
  <si>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</si>
  <si>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</si>
  <si>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</si>
  <si>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</si>
  <si>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</si>
  <si>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</si>
  <si>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</si>
  <si>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</si>
  <si>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</si>
  <si>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</si>
  <si>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</si>
  <si>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</si>
  <si>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</si>
  <si>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http://fnttest202:8082/Fountain/rest-services_XLSPF</t>
  </si>
  <si>
    <t>F_Outputs_TABLE_ID</t>
  </si>
  <si>
    <t>F_Outputs_TEAM</t>
  </si>
  <si>
    <t>F_Outputs_USER</t>
  </si>
  <si>
    <t>F_Outputs_NAME</t>
  </si>
  <si>
    <t>F_Outputs_TITLE</t>
  </si>
  <si>
    <t>outputSheetLastSent</t>
  </si>
  <si>
    <t>PRT</t>
  </si>
  <si>
    <t>27/09/2016 15:08:52_XLSPF</t>
  </si>
  <si>
    <t>9365_XLSPF</t>
  </si>
  <si>
    <t>OFWAT\Dawn.Harrison_XLSPF</t>
  </si>
  <si>
    <t>PL14L012_BY_XLSPF</t>
  </si>
  <si>
    <t>PL14L012_BY</t>
  </si>
  <si>
    <t>27/09/2016 15:09:51_XLSPF</t>
  </si>
  <si>
    <t>PRT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</si>
</sst>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40" fillId="0" borderId="18" xfId="0" applyFont="1" applyBorder="1" applyAlignment="1">
      <alignment horizontal="left" vertical="top" wrapText="1"/>
    </xf>
    <xf numFmtId="0" fontId="0" fillId="0" borderId="19" xfId="0" applyBorder="1" applyAlignment="1">
      <alignment horizontal="left" vertical="top" wrapText="1"/>
    </xf>
    <xf numFmtId="0" fontId="0" fillId="0" borderId="27" xfId="0" applyBorder="1" applyAlignment="1">
      <alignment horizontal="left" vertical="top" wrapText="1"/>
    </xf>
    <xf numFmtId="0" fontId="40" fillId="0" borderId="18" xfId="0"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18" xfId="0" quotePrefix="1"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0" xfId="0" quotePrefix="1"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5" fillId="25" borderId="28" xfId="0" applyFont="1" applyFill="1" applyBorder="1" applyAlignment="1">
      <alignment horizontal="center" wrapText="1"/>
    </xf>
    <xf numFmtId="0" fontId="63" fillId="23" borderId="28" xfId="0" applyFont="1" applyFill="1" applyBorder="1" applyAlignment="1">
      <alignment horizontal="center" vertical="center" wrapText="1"/>
    </xf>
    <xf numFmtId="0" fontId="65" fillId="25" borderId="28" xfId="0" applyFont="1" applyFill="1" applyBorder="1" applyAlignment="1">
      <alignment horizontal="center"/>
    </xf>
    <xf numFmtId="0" fontId="57" fillId="22" borderId="18" xfId="0" applyFont="1"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28" xfId="0" quotePrefix="1" applyFont="1" applyFill="1" applyBorder="1" applyAlignment="1">
      <alignment horizontal="left" vertical="center"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30" t="s">
        <v>488</v>
      </c>
      <c r="F6" s="731"/>
      <c r="G6" s="731"/>
      <c r="H6" s="731"/>
      <c r="I6" s="731"/>
      <c r="J6" s="731"/>
      <c r="K6" s="731"/>
      <c r="L6" s="731"/>
      <c r="M6" s="731"/>
      <c r="N6" s="732"/>
      <c r="O6" s="535" t="s">
        <v>489</v>
      </c>
    </row>
    <row r="7" spans="1:15" s="531" customFormat="1" ht="12.75" customHeight="1">
      <c r="B7" s="533"/>
      <c r="C7" s="536"/>
      <c r="D7" s="667"/>
      <c r="E7" s="545"/>
      <c r="F7" s="546" t="s">
        <v>410</v>
      </c>
      <c r="G7" s="546" t="s">
        <v>414</v>
      </c>
      <c r="H7" s="726" t="s">
        <v>491</v>
      </c>
      <c r="I7" s="726"/>
      <c r="J7" s="726"/>
      <c r="K7" s="726"/>
      <c r="L7" s="726"/>
      <c r="M7" s="726"/>
      <c r="N7" s="727"/>
      <c r="O7" s="546"/>
    </row>
    <row r="8" spans="1:15" s="531" customFormat="1" ht="45" customHeight="1">
      <c r="B8" s="533"/>
      <c r="C8" s="704" t="s">
        <v>613</v>
      </c>
      <c r="D8" s="706" t="s">
        <v>620</v>
      </c>
      <c r="E8" s="708" t="s">
        <v>616</v>
      </c>
      <c r="F8" s="546" t="s">
        <v>88</v>
      </c>
      <c r="G8" s="546">
        <v>156</v>
      </c>
      <c r="H8" s="726" t="s">
        <v>617</v>
      </c>
      <c r="I8" s="726"/>
      <c r="J8" s="726"/>
      <c r="K8" s="726"/>
      <c r="L8" s="726"/>
      <c r="M8" s="726"/>
      <c r="N8" s="727"/>
      <c r="O8" s="546">
        <v>3.3</v>
      </c>
    </row>
    <row r="9" spans="1:15" s="531" customFormat="1" ht="45" customHeight="1">
      <c r="B9" s="533"/>
      <c r="C9" s="705"/>
      <c r="D9" s="707"/>
      <c r="E9" s="709"/>
      <c r="F9" s="546" t="s">
        <v>614</v>
      </c>
      <c r="G9" s="546" t="s">
        <v>615</v>
      </c>
      <c r="H9" s="726" t="s">
        <v>618</v>
      </c>
      <c r="I9" s="726"/>
      <c r="J9" s="726"/>
      <c r="K9" s="726"/>
      <c r="L9" s="726"/>
      <c r="M9" s="726"/>
      <c r="N9" s="727"/>
      <c r="O9" s="546">
        <v>3.3</v>
      </c>
    </row>
    <row r="10" spans="1:15" s="531" customFormat="1" ht="26.4" customHeight="1">
      <c r="B10" s="533"/>
      <c r="C10" s="674" t="s">
        <v>622</v>
      </c>
      <c r="D10" s="683" t="s">
        <v>619</v>
      </c>
      <c r="E10" s="546" t="s">
        <v>623</v>
      </c>
      <c r="F10" s="546" t="s">
        <v>624</v>
      </c>
      <c r="G10" s="546" t="s">
        <v>698</v>
      </c>
      <c r="H10" s="725" t="s">
        <v>699</v>
      </c>
      <c r="I10" s="726"/>
      <c r="J10" s="726"/>
      <c r="K10" s="726"/>
      <c r="L10" s="726"/>
      <c r="M10" s="726"/>
      <c r="N10" s="727"/>
      <c r="O10" s="546">
        <v>3.4</v>
      </c>
    </row>
    <row r="11" spans="1:15" s="531" customFormat="1" ht="26.4" customHeight="1">
      <c r="B11" s="533"/>
      <c r="C11" s="674" t="s">
        <v>749</v>
      </c>
      <c r="D11" s="683" t="s">
        <v>620</v>
      </c>
      <c r="E11" s="546" t="s">
        <v>748</v>
      </c>
      <c r="F11" s="546" t="s">
        <v>745</v>
      </c>
      <c r="G11" s="546" t="s">
        <v>698</v>
      </c>
      <c r="H11" s="725" t="s">
        <v>750</v>
      </c>
      <c r="I11" s="726"/>
      <c r="J11" s="726"/>
      <c r="K11" s="726"/>
      <c r="L11" s="726"/>
      <c r="M11" s="726"/>
      <c r="N11" s="727"/>
      <c r="O11" s="546">
        <v>3.5</v>
      </c>
    </row>
    <row r="12" spans="1:15" s="531" customFormat="1" ht="40.049999999999997" customHeight="1">
      <c r="B12" s="533"/>
      <c r="C12" s="674" t="s">
        <v>749</v>
      </c>
      <c r="D12" s="683" t="s">
        <v>620</v>
      </c>
      <c r="E12" s="546" t="s">
        <v>756</v>
      </c>
      <c r="F12" s="546" t="s">
        <v>757</v>
      </c>
      <c r="G12" s="546"/>
      <c r="H12" s="725" t="s">
        <v>764</v>
      </c>
      <c r="I12" s="726"/>
      <c r="J12" s="726"/>
      <c r="K12" s="726"/>
      <c r="L12" s="726"/>
      <c r="M12" s="726"/>
      <c r="N12" s="727"/>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22" t="s">
        <v>693</v>
      </c>
      <c r="F17" s="728"/>
      <c r="G17" s="728"/>
      <c r="H17" s="728"/>
      <c r="I17" s="728"/>
      <c r="J17" s="728"/>
      <c r="K17" s="728"/>
      <c r="L17" s="728"/>
      <c r="M17" s="728"/>
      <c r="N17" s="729"/>
    </row>
    <row r="18" spans="1:14" s="531" customFormat="1">
      <c r="B18" s="537"/>
      <c r="C18" s="674" t="s">
        <v>622</v>
      </c>
      <c r="D18" s="668" t="s">
        <v>694</v>
      </c>
      <c r="E18" s="722" t="s">
        <v>695</v>
      </c>
      <c r="F18" s="723"/>
      <c r="G18" s="723"/>
      <c r="H18" s="723"/>
      <c r="I18" s="723"/>
      <c r="J18" s="723"/>
      <c r="K18" s="723"/>
      <c r="L18" s="723"/>
      <c r="M18" s="723"/>
      <c r="N18" s="724"/>
    </row>
    <row r="19" spans="1:14" s="531" customFormat="1">
      <c r="B19" s="537"/>
      <c r="C19" s="674" t="s">
        <v>752</v>
      </c>
      <c r="D19" s="668" t="s">
        <v>751</v>
      </c>
      <c r="E19" s="722" t="s">
        <v>693</v>
      </c>
      <c r="F19" s="728"/>
      <c r="G19" s="728"/>
      <c r="H19" s="728"/>
      <c r="I19" s="728"/>
      <c r="J19" s="728"/>
      <c r="K19" s="728"/>
      <c r="L19" s="728"/>
      <c r="M19" s="728"/>
      <c r="N19" s="729"/>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16" t="s">
        <v>288</v>
      </c>
      <c r="C45" s="717"/>
      <c r="D45" s="718"/>
      <c r="E45" s="749" t="s">
        <v>258</v>
      </c>
      <c r="F45" s="749"/>
      <c r="G45" s="751" t="s">
        <v>289</v>
      </c>
      <c r="H45" s="751"/>
      <c r="I45" s="749" t="s">
        <v>271</v>
      </c>
      <c r="J45" s="749"/>
      <c r="K45" s="749"/>
      <c r="L45" s="749"/>
      <c r="M45" s="749"/>
    </row>
    <row r="46" spans="1:13" s="284" customFormat="1" ht="15" customHeight="1">
      <c r="A46" s="283"/>
      <c r="B46" s="719" t="s">
        <v>278</v>
      </c>
      <c r="C46" s="720"/>
      <c r="D46" s="721"/>
      <c r="E46" s="753"/>
      <c r="F46" s="754"/>
      <c r="G46" s="753"/>
      <c r="H46" s="754"/>
      <c r="I46" s="750"/>
      <c r="J46" s="750"/>
      <c r="K46" s="750"/>
      <c r="L46" s="750"/>
      <c r="M46" s="750"/>
    </row>
    <row r="47" spans="1:13" s="282" customFormat="1" ht="59.25" customHeight="1">
      <c r="A47" s="285"/>
      <c r="B47" s="710" t="s">
        <v>112</v>
      </c>
      <c r="C47" s="711"/>
      <c r="D47" s="712"/>
      <c r="E47" s="710" t="s">
        <v>264</v>
      </c>
      <c r="F47" s="712"/>
      <c r="G47" s="739" t="s">
        <v>283</v>
      </c>
      <c r="H47" s="741"/>
      <c r="I47" s="710" t="s">
        <v>362</v>
      </c>
      <c r="J47" s="711"/>
      <c r="K47" s="711"/>
      <c r="L47" s="711"/>
      <c r="M47" s="712"/>
    </row>
    <row r="48" spans="1:13" s="282" customFormat="1" ht="77.25" customHeight="1">
      <c r="A48" s="285"/>
      <c r="B48" s="713"/>
      <c r="C48" s="714"/>
      <c r="D48" s="715"/>
      <c r="E48" s="713"/>
      <c r="F48" s="715"/>
      <c r="G48" s="742"/>
      <c r="H48" s="744"/>
      <c r="I48" s="713" t="s">
        <v>295</v>
      </c>
      <c r="J48" s="714"/>
      <c r="K48" s="714"/>
      <c r="L48" s="714"/>
      <c r="M48" s="715"/>
    </row>
    <row r="49" spans="1:13" s="282" customFormat="1" ht="50.25" customHeight="1">
      <c r="A49" s="285"/>
      <c r="B49" s="752" t="s">
        <v>162</v>
      </c>
      <c r="C49" s="736"/>
      <c r="D49" s="737"/>
      <c r="E49" s="738" t="s">
        <v>259</v>
      </c>
      <c r="F49" s="738"/>
      <c r="G49" s="738" t="s">
        <v>260</v>
      </c>
      <c r="H49" s="738"/>
      <c r="I49" s="710" t="s">
        <v>362</v>
      </c>
      <c r="J49" s="711"/>
      <c r="K49" s="711"/>
      <c r="L49" s="711"/>
      <c r="M49" s="712"/>
    </row>
    <row r="50" spans="1:13" s="282" customFormat="1" ht="76.5" customHeight="1">
      <c r="A50" s="285"/>
      <c r="B50" s="752" t="s">
        <v>263</v>
      </c>
      <c r="C50" s="736"/>
      <c r="D50" s="737"/>
      <c r="E50" s="738" t="s">
        <v>259</v>
      </c>
      <c r="F50" s="738"/>
      <c r="G50" s="738" t="s">
        <v>261</v>
      </c>
      <c r="H50" s="738"/>
      <c r="I50" s="752" t="s">
        <v>363</v>
      </c>
      <c r="J50" s="736"/>
      <c r="K50" s="736"/>
      <c r="L50" s="736"/>
      <c r="M50" s="737"/>
    </row>
    <row r="51" spans="1:13" s="282" customFormat="1" ht="29.25" customHeight="1">
      <c r="A51" s="285"/>
      <c r="B51" s="752" t="s">
        <v>194</v>
      </c>
      <c r="C51" s="736"/>
      <c r="D51" s="737"/>
      <c r="E51" s="738" t="s">
        <v>259</v>
      </c>
      <c r="F51" s="738"/>
      <c r="G51" s="738" t="s">
        <v>262</v>
      </c>
      <c r="H51" s="738"/>
      <c r="I51" s="746"/>
      <c r="J51" s="747"/>
      <c r="K51" s="747"/>
      <c r="L51" s="747"/>
      <c r="M51" s="748"/>
    </row>
    <row r="52" spans="1:13" s="282" customFormat="1" ht="16.5" customHeight="1">
      <c r="B52" s="710" t="s">
        <v>195</v>
      </c>
      <c r="C52" s="711"/>
      <c r="D52" s="712"/>
      <c r="E52" s="710" t="s">
        <v>259</v>
      </c>
      <c r="F52" s="712"/>
      <c r="G52" s="710" t="s">
        <v>265</v>
      </c>
      <c r="H52" s="712"/>
      <c r="I52" s="710" t="s">
        <v>507</v>
      </c>
      <c r="J52" s="711"/>
      <c r="K52" s="711"/>
      <c r="L52" s="711"/>
      <c r="M52" s="712"/>
    </row>
    <row r="53" spans="1:13" s="282" customFormat="1" ht="13.5" customHeight="1">
      <c r="B53" s="762"/>
      <c r="C53" s="760"/>
      <c r="D53" s="763"/>
      <c r="E53" s="762"/>
      <c r="F53" s="763"/>
      <c r="G53" s="762"/>
      <c r="H53" s="763"/>
      <c r="I53" s="759" t="s">
        <v>509</v>
      </c>
      <c r="J53" s="760"/>
      <c r="K53" s="760"/>
      <c r="L53" s="760"/>
      <c r="M53" s="761"/>
    </row>
    <row r="54" spans="1:13" s="282" customFormat="1" ht="11.4" customHeight="1">
      <c r="B54" s="762"/>
      <c r="C54" s="760"/>
      <c r="D54" s="763"/>
      <c r="E54" s="762"/>
      <c r="F54" s="763"/>
      <c r="G54" s="762"/>
      <c r="H54" s="763"/>
      <c r="I54" s="759" t="s">
        <v>508</v>
      </c>
      <c r="J54" s="760"/>
      <c r="K54" s="760"/>
      <c r="L54" s="760"/>
      <c r="M54" s="761"/>
    </row>
    <row r="55" spans="1:13" s="282" customFormat="1" ht="11.4">
      <c r="B55" s="762"/>
      <c r="C55" s="760"/>
      <c r="D55" s="761"/>
      <c r="E55" s="762"/>
      <c r="F55" s="761"/>
      <c r="G55" s="762"/>
      <c r="H55" s="761"/>
      <c r="I55" s="759" t="s">
        <v>510</v>
      </c>
      <c r="J55" s="760"/>
      <c r="K55" s="760"/>
      <c r="L55" s="760"/>
      <c r="M55" s="763"/>
    </row>
    <row r="56" spans="1:13" s="282" customFormat="1" ht="11.4">
      <c r="B56" s="713"/>
      <c r="C56" s="714"/>
      <c r="D56" s="715"/>
      <c r="E56" s="713"/>
      <c r="F56" s="715"/>
      <c r="G56" s="713"/>
      <c r="H56" s="715"/>
      <c r="I56" s="742" t="s">
        <v>360</v>
      </c>
      <c r="J56" s="714"/>
      <c r="K56" s="714"/>
      <c r="L56" s="714"/>
      <c r="M56" s="715"/>
    </row>
    <row r="57" spans="1:13" s="282" customFormat="1" ht="15" customHeight="1">
      <c r="A57" s="285"/>
      <c r="B57" s="719" t="s">
        <v>280</v>
      </c>
      <c r="C57" s="720"/>
      <c r="D57" s="721"/>
      <c r="E57" s="734"/>
      <c r="F57" s="734"/>
      <c r="G57" s="734"/>
      <c r="H57" s="734"/>
      <c r="I57" s="767"/>
      <c r="J57" s="768"/>
      <c r="K57" s="768"/>
      <c r="L57" s="768"/>
      <c r="M57" s="769"/>
    </row>
    <row r="58" spans="1:13" s="282" customFormat="1" ht="56.25" customHeight="1">
      <c r="A58" s="285"/>
      <c r="B58" s="752" t="s">
        <v>279</v>
      </c>
      <c r="C58" s="736"/>
      <c r="D58" s="737"/>
      <c r="E58" s="738" t="s">
        <v>266</v>
      </c>
      <c r="F58" s="738"/>
      <c r="G58" s="738" t="s">
        <v>272</v>
      </c>
      <c r="H58" s="738"/>
      <c r="I58" s="752" t="s">
        <v>506</v>
      </c>
      <c r="J58" s="736"/>
      <c r="K58" s="736"/>
      <c r="L58" s="736"/>
      <c r="M58" s="737"/>
    </row>
    <row r="59" spans="1:13" s="282" customFormat="1" ht="27" customHeight="1">
      <c r="A59" s="285"/>
      <c r="B59" s="719" t="s">
        <v>287</v>
      </c>
      <c r="C59" s="720"/>
      <c r="D59" s="721"/>
      <c r="E59" s="733"/>
      <c r="F59" s="733"/>
      <c r="G59" s="733"/>
      <c r="H59" s="733"/>
      <c r="I59" s="734"/>
      <c r="J59" s="734"/>
      <c r="K59" s="734"/>
      <c r="L59" s="734"/>
      <c r="M59" s="734"/>
    </row>
    <row r="60" spans="1:13" s="282" customFormat="1" ht="37.5" customHeight="1">
      <c r="A60" s="285"/>
      <c r="B60" s="739" t="s">
        <v>291</v>
      </c>
      <c r="C60" s="740"/>
      <c r="D60" s="741"/>
      <c r="E60" s="710" t="s">
        <v>276</v>
      </c>
      <c r="F60" s="712"/>
      <c r="G60" s="710" t="s">
        <v>281</v>
      </c>
      <c r="H60" s="712"/>
      <c r="I60" s="770" t="s">
        <v>290</v>
      </c>
      <c r="J60" s="771"/>
      <c r="K60" s="771"/>
      <c r="L60" s="771"/>
      <c r="M60" s="772"/>
    </row>
    <row r="61" spans="1:13" s="282" customFormat="1" ht="61.5" customHeight="1">
      <c r="A61" s="285"/>
      <c r="B61" s="742"/>
      <c r="C61" s="743"/>
      <c r="D61" s="744"/>
      <c r="E61" s="713"/>
      <c r="F61" s="715"/>
      <c r="G61" s="713"/>
      <c r="H61" s="715"/>
      <c r="I61" s="764" t="s">
        <v>369</v>
      </c>
      <c r="J61" s="765"/>
      <c r="K61" s="765"/>
      <c r="L61" s="765"/>
      <c r="M61" s="766"/>
    </row>
    <row r="62" spans="1:13" s="282" customFormat="1" ht="57.75" customHeight="1">
      <c r="A62" s="285"/>
      <c r="B62" s="735" t="s">
        <v>292</v>
      </c>
      <c r="C62" s="736"/>
      <c r="D62" s="737"/>
      <c r="E62" s="738" t="s">
        <v>755</v>
      </c>
      <c r="F62" s="738"/>
      <c r="G62" s="738" t="s">
        <v>282</v>
      </c>
      <c r="H62" s="738"/>
      <c r="I62" s="773" t="s">
        <v>293</v>
      </c>
      <c r="J62" s="774"/>
      <c r="K62" s="774"/>
      <c r="L62" s="774"/>
      <c r="M62" s="775"/>
    </row>
    <row r="63" spans="1:13" s="282" customFormat="1" ht="29.25" customHeight="1">
      <c r="A63" s="285"/>
      <c r="B63" s="735" t="s">
        <v>273</v>
      </c>
      <c r="C63" s="736"/>
      <c r="D63" s="737"/>
      <c r="E63" s="738" t="s">
        <v>755</v>
      </c>
      <c r="F63" s="738"/>
      <c r="G63" s="738" t="s">
        <v>282</v>
      </c>
      <c r="H63" s="738"/>
      <c r="I63" s="745"/>
      <c r="J63" s="745"/>
      <c r="K63" s="745"/>
      <c r="L63" s="745"/>
      <c r="M63" s="745"/>
    </row>
    <row r="64" spans="1:13" s="282" customFormat="1" ht="15" customHeight="1">
      <c r="A64" s="285"/>
      <c r="B64" s="719" t="s">
        <v>286</v>
      </c>
      <c r="C64" s="720"/>
      <c r="D64" s="721"/>
      <c r="E64" s="733"/>
      <c r="F64" s="733"/>
      <c r="G64" s="733"/>
      <c r="H64" s="733"/>
      <c r="I64" s="734"/>
      <c r="J64" s="734"/>
      <c r="K64" s="734"/>
      <c r="L64" s="734"/>
      <c r="M64" s="734"/>
    </row>
    <row r="65" spans="1:13" s="282" customFormat="1" ht="50.25" customHeight="1">
      <c r="A65" s="285"/>
      <c r="B65" s="710" t="s">
        <v>171</v>
      </c>
      <c r="C65" s="711"/>
      <c r="D65" s="712"/>
      <c r="E65" s="755" t="s">
        <v>294</v>
      </c>
      <c r="F65" s="756"/>
      <c r="G65" s="710"/>
      <c r="H65" s="712"/>
      <c r="I65" s="710" t="s">
        <v>298</v>
      </c>
      <c r="J65" s="711"/>
      <c r="K65" s="711"/>
      <c r="L65" s="711"/>
      <c r="M65" s="712"/>
    </row>
    <row r="66" spans="1:13" s="282" customFormat="1" ht="42" customHeight="1">
      <c r="A66" s="285"/>
      <c r="B66" s="713"/>
      <c r="C66" s="714"/>
      <c r="D66" s="715"/>
      <c r="E66" s="757" t="s">
        <v>754</v>
      </c>
      <c r="F66" s="758"/>
      <c r="G66" s="713"/>
      <c r="H66" s="715"/>
      <c r="I66" s="713"/>
      <c r="J66" s="714"/>
      <c r="K66" s="714"/>
      <c r="L66" s="714"/>
      <c r="M66" s="715"/>
    </row>
    <row r="67" spans="1:13" s="282" customFormat="1" ht="68.25" customHeight="1">
      <c r="A67" s="285"/>
      <c r="B67" s="710" t="s">
        <v>172</v>
      </c>
      <c r="C67" s="711"/>
      <c r="D67" s="712"/>
      <c r="E67" s="710" t="s">
        <v>259</v>
      </c>
      <c r="F67" s="712"/>
      <c r="G67" s="710" t="s">
        <v>296</v>
      </c>
      <c r="H67" s="712"/>
      <c r="I67" s="770" t="s">
        <v>370</v>
      </c>
      <c r="J67" s="771"/>
      <c r="K67" s="771"/>
      <c r="L67" s="771"/>
      <c r="M67" s="772"/>
    </row>
    <row r="68" spans="1:13" s="282" customFormat="1" ht="55.5" customHeight="1">
      <c r="A68" s="285"/>
      <c r="B68" s="713"/>
      <c r="C68" s="714"/>
      <c r="D68" s="715"/>
      <c r="E68" s="713" t="s">
        <v>582</v>
      </c>
      <c r="F68" s="715"/>
      <c r="G68" s="713"/>
      <c r="H68" s="715"/>
      <c r="I68" s="764" t="s">
        <v>372</v>
      </c>
      <c r="J68" s="765"/>
      <c r="K68" s="765"/>
      <c r="L68" s="765"/>
      <c r="M68" s="766"/>
    </row>
    <row r="69" spans="1:13" s="282" customFormat="1" ht="15" customHeight="1">
      <c r="A69" s="285"/>
      <c r="B69" s="719" t="s">
        <v>285</v>
      </c>
      <c r="C69" s="720"/>
      <c r="D69" s="721"/>
      <c r="E69" s="733"/>
      <c r="F69" s="733"/>
      <c r="G69" s="733"/>
      <c r="H69" s="733"/>
      <c r="I69" s="734"/>
      <c r="J69" s="734"/>
      <c r="K69" s="734"/>
      <c r="L69" s="734"/>
      <c r="M69" s="734"/>
    </row>
    <row r="70" spans="1:13" s="282" customFormat="1" ht="39" customHeight="1">
      <c r="A70" s="285"/>
      <c r="B70" s="738" t="s">
        <v>269</v>
      </c>
      <c r="C70" s="738"/>
      <c r="D70" s="738"/>
      <c r="E70" s="738" t="s">
        <v>264</v>
      </c>
      <c r="F70" s="738"/>
      <c r="G70" s="776" t="s">
        <v>284</v>
      </c>
      <c r="H70" s="738"/>
      <c r="I70" s="745"/>
      <c r="J70" s="745"/>
      <c r="K70" s="745"/>
      <c r="L70" s="745"/>
      <c r="M70" s="745"/>
    </row>
    <row r="71" spans="1:13" s="282" customFormat="1" ht="30.75" customHeight="1">
      <c r="A71" s="285"/>
      <c r="B71" s="738" t="s">
        <v>174</v>
      </c>
      <c r="C71" s="738"/>
      <c r="D71" s="738"/>
      <c r="E71" s="738" t="s">
        <v>580</v>
      </c>
      <c r="F71" s="738"/>
      <c r="G71" s="738" t="s">
        <v>88</v>
      </c>
      <c r="H71" s="738"/>
      <c r="I71" s="745"/>
      <c r="J71" s="745"/>
      <c r="K71" s="745"/>
      <c r="L71" s="745"/>
      <c r="M71" s="745"/>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 ref="E68:F68"/>
    <mergeCell ref="I65:M66"/>
    <mergeCell ref="I60:M60"/>
    <mergeCell ref="I62:M62"/>
    <mergeCell ref="G67:H68"/>
    <mergeCell ref="I58:M58"/>
    <mergeCell ref="G57:H57"/>
    <mergeCell ref="G59:H59"/>
    <mergeCell ref="I59:M59"/>
    <mergeCell ref="I57:M57"/>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B49:D49"/>
    <mergeCell ref="B58:D58"/>
    <mergeCell ref="E58:F58"/>
    <mergeCell ref="G58:H58"/>
    <mergeCell ref="E50:F50"/>
    <mergeCell ref="B50:D50"/>
    <mergeCell ref="B51:D51"/>
    <mergeCell ref="E51:F51"/>
    <mergeCell ref="G51:H51"/>
    <mergeCell ref="B65:D66"/>
    <mergeCell ref="E65:F65"/>
    <mergeCell ref="G65:H65"/>
    <mergeCell ref="G66:H66"/>
    <mergeCell ref="E66:F66"/>
    <mergeCell ref="I50:M50"/>
    <mergeCell ref="E46:F46"/>
    <mergeCell ref="G46:H46"/>
    <mergeCell ref="G47:H48"/>
    <mergeCell ref="E47:F48"/>
    <mergeCell ref="I49:M49"/>
    <mergeCell ref="G49:H49"/>
    <mergeCell ref="G50:H50"/>
    <mergeCell ref="I47:M47"/>
    <mergeCell ref="I48:M48"/>
    <mergeCell ref="H7:N7"/>
    <mergeCell ref="E17:N17"/>
    <mergeCell ref="E45:F45"/>
    <mergeCell ref="G45:H45"/>
    <mergeCell ref="H8:N8"/>
    <mergeCell ref="H9:N9"/>
    <mergeCell ref="H10:N10"/>
    <mergeCell ref="H12:N12"/>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C8:C9"/>
    <mergeCell ref="D8:D9"/>
    <mergeCell ref="E8:E9"/>
    <mergeCell ref="B47:D48"/>
    <mergeCell ref="B45:D45"/>
    <mergeCell ref="B46:D46"/>
    <mergeCell ref="E18:N18"/>
    <mergeCell ref="H11:N11"/>
    <mergeCell ref="E19:N19"/>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-2.1661083748487351</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3.7600000000000001E-2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0.96376252891287584</v>
      </c>
      <c r="T20" s="610">
        <f t="shared" si="4"/>
        <v>0.92883821213654183</v>
      </c>
      <c r="U20" s="610">
        <f t="shared" si="4"/>
        <v>0.8951794642796278</v>
      </c>
      <c r="V20" s="611">
        <f t="shared" si="4"/>
        <v>0.86274042432500742</v>
      </c>
    </row>
    <row r="21" spans="1:22" s="138" customFormat="1">
      <c r="C21" s="139"/>
      <c r="D21" s="153" t="s">
        <v>556</v>
      </c>
      <c r="E21" s="645" t="s">
        <v>570</v>
      </c>
      <c r="F21" s="142"/>
      <c r="G21" s="134"/>
      <c r="H21" s="134"/>
      <c r="I21" s="134"/>
      <c r="J21" s="135"/>
      <c r="K21" s="135"/>
      <c r="L21" s="135"/>
      <c r="M21" s="135"/>
      <c r="N21" s="608"/>
      <c r="O21" s="37"/>
      <c r="P21" s="613">
        <f>SUM(R20:V20)</f>
        <v>4.6505206296540527</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-2.1661083748487351</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0.96376252891287584</v>
      </c>
      <c r="T35" s="616">
        <f>T$20</f>
        <v>0.92883821213654183</v>
      </c>
      <c r="U35" s="616">
        <f>U$20</f>
        <v>0.8951794642796278</v>
      </c>
      <c r="V35" s="621">
        <f>V$20</f>
        <v>0.86274042432500742</v>
      </c>
    </row>
    <row r="36" spans="1:22" s="37" customFormat="1">
      <c r="C36" s="131"/>
      <c r="D36" s="104" t="s">
        <v>57</v>
      </c>
      <c r="E36" s="643" t="s">
        <v>411</v>
      </c>
      <c r="F36" s="131"/>
      <c r="G36" s="148"/>
      <c r="H36" s="148"/>
      <c r="I36" s="148"/>
      <c r="J36" s="106"/>
      <c r="K36" s="106"/>
      <c r="L36" s="106"/>
      <c r="M36" s="106"/>
      <c r="N36" s="612"/>
      <c r="O36" s="203"/>
      <c r="P36" s="136"/>
      <c r="Q36" s="131"/>
      <c r="R36" s="603">
        <f>R31*R35</f>
        <v>-2.1661083748487351</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-2.1661083748487351</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-2.1661083748487351</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4.6505206296540527</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-0.46577760800297097</v>
      </c>
      <c r="S47" s="616">
        <f t="shared" si="8"/>
        <v>-0.46577760800297097</v>
      </c>
      <c r="T47" s="616">
        <f t="shared" si="8"/>
        <v>-0.46577760800297097</v>
      </c>
      <c r="U47" s="616">
        <f t="shared" si="8"/>
        <v>-0.46577760800297097</v>
      </c>
      <c r="V47" s="623">
        <f t="shared" si="8"/>
        <v>-0.46577760800297097</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0.96376252891287584</v>
      </c>
      <c r="T51" s="616">
        <f>T$20</f>
        <v>0.92883821213654183</v>
      </c>
      <c r="U51" s="616">
        <f>U$20</f>
        <v>0.8951794642796278</v>
      </c>
      <c r="V51" s="621">
        <f>V$20</f>
        <v>0.86274042432500742</v>
      </c>
    </row>
    <row r="52" spans="1:22" s="37" customFormat="1">
      <c r="C52" s="131"/>
      <c r="D52" s="104" t="s">
        <v>57</v>
      </c>
      <c r="E52" s="643" t="s">
        <v>411</v>
      </c>
      <c r="F52" s="131"/>
      <c r="G52" s="148"/>
      <c r="H52" s="148"/>
      <c r="I52" s="148"/>
      <c r="J52" s="106"/>
      <c r="K52" s="106"/>
      <c r="L52" s="106"/>
      <c r="M52" s="106"/>
      <c r="N52" s="612"/>
      <c r="O52" s="203"/>
      <c r="P52" s="136"/>
      <c r="Q52" s="131"/>
      <c r="R52" s="603">
        <f>R47*R51</f>
        <v>-0.46577760800297097</v>
      </c>
      <c r="S52" s="616">
        <f t="shared" ref="S52" si="9">S47*S51</f>
        <v>-0.44889900539993344</v>
      </c>
      <c r="T52" s="616">
        <f t="shared" ref="T52" si="10">T47*T51</f>
        <v>-0.43263204067071459</v>
      </c>
      <c r="U52" s="616">
        <f t="shared" ref="U52" si="11">U47*U51</f>
        <v>-0.41695454960554601</v>
      </c>
      <c r="V52" s="621">
        <f t="shared" ref="V52" si="12">V47*V51</f>
        <v>-0.40184517116957014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-2.1661083748487351</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-2.1661083748487351</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-0.43322167496974701</v>
      </c>
      <c r="S64" s="616">
        <f t="shared" ref="S64:V64" si="17">IF(S$62+1&lt;=$P$61,$P59/$P$61,0)</f>
        <v>-0.43322167496974701</v>
      </c>
      <c r="T64" s="616">
        <f t="shared" si="17"/>
        <v>-0.43322167496974701</v>
      </c>
      <c r="U64" s="616">
        <f t="shared" si="17"/>
        <v>-0.43322167496974701</v>
      </c>
      <c r="V64" s="623">
        <f t="shared" si="17"/>
        <v>-0.43322167496974701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0.96376252891287584</v>
      </c>
      <c r="T68" s="616">
        <f>T$20</f>
        <v>0.92883821213654183</v>
      </c>
      <c r="U68" s="616">
        <f>U$20</f>
        <v>0.8951794642796278</v>
      </c>
      <c r="V68" s="621">
        <f>V$20</f>
        <v>0.86274042432500742</v>
      </c>
    </row>
    <row r="69" spans="1:22" s="37" customFormat="1">
      <c r="C69" s="131"/>
      <c r="D69" s="104" t="s">
        <v>57</v>
      </c>
      <c r="E69" s="643" t="s">
        <v>411</v>
      </c>
      <c r="F69" s="131"/>
      <c r="G69" s="148"/>
      <c r="H69" s="148"/>
      <c r="I69" s="148"/>
      <c r="J69" s="106"/>
      <c r="K69" s="106"/>
      <c r="L69" s="106"/>
      <c r="M69" s="106"/>
      <c r="N69" s="612"/>
      <c r="O69" s="203"/>
      <c r="P69" s="136"/>
      <c r="Q69" s="131"/>
      <c r="R69" s="603">
        <f>R64*R68</f>
        <v>-0.43322167496974701</v>
      </c>
      <c r="S69" s="616">
        <f t="shared" ref="S69" si="19">S64*S68</f>
        <v>-0.4175228170487153</v>
      </c>
      <c r="T69" s="616">
        <f t="shared" ref="T69" si="20">T64*T68</f>
        <v>-0.40239284603769787</v>
      </c>
      <c r="U69" s="616">
        <f t="shared" ref="U69" si="21">U64*U68</f>
        <v>-0.38781114691374119</v>
      </c>
      <c r="V69" s="621">
        <f t="shared" ref="V69" si="22">V64*V68</f>
        <v>-0.37375785169018999</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-2.0147063366600912</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-2.1661083748487351</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3.7600000000000001E-2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-0.43322167496974701</v>
      </c>
      <c r="S82" s="616">
        <f t="shared" ref="S82:V82" si="26">IF(S$62+1&lt;=$P$78,$P76/$P$78,0) * (1+$P$79)^S$80</f>
        <v>-0.44951080994860954</v>
      </c>
      <c r="T82" s="616">
        <f t="shared" si="26"/>
        <v>-0.46641241640267722</v>
      </c>
      <c r="U82" s="616">
        <f t="shared" si="26"/>
        <v>-0.48394952325941792</v>
      </c>
      <c r="V82" s="623">
        <f t="shared" si="26"/>
        <v>-0.50214602533397212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0.96376252891287584</v>
      </c>
      <c r="T86" s="616">
        <f>T$20</f>
        <v>0.92883821213654183</v>
      </c>
      <c r="U86" s="616">
        <f>U$20</f>
        <v>0.8951794642796278</v>
      </c>
      <c r="V86" s="621">
        <f>V$20</f>
        <v>0.86274042432500742</v>
      </c>
    </row>
    <row r="87" spans="1:22" s="37" customFormat="1">
      <c r="C87" s="131"/>
      <c r="D87" s="104" t="s">
        <v>57</v>
      </c>
      <c r="E87" s="643" t="s">
        <v>411</v>
      </c>
      <c r="F87" s="131"/>
      <c r="G87" s="148"/>
      <c r="H87" s="148"/>
      <c r="I87" s="148"/>
      <c r="J87" s="106"/>
      <c r="K87" s="106"/>
      <c r="L87" s="106"/>
      <c r="M87" s="106"/>
      <c r="N87" s="612"/>
      <c r="O87" s="203"/>
      <c r="P87" s="136"/>
      <c r="Q87" s="131"/>
      <c r="R87" s="603">
        <f>R82*R86</f>
        <v>-0.43322167496974701</v>
      </c>
      <c r="S87" s="616">
        <f t="shared" ref="S87" si="28">S82*S86</f>
        <v>-0.43322167496974701</v>
      </c>
      <c r="T87" s="616">
        <f t="shared" ref="T87" si="29">T82*T86</f>
        <v>-0.43322167496974701</v>
      </c>
      <c r="U87" s="616">
        <f t="shared" ref="U87" si="30">U82*U86</f>
        <v>-0.43322167496974701</v>
      </c>
      <c r="V87" s="621">
        <f t="shared" ref="V87" si="31">V82*V86</f>
        <v>-0.43322167496974701</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-2.1661083748487351</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-0.57045252952659142</v>
      </c>
      <c r="S94" s="616">
        <f>Calc!K196</f>
        <v>-0.49766395861860357</v>
      </c>
      <c r="T94" s="616">
        <f>Calc!L196</f>
        <v>-0.66921010303508399</v>
      </c>
      <c r="U94" s="616">
        <f>Calc!M196</f>
        <v>-0.2580877910346524</v>
      </c>
      <c r="V94" s="623">
        <f>Calc!N196</f>
        <v>-0.17069399263380383</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0.96376252891287584</v>
      </c>
      <c r="T98" s="616">
        <f>T$20</f>
        <v>0.92883821213654183</v>
      </c>
      <c r="U98" s="616">
        <f>U$20</f>
        <v>0.8951794642796278</v>
      </c>
      <c r="V98" s="621">
        <f>V$20</f>
        <v>0.86274042432500742</v>
      </c>
    </row>
    <row r="99" spans="1:22" s="37" customFormat="1">
      <c r="C99" s="131"/>
      <c r="D99" s="104" t="s">
        <v>57</v>
      </c>
      <c r="E99" s="643" t="s">
        <v>411</v>
      </c>
      <c r="F99" s="131"/>
      <c r="G99" s="148"/>
      <c r="H99" s="148"/>
      <c r="I99" s="148"/>
      <c r="J99" s="106"/>
      <c r="K99" s="106"/>
      <c r="L99" s="106"/>
      <c r="M99" s="106"/>
      <c r="N99" s="612"/>
      <c r="O99" s="203"/>
      <c r="P99" s="136"/>
      <c r="Q99" s="131"/>
      <c r="R99" s="603">
        <f>R94*R98</f>
        <v>-0.57045252952659142</v>
      </c>
      <c r="S99" s="616">
        <f t="shared" ref="S99" si="33">S94*S98</f>
        <v>-0.4796298753070582</v>
      </c>
      <c r="T99" s="616">
        <f t="shared" ref="T99" si="34">T94*T98</f>
        <v>-0.62158791564681837</v>
      </c>
      <c r="U99" s="616">
        <f t="shared" ref="U99" si="35">U94*U98</f>
        <v>-0.23103489051551265</v>
      </c>
      <c r="V99" s="621">
        <f t="shared" ref="V99" si="36">V94*V98</f>
        <v>-0.1472646076346176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-2.0499698186305984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-0.57045252952659142</v>
      </c>
      <c r="S106" s="616">
        <f>Calc!K196</f>
        <v>-0.49766395861860357</v>
      </c>
      <c r="T106" s="616">
        <f>Calc!L196</f>
        <v>-0.66921010303508399</v>
      </c>
      <c r="U106" s="616">
        <f>Calc!M196</f>
        <v>-0.2580877910346524</v>
      </c>
      <c r="V106" s="623">
        <f>Calc!N196</f>
        <v>-0.17069399263380383</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0.96376252891287584</v>
      </c>
      <c r="T110" s="616">
        <f>T$20</f>
        <v>0.92883821213654183</v>
      </c>
      <c r="U110" s="616">
        <f>U$20</f>
        <v>0.8951794642796278</v>
      </c>
      <c r="V110" s="621">
        <f>V$20</f>
        <v>0.86274042432500742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-0.57045252952659142</v>
      </c>
      <c r="S111" s="616">
        <f t="shared" ref="S111" si="38">S106*S110</f>
        <v>-0.4796298753070582</v>
      </c>
      <c r="T111" s="616">
        <f t="shared" ref="T111" si="39">T106*T110</f>
        <v>-0.62158791564681837</v>
      </c>
      <c r="U111" s="616">
        <f t="shared" ref="U111" si="40">U106*U110</f>
        <v>-0.23103489051551265</v>
      </c>
      <c r="V111" s="621">
        <f t="shared" ref="V111" si="41">V106*V110</f>
        <v>-0.1472646076346176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-2.0499698186305984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-2.0499698186305984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-2.1661083748487351</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1.0566537883449028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-0.60277082639520529</v>
      </c>
      <c r="S123" s="616">
        <f t="shared" si="43"/>
        <v>-0.52585850719706839</v>
      </c>
      <c r="T123" s="616">
        <f t="shared" si="43"/>
        <v>-0.70712339057070417</v>
      </c>
      <c r="U123" s="616">
        <f t="shared" si="43"/>
        <v>-0.27270944212233311</v>
      </c>
      <c r="V123" s="621">
        <f t="shared" si="43"/>
        <v>-0.18036445396422573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0.96376252891287584</v>
      </c>
      <c r="T127" s="616">
        <f>T$20</f>
        <v>0.92883821213654183</v>
      </c>
      <c r="U127" s="616">
        <f>U$20</f>
        <v>0.8951794642796278</v>
      </c>
      <c r="V127" s="621">
        <f>V$20</f>
        <v>0.86274042432500742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-0.60277082639520529</v>
      </c>
      <c r="S128" s="616">
        <f t="shared" ref="S128" si="44">S123*S127</f>
        <v>-0.50680272474659638</v>
      </c>
      <c r="T128" s="616">
        <f t="shared" ref="T128" si="45">T123*T127</f>
        <v>-0.65680322585762241</v>
      </c>
      <c r="U128" s="616">
        <f t="shared" ref="U128" si="46">U123*U127</f>
        <v>-0.24412389230306633</v>
      </c>
      <c r="V128" s="621">
        <f t="shared" ref="V128" si="47">V123*V127</f>
        <v>-0.15560770554624437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-2.1661083748487346</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-2.1661083748487351</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-0.46577760800297097</v>
      </c>
      <c r="S138" s="616">
        <f>S47</f>
        <v>-0.46577760800297097</v>
      </c>
      <c r="T138" s="616">
        <f>T47</f>
        <v>-0.46577760800297097</v>
      </c>
      <c r="U138" s="616">
        <f>U47</f>
        <v>-0.46577760800297097</v>
      </c>
      <c r="V138" s="621">
        <f>V47</f>
        <v>-0.46577760800297097</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-0.43322167496974701</v>
      </c>
      <c r="S139" s="616">
        <f>S64</f>
        <v>-0.43322167496974701</v>
      </c>
      <c r="T139" s="616">
        <f>T64</f>
        <v>-0.43322167496974701</v>
      </c>
      <c r="U139" s="616">
        <f>U64</f>
        <v>-0.43322167496974701</v>
      </c>
      <c r="V139" s="621">
        <f>V64</f>
        <v>-0.43322167496974701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-0.43322167496974701</v>
      </c>
      <c r="S140" s="616">
        <f>S82</f>
        <v>-0.44951080994860954</v>
      </c>
      <c r="T140" s="616">
        <f>T82</f>
        <v>-0.46641241640267722</v>
      </c>
      <c r="U140" s="616">
        <f>U82</f>
        <v>-0.48394952325941792</v>
      </c>
      <c r="V140" s="621">
        <f>V82</f>
        <v>-0.50214602533397212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-0.57045252952659142</v>
      </c>
      <c r="S141" s="616">
        <f>S94</f>
        <v>-0.49766395861860357</v>
      </c>
      <c r="T141" s="616">
        <f>T94</f>
        <v>-0.66921010303508399</v>
      </c>
      <c r="U141" s="616">
        <f>U94</f>
        <v>-0.2580877910346524</v>
      </c>
      <c r="V141" s="621">
        <f>V94</f>
        <v>-0.17069399263380383</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-0.60277082639520529</v>
      </c>
      <c r="S142" s="616">
        <f t="shared" si="50"/>
        <v>-0.52585850719706839</v>
      </c>
      <c r="T142" s="616">
        <f t="shared" si="50"/>
        <v>-0.70712339057070417</v>
      </c>
      <c r="U142" s="616">
        <f t="shared" si="50"/>
        <v>-0.27270944212233311</v>
      </c>
      <c r="V142" s="621">
        <f t="shared" si="50"/>
        <v>-0.18036445396422573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-0.46577760800297097</v>
      </c>
      <c r="S143" s="630">
        <f t="shared" ref="S143:V143" si="51">CHOOSE($P$135+1,S137,S138,S139,S140,S141,S142)</f>
        <v>-0.46577760800297097</v>
      </c>
      <c r="T143" s="630">
        <f t="shared" si="51"/>
        <v>-0.46577760800297097</v>
      </c>
      <c r="U143" s="630">
        <f t="shared" si="51"/>
        <v>-0.46577760800297097</v>
      </c>
      <c r="V143" s="631">
        <f t="shared" si="51"/>
        <v>-0.46577760800297097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-0.46577760800297097</v>
      </c>
      <c r="S156" s="627">
        <f t="shared" ref="S156:V156" si="58">S143</f>
        <v>-0.46577760800297097</v>
      </c>
      <c r="T156" s="627">
        <f t="shared" si="58"/>
        <v>-0.46577760800297097</v>
      </c>
      <c r="U156" s="627">
        <f t="shared" si="58"/>
        <v>-0.46577760800297097</v>
      </c>
      <c r="V156" s="628">
        <f t="shared" si="58"/>
        <v>-0.46577760800297097</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4.9178699999999997</v>
      </c>
      <c r="K16" s="121">
        <f>'Input FD'!K10</f>
        <v>5.2240770000000003</v>
      </c>
      <c r="L16" s="121">
        <f>'Input FD'!L10</f>
        <v>4.9178699999999997</v>
      </c>
      <c r="M16" s="121">
        <f>'Input FD'!M10</f>
        <v>4.9178699999999997</v>
      </c>
      <c r="N16" s="121">
        <f>'Input FD'!N10</f>
        <v>4.9178699999999997</v>
      </c>
      <c r="O16" s="113"/>
      <c r="P16" s="113"/>
      <c r="Q16" s="113"/>
      <c r="R16" s="113"/>
      <c r="S16" s="113"/>
      <c r="T16" s="115"/>
      <c r="U16" s="122">
        <f t="shared" ref="U16:U34" si="0">SUM(J16:N16)</f>
        <v>24.895557</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3.363</v>
      </c>
      <c r="K17" s="121">
        <f>'Input FD'!K11</f>
        <v>1.363</v>
      </c>
      <c r="L17" s="121">
        <f>'Input FD'!L11</f>
        <v>6.4379999999999997</v>
      </c>
      <c r="M17" s="121">
        <f>'Input FD'!M11</f>
        <v>1.44</v>
      </c>
      <c r="N17" s="121">
        <f>'Input FD'!N11</f>
        <v>1.389</v>
      </c>
      <c r="O17" s="113"/>
      <c r="P17" s="113"/>
      <c r="Q17" s="113"/>
      <c r="R17" s="113"/>
      <c r="S17" s="113"/>
      <c r="T17" s="115"/>
      <c r="U17" s="122">
        <f t="shared" si="0"/>
        <v>13.992999999999999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0.53</v>
      </c>
      <c r="K18" s="121">
        <f>'Input FD'!K12</f>
        <v>0.53</v>
      </c>
      <c r="L18" s="121">
        <f>'Input FD'!L12</f>
        <v>0.53</v>
      </c>
      <c r="M18" s="121">
        <f>'Input FD'!M12</f>
        <v>0.53</v>
      </c>
      <c r="N18" s="121">
        <f>'Input FD'!N12</f>
        <v>0.53</v>
      </c>
      <c r="O18" s="113"/>
      <c r="P18" s="113"/>
      <c r="Q18" s="113"/>
      <c r="R18" s="113"/>
      <c r="S18" s="113"/>
      <c r="T18" s="115"/>
      <c r="U18" s="122">
        <f t="shared" si="0"/>
        <v>2.6500000000000004</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2.2229999999999999</v>
      </c>
      <c r="K19" s="121">
        <f>'Input FD'!K13</f>
        <v>2.4260000000000002</v>
      </c>
      <c r="L19" s="121">
        <f>'Input FD'!L13</f>
        <v>1.585</v>
      </c>
      <c r="M19" s="121">
        <f>'Input FD'!M13</f>
        <v>0.94599999999999995</v>
      </c>
      <c r="N19" s="121">
        <f>'Input FD'!N13</f>
        <v>0.91600000000000004</v>
      </c>
      <c r="O19" s="113"/>
      <c r="P19" s="113"/>
      <c r="Q19" s="113"/>
      <c r="R19" s="113"/>
      <c r="S19" s="113"/>
      <c r="T19" s="115"/>
      <c r="U19" s="122">
        <f t="shared" si="0"/>
        <v>8.0960000000000001</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-1.6539999999999999</v>
      </c>
      <c r="K20" s="121">
        <f>-'Input FD'!K14</f>
        <v>-1.6539999999999999</v>
      </c>
      <c r="L20" s="121">
        <f>-'Input FD'!L14</f>
        <v>-1.6539999999999999</v>
      </c>
      <c r="M20" s="121">
        <f>-'Input FD'!M14</f>
        <v>-1.6539999999999999</v>
      </c>
      <c r="N20" s="121">
        <f>-'Input FD'!N14</f>
        <v>-1.6539999999999999</v>
      </c>
      <c r="O20" s="113"/>
      <c r="P20" s="113"/>
      <c r="Q20" s="113"/>
      <c r="R20" s="113"/>
      <c r="S20" s="113"/>
      <c r="T20" s="115"/>
      <c r="U20" s="122">
        <f t="shared" si="0"/>
        <v>-8.27</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9.3798700000000004</v>
      </c>
      <c r="K24" s="121">
        <f>Calc!K55</f>
        <v>7.8890770000000003</v>
      </c>
      <c r="L24" s="121">
        <f>Calc!L55</f>
        <v>11.816869999999998</v>
      </c>
      <c r="M24" s="121">
        <f>Calc!M55</f>
        <v>6.1798700000000002</v>
      </c>
      <c r="N24" s="121">
        <f>Calc!N55</f>
        <v>6.0988700000000007</v>
      </c>
      <c r="O24" s="113"/>
      <c r="P24" s="113"/>
      <c r="Q24" s="113"/>
      <c r="R24" s="113"/>
      <c r="S24" s="113"/>
      <c r="T24" s="115"/>
      <c r="U24" s="122">
        <f t="shared" si="0"/>
        <v>41.364556999999998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4.39597987914164</v>
      </c>
      <c r="K37" s="121">
        <f>'Input FD'!K30</f>
        <v>4.6510130665451204</v>
      </c>
      <c r="L37" s="121">
        <f>'Input FD'!L30</f>
        <v>4.36088237578657</v>
      </c>
      <c r="M37" s="121">
        <f>'Input FD'!M30</f>
        <v>4.3434388462834201</v>
      </c>
      <c r="N37" s="121">
        <f>'Input FD'!N30</f>
        <v>4.3260650908982896</v>
      </c>
      <c r="O37" s="113"/>
      <c r="P37" s="113"/>
      <c r="Q37" s="113"/>
      <c r="R37" s="113"/>
      <c r="S37" s="113"/>
      <c r="T37" s="115"/>
      <c r="U37" s="122">
        <f t="shared" ref="U37:U51" si="4">SUM(J37:N37)</f>
        <v>22.077379258655039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3.2235510857021099</v>
      </c>
      <c r="K38" s="121">
        <f>'Input FD'!K31</f>
        <v>1.34033005536492</v>
      </c>
      <c r="L38" s="121">
        <f>'Input FD'!L31</f>
        <v>5.9497362521654003</v>
      </c>
      <c r="M38" s="121">
        <f>'Input FD'!M31</f>
        <v>1.4053301155664399</v>
      </c>
      <c r="N38" s="121">
        <f>'Input FD'!N31</f>
        <v>1.34053370287739</v>
      </c>
      <c r="O38" s="113"/>
      <c r="P38" s="113"/>
      <c r="Q38" s="113"/>
      <c r="R38" s="113"/>
      <c r="S38" s="113"/>
      <c r="T38" s="115"/>
      <c r="U38" s="122">
        <f t="shared" si="4"/>
        <v>13.25948121167626</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0.21718470970666401</v>
      </c>
      <c r="K39" s="121">
        <f>'Input FD'!K32</f>
        <v>0.24954331987061401</v>
      </c>
      <c r="L39" s="121">
        <f>'Input FD'!L32</f>
        <v>0.12599632392409499</v>
      </c>
      <c r="M39" s="121">
        <f>'Input FD'!M32</f>
        <v>9.0676335970493405E-2</v>
      </c>
      <c r="N39" s="121">
        <f>'Input FD'!N32</f>
        <v>8.0983932121316701E-2</v>
      </c>
      <c r="O39" s="113"/>
      <c r="P39" s="113"/>
      <c r="Q39" s="113"/>
      <c r="R39" s="113"/>
      <c r="S39" s="113"/>
      <c r="T39" s="115"/>
      <c r="U39" s="122">
        <f t="shared" si="4"/>
        <v>0.7643846215931831</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0.63114986371487602</v>
      </c>
      <c r="K40" s="121">
        <f>'Input FD'!K33</f>
        <v>0.86245614511963997</v>
      </c>
      <c r="L40" s="121">
        <f>'Input FD'!L33</f>
        <v>0.247369025186678</v>
      </c>
      <c r="M40" s="121">
        <f>'Input FD'!M33</f>
        <v>0.15521825778614701</v>
      </c>
      <c r="N40" s="121">
        <f>'Input FD'!N33</f>
        <v>0.13423075676061499</v>
      </c>
      <c r="O40" s="113"/>
      <c r="P40" s="113"/>
      <c r="Q40" s="113"/>
      <c r="R40" s="113"/>
      <c r="S40" s="113"/>
      <c r="T40" s="115"/>
      <c r="U40" s="122">
        <f t="shared" si="4"/>
        <v>2.0304240485679559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8.4678655382652899</v>
      </c>
      <c r="K43" s="121">
        <f>Calc!K56</f>
        <v>7.1033425869002933</v>
      </c>
      <c r="L43" s="121">
        <f>Calc!L56</f>
        <v>10.683983977062745</v>
      </c>
      <c r="M43" s="121">
        <f>Calc!M56</f>
        <v>5.9946635556065004</v>
      </c>
      <c r="N43" s="121">
        <f>Calc!N56</f>
        <v>5.8818134826576109</v>
      </c>
      <c r="O43" s="113"/>
      <c r="P43" s="113"/>
      <c r="Q43" s="113"/>
      <c r="R43" s="113"/>
      <c r="S43" s="113"/>
      <c r="T43" s="115"/>
      <c r="U43" s="122">
        <f t="shared" si="4"/>
        <v>38.131669140492441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4.4891551210223115</v>
      </c>
      <c r="K54" s="121">
        <f>Calc!K39</f>
        <v>4.7495938788736165</v>
      </c>
      <c r="L54" s="121">
        <f>Calc!L39</f>
        <v>4.4533137065360657</v>
      </c>
      <c r="M54" s="121">
        <f>Calc!M39</f>
        <v>4.4355004517099186</v>
      </c>
      <c r="N54" s="121">
        <f>Calc!N39</f>
        <v>4.417758449903082</v>
      </c>
      <c r="O54" s="113"/>
      <c r="P54" s="113"/>
      <c r="Q54" s="113"/>
      <c r="R54" s="113"/>
      <c r="S54" s="113"/>
      <c r="T54" s="115"/>
      <c r="U54" s="122">
        <f>SUM(J54:N54)</f>
        <v>22.545321608044993</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3.2918760463212751</v>
      </c>
      <c r="K55" s="121">
        <f>Calc!K40</f>
        <v>1.3687390973855913</v>
      </c>
      <c r="L55" s="121">
        <f>Calc!L40</f>
        <v>6.075844225737371</v>
      </c>
      <c r="M55" s="121">
        <f>Calc!M40</f>
        <v>1.4351168700648846</v>
      </c>
      <c r="N55" s="121">
        <f>Calc!N40</f>
        <v>1.3689470613205097</v>
      </c>
      <c r="O55" s="113"/>
      <c r="P55" s="113"/>
      <c r="Q55" s="113"/>
      <c r="R55" s="113"/>
      <c r="S55" s="113"/>
      <c r="T55" s="115"/>
      <c r="U55" s="122">
        <f>SUM(J55:N55)</f>
        <v>13.540523300829632</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0.22178806058998363</v>
      </c>
      <c r="K56" s="121">
        <f>Calc!K41</f>
        <v>0.25483252951849583</v>
      </c>
      <c r="L56" s="121">
        <f>Calc!L41</f>
        <v>0.1286668861833552</v>
      </c>
      <c r="M56" s="121">
        <f>Calc!M41</f>
        <v>9.2598271413599539E-2</v>
      </c>
      <c r="N56" s="121">
        <f>Calc!N41</f>
        <v>8.2700431666652405E-2</v>
      </c>
      <c r="O56" s="113"/>
      <c r="P56" s="113"/>
      <c r="Q56" s="113"/>
      <c r="R56" s="113"/>
      <c r="S56" s="113"/>
      <c r="T56" s="115"/>
      <c r="U56" s="122">
        <f>SUM(J56:N56)</f>
        <v>0.78058617937208663</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0.6445274365954119</v>
      </c>
      <c r="K57" s="121">
        <f>Calc!K42</f>
        <v>0.88073638346065009</v>
      </c>
      <c r="L57" s="121">
        <f>Calc!L42</f>
        <v>0.25261214944775973</v>
      </c>
      <c r="M57" s="121">
        <f>Calc!M42</f>
        <v>0.15850819520877793</v>
      </c>
      <c r="N57" s="121">
        <f>Calc!N42</f>
        <v>0.13707585241001502</v>
      </c>
      <c r="O57" s="113"/>
      <c r="P57" s="113"/>
      <c r="Q57" s="113"/>
      <c r="R57" s="113"/>
      <c r="S57" s="113"/>
      <c r="T57" s="115"/>
      <c r="U57" s="122">
        <f>SUM(J57:N57)</f>
        <v>2.0734600171226147</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8.6473466645289818</v>
      </c>
      <c r="K60" s="121">
        <f>Calc!K57</f>
        <v>7.2539018892383531</v>
      </c>
      <c r="L60" s="121">
        <f>Calc!L57</f>
        <v>10.910436967904552</v>
      </c>
      <c r="M60" s="121">
        <f>Calc!M57</f>
        <v>6.1217237883971816</v>
      </c>
      <c r="N60" s="121">
        <f>Calc!N57</f>
        <v>6.0064817953002594</v>
      </c>
      <c r="O60" s="113"/>
      <c r="P60" s="113"/>
      <c r="Q60" s="113"/>
      <c r="R60" s="113"/>
      <c r="S60" s="113"/>
      <c r="T60" s="115"/>
      <c r="U60" s="122">
        <f>SUM(J60:N60)</f>
        <v>38.939891105369327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108.47822278011566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-6.1452742745555497E-2</v>
      </c>
      <c r="K73" s="121">
        <f>Calc!K127</f>
        <v>-5.1550167235621697E-2</v>
      </c>
      <c r="L73" s="121">
        <f>Calc!L127</f>
        <v>-7.7535491780444096E-2</v>
      </c>
      <c r="M73" s="121">
        <f>Calc!M127</f>
        <v>-4.3504294637667501E-2</v>
      </c>
      <c r="N73" s="121">
        <f>Calc!N127</f>
        <v>-4.2685322433821497E-2</v>
      </c>
      <c r="O73" s="113"/>
      <c r="P73" s="113"/>
      <c r="Q73" s="113"/>
      <c r="R73" s="113"/>
      <c r="S73" s="113"/>
      <c r="T73" s="115"/>
      <c r="U73" s="122">
        <f>SUM(J73:N73)</f>
        <v>-0.27672801883311027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9.3798700000000004</v>
      </c>
      <c r="K16" s="121">
        <f>Calc!K55</f>
        <v>7.8890770000000003</v>
      </c>
      <c r="L16" s="121">
        <f>Calc!L55</f>
        <v>11.816869999999998</v>
      </c>
      <c r="M16" s="121">
        <f>Calc!M55</f>
        <v>6.1798700000000002</v>
      </c>
      <c r="N16" s="121">
        <f>Calc!N55</f>
        <v>6.0988700000000007</v>
      </c>
      <c r="O16" s="113"/>
      <c r="P16" s="113"/>
      <c r="Q16" s="113"/>
      <c r="R16" s="113"/>
      <c r="S16" s="113"/>
      <c r="T16" s="115"/>
      <c r="U16" s="295">
        <f>SUM(J16:N16)</f>
        <v>41.364556999999998</v>
      </c>
    </row>
    <row r="17" spans="1:21" s="117" customFormat="1" ht="17.399999999999999">
      <c r="A17" s="110"/>
      <c r="B17" s="118" t="s">
        <v>131</v>
      </c>
      <c r="C17" s="119"/>
      <c r="D17" s="113"/>
      <c r="E17" s="124" t="str">
        <f>Calc!E56</f>
        <v>Water: Baseline capex (gross of adjustments)</v>
      </c>
      <c r="F17" s="124"/>
      <c r="G17" s="113"/>
      <c r="H17" s="120"/>
      <c r="I17" s="120"/>
      <c r="J17" s="121">
        <f>Calc!J56</f>
        <v>8.4678655382652899</v>
      </c>
      <c r="K17" s="121">
        <f>Calc!K56</f>
        <v>7.1033425869002933</v>
      </c>
      <c r="L17" s="121">
        <f>Calc!L56</f>
        <v>10.683983977062745</v>
      </c>
      <c r="M17" s="121">
        <f>Calc!M56</f>
        <v>5.9946635556065004</v>
      </c>
      <c r="N17" s="121">
        <f>Calc!N56</f>
        <v>5.8818134826576109</v>
      </c>
      <c r="O17" s="113"/>
      <c r="P17" s="113"/>
      <c r="Q17" s="113"/>
      <c r="R17" s="113"/>
      <c r="S17" s="113"/>
      <c r="T17" s="115"/>
      <c r="U17" s="295">
        <f t="shared" ref="U17:U18" si="0">SUM(J17:N17)</f>
        <v>38.131669140492441</v>
      </c>
    </row>
    <row r="18" spans="1:21" s="117" customFormat="1" ht="17.399999999999999">
      <c r="A18" s="110"/>
      <c r="B18" s="118" t="s">
        <v>132</v>
      </c>
      <c r="C18" s="119"/>
      <c r="D18" s="113"/>
      <c r="E18" s="124" t="str">
        <f>Calc!E57</f>
        <v>Water: Allowance capex (gross of adjustments)</v>
      </c>
      <c r="F18" s="124"/>
      <c r="G18" s="113"/>
      <c r="H18" s="286"/>
      <c r="I18" s="120"/>
      <c r="J18" s="121">
        <f>Calc!J57</f>
        <v>8.6473466645289818</v>
      </c>
      <c r="K18" s="121">
        <f>Calc!K57</f>
        <v>7.2539018892383531</v>
      </c>
      <c r="L18" s="121">
        <f>Calc!L57</f>
        <v>10.910436967904552</v>
      </c>
      <c r="M18" s="121">
        <f>Calc!M57</f>
        <v>6.1217237883971816</v>
      </c>
      <c r="N18" s="121">
        <f>Calc!N57</f>
        <v>6.0064817953002594</v>
      </c>
      <c r="O18" s="113"/>
      <c r="P18" s="113"/>
      <c r="Q18" s="113"/>
      <c r="R18" s="113"/>
      <c r="S18" s="113"/>
      <c r="T18" s="115"/>
      <c r="U18" s="295">
        <f t="shared" si="0"/>
        <v>38.939891105369327</v>
      </c>
    </row>
    <row r="19" spans="1:21" s="117" customFormat="1" ht="17.399999999999999">
      <c r="A19" s="110"/>
      <c r="B19" s="118" t="s">
        <v>133</v>
      </c>
      <c r="C19" s="119"/>
      <c r="D19" s="113"/>
      <c r="E19" s="124" t="str">
        <f>Calc!E94</f>
        <v>Water: CIS bid ratio</v>
      </c>
      <c r="F19" s="124"/>
      <c r="G19" s="301">
        <f>Calc!G94</f>
        <v>108.47822278011566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-0.20936212802493101</v>
      </c>
      <c r="K21" s="121">
        <f>Calc!K59</f>
        <v>-0.14255505363059001</v>
      </c>
      <c r="L21" s="121">
        <f>Calc!L59</f>
        <v>-2.11466773172867E-2</v>
      </c>
      <c r="M21" s="121">
        <f>Calc!M59</f>
        <v>-1.88054380428729E-2</v>
      </c>
      <c r="N21" s="121">
        <f>Calc!N59</f>
        <v>0</v>
      </c>
      <c r="O21" s="113"/>
      <c r="P21" s="113"/>
      <c r="Q21" s="113"/>
      <c r="R21" s="113"/>
      <c r="S21" s="113"/>
      <c r="T21" s="115"/>
      <c r="U21" s="295">
        <f t="shared" ref="U21:U22" si="1">SUM(J21:N21)</f>
        <v>-0.39186929701568057</v>
      </c>
    </row>
    <row r="22" spans="1:21" s="117" customFormat="1" ht="17.399999999999999">
      <c r="A22" s="110"/>
      <c r="B22" s="118" t="s">
        <v>135</v>
      </c>
      <c r="C22" s="119"/>
      <c r="D22" s="113"/>
      <c r="E22" s="113" t="str">
        <f>Calc!E60</f>
        <v>Water: Adjustments to baseline capex</v>
      </c>
      <c r="F22" s="113"/>
      <c r="G22" s="113"/>
      <c r="H22" s="120"/>
      <c r="I22" s="120"/>
      <c r="J22" s="121">
        <f>Calc!J60</f>
        <v>-0.20936212802493101</v>
      </c>
      <c r="K22" s="121">
        <f>Calc!K60</f>
        <v>-0.14255505363059001</v>
      </c>
      <c r="L22" s="121">
        <f>Calc!L60</f>
        <v>-2.11466773172867E-2</v>
      </c>
      <c r="M22" s="121">
        <f>Calc!M60</f>
        <v>-1.88054380428729E-2</v>
      </c>
      <c r="N22" s="121">
        <f>Calc!N60</f>
        <v>0</v>
      </c>
      <c r="O22" s="113"/>
      <c r="P22" s="113"/>
      <c r="Q22" s="113"/>
      <c r="R22" s="113"/>
      <c r="S22" s="113"/>
      <c r="T22" s="115"/>
      <c r="U22" s="295">
        <f t="shared" si="1"/>
        <v>-0.39186929701568057</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9.1705078719750688</v>
      </c>
      <c r="K24" s="121">
        <f>Calc!K62</f>
        <v>7.7465219463694099</v>
      </c>
      <c r="L24" s="121">
        <f>Calc!L62</f>
        <v>11.795723322682711</v>
      </c>
      <c r="M24" s="121">
        <f>Calc!M62</f>
        <v>6.1610645619571276</v>
      </c>
      <c r="N24" s="121">
        <f>Calc!N62</f>
        <v>6.0988700000000007</v>
      </c>
      <c r="O24" s="113"/>
      <c r="P24" s="113"/>
      <c r="Q24" s="113"/>
      <c r="R24" s="113"/>
      <c r="S24" s="113"/>
      <c r="T24" s="115"/>
      <c r="U24" s="295">
        <f t="shared" ref="U24:U26" si="2">SUM(J24:N24)</f>
        <v>40.972687702984317</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8.2585034102403583</v>
      </c>
      <c r="K25" s="121">
        <f>Calc!K63</f>
        <v>6.9607875332697029</v>
      </c>
      <c r="L25" s="121">
        <f>Calc!L63</f>
        <v>10.662837299745458</v>
      </c>
      <c r="M25" s="121">
        <f>Calc!M63</f>
        <v>5.9758581175636278</v>
      </c>
      <c r="N25" s="121">
        <f>Calc!N63</f>
        <v>5.8818134826576109</v>
      </c>
      <c r="O25" s="113"/>
      <c r="P25" s="113"/>
      <c r="Q25" s="113"/>
      <c r="R25" s="113"/>
      <c r="S25" s="113"/>
      <c r="T25" s="115"/>
      <c r="U25" s="295">
        <f t="shared" si="2"/>
        <v>37.73979984347676</v>
      </c>
    </row>
    <row r="26" spans="1:21" s="117" customFormat="1" ht="17.399999999999999">
      <c r="A26" s="110"/>
      <c r="B26" s="118" t="s">
        <v>138</v>
      </c>
      <c r="C26" s="119"/>
      <c r="D26" s="113"/>
      <c r="E26" s="113" t="str">
        <f>Calc!E64</f>
        <v>Water: Allowance capex (net of adjustments)</v>
      </c>
      <c r="F26" s="113"/>
      <c r="G26" s="113"/>
      <c r="H26" s="120"/>
      <c r="I26" s="120"/>
      <c r="J26" s="121">
        <f>Calc!J64</f>
        <v>8.4353645457219937</v>
      </c>
      <c r="K26" s="121">
        <f>Calc!K64</f>
        <v>7.1098572527849804</v>
      </c>
      <c r="L26" s="121">
        <f>Calc!L64</f>
        <v>10.891188784101633</v>
      </c>
      <c r="M26" s="121">
        <f>Calc!M64</f>
        <v>6.103834943345273</v>
      </c>
      <c r="N26" s="121">
        <f>Calc!N64</f>
        <v>6.0077762823997674</v>
      </c>
      <c r="O26" s="113"/>
      <c r="P26" s="113"/>
      <c r="Q26" s="113"/>
      <c r="R26" s="113"/>
      <c r="S26" s="113"/>
      <c r="T26" s="115"/>
      <c r="U26" s="295">
        <f t="shared" si="2"/>
        <v>38.548021808353646</v>
      </c>
    </row>
    <row r="27" spans="1:21" s="117" customFormat="1" ht="17.399999999999999">
      <c r="A27" s="110"/>
      <c r="B27" s="118" t="s">
        <v>139</v>
      </c>
      <c r="C27" s="119"/>
      <c r="D27" s="113"/>
      <c r="E27" s="113" t="str">
        <f>Calc!E106</f>
        <v>Water: Restated CIS bid ratio</v>
      </c>
      <c r="F27" s="113"/>
      <c r="G27" s="301">
        <f>Calc!G106</f>
        <v>108.566255976226</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8.1485078139869387</v>
      </c>
      <c r="K30" s="121">
        <f>Calc!K79</f>
        <v>6.725580750121626</v>
      </c>
      <c r="L30" s="121">
        <f>Calc!L79</f>
        <v>10.261704765812455</v>
      </c>
      <c r="M30" s="121">
        <f>Calc!M79</f>
        <v>5.3987508559480606</v>
      </c>
      <c r="N30" s="121">
        <f>Calc!N79</f>
        <v>5.3442516795111406</v>
      </c>
      <c r="O30" s="113"/>
      <c r="P30" s="113"/>
      <c r="Q30" s="113"/>
      <c r="R30" s="113"/>
      <c r="S30" s="113"/>
      <c r="T30" s="115"/>
      <c r="U30" s="295">
        <f t="shared" ref="U30:U33" si="3">SUM(J30:N30)</f>
        <v>35.878795865380219</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7.3381409742673283</v>
      </c>
      <c r="K31" s="121">
        <f>Calc!K80</f>
        <v>6.0434010209428788</v>
      </c>
      <c r="L31" s="121">
        <f>Calc!L80</f>
        <v>9.2761491044362288</v>
      </c>
      <c r="M31" s="121">
        <f>Calc!M80</f>
        <v>5.2364601608674564</v>
      </c>
      <c r="N31" s="121">
        <f>Calc!N80</f>
        <v>5.1540517478261059</v>
      </c>
      <c r="O31" s="113"/>
      <c r="P31" s="113"/>
      <c r="Q31" s="113"/>
      <c r="R31" s="113"/>
      <c r="S31" s="113"/>
      <c r="T31" s="115"/>
      <c r="U31" s="295">
        <f t="shared" si="3"/>
        <v>33.048203008339996</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7.4952919592053444</v>
      </c>
      <c r="K32" s="121">
        <f>Calc!K81</f>
        <v>6.1728243212238345</v>
      </c>
      <c r="L32" s="121">
        <f>Calc!L81</f>
        <v>9.4748037736918302</v>
      </c>
      <c r="M32" s="121">
        <f>Calc!M81</f>
        <v>5.3486023062357066</v>
      </c>
      <c r="N32" s="121">
        <f>Calc!N81</f>
        <v>5.2644290642925897</v>
      </c>
      <c r="O32" s="113"/>
      <c r="P32" s="113"/>
      <c r="Q32" s="113"/>
      <c r="R32" s="113"/>
      <c r="S32" s="113"/>
      <c r="T32" s="115"/>
      <c r="U32" s="295">
        <f t="shared" si="3"/>
        <v>33.755951424649304</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7.989988777274915</v>
      </c>
      <c r="K33" s="121">
        <f>Calc!K82</f>
        <v>6.3357494118886288</v>
      </c>
      <c r="L33" s="121">
        <f>Calc!L82</f>
        <v>12.232887810360705</v>
      </c>
      <c r="M33" s="121">
        <f>Calc!M82</f>
        <v>7.6995515095339204</v>
      </c>
      <c r="N33" s="121">
        <f>Calc!N82</f>
        <v>6.4608346853402363</v>
      </c>
      <c r="O33" s="113"/>
      <c r="P33" s="113"/>
      <c r="Q33" s="113"/>
      <c r="R33" s="113"/>
      <c r="S33" s="113"/>
      <c r="T33" s="115"/>
      <c r="U33" s="295">
        <f t="shared" si="3"/>
        <v>40.71901219439841</v>
      </c>
    </row>
    <row r="34" spans="1:21" s="117" customFormat="1" ht="17.399999999999999">
      <c r="A34" s="110"/>
      <c r="B34" s="118" t="s">
        <v>145</v>
      </c>
      <c r="C34" s="118"/>
      <c r="D34" s="113"/>
      <c r="E34" s="113" t="str">
        <f>Calc!E116</f>
        <v>Water: CIS outturn ratio</v>
      </c>
      <c r="F34" s="113"/>
      <c r="G34" s="301">
        <f>Calc!G116</f>
        <v>123.21097211888532</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-2.0305178653898266</v>
      </c>
    </row>
    <row r="38" spans="1:21" s="117" customFormat="1" ht="17.399999999999999">
      <c r="A38" s="110"/>
      <c r="B38" s="118" t="s">
        <v>152</v>
      </c>
      <c r="C38" s="119"/>
      <c r="D38" s="113"/>
      <c r="E38" s="113" t="str">
        <f>Calc!E127</f>
        <v>Water: Additional income (applied at FD)</v>
      </c>
      <c r="F38" s="113"/>
      <c r="G38" s="113"/>
      <c r="H38" s="113"/>
      <c r="I38" s="113"/>
      <c r="J38" s="121">
        <f>Calc!J127</f>
        <v>-6.1452742745555497E-2</v>
      </c>
      <c r="K38" s="121">
        <f>Calc!K127</f>
        <v>-5.1550167235621697E-2</v>
      </c>
      <c r="L38" s="121">
        <f>Calc!L127</f>
        <v>-7.7535491780444096E-2</v>
      </c>
      <c r="M38" s="121">
        <f>Calc!M127</f>
        <v>-4.3504294637667501E-2</v>
      </c>
      <c r="N38" s="121">
        <f>Calc!N127</f>
        <v>-4.2685322433821497E-2</v>
      </c>
      <c r="O38" s="113"/>
      <c r="P38" s="113"/>
      <c r="Q38" s="113"/>
      <c r="R38" s="113"/>
      <c r="S38" s="113"/>
      <c r="T38" s="115"/>
      <c r="U38" s="295">
        <f t="shared" ref="U38" si="4">SUM(J38:N38)</f>
        <v>-0.27672801883311027</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-1.7537898465567161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4.7679950839727727</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-1.8466625363863212</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-2.1661083748487351</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v>
      </c>
      <c r="N17" s="375">
        <f>IF('Input FD'!N106=0,M17*(1+'Input FD'!N107),'Input FD'!N106)</f>
        <v>121.23099999999999</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1.0575022461814916</v>
      </c>
      <c r="N18" s="377">
        <f t="shared" si="4"/>
        <v>1.0892273135669361</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87.626915797699255</v>
      </c>
      <c r="N20" s="375">
        <f>((N17/'Input FD'!$G$117)/(N13/'Input FD'!$G$116))*100</f>
        <v>87.62691579769924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0.87626915797699256</v>
      </c>
      <c r="N21" s="377">
        <f t="shared" si="5"/>
        <v>0.87626915797699245</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4.4891551210223115</v>
      </c>
      <c r="K39" s="156">
        <f>IF(OR(K$5&lt;4,K$5&gt;8),'Input FD'!K30,'Input FD'!K30*$G$95/100)</f>
        <v>4.7495938788736165</v>
      </c>
      <c r="L39" s="156">
        <f>IF(OR(L$5&lt;4,L$5&gt;8),'Input FD'!L30,'Input FD'!L30*$G$95/100)</f>
        <v>4.4533137065360657</v>
      </c>
      <c r="M39" s="156">
        <f>IF(OR(M$5&lt;4,M$5&gt;8),'Input FD'!M30,'Input FD'!M30*$G$95/100)</f>
        <v>4.4355004517099186</v>
      </c>
      <c r="N39" s="365">
        <f>IF(OR(N$5&lt;4,N$5&gt;8),'Input FD'!N30,'Input FD'!N30*$G$95/100)</f>
        <v>4.417758449903082</v>
      </c>
      <c r="O39" s="157"/>
      <c r="P39" s="158"/>
      <c r="Q39" s="148"/>
      <c r="R39" s="147" t="s">
        <v>242</v>
      </c>
    </row>
    <row r="40" spans="1:23" s="37" customFormat="1">
      <c r="C40" s="131"/>
      <c r="D40" s="153" t="s">
        <v>57</v>
      </c>
      <c r="E40" s="154" t="s">
        <v>61</v>
      </c>
      <c r="F40" s="155"/>
      <c r="G40" s="148"/>
      <c r="H40" s="148"/>
      <c r="I40" s="148"/>
      <c r="J40" s="156">
        <f>IF(OR(J$5&lt;4,J$5&gt;8),'Input FD'!J31,'Input FD'!J31*$G$95/100)</f>
        <v>3.2918760463212751</v>
      </c>
      <c r="K40" s="156">
        <f>IF(OR(K$5&lt;4,K$5&gt;8),'Input FD'!K31,'Input FD'!K31*$G$95/100)</f>
        <v>1.3687390973855913</v>
      </c>
      <c r="L40" s="156">
        <f>IF(OR(L$5&lt;4,L$5&gt;8),'Input FD'!L31,'Input FD'!L31*$G$95/100)</f>
        <v>6.075844225737371</v>
      </c>
      <c r="M40" s="156">
        <f>IF(OR(M$5&lt;4,M$5&gt;8),'Input FD'!M31,'Input FD'!M31*$G$95/100)</f>
        <v>1.4351168700648846</v>
      </c>
      <c r="N40" s="365">
        <f>IF(OR(N$5&lt;4,N$5&gt;8),'Input FD'!N31,'Input FD'!N31*$G$95/100)</f>
        <v>1.3689470613205097</v>
      </c>
      <c r="O40" s="157"/>
      <c r="P40" s="158"/>
      <c r="Q40" s="148"/>
      <c r="R40" s="147" t="s">
        <v>242</v>
      </c>
    </row>
    <row r="41" spans="1:23" s="37" customFormat="1">
      <c r="C41" s="131"/>
      <c r="D41" s="153" t="s">
        <v>57</v>
      </c>
      <c r="E41" s="154" t="s">
        <v>63</v>
      </c>
      <c r="F41" s="155"/>
      <c r="G41" s="148"/>
      <c r="H41" s="148"/>
      <c r="I41" s="148"/>
      <c r="J41" s="156">
        <f>IF(OR(J$5&lt;4,J$5&gt;8),'Input FD'!J32,'Input FD'!J32*$G$95/100)</f>
        <v>0.22178806058998363</v>
      </c>
      <c r="K41" s="156">
        <f>IF(OR(K$5&lt;4,K$5&gt;8),'Input FD'!K32,'Input FD'!K32*$G$95/100)</f>
        <v>0.25483252951849583</v>
      </c>
      <c r="L41" s="156">
        <f>IF(OR(L$5&lt;4,L$5&gt;8),'Input FD'!L32,'Input FD'!L32*$G$95/100)</f>
        <v>0.1286668861833552</v>
      </c>
      <c r="M41" s="156">
        <f>IF(OR(M$5&lt;4,M$5&gt;8),'Input FD'!M32,'Input FD'!M32*$G$95/100)</f>
        <v>9.2598271413599539E-2</v>
      </c>
      <c r="N41" s="365">
        <f>IF(OR(N$5&lt;4,N$5&gt;8),'Input FD'!N32,'Input FD'!N32*$G$95/100)</f>
        <v>8.2700431666652405E-2</v>
      </c>
      <c r="O41" s="157"/>
      <c r="P41" s="158"/>
      <c r="Q41" s="148"/>
      <c r="R41" s="147" t="s">
        <v>242</v>
      </c>
    </row>
    <row r="42" spans="1:23" s="37" customFormat="1">
      <c r="C42" s="131"/>
      <c r="D42" s="153" t="s">
        <v>57</v>
      </c>
      <c r="E42" s="154" t="s">
        <v>62</v>
      </c>
      <c r="F42" s="155"/>
      <c r="G42" s="148"/>
      <c r="H42" s="148"/>
      <c r="I42" s="148"/>
      <c r="J42" s="156">
        <f>IF(OR(J$5&lt;4,J$5&gt;8),'Input FD'!J33,'Input FD'!J33*$G$95/100)</f>
        <v>0.6445274365954119</v>
      </c>
      <c r="K42" s="156">
        <f>IF(OR(K$5&lt;4,K$5&gt;8),'Input FD'!K33,'Input FD'!K33*$G$95/100)</f>
        <v>0.88073638346065009</v>
      </c>
      <c r="L42" s="156">
        <f>IF(OR(L$5&lt;4,L$5&gt;8),'Input FD'!L33,'Input FD'!L33*$G$95/100)</f>
        <v>0.25261214944775973</v>
      </c>
      <c r="M42" s="156">
        <f>IF(OR(M$5&lt;4,M$5&gt;8),'Input FD'!M33,'Input FD'!M33*$G$95/100)</f>
        <v>0.15850819520877793</v>
      </c>
      <c r="N42" s="365">
        <f>IF(OR(N$5&lt;4,N$5&gt;8),'Input FD'!N33,'Input FD'!N33*$G$95/100)</f>
        <v>0.13707585241001502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9.3798700000000004</v>
      </c>
      <c r="K55" s="156">
        <f>SUM('Input FD'!K10:K13)-'Input FD'!K14-'Input FD'!K17+'Input FD'!K15+'Input FD'!K16</f>
        <v>7.8890770000000003</v>
      </c>
      <c r="L55" s="156">
        <f>SUM('Input FD'!L10:L13)-'Input FD'!L14-'Input FD'!L17+'Input FD'!L15+'Input FD'!L16</f>
        <v>11.816869999999998</v>
      </c>
      <c r="M55" s="156">
        <f>SUM('Input FD'!M10:M13)-'Input FD'!M14-'Input FD'!M17+'Input FD'!M15+'Input FD'!M16</f>
        <v>6.1798700000000002</v>
      </c>
      <c r="N55" s="365">
        <f>SUM('Input FD'!N10:N13)-'Input FD'!N14-'Input FD'!N17+'Input FD'!N15+'Input FD'!N16</f>
        <v>6.0988700000000007</v>
      </c>
      <c r="O55" s="157"/>
      <c r="P55" s="158"/>
      <c r="Q55" s="148"/>
      <c r="R55" s="147" t="s">
        <v>242</v>
      </c>
    </row>
    <row r="56" spans="1:18" s="37" customFormat="1">
      <c r="C56" s="131"/>
      <c r="D56" s="153" t="s">
        <v>57</v>
      </c>
      <c r="E56" s="154" t="s">
        <v>114</v>
      </c>
      <c r="F56" s="155"/>
      <c r="G56" s="148"/>
      <c r="H56" s="148"/>
      <c r="I56" s="148"/>
      <c r="J56" s="156">
        <f>SUM('Input FD'!J30:J35)</f>
        <v>8.4678655382652899</v>
      </c>
      <c r="K56" s="156">
        <f>SUM('Input FD'!K30:K35)</f>
        <v>7.1033425869002933</v>
      </c>
      <c r="L56" s="156">
        <f>SUM('Input FD'!L30:L35)</f>
        <v>10.683983977062745</v>
      </c>
      <c r="M56" s="156">
        <f>SUM('Input FD'!M30:M35)</f>
        <v>5.9946635556065004</v>
      </c>
      <c r="N56" s="365">
        <f>SUM('Input FD'!N30:N35)</f>
        <v>5.8818134826576109</v>
      </c>
      <c r="O56" s="157"/>
      <c r="P56" s="158"/>
      <c r="Q56" s="148"/>
      <c r="R56" s="147" t="s">
        <v>242</v>
      </c>
    </row>
    <row r="57" spans="1:18" s="37" customFormat="1">
      <c r="C57" s="131"/>
      <c r="D57" s="153" t="s">
        <v>57</v>
      </c>
      <c r="E57" s="154" t="s">
        <v>115</v>
      </c>
      <c r="F57" s="155"/>
      <c r="G57" s="148"/>
      <c r="H57" s="148"/>
      <c r="I57" s="148"/>
      <c r="J57" s="156">
        <f>SUM(J39:J44)</f>
        <v>8.6473466645289818</v>
      </c>
      <c r="K57" s="156">
        <f t="shared" ref="K57:N57" si="7">SUM(K39:K44)</f>
        <v>7.2539018892383531</v>
      </c>
      <c r="L57" s="156">
        <f t="shared" si="7"/>
        <v>10.910436967904552</v>
      </c>
      <c r="M57" s="156">
        <f t="shared" si="7"/>
        <v>6.1217237883971816</v>
      </c>
      <c r="N57" s="365">
        <f t="shared" si="7"/>
        <v>6.0064817953002594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-0.20936212802493101</v>
      </c>
      <c r="K59" s="156">
        <f>'Input FD'!K85+'Input FD'!K82</f>
        <v>-0.14255505363059001</v>
      </c>
      <c r="L59" s="156">
        <f>'Input FD'!L85+'Input FD'!L82</f>
        <v>-2.11466773172867E-2</v>
      </c>
      <c r="M59" s="156">
        <f>'Input FD'!M85+'Input FD'!M82</f>
        <v>-1.88054380428729E-2</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-0.20936212802493101</v>
      </c>
      <c r="K60" s="156">
        <f>'Input FD'!K86+'Input FD'!K88+'Input FD'!K83</f>
        <v>-0.14255505363059001</v>
      </c>
      <c r="L60" s="156">
        <f>'Input FD'!L86+'Input FD'!L88+'Input FD'!L83</f>
        <v>-2.11466773172867E-2</v>
      </c>
      <c r="M60" s="156">
        <f>'Input FD'!M86+'Input FD'!M88+'Input FD'!M83</f>
        <v>-1.88054380428729E-2</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9.1705078719750688</v>
      </c>
      <c r="K62" s="156">
        <f t="shared" ref="K62:N63" si="8">K55+K59</f>
        <v>7.7465219463694099</v>
      </c>
      <c r="L62" s="156">
        <f t="shared" si="8"/>
        <v>11.795723322682711</v>
      </c>
      <c r="M62" s="156">
        <f t="shared" si="8"/>
        <v>6.1610645619571276</v>
      </c>
      <c r="N62" s="365">
        <f t="shared" si="8"/>
        <v>6.0988700000000007</v>
      </c>
      <c r="O62" s="157"/>
      <c r="P62" s="158"/>
      <c r="Q62" s="148"/>
      <c r="R62" s="147" t="s">
        <v>242</v>
      </c>
    </row>
    <row r="63" spans="1:18" s="37" customFormat="1">
      <c r="C63" s="131"/>
      <c r="D63" s="153" t="s">
        <v>57</v>
      </c>
      <c r="E63" s="154" t="s">
        <v>182</v>
      </c>
      <c r="F63" s="155"/>
      <c r="G63" s="148"/>
      <c r="H63" s="148"/>
      <c r="I63" s="148"/>
      <c r="J63" s="156">
        <f>J56+J60</f>
        <v>8.2585034102403583</v>
      </c>
      <c r="K63" s="156">
        <f t="shared" si="8"/>
        <v>6.9607875332697029</v>
      </c>
      <c r="L63" s="156">
        <f t="shared" si="8"/>
        <v>10.662837299745458</v>
      </c>
      <c r="M63" s="156">
        <f t="shared" si="8"/>
        <v>5.9758581175636278</v>
      </c>
      <c r="N63" s="365">
        <f t="shared" si="8"/>
        <v>5.8818134826576109</v>
      </c>
      <c r="O63" s="157"/>
      <c r="P63" s="158"/>
      <c r="Q63" s="148"/>
      <c r="R63" s="147" t="s">
        <v>242</v>
      </c>
    </row>
    <row r="64" spans="1:18" s="37" customFormat="1">
      <c r="C64" s="131"/>
      <c r="D64" s="153" t="s">
        <v>57</v>
      </c>
      <c r="E64" s="154" t="s">
        <v>250</v>
      </c>
      <c r="F64" s="155"/>
      <c r="G64" s="148"/>
      <c r="H64" s="148"/>
      <c r="I64" s="148"/>
      <c r="J64" s="156">
        <f>J63*$G$107/100</f>
        <v>8.4353645457219937</v>
      </c>
      <c r="K64" s="156">
        <f t="shared" ref="K64:N64" si="9">K63*$G$107/100</f>
        <v>7.1098572527849804</v>
      </c>
      <c r="L64" s="156">
        <f t="shared" si="9"/>
        <v>10.891188784101633</v>
      </c>
      <c r="M64" s="156">
        <f t="shared" si="9"/>
        <v>6.103834943345273</v>
      </c>
      <c r="N64" s="365">
        <f t="shared" si="9"/>
        <v>6.0077762823997674</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8.1485078139869387</v>
      </c>
      <c r="K79" s="156">
        <f t="shared" ref="K79:N81" si="13">K62*K$21</f>
        <v>6.725580750121626</v>
      </c>
      <c r="L79" s="156">
        <f t="shared" si="13"/>
        <v>10.261704765812455</v>
      </c>
      <c r="M79" s="156">
        <f t="shared" si="13"/>
        <v>5.3987508559480606</v>
      </c>
      <c r="N79" s="365">
        <f t="shared" si="13"/>
        <v>5.3442516795111406</v>
      </c>
      <c r="P79" s="136"/>
      <c r="Q79" s="131"/>
      <c r="R79" s="147" t="s">
        <v>242</v>
      </c>
    </row>
    <row r="80" spans="1:18" s="37" customFormat="1">
      <c r="C80" s="131"/>
      <c r="D80" s="153" t="s">
        <v>57</v>
      </c>
      <c r="E80" s="132" t="s">
        <v>317</v>
      </c>
      <c r="F80" s="161"/>
      <c r="G80" s="162"/>
      <c r="H80" s="162"/>
      <c r="I80" s="163"/>
      <c r="J80" s="156">
        <f>J63*J$21</f>
        <v>7.3381409742673283</v>
      </c>
      <c r="K80" s="156">
        <f t="shared" si="13"/>
        <v>6.0434010209428788</v>
      </c>
      <c r="L80" s="156">
        <f t="shared" si="13"/>
        <v>9.2761491044362288</v>
      </c>
      <c r="M80" s="156">
        <f t="shared" si="13"/>
        <v>5.2364601608674564</v>
      </c>
      <c r="N80" s="365">
        <f t="shared" si="13"/>
        <v>5.1540517478261059</v>
      </c>
      <c r="P80" s="136"/>
      <c r="Q80" s="131"/>
      <c r="R80" s="147" t="s">
        <v>242</v>
      </c>
    </row>
    <row r="81" spans="1:18" s="37" customFormat="1">
      <c r="C81" s="131"/>
      <c r="D81" s="153" t="s">
        <v>57</v>
      </c>
      <c r="E81" s="132" t="s">
        <v>318</v>
      </c>
      <c r="F81" s="161"/>
      <c r="G81" s="162"/>
      <c r="H81" s="162"/>
      <c r="I81" s="163"/>
      <c r="J81" s="156">
        <f>J64*J$21</f>
        <v>7.4952919592053444</v>
      </c>
      <c r="K81" s="156">
        <f t="shared" si="13"/>
        <v>6.1728243212238345</v>
      </c>
      <c r="L81" s="156">
        <f t="shared" si="13"/>
        <v>9.4748037736918302</v>
      </c>
      <c r="M81" s="156">
        <f t="shared" si="13"/>
        <v>5.3486023062357066</v>
      </c>
      <c r="N81" s="365">
        <f t="shared" si="13"/>
        <v>5.2644290642925897</v>
      </c>
      <c r="P81" s="136"/>
      <c r="Q81" s="131"/>
      <c r="R81" s="147" t="s">
        <v>242</v>
      </c>
    </row>
    <row r="82" spans="1:18" s="37" customFormat="1">
      <c r="C82" s="131"/>
      <c r="D82" s="153" t="s">
        <v>57</v>
      </c>
      <c r="E82" s="132" t="s">
        <v>110</v>
      </c>
      <c r="F82" s="164"/>
      <c r="G82" s="164"/>
      <c r="H82" s="164"/>
      <c r="I82" s="164"/>
      <c r="J82" s="156">
        <f>SUM('Input FD'!J65:J70)*J$15</f>
        <v>7.989988777274915</v>
      </c>
      <c r="K82" s="156">
        <f>SUM('Input FD'!K65:K70)*K$15</f>
        <v>6.3357494118886288</v>
      </c>
      <c r="L82" s="156">
        <f>SUM('Input FD'!L65:L70)*L$15</f>
        <v>12.232887810360705</v>
      </c>
      <c r="M82" s="156">
        <f>SUM('Input FD'!M65:M70)*M$15</f>
        <v>7.6995515095339204</v>
      </c>
      <c r="N82" s="365">
        <f>SUM('Input FD'!N65:N70)*N$15</f>
        <v>6.4608346853402363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108.47822278011566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102.11955569502891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0.25760888609942179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-0.72571703539526489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108.566255976226</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102.1415639940565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0.25716872011887004</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123.21097211888532</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-6.1441097565196152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-2.0305178653898266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-6.1452742745555497E-2</v>
      </c>
      <c r="K127" s="156">
        <f>IF('Input FD'!K49&lt;&gt;"",'Input FD'!K49,K56*$G$97/100)</f>
        <v>-5.1550167235621697E-2</v>
      </c>
      <c r="L127" s="156">
        <f>IF('Input FD'!L49&lt;&gt;"",'Input FD'!L49,L56*$G$97/100)</f>
        <v>-7.7535491780444096E-2</v>
      </c>
      <c r="M127" s="156">
        <f>IF('Input FD'!M49&lt;&gt;"",'Input FD'!M49,M56*$G$97/100)</f>
        <v>-4.3504294637667501E-2</v>
      </c>
      <c r="N127" s="365">
        <f>IF('Input FD'!N49&lt;&gt;"",'Input FD'!N49,N56*$G$97/100)</f>
        <v>-4.2685322433821497E-2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-1.7537898465567163</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8.6539801106733929</v>
      </c>
      <c r="K138" s="156">
        <f>(K57+'Input FD'!K83)*K$29</f>
        <v>7.5861424017697896</v>
      </c>
      <c r="L138" s="156">
        <f>(L57+'Input FD'!L83)*L$29</f>
        <v>11.832328389503424</v>
      </c>
      <c r="M138" s="156">
        <f>(M57+'Input FD'!M83)*M$29</f>
        <v>6.8381563248886001</v>
      </c>
      <c r="N138" s="365">
        <f>(N57+'Input FD'!N83)*N$29</f>
        <v>6.9107102485431042</v>
      </c>
      <c r="O138" s="104"/>
      <c r="P138" s="136"/>
      <c r="Q138" s="104"/>
      <c r="R138" s="147" t="s">
        <v>87</v>
      </c>
      <c r="S138" s="147"/>
    </row>
    <row r="139" spans="1:19" s="37" customFormat="1">
      <c r="C139" s="104"/>
      <c r="D139" s="104" t="s">
        <v>57</v>
      </c>
      <c r="E139" s="104" t="s">
        <v>110</v>
      </c>
      <c r="F139" s="104"/>
      <c r="G139" s="104"/>
      <c r="H139" s="104"/>
      <c r="I139" s="104"/>
      <c r="J139" s="156">
        <f>SUM('Input FD'!J65:J70)</f>
        <v>8.6750000000000007</v>
      </c>
      <c r="K139" s="156">
        <f>SUM('Input FD'!K65:K70)</f>
        <v>7.2089999999999996</v>
      </c>
      <c r="L139" s="156">
        <f>SUM('Input FD'!L65:L70)</f>
        <v>14.349000000000002</v>
      </c>
      <c r="M139" s="156">
        <f>SUM('Input FD'!M65:M70)</f>
        <v>9.2919999999999998</v>
      </c>
      <c r="N139" s="365">
        <f>SUM('Input FD'!N65:N70)</f>
        <v>8.0310000000000006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-0.31973103821784754</v>
      </c>
      <c r="K140" s="672">
        <f>(K$139*K$15)-(K$138*K$26)</f>
        <v>-0.73666201975441314</v>
      </c>
      <c r="L140" s="672">
        <f>(L$139*L$15)-(L$138*L$26)</f>
        <v>1.4918487102194238</v>
      </c>
      <c r="M140" s="672">
        <f>(M$139*M$15)-(M$138*M$26)</f>
        <v>1.6434765422463924</v>
      </c>
      <c r="N140" s="673">
        <f>(N$139*N$15)-(N$138*N$26)</f>
        <v>0.48978016471509367</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105.30388013386499</v>
      </c>
      <c r="J148" s="156">
        <f>'Input FD'!J$54</f>
        <v>103.420016124234</v>
      </c>
      <c r="K148" s="156">
        <f>'Input FD'!K$54</f>
        <v>100.298401339497</v>
      </c>
      <c r="L148" s="156">
        <f>'Input FD'!L$54</f>
        <v>100.707164711616</v>
      </c>
      <c r="M148" s="156">
        <f>'Input FD'!M$54</f>
        <v>96.550351287214298</v>
      </c>
      <c r="N148" s="365">
        <f>'Input FD'!N$54</f>
        <v>92.441354482253999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2.5687123592086492</v>
      </c>
      <c r="Q149" s="161"/>
      <c r="R149" s="147" t="s">
        <v>242</v>
      </c>
    </row>
    <row r="150" spans="1:24" s="37" customFormat="1">
      <c r="A150" s="109"/>
      <c r="B150" s="109"/>
      <c r="C150" s="104"/>
      <c r="D150" s="104" t="s">
        <v>57</v>
      </c>
      <c r="E150" s="177" t="s">
        <v>386</v>
      </c>
      <c r="F150" s="131"/>
      <c r="G150" s="104"/>
      <c r="H150" s="104"/>
      <c r="I150" s="205"/>
      <c r="J150" s="156">
        <f>IF(J5=8,J148+$P$149,J148)</f>
        <v>103.420016124234</v>
      </c>
      <c r="K150" s="156">
        <f>IF(K5=8,K148+$P$149,K148)</f>
        <v>100.298401339497</v>
      </c>
      <c r="L150" s="156">
        <f>IF(L5=8,L148+$P$149,L148)</f>
        <v>100.707164711616</v>
      </c>
      <c r="M150" s="156">
        <f>IF(M5=8,M148+$P$149,M148)</f>
        <v>96.550351287214298</v>
      </c>
      <c r="N150" s="365">
        <f>IF(N5=8,N148+$P$149,N148)</f>
        <v>95.010066841462645</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8.3097198154927625</v>
      </c>
      <c r="L161" s="360">
        <f t="shared" si="16"/>
        <v>15.382131247135804</v>
      </c>
      <c r="M161" s="360">
        <f t="shared" si="16"/>
        <v>26.123170347277085</v>
      </c>
      <c r="N161" s="363">
        <f t="shared" si="16"/>
        <v>32.179245314564611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8.3097198154927625</v>
      </c>
      <c r="K162" s="360">
        <f t="shared" ref="K162:N162" si="17">K161+K138*K$26</f>
        <v>15.382131247135804</v>
      </c>
      <c r="L162" s="360">
        <f t="shared" si="17"/>
        <v>26.123170347277085</v>
      </c>
      <c r="M162" s="360">
        <f t="shared" si="17"/>
        <v>32.179245314564611</v>
      </c>
      <c r="N162" s="363">
        <f t="shared" si="17"/>
        <v>38.150299835189756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4.1548599077463813</v>
      </c>
      <c r="K163" s="360">
        <f t="shared" ref="K163:N163" si="18">(K162+K161)/2</f>
        <v>11.845925531314283</v>
      </c>
      <c r="L163" s="360">
        <f t="shared" si="18"/>
        <v>20.752650797206446</v>
      </c>
      <c r="M163" s="360">
        <f t="shared" si="18"/>
        <v>29.151207830920846</v>
      </c>
      <c r="N163" s="363">
        <f t="shared" si="18"/>
        <v>35.164772574877183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7.989988777274915</v>
      </c>
      <c r="L171" s="360">
        <f t="shared" si="22"/>
        <v>14.325738189163545</v>
      </c>
      <c r="M171" s="360">
        <f t="shared" si="22"/>
        <v>26.558625999524249</v>
      </c>
      <c r="N171" s="363">
        <f t="shared" si="22"/>
        <v>34.258177509058171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7.989988777274915</v>
      </c>
      <c r="K172" s="360">
        <f t="shared" ref="K172:N172" si="23">K171+K139*K$15</f>
        <v>14.325738189163545</v>
      </c>
      <c r="L172" s="360">
        <f t="shared" si="23"/>
        <v>26.558625999524249</v>
      </c>
      <c r="M172" s="360">
        <f t="shared" si="23"/>
        <v>34.258177509058171</v>
      </c>
      <c r="N172" s="363">
        <f t="shared" si="23"/>
        <v>40.71901219439841</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3.9949943886374575</v>
      </c>
      <c r="K173" s="360">
        <f t="shared" ref="K173:N173" si="24">(K172+K171)/2</f>
        <v>11.157863483219231</v>
      </c>
      <c r="L173" s="360">
        <f t="shared" si="24"/>
        <v>20.442182094343899</v>
      </c>
      <c r="M173" s="360">
        <f t="shared" si="24"/>
        <v>30.408401754291212</v>
      </c>
      <c r="N173" s="363">
        <f t="shared" si="24"/>
        <v>37.488594851728294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-0.31973103821784754</v>
      </c>
      <c r="K181" s="156">
        <f>(K$139*K$15)-(K$138*K$26)</f>
        <v>-0.73666201975441314</v>
      </c>
      <c r="L181" s="156">
        <f>(L$139*L$15)-(L$138*L$26)</f>
        <v>1.4918487102194238</v>
      </c>
      <c r="M181" s="156">
        <f>(M$139*M$15)-(M$138*M$26)</f>
        <v>1.6434765422463924</v>
      </c>
      <c r="N181" s="365">
        <f>(N$139*N$15)-(N$138*N$26)</f>
        <v>0.48978016471509367</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-8.7926035509908081E-3</v>
      </c>
      <c r="K184" s="156">
        <f>(K173-K163)*'Input FD'!$O$59</f>
        <v>-3.7843412645227857E-2</v>
      </c>
      <c r="L184" s="156">
        <f>(L173-L163)*'Input FD'!$O$59</f>
        <v>-1.7075778657440085E-2</v>
      </c>
      <c r="M184" s="156">
        <f>(M173-M163)*'Input FD'!$O$59</f>
        <v>6.9145665785370125E-2</v>
      </c>
      <c r="N184" s="365">
        <f>(N173-N163)*'Input FD'!$O$59</f>
        <v>0.1278102252268111</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-0.38377732496472228</v>
      </c>
      <c r="K187" s="156">
        <f>$P$130*K63/SUM($J$63:$N$63)</f>
        <v>-0.32347173409816216</v>
      </c>
      <c r="L187" s="156">
        <f>$P$130*L63/SUM($J$63:$N$63)</f>
        <v>-0.49550808084140219</v>
      </c>
      <c r="M187" s="156">
        <f>$P$130*M63/SUM($J$63:$N$63)</f>
        <v>-0.27770150701681939</v>
      </c>
      <c r="N187" s="365">
        <f>$P$130*N63/SUM($J$63:$N$63)</f>
        <v>-0.2733311996356102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-0.3925699285157131</v>
      </c>
      <c r="K190" s="156">
        <f t="shared" ref="K190:N191" si="28">K187+K184</f>
        <v>-0.36131514674338999</v>
      </c>
      <c r="L190" s="156">
        <f t="shared" si="28"/>
        <v>-0.51258385949884222</v>
      </c>
      <c r="M190" s="156">
        <f t="shared" si="28"/>
        <v>-0.20855584123144927</v>
      </c>
      <c r="N190" s="365">
        <f t="shared" si="28"/>
        <v>-0.1455209744087991</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-0.4863253045393594</v>
      </c>
      <c r="K193" s="156">
        <f>IF('Input FD'!$O$156=0,(K190/(1+'Input FD'!$O$60)^K$6),(K190/(1+'Input FD'!$O$59)^K$6))</f>
        <v>-0.42427119472028496</v>
      </c>
      <c r="L193" s="156">
        <f>IF('Input FD'!$O$156=0,(L190/(1+'Input FD'!$O$60)^L$6),(L190/(1+'Input FD'!$O$59)^L$6))</f>
        <v>-0.57051865021869874</v>
      </c>
      <c r="M193" s="156">
        <f>IF('Input FD'!$O$156=0,(M190/(1+'Input FD'!$O$60)^M$6),(M190/(1+'Input FD'!$O$59)^M$6))</f>
        <v>-0.22002641249917898</v>
      </c>
      <c r="N193" s="664">
        <f>IF('Input FD'!$O$156=0,(N190/(1+'Input FD'!$O$60)^N$6),(N190/(1+'Input FD'!$O$59)^N$6))</f>
        <v>-0.1455209744087991</v>
      </c>
      <c r="O193" s="109"/>
      <c r="P193" s="622">
        <f>SUM(J193:N193)</f>
        <v>-1.8466625363863212</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-0.57045252952659142</v>
      </c>
      <c r="K196" s="156">
        <f t="shared" ref="K196:N197" si="29">K193*$L$13/$G$13</f>
        <v>-0.49766395861860357</v>
      </c>
      <c r="L196" s="156">
        <f t="shared" si="29"/>
        <v>-0.66921010303508399</v>
      </c>
      <c r="M196" s="156">
        <f t="shared" si="29"/>
        <v>-0.2580877910346524</v>
      </c>
      <c r="N196" s="365">
        <f t="shared" si="29"/>
        <v>-0.17069399263380383</v>
      </c>
      <c r="O196" s="109"/>
      <c r="P196" s="622">
        <f>P193*$L$13/$G$13</f>
        <v>-2.1661083748487351</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3.0130623458401593</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-2.3817680094966485</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-0.32459795297666644</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-2.0571700565199817</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0.15629339248573254</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-1.9008766640342492</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-2.1661083748487351</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-2.1661083748487351</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3.7600000000000001E-2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0.96376252891287584</v>
      </c>
      <c r="T20" s="610">
        <f t="shared" si="4"/>
        <v>0.92883821213654183</v>
      </c>
      <c r="U20" s="610">
        <f t="shared" si="4"/>
        <v>0.8951794642796278</v>
      </c>
      <c r="V20" s="611">
        <f t="shared" si="4"/>
        <v>0.86274042432500742</v>
      </c>
    </row>
    <row r="21" spans="1:22" s="138" customFormat="1">
      <c r="C21" s="139"/>
      <c r="D21" s="153" t="s">
        <v>556</v>
      </c>
      <c r="E21" s="645" t="s">
        <v>570</v>
      </c>
      <c r="F21" s="142"/>
      <c r="G21" s="134"/>
      <c r="H21" s="134"/>
      <c r="I21" s="134"/>
      <c r="J21" s="135"/>
      <c r="K21" s="135"/>
      <c r="L21" s="135"/>
      <c r="M21" s="135"/>
      <c r="N21" s="608"/>
      <c r="O21" s="37"/>
      <c r="P21" s="613">
        <f>SUM(R20:V20)</f>
        <v>4.6505206296540527</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-2.1661083748487351</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0.96376252891287584</v>
      </c>
      <c r="T35" s="616">
        <f>T$20</f>
        <v>0.92883821213654183</v>
      </c>
      <c r="U35" s="616">
        <f>U$20</f>
        <v>0.8951794642796278</v>
      </c>
      <c r="V35" s="621">
        <f>V$20</f>
        <v>0.86274042432500742</v>
      </c>
    </row>
    <row r="36" spans="1:22" s="37" customFormat="1">
      <c r="C36" s="131"/>
      <c r="D36" s="104" t="s">
        <v>57</v>
      </c>
      <c r="E36" s="643" t="s">
        <v>411</v>
      </c>
      <c r="F36" s="131"/>
      <c r="G36" s="148"/>
      <c r="H36" s="148"/>
      <c r="I36" s="148"/>
      <c r="J36" s="106"/>
      <c r="K36" s="106"/>
      <c r="L36" s="106"/>
      <c r="M36" s="106"/>
      <c r="N36" s="612"/>
      <c r="O36" s="203"/>
      <c r="P36" s="136"/>
      <c r="Q36" s="131"/>
      <c r="R36" s="603">
        <f>R31*R35</f>
        <v>-2.1661083748487351</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-2.1661083748487351</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-2.1661083748487351</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4.6505206296540527</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-0.46577760800297097</v>
      </c>
      <c r="S47" s="616">
        <f t="shared" si="8"/>
        <v>-0.46577760800297097</v>
      </c>
      <c r="T47" s="616">
        <f t="shared" si="8"/>
        <v>-0.46577760800297097</v>
      </c>
      <c r="U47" s="616">
        <f t="shared" si="8"/>
        <v>-0.46577760800297097</v>
      </c>
      <c r="V47" s="623">
        <f t="shared" si="8"/>
        <v>-0.46577760800297097</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0.96376252891287584</v>
      </c>
      <c r="T51" s="616">
        <f>T$20</f>
        <v>0.92883821213654183</v>
      </c>
      <c r="U51" s="616">
        <f>U$20</f>
        <v>0.8951794642796278</v>
      </c>
      <c r="V51" s="621">
        <f>V$20</f>
        <v>0.86274042432500742</v>
      </c>
    </row>
    <row r="52" spans="1:22" s="37" customFormat="1">
      <c r="C52" s="131"/>
      <c r="D52" s="104" t="s">
        <v>57</v>
      </c>
      <c r="E52" s="643" t="s">
        <v>411</v>
      </c>
      <c r="F52" s="131"/>
      <c r="G52" s="148"/>
      <c r="H52" s="148"/>
      <c r="I52" s="148"/>
      <c r="J52" s="106"/>
      <c r="K52" s="106"/>
      <c r="L52" s="106"/>
      <c r="M52" s="106"/>
      <c r="N52" s="612"/>
      <c r="O52" s="203"/>
      <c r="P52" s="136"/>
      <c r="Q52" s="131"/>
      <c r="R52" s="603">
        <f>R47*R51</f>
        <v>-0.46577760800297097</v>
      </c>
      <c r="S52" s="616">
        <f t="shared" ref="S52:V52" si="9">S47*S51</f>
        <v>-0.44889900539993344</v>
      </c>
      <c r="T52" s="616">
        <f t="shared" si="9"/>
        <v>-0.43263204067071459</v>
      </c>
      <c r="U52" s="616">
        <f t="shared" si="9"/>
        <v>-0.41695454960554601</v>
      </c>
      <c r="V52" s="621">
        <f t="shared" si="9"/>
        <v>-0.40184517116957014</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-2.1661083748487351</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-2.1661083748487351</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-0.43322167496974701</v>
      </c>
      <c r="S64" s="616">
        <f t="shared" ref="S64:V64" si="14">IF(S$62+1&lt;=$P$61,$P59/$P$61,0)</f>
        <v>-0.43322167496974701</v>
      </c>
      <c r="T64" s="616">
        <f t="shared" si="14"/>
        <v>-0.43322167496974701</v>
      </c>
      <c r="U64" s="616">
        <f t="shared" si="14"/>
        <v>-0.43322167496974701</v>
      </c>
      <c r="V64" s="623">
        <f t="shared" si="14"/>
        <v>-0.43322167496974701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0.96376252891287584</v>
      </c>
      <c r="T68" s="616">
        <f>T$20</f>
        <v>0.92883821213654183</v>
      </c>
      <c r="U68" s="616">
        <f>U$20</f>
        <v>0.8951794642796278</v>
      </c>
      <c r="V68" s="621">
        <f>V$20</f>
        <v>0.86274042432500742</v>
      </c>
    </row>
    <row r="69" spans="1:22" s="37" customFormat="1">
      <c r="C69" s="131"/>
      <c r="D69" s="104" t="s">
        <v>57</v>
      </c>
      <c r="E69" s="643" t="s">
        <v>411</v>
      </c>
      <c r="F69" s="131"/>
      <c r="G69" s="148"/>
      <c r="H69" s="148"/>
      <c r="I69" s="148"/>
      <c r="J69" s="106"/>
      <c r="K69" s="106"/>
      <c r="L69" s="106"/>
      <c r="M69" s="106"/>
      <c r="N69" s="612"/>
      <c r="O69" s="203"/>
      <c r="P69" s="136"/>
      <c r="Q69" s="131"/>
      <c r="R69" s="603">
        <f>R64*R68</f>
        <v>-0.43322167496974701</v>
      </c>
      <c r="S69" s="616">
        <f t="shared" ref="S69:V69" si="16">S64*S68</f>
        <v>-0.4175228170487153</v>
      </c>
      <c r="T69" s="616">
        <f t="shared" si="16"/>
        <v>-0.40239284603769787</v>
      </c>
      <c r="U69" s="616">
        <f t="shared" si="16"/>
        <v>-0.38781114691374119</v>
      </c>
      <c r="V69" s="621">
        <f t="shared" si="16"/>
        <v>-0.37375785169018999</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-2.0147063366600912</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-2.1661083748487351</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3.7600000000000001E-2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-0.43322167496974701</v>
      </c>
      <c r="S82" s="616">
        <f t="shared" ref="S82:V83" si="20">IF(S$62+1&lt;=$P$78,$P76/$P$78,0) * (1+$P$79)^S$80</f>
        <v>-0.44951080994860954</v>
      </c>
      <c r="T82" s="616">
        <f t="shared" si="20"/>
        <v>-0.46641241640267722</v>
      </c>
      <c r="U82" s="616">
        <f t="shared" si="20"/>
        <v>-0.48394952325941792</v>
      </c>
      <c r="V82" s="623">
        <f t="shared" si="20"/>
        <v>-0.50214602533397212</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0.96376252891287584</v>
      </c>
      <c r="T86" s="616">
        <f>T$20</f>
        <v>0.92883821213654183</v>
      </c>
      <c r="U86" s="616">
        <f>U$20</f>
        <v>0.8951794642796278</v>
      </c>
      <c r="V86" s="621">
        <f>V$20</f>
        <v>0.86274042432500742</v>
      </c>
    </row>
    <row r="87" spans="1:22" s="37" customFormat="1">
      <c r="C87" s="131"/>
      <c r="D87" s="104" t="s">
        <v>57</v>
      </c>
      <c r="E87" s="643" t="s">
        <v>411</v>
      </c>
      <c r="F87" s="131"/>
      <c r="G87" s="148"/>
      <c r="H87" s="148"/>
      <c r="I87" s="148"/>
      <c r="J87" s="106"/>
      <c r="K87" s="106"/>
      <c r="L87" s="106"/>
      <c r="M87" s="106"/>
      <c r="N87" s="612"/>
      <c r="O87" s="203"/>
      <c r="P87" s="136"/>
      <c r="Q87" s="131"/>
      <c r="R87" s="603">
        <f>R82*R86</f>
        <v>-0.43322167496974701</v>
      </c>
      <c r="S87" s="616">
        <f t="shared" ref="S87:V87" si="21">S82*S86</f>
        <v>-0.43322167496974701</v>
      </c>
      <c r="T87" s="616">
        <f t="shared" si="21"/>
        <v>-0.43322167496974701</v>
      </c>
      <c r="U87" s="616">
        <f t="shared" si="21"/>
        <v>-0.43322167496974701</v>
      </c>
      <c r="V87" s="621">
        <f t="shared" si="21"/>
        <v>-0.43322167496974701</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-2.1661083748487351</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-0.57045252952659142</v>
      </c>
      <c r="S94" s="616">
        <f>'Calc2 FD'!K196</f>
        <v>-0.49766395861860357</v>
      </c>
      <c r="T94" s="616">
        <f>'Calc2 FD'!L196</f>
        <v>-0.66921010303508399</v>
      </c>
      <c r="U94" s="616">
        <f>'Calc2 FD'!M196</f>
        <v>-0.2580877910346524</v>
      </c>
      <c r="V94" s="623">
        <f>'Calc2 FD'!N196</f>
        <v>-0.17069399263380383</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0.96376252891287584</v>
      </c>
      <c r="T98" s="616">
        <f>T$20</f>
        <v>0.92883821213654183</v>
      </c>
      <c r="U98" s="616">
        <f>U$20</f>
        <v>0.8951794642796278</v>
      </c>
      <c r="V98" s="621">
        <f>V$20</f>
        <v>0.86274042432500742</v>
      </c>
    </row>
    <row r="99" spans="1:22" s="37" customFormat="1">
      <c r="C99" s="131"/>
      <c r="D99" s="104" t="s">
        <v>57</v>
      </c>
      <c r="E99" s="643" t="s">
        <v>411</v>
      </c>
      <c r="F99" s="131"/>
      <c r="G99" s="148"/>
      <c r="H99" s="148"/>
      <c r="I99" s="148"/>
      <c r="J99" s="106"/>
      <c r="K99" s="106"/>
      <c r="L99" s="106"/>
      <c r="M99" s="106"/>
      <c r="N99" s="612"/>
      <c r="O99" s="203"/>
      <c r="P99" s="136"/>
      <c r="Q99" s="131"/>
      <c r="R99" s="603">
        <f>R94*R98</f>
        <v>-0.57045252952659142</v>
      </c>
      <c r="S99" s="616">
        <f t="shared" ref="S99:V99" si="23">S94*S98</f>
        <v>-0.4796298753070582</v>
      </c>
      <c r="T99" s="616">
        <f t="shared" si="23"/>
        <v>-0.62158791564681837</v>
      </c>
      <c r="U99" s="616">
        <f t="shared" si="23"/>
        <v>-0.23103489051551265</v>
      </c>
      <c r="V99" s="621">
        <f t="shared" si="23"/>
        <v>-0.1472646076346176</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-2.0499698186305984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-0.57045252952659142</v>
      </c>
      <c r="S106" s="616">
        <f>'Calc2 FD'!K196</f>
        <v>-0.49766395861860357</v>
      </c>
      <c r="T106" s="616">
        <f>'Calc2 FD'!L196</f>
        <v>-0.66921010303508399</v>
      </c>
      <c r="U106" s="616">
        <f>'Calc2 FD'!M196</f>
        <v>-0.2580877910346524</v>
      </c>
      <c r="V106" s="623">
        <f>'Calc2 FD'!N196</f>
        <v>-0.17069399263380383</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0.96376252891287584</v>
      </c>
      <c r="T110" s="616">
        <f>T$20</f>
        <v>0.92883821213654183</v>
      </c>
      <c r="U110" s="616">
        <f>U$20</f>
        <v>0.8951794642796278</v>
      </c>
      <c r="V110" s="621">
        <f>V$20</f>
        <v>0.86274042432500742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-0.57045252952659142</v>
      </c>
      <c r="S111" s="616">
        <f t="shared" ref="S111:V111" si="25">S106*S110</f>
        <v>-0.4796298753070582</v>
      </c>
      <c r="T111" s="616">
        <f t="shared" si="25"/>
        <v>-0.62158791564681837</v>
      </c>
      <c r="U111" s="616">
        <f t="shared" si="25"/>
        <v>-0.23103489051551265</v>
      </c>
      <c r="V111" s="621">
        <f t="shared" si="25"/>
        <v>-0.1472646076346176</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-2.0499698186305984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-2.0499698186305984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-2.1661083748487351</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1.0566537883449028</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-0.60277082639520529</v>
      </c>
      <c r="S123" s="616">
        <f t="shared" si="27"/>
        <v>-0.52585850719706839</v>
      </c>
      <c r="T123" s="616">
        <f t="shared" si="27"/>
        <v>-0.70712339057070417</v>
      </c>
      <c r="U123" s="616">
        <f t="shared" si="27"/>
        <v>-0.27270944212233311</v>
      </c>
      <c r="V123" s="621">
        <f t="shared" si="27"/>
        <v>-0.18036445396422573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0.96376252891287584</v>
      </c>
      <c r="T127" s="616">
        <f>T$20</f>
        <v>0.92883821213654183</v>
      </c>
      <c r="U127" s="616">
        <f>U$20</f>
        <v>0.8951794642796278</v>
      </c>
      <c r="V127" s="621">
        <f>V$20</f>
        <v>0.86274042432500742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-0.60277082639520529</v>
      </c>
      <c r="S128" s="616">
        <f t="shared" ref="S128:V128" si="28">S123*S127</f>
        <v>-0.50680272474659638</v>
      </c>
      <c r="T128" s="616">
        <f t="shared" si="28"/>
        <v>-0.65680322585762241</v>
      </c>
      <c r="U128" s="616">
        <f t="shared" si="28"/>
        <v>-0.24412389230306633</v>
      </c>
      <c r="V128" s="621">
        <f t="shared" si="28"/>
        <v>-0.15560770554624437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-2.1661083748487346</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-2.1661083748487351</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-0.46577760800297097</v>
      </c>
      <c r="S138" s="616">
        <f>S47</f>
        <v>-0.46577760800297097</v>
      </c>
      <c r="T138" s="616">
        <f>T47</f>
        <v>-0.46577760800297097</v>
      </c>
      <c r="U138" s="616">
        <f>U47</f>
        <v>-0.46577760800297097</v>
      </c>
      <c r="V138" s="621">
        <f>V47</f>
        <v>-0.46577760800297097</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-0.43322167496974701</v>
      </c>
      <c r="S139" s="616">
        <f>S64</f>
        <v>-0.43322167496974701</v>
      </c>
      <c r="T139" s="616">
        <f>T64</f>
        <v>-0.43322167496974701</v>
      </c>
      <c r="U139" s="616">
        <f>U64</f>
        <v>-0.43322167496974701</v>
      </c>
      <c r="V139" s="621">
        <f>V64</f>
        <v>-0.43322167496974701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-0.43322167496974701</v>
      </c>
      <c r="S140" s="616">
        <f>S82</f>
        <v>-0.44951080994860954</v>
      </c>
      <c r="T140" s="616">
        <f>T82</f>
        <v>-0.46641241640267722</v>
      </c>
      <c r="U140" s="616">
        <f>U82</f>
        <v>-0.48394952325941792</v>
      </c>
      <c r="V140" s="621">
        <f>V82</f>
        <v>-0.50214602533397212</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-0.57045252952659142</v>
      </c>
      <c r="S141" s="616">
        <f>S94</f>
        <v>-0.49766395861860357</v>
      </c>
      <c r="T141" s="616">
        <f>T94</f>
        <v>-0.66921010303508399</v>
      </c>
      <c r="U141" s="616">
        <f>U94</f>
        <v>-0.2580877910346524</v>
      </c>
      <c r="V141" s="621">
        <f>V94</f>
        <v>-0.17069399263380383</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-0.60277082639520529</v>
      </c>
      <c r="S142" s="616">
        <f t="shared" si="31"/>
        <v>-0.52585850719706839</v>
      </c>
      <c r="T142" s="616">
        <f t="shared" si="31"/>
        <v>-0.70712339057070417</v>
      </c>
      <c r="U142" s="616">
        <f t="shared" si="31"/>
        <v>-0.27270944212233311</v>
      </c>
      <c r="V142" s="621">
        <f t="shared" si="31"/>
        <v>-0.18036445396422573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-0.46577760800297097</v>
      </c>
      <c r="S143" s="630">
        <f t="shared" ref="S143:V143" si="32">CHOOSE($P$135+1,S137,S138,S139,S140,S141,S142)</f>
        <v>-0.46577760800297097</v>
      </c>
      <c r="T143" s="630">
        <f t="shared" si="32"/>
        <v>-0.46577760800297097</v>
      </c>
      <c r="U143" s="630">
        <f t="shared" si="32"/>
        <v>-0.46577760800297097</v>
      </c>
      <c r="V143" s="631">
        <f t="shared" si="32"/>
        <v>-0.46577760800297097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-0.46577760800297097</v>
      </c>
      <c r="S156" s="627">
        <f t="shared" ref="S156:V156" si="36">S143</f>
        <v>-0.46577760800297097</v>
      </c>
      <c r="T156" s="627">
        <f t="shared" si="36"/>
        <v>-0.46577760800297097</v>
      </c>
      <c r="U156" s="627">
        <f t="shared" si="36"/>
        <v>-0.46577760800297097</v>
      </c>
      <c r="V156" s="628">
        <f t="shared" si="36"/>
        <v>-0.46577760800297097</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4.9178699999999997</v>
      </c>
      <c r="K16" s="121">
        <f>'Input FD'!K10</f>
        <v>5.2240770000000003</v>
      </c>
      <c r="L16" s="121">
        <f>'Input FD'!L10</f>
        <v>4.9178699999999997</v>
      </c>
      <c r="M16" s="121">
        <f>'Input FD'!M10</f>
        <v>4.9178699999999997</v>
      </c>
      <c r="N16" s="121">
        <f>'Input FD'!N10</f>
        <v>4.9178699999999997</v>
      </c>
      <c r="O16" s="113"/>
      <c r="P16" s="113"/>
      <c r="Q16" s="113"/>
      <c r="R16" s="113"/>
      <c r="S16" s="113"/>
      <c r="T16" s="115"/>
      <c r="U16" s="122">
        <f t="shared" ref="U16:U34" si="0">SUM(J16:N16)</f>
        <v>24.895557</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3.363</v>
      </c>
      <c r="K17" s="121">
        <f>'Input FD'!K11</f>
        <v>1.363</v>
      </c>
      <c r="L17" s="121">
        <f>'Input FD'!L11</f>
        <v>6.4379999999999997</v>
      </c>
      <c r="M17" s="121">
        <f>'Input FD'!M11</f>
        <v>1.44</v>
      </c>
      <c r="N17" s="121">
        <f>'Input FD'!N11</f>
        <v>1.389</v>
      </c>
      <c r="O17" s="113"/>
      <c r="P17" s="113"/>
      <c r="Q17" s="113"/>
      <c r="R17" s="113"/>
      <c r="S17" s="113"/>
      <c r="T17" s="115"/>
      <c r="U17" s="122">
        <f t="shared" si="0"/>
        <v>13.992999999999999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0.53</v>
      </c>
      <c r="K18" s="121">
        <f>'Input FD'!K12</f>
        <v>0.53</v>
      </c>
      <c r="L18" s="121">
        <f>'Input FD'!L12</f>
        <v>0.53</v>
      </c>
      <c r="M18" s="121">
        <f>'Input FD'!M12</f>
        <v>0.53</v>
      </c>
      <c r="N18" s="121">
        <f>'Input FD'!N12</f>
        <v>0.53</v>
      </c>
      <c r="O18" s="113"/>
      <c r="P18" s="113"/>
      <c r="Q18" s="113"/>
      <c r="R18" s="113"/>
      <c r="S18" s="113"/>
      <c r="T18" s="115"/>
      <c r="U18" s="122">
        <f t="shared" si="0"/>
        <v>2.6500000000000004</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2.2229999999999999</v>
      </c>
      <c r="K19" s="121">
        <f>'Input FD'!K13</f>
        <v>2.4260000000000002</v>
      </c>
      <c r="L19" s="121">
        <f>'Input FD'!L13</f>
        <v>1.585</v>
      </c>
      <c r="M19" s="121">
        <f>'Input FD'!M13</f>
        <v>0.94599999999999995</v>
      </c>
      <c r="N19" s="121">
        <f>'Input FD'!N13</f>
        <v>0.91600000000000004</v>
      </c>
      <c r="O19" s="113"/>
      <c r="P19" s="113"/>
      <c r="Q19" s="113"/>
      <c r="R19" s="113"/>
      <c r="S19" s="113"/>
      <c r="T19" s="115"/>
      <c r="U19" s="122">
        <f t="shared" si="0"/>
        <v>8.0960000000000001</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-1.6539999999999999</v>
      </c>
      <c r="K20" s="121">
        <f>-'Input FD'!K14</f>
        <v>-1.6539999999999999</v>
      </c>
      <c r="L20" s="121">
        <f>-'Input FD'!L14</f>
        <v>-1.6539999999999999</v>
      </c>
      <c r="M20" s="121">
        <f>-'Input FD'!M14</f>
        <v>-1.6539999999999999</v>
      </c>
      <c r="N20" s="121">
        <f>-'Input FD'!N14</f>
        <v>-1.6539999999999999</v>
      </c>
      <c r="O20" s="113"/>
      <c r="P20" s="113"/>
      <c r="Q20" s="113"/>
      <c r="R20" s="113"/>
      <c r="S20" s="113"/>
      <c r="T20" s="115"/>
      <c r="U20" s="122">
        <f t="shared" si="0"/>
        <v>-8.27</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9.3798700000000004</v>
      </c>
      <c r="K24" s="121">
        <f>'Calc2 FD'!K55</f>
        <v>7.8890770000000003</v>
      </c>
      <c r="L24" s="121">
        <f>'Calc2 FD'!L55</f>
        <v>11.816869999999998</v>
      </c>
      <c r="M24" s="121">
        <f>'Calc2 FD'!M55</f>
        <v>6.1798700000000002</v>
      </c>
      <c r="N24" s="121">
        <f>'Calc2 FD'!N55</f>
        <v>6.0988700000000007</v>
      </c>
      <c r="O24" s="113"/>
      <c r="P24" s="113"/>
      <c r="Q24" s="113"/>
      <c r="R24" s="113"/>
      <c r="S24" s="113"/>
      <c r="T24" s="115"/>
      <c r="U24" s="122">
        <f t="shared" si="0"/>
        <v>41.364556999999998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4.39597987914164</v>
      </c>
      <c r="K37" s="121">
        <f>'Input FD'!K30</f>
        <v>4.6510130665451204</v>
      </c>
      <c r="L37" s="121">
        <f>'Input FD'!L30</f>
        <v>4.36088237578657</v>
      </c>
      <c r="M37" s="121">
        <f>'Input FD'!M30</f>
        <v>4.3434388462834201</v>
      </c>
      <c r="N37" s="121">
        <f>'Input FD'!N30</f>
        <v>4.3260650908982896</v>
      </c>
      <c r="O37" s="113"/>
      <c r="P37" s="113"/>
      <c r="Q37" s="113"/>
      <c r="R37" s="113"/>
      <c r="S37" s="113"/>
      <c r="T37" s="115"/>
      <c r="U37" s="122">
        <f t="shared" ref="U37:U51" si="3">SUM(J37:N37)</f>
        <v>22.077379258655039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3.2235510857021099</v>
      </c>
      <c r="K38" s="121">
        <f>'Input FD'!K31</f>
        <v>1.34033005536492</v>
      </c>
      <c r="L38" s="121">
        <f>'Input FD'!L31</f>
        <v>5.9497362521654003</v>
      </c>
      <c r="M38" s="121">
        <f>'Input FD'!M31</f>
        <v>1.4053301155664399</v>
      </c>
      <c r="N38" s="121">
        <f>'Input FD'!N31</f>
        <v>1.34053370287739</v>
      </c>
      <c r="O38" s="113"/>
      <c r="P38" s="113"/>
      <c r="Q38" s="113"/>
      <c r="R38" s="113"/>
      <c r="S38" s="113"/>
      <c r="T38" s="115"/>
      <c r="U38" s="122">
        <f t="shared" si="3"/>
        <v>13.25948121167626</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0.21718470970666401</v>
      </c>
      <c r="K39" s="121">
        <f>'Input FD'!K32</f>
        <v>0.24954331987061401</v>
      </c>
      <c r="L39" s="121">
        <f>'Input FD'!L32</f>
        <v>0.12599632392409499</v>
      </c>
      <c r="M39" s="121">
        <f>'Input FD'!M32</f>
        <v>9.0676335970493405E-2</v>
      </c>
      <c r="N39" s="121">
        <f>'Input FD'!N32</f>
        <v>8.0983932121316701E-2</v>
      </c>
      <c r="O39" s="113"/>
      <c r="P39" s="113"/>
      <c r="Q39" s="113"/>
      <c r="R39" s="113"/>
      <c r="S39" s="113"/>
      <c r="T39" s="115"/>
      <c r="U39" s="122">
        <f t="shared" si="3"/>
        <v>0.7643846215931831</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0.63114986371487602</v>
      </c>
      <c r="K40" s="121">
        <f>'Input FD'!K33</f>
        <v>0.86245614511963997</v>
      </c>
      <c r="L40" s="121">
        <f>'Input FD'!L33</f>
        <v>0.247369025186678</v>
      </c>
      <c r="M40" s="121">
        <f>'Input FD'!M33</f>
        <v>0.15521825778614701</v>
      </c>
      <c r="N40" s="121">
        <f>'Input FD'!N33</f>
        <v>0.13423075676061499</v>
      </c>
      <c r="O40" s="113"/>
      <c r="P40" s="113"/>
      <c r="Q40" s="113"/>
      <c r="R40" s="113"/>
      <c r="S40" s="113"/>
      <c r="T40" s="115"/>
      <c r="U40" s="122">
        <f t="shared" si="3"/>
        <v>2.0304240485679559</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8.4678655382652899</v>
      </c>
      <c r="K43" s="121">
        <f>'Calc2 FD'!K56</f>
        <v>7.1033425869002933</v>
      </c>
      <c r="L43" s="121">
        <f>'Calc2 FD'!L56</f>
        <v>10.683983977062745</v>
      </c>
      <c r="M43" s="121">
        <f>'Calc2 FD'!M56</f>
        <v>5.9946635556065004</v>
      </c>
      <c r="N43" s="121">
        <f>'Calc2 FD'!N56</f>
        <v>5.8818134826576109</v>
      </c>
      <c r="O43" s="113"/>
      <c r="P43" s="113"/>
      <c r="Q43" s="113"/>
      <c r="R43" s="113"/>
      <c r="S43" s="113"/>
      <c r="T43" s="115"/>
      <c r="U43" s="122">
        <f t="shared" si="3"/>
        <v>38.131669140492441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4.4891551210223115</v>
      </c>
      <c r="K54" s="121">
        <f>'Calc2 FD'!K39</f>
        <v>4.7495938788736165</v>
      </c>
      <c r="L54" s="121">
        <f>'Calc2 FD'!L39</f>
        <v>4.4533137065360657</v>
      </c>
      <c r="M54" s="121">
        <f>'Calc2 FD'!M39</f>
        <v>4.4355004517099186</v>
      </c>
      <c r="N54" s="121">
        <f>'Calc2 FD'!N39</f>
        <v>4.417758449903082</v>
      </c>
      <c r="O54" s="113"/>
      <c r="P54" s="113"/>
      <c r="Q54" s="113"/>
      <c r="R54" s="113"/>
      <c r="S54" s="113"/>
      <c r="T54" s="115"/>
      <c r="U54" s="122">
        <f>SUM(J54:N54)</f>
        <v>22.545321608044993</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3.2918760463212751</v>
      </c>
      <c r="K55" s="121">
        <f>'Calc2 FD'!K40</f>
        <v>1.3687390973855913</v>
      </c>
      <c r="L55" s="121">
        <f>'Calc2 FD'!L40</f>
        <v>6.075844225737371</v>
      </c>
      <c r="M55" s="121">
        <f>'Calc2 FD'!M40</f>
        <v>1.4351168700648846</v>
      </c>
      <c r="N55" s="121">
        <f>'Calc2 FD'!N40</f>
        <v>1.3689470613205097</v>
      </c>
      <c r="O55" s="113"/>
      <c r="P55" s="113"/>
      <c r="Q55" s="113"/>
      <c r="R55" s="113"/>
      <c r="S55" s="113"/>
      <c r="T55" s="115"/>
      <c r="U55" s="122">
        <f>SUM(J55:N55)</f>
        <v>13.540523300829632</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0.22178806058998363</v>
      </c>
      <c r="K56" s="121">
        <f>'Calc2 FD'!K41</f>
        <v>0.25483252951849583</v>
      </c>
      <c r="L56" s="121">
        <f>'Calc2 FD'!L41</f>
        <v>0.1286668861833552</v>
      </c>
      <c r="M56" s="121">
        <f>'Calc2 FD'!M41</f>
        <v>9.2598271413599539E-2</v>
      </c>
      <c r="N56" s="121">
        <f>'Calc2 FD'!N41</f>
        <v>8.2700431666652405E-2</v>
      </c>
      <c r="O56" s="113"/>
      <c r="P56" s="113"/>
      <c r="Q56" s="113"/>
      <c r="R56" s="113"/>
      <c r="S56" s="113"/>
      <c r="T56" s="115"/>
      <c r="U56" s="122">
        <f>SUM(J56:N56)</f>
        <v>0.78058617937208663</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0.6445274365954119</v>
      </c>
      <c r="K57" s="121">
        <f>'Calc2 FD'!K42</f>
        <v>0.88073638346065009</v>
      </c>
      <c r="L57" s="121">
        <f>'Calc2 FD'!L42</f>
        <v>0.25261214944775973</v>
      </c>
      <c r="M57" s="121">
        <f>'Calc2 FD'!M42</f>
        <v>0.15850819520877793</v>
      </c>
      <c r="N57" s="121">
        <f>'Calc2 FD'!N42</f>
        <v>0.13707585241001502</v>
      </c>
      <c r="O57" s="113"/>
      <c r="P57" s="113"/>
      <c r="Q57" s="113"/>
      <c r="R57" s="113"/>
      <c r="S57" s="113"/>
      <c r="T57" s="115"/>
      <c r="U57" s="122">
        <f>SUM(J57:N57)</f>
        <v>2.0734600171226147</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8.6473466645289818</v>
      </c>
      <c r="K60" s="121">
        <f>'Calc2 FD'!K57</f>
        <v>7.2539018892383531</v>
      </c>
      <c r="L60" s="121">
        <f>'Calc2 FD'!L57</f>
        <v>10.910436967904552</v>
      </c>
      <c r="M60" s="121">
        <f>'Calc2 FD'!M57</f>
        <v>6.1217237883971816</v>
      </c>
      <c r="N60" s="121">
        <f>'Calc2 FD'!N57</f>
        <v>6.0064817953002594</v>
      </c>
      <c r="O60" s="113"/>
      <c r="P60" s="113"/>
      <c r="Q60" s="113"/>
      <c r="R60" s="113"/>
      <c r="S60" s="113"/>
      <c r="T60" s="115"/>
      <c r="U60" s="122">
        <f>SUM(J60:N60)</f>
        <v>38.939891105369327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108.47822278011566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-6.1452742745555497E-2</v>
      </c>
      <c r="K73" s="121">
        <f>'Calc2 FD'!K127</f>
        <v>-5.1550167235621697E-2</v>
      </c>
      <c r="L73" s="121">
        <f>'Calc2 FD'!L127</f>
        <v>-7.7535491780444096E-2</v>
      </c>
      <c r="M73" s="121">
        <f>'Calc2 FD'!M127</f>
        <v>-4.3504294637667501E-2</v>
      </c>
      <c r="N73" s="121">
        <f>'Calc2 FD'!N127</f>
        <v>-4.2685322433821497E-2</v>
      </c>
      <c r="O73" s="113"/>
      <c r="P73" s="113"/>
      <c r="Q73" s="113"/>
      <c r="R73" s="113"/>
      <c r="S73" s="113"/>
      <c r="T73" s="115"/>
      <c r="U73" s="122">
        <f>SUM(J73:N73)</f>
        <v>-0.27672801883311027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9.3798700000000004</v>
      </c>
      <c r="K16" s="121">
        <f>'Calc2 FD'!K55</f>
        <v>7.8890770000000003</v>
      </c>
      <c r="L16" s="121">
        <f>'Calc2 FD'!L55</f>
        <v>11.816869999999998</v>
      </c>
      <c r="M16" s="121">
        <f>'Calc2 FD'!M55</f>
        <v>6.1798700000000002</v>
      </c>
      <c r="N16" s="121">
        <f>'Calc2 FD'!N55</f>
        <v>6.0988700000000007</v>
      </c>
      <c r="O16" s="113"/>
      <c r="P16" s="113"/>
      <c r="Q16" s="113"/>
      <c r="R16" s="113"/>
      <c r="S16" s="113"/>
      <c r="T16" s="115"/>
      <c r="U16" s="295">
        <f>SUM(J16:N16)</f>
        <v>41.364556999999998</v>
      </c>
    </row>
    <row r="17" spans="1:21" s="117" customFormat="1" ht="17.399999999999999">
      <c r="A17" s="110"/>
      <c r="B17" s="118" t="s">
        <v>131</v>
      </c>
      <c r="C17" s="119"/>
      <c r="D17" s="113"/>
      <c r="E17" s="124" t="str">
        <f>'Calc2 FD'!E56</f>
        <v>Water: Baseline capex (gross of adjustments)</v>
      </c>
      <c r="F17" s="124"/>
      <c r="G17" s="113"/>
      <c r="H17" s="120"/>
      <c r="I17" s="120"/>
      <c r="J17" s="121">
        <f>'Calc2 FD'!J56</f>
        <v>8.4678655382652899</v>
      </c>
      <c r="K17" s="121">
        <f>'Calc2 FD'!K56</f>
        <v>7.1033425869002933</v>
      </c>
      <c r="L17" s="121">
        <f>'Calc2 FD'!L56</f>
        <v>10.683983977062745</v>
      </c>
      <c r="M17" s="121">
        <f>'Calc2 FD'!M56</f>
        <v>5.9946635556065004</v>
      </c>
      <c r="N17" s="121">
        <f>'Calc2 FD'!N56</f>
        <v>5.8818134826576109</v>
      </c>
      <c r="O17" s="113"/>
      <c r="P17" s="113"/>
      <c r="Q17" s="113"/>
      <c r="R17" s="113"/>
      <c r="S17" s="113"/>
      <c r="T17" s="115"/>
      <c r="U17" s="295">
        <f t="shared" ref="U17:U18" si="0">SUM(J17:N17)</f>
        <v>38.131669140492441</v>
      </c>
    </row>
    <row r="18" spans="1:21" s="117" customFormat="1" ht="17.399999999999999">
      <c r="A18" s="110"/>
      <c r="B18" s="118" t="s">
        <v>132</v>
      </c>
      <c r="C18" s="119"/>
      <c r="D18" s="113"/>
      <c r="E18" s="124" t="str">
        <f>'Calc2 FD'!E57</f>
        <v>Water: Allowance capex (gross of adjustments)</v>
      </c>
      <c r="F18" s="124"/>
      <c r="G18" s="113"/>
      <c r="H18" s="286"/>
      <c r="I18" s="120"/>
      <c r="J18" s="121">
        <f>'Calc2 FD'!J57</f>
        <v>8.6473466645289818</v>
      </c>
      <c r="K18" s="121">
        <f>'Calc2 FD'!K57</f>
        <v>7.2539018892383531</v>
      </c>
      <c r="L18" s="121">
        <f>'Calc2 FD'!L57</f>
        <v>10.910436967904552</v>
      </c>
      <c r="M18" s="121">
        <f>'Calc2 FD'!M57</f>
        <v>6.1217237883971816</v>
      </c>
      <c r="N18" s="121">
        <f>'Calc2 FD'!N57</f>
        <v>6.0064817953002594</v>
      </c>
      <c r="O18" s="113"/>
      <c r="P18" s="113"/>
      <c r="Q18" s="113"/>
      <c r="R18" s="113"/>
      <c r="S18" s="113"/>
      <c r="T18" s="115"/>
      <c r="U18" s="295">
        <f t="shared" si="0"/>
        <v>38.939891105369327</v>
      </c>
    </row>
    <row r="19" spans="1:21" s="117" customFormat="1" ht="17.399999999999999">
      <c r="A19" s="110"/>
      <c r="B19" s="118" t="s">
        <v>133</v>
      </c>
      <c r="C19" s="119"/>
      <c r="D19" s="113"/>
      <c r="E19" s="124" t="str">
        <f>'Calc2 FD'!E94</f>
        <v>Water: CIS bid ratio</v>
      </c>
      <c r="F19" s="124"/>
      <c r="G19" s="301">
        <f>'Calc2 FD'!G94</f>
        <v>108.47822278011566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-0.20936212802493101</v>
      </c>
      <c r="K21" s="121">
        <f>'Calc2 FD'!K59</f>
        <v>-0.14255505363059001</v>
      </c>
      <c r="L21" s="121">
        <f>'Calc2 FD'!L59</f>
        <v>-2.11466773172867E-2</v>
      </c>
      <c r="M21" s="121">
        <f>'Calc2 FD'!M59</f>
        <v>-1.88054380428729E-2</v>
      </c>
      <c r="N21" s="121">
        <f>'Calc2 FD'!N59</f>
        <v>0</v>
      </c>
      <c r="O21" s="113"/>
      <c r="P21" s="113"/>
      <c r="Q21" s="113"/>
      <c r="R21" s="113"/>
      <c r="S21" s="113"/>
      <c r="T21" s="115"/>
      <c r="U21" s="295">
        <f t="shared" ref="U21:U22" si="1">SUM(J21:N21)</f>
        <v>-0.39186929701568057</v>
      </c>
    </row>
    <row r="22" spans="1:21" s="117" customFormat="1" ht="17.399999999999999">
      <c r="A22" s="110"/>
      <c r="B22" s="118" t="s">
        <v>135</v>
      </c>
      <c r="C22" s="119"/>
      <c r="D22" s="113"/>
      <c r="E22" s="113" t="str">
        <f>'Calc2 FD'!E60</f>
        <v>Water: Adjustments to baseline capex</v>
      </c>
      <c r="F22" s="113"/>
      <c r="G22" s="113"/>
      <c r="H22" s="120"/>
      <c r="I22" s="120"/>
      <c r="J22" s="121">
        <f>'Calc2 FD'!J60</f>
        <v>-0.20936212802493101</v>
      </c>
      <c r="K22" s="121">
        <f>'Calc2 FD'!K60</f>
        <v>-0.14255505363059001</v>
      </c>
      <c r="L22" s="121">
        <f>'Calc2 FD'!L60</f>
        <v>-2.11466773172867E-2</v>
      </c>
      <c r="M22" s="121">
        <f>'Calc2 FD'!M60</f>
        <v>-1.88054380428729E-2</v>
      </c>
      <c r="N22" s="121">
        <f>'Calc2 FD'!N60</f>
        <v>0</v>
      </c>
      <c r="O22" s="113"/>
      <c r="P22" s="113"/>
      <c r="Q22" s="113"/>
      <c r="R22" s="113"/>
      <c r="S22" s="113"/>
      <c r="T22" s="115"/>
      <c r="U22" s="295">
        <f t="shared" si="1"/>
        <v>-0.39186929701568057</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9.1705078719750688</v>
      </c>
      <c r="K24" s="121">
        <f>'Calc2 FD'!K62</f>
        <v>7.7465219463694099</v>
      </c>
      <c r="L24" s="121">
        <f>'Calc2 FD'!L62</f>
        <v>11.795723322682711</v>
      </c>
      <c r="M24" s="121">
        <f>'Calc2 FD'!M62</f>
        <v>6.1610645619571276</v>
      </c>
      <c r="N24" s="121">
        <f>'Calc2 FD'!N62</f>
        <v>6.0988700000000007</v>
      </c>
      <c r="O24" s="113"/>
      <c r="P24" s="113"/>
      <c r="Q24" s="113"/>
      <c r="R24" s="113"/>
      <c r="S24" s="113"/>
      <c r="T24" s="115"/>
      <c r="U24" s="295">
        <f t="shared" ref="U24:U26" si="2">SUM(J24:N24)</f>
        <v>40.972687702984317</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8.2585034102403583</v>
      </c>
      <c r="K25" s="121">
        <f>'Calc2 FD'!K63</f>
        <v>6.9607875332697029</v>
      </c>
      <c r="L25" s="121">
        <f>'Calc2 FD'!L63</f>
        <v>10.662837299745458</v>
      </c>
      <c r="M25" s="121">
        <f>'Calc2 FD'!M63</f>
        <v>5.9758581175636278</v>
      </c>
      <c r="N25" s="121">
        <f>'Calc2 FD'!N63</f>
        <v>5.8818134826576109</v>
      </c>
      <c r="O25" s="113"/>
      <c r="P25" s="113"/>
      <c r="Q25" s="113"/>
      <c r="R25" s="113"/>
      <c r="S25" s="113"/>
      <c r="T25" s="115"/>
      <c r="U25" s="295">
        <f t="shared" si="2"/>
        <v>37.73979984347676</v>
      </c>
    </row>
    <row r="26" spans="1:21" s="117" customFormat="1" ht="17.399999999999999">
      <c r="A26" s="110"/>
      <c r="B26" s="118" t="s">
        <v>138</v>
      </c>
      <c r="C26" s="119"/>
      <c r="D26" s="113"/>
      <c r="E26" s="113" t="str">
        <f>'Calc2 FD'!E64</f>
        <v>Water: Allowance capex (net of adjustments)</v>
      </c>
      <c r="F26" s="113"/>
      <c r="G26" s="113"/>
      <c r="H26" s="120"/>
      <c r="I26" s="120"/>
      <c r="J26" s="121">
        <f>'Calc2 FD'!J64</f>
        <v>8.4353645457219937</v>
      </c>
      <c r="K26" s="121">
        <f>'Calc2 FD'!K64</f>
        <v>7.1098572527849804</v>
      </c>
      <c r="L26" s="121">
        <f>'Calc2 FD'!L64</f>
        <v>10.891188784101633</v>
      </c>
      <c r="M26" s="121">
        <f>'Calc2 FD'!M64</f>
        <v>6.103834943345273</v>
      </c>
      <c r="N26" s="121">
        <f>'Calc2 FD'!N64</f>
        <v>6.0077762823997674</v>
      </c>
      <c r="O26" s="113"/>
      <c r="P26" s="113"/>
      <c r="Q26" s="113"/>
      <c r="R26" s="113"/>
      <c r="S26" s="113"/>
      <c r="T26" s="115"/>
      <c r="U26" s="295">
        <f t="shared" si="2"/>
        <v>38.548021808353646</v>
      </c>
    </row>
    <row r="27" spans="1:21" s="117" customFormat="1" ht="17.399999999999999">
      <c r="A27" s="110"/>
      <c r="B27" s="118" t="s">
        <v>139</v>
      </c>
      <c r="C27" s="119"/>
      <c r="D27" s="113"/>
      <c r="E27" s="113" t="str">
        <f>'Calc2 FD'!E106</f>
        <v>Water: Restated CIS bid ratio</v>
      </c>
      <c r="F27" s="113"/>
      <c r="G27" s="301">
        <f>'Calc2 FD'!G106</f>
        <v>108.566255976226</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8.1485078139869387</v>
      </c>
      <c r="K30" s="121">
        <f>'Calc2 FD'!K79</f>
        <v>6.725580750121626</v>
      </c>
      <c r="L30" s="121">
        <f>'Calc2 FD'!L79</f>
        <v>10.261704765812455</v>
      </c>
      <c r="M30" s="121">
        <f>'Calc2 FD'!M79</f>
        <v>5.3987508559480606</v>
      </c>
      <c r="N30" s="121">
        <f>'Calc2 FD'!N79</f>
        <v>5.3442516795111406</v>
      </c>
      <c r="O30" s="113"/>
      <c r="P30" s="113"/>
      <c r="Q30" s="113"/>
      <c r="R30" s="113"/>
      <c r="S30" s="113"/>
      <c r="T30" s="115"/>
      <c r="U30" s="295">
        <f t="shared" ref="U30:U33" si="3">SUM(J30:N30)</f>
        <v>35.878795865380219</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7.3381409742673283</v>
      </c>
      <c r="K31" s="121">
        <f>'Calc2 FD'!K80</f>
        <v>6.0434010209428788</v>
      </c>
      <c r="L31" s="121">
        <f>'Calc2 FD'!L80</f>
        <v>9.2761491044362288</v>
      </c>
      <c r="M31" s="121">
        <f>'Calc2 FD'!M80</f>
        <v>5.2364601608674564</v>
      </c>
      <c r="N31" s="121">
        <f>'Calc2 FD'!N80</f>
        <v>5.1540517478261059</v>
      </c>
      <c r="O31" s="113"/>
      <c r="P31" s="113"/>
      <c r="Q31" s="113"/>
      <c r="R31" s="113"/>
      <c r="S31" s="113"/>
      <c r="T31" s="115"/>
      <c r="U31" s="295">
        <f t="shared" si="3"/>
        <v>33.048203008339996</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7.4952919592053444</v>
      </c>
      <c r="K32" s="121">
        <f>'Calc2 FD'!K81</f>
        <v>6.1728243212238345</v>
      </c>
      <c r="L32" s="121">
        <f>'Calc2 FD'!L81</f>
        <v>9.4748037736918302</v>
      </c>
      <c r="M32" s="121">
        <f>'Calc2 FD'!M81</f>
        <v>5.3486023062357066</v>
      </c>
      <c r="N32" s="121">
        <f>'Calc2 FD'!N81</f>
        <v>5.2644290642925897</v>
      </c>
      <c r="O32" s="113"/>
      <c r="P32" s="113"/>
      <c r="Q32" s="113"/>
      <c r="R32" s="113"/>
      <c r="S32" s="113"/>
      <c r="T32" s="115"/>
      <c r="U32" s="295">
        <f t="shared" si="3"/>
        <v>33.755951424649304</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7.989988777274915</v>
      </c>
      <c r="K33" s="121">
        <f>'Calc2 FD'!K82</f>
        <v>6.3357494118886288</v>
      </c>
      <c r="L33" s="121">
        <f>'Calc2 FD'!L82</f>
        <v>12.232887810360705</v>
      </c>
      <c r="M33" s="121">
        <f>'Calc2 FD'!M82</f>
        <v>7.6995515095339204</v>
      </c>
      <c r="N33" s="121">
        <f>'Calc2 FD'!N82</f>
        <v>6.4608346853402363</v>
      </c>
      <c r="O33" s="113"/>
      <c r="P33" s="113"/>
      <c r="Q33" s="113"/>
      <c r="R33" s="113"/>
      <c r="S33" s="113"/>
      <c r="T33" s="115"/>
      <c r="U33" s="295">
        <f t="shared" si="3"/>
        <v>40.71901219439841</v>
      </c>
    </row>
    <row r="34" spans="1:21" s="117" customFormat="1" ht="17.399999999999999">
      <c r="A34" s="110"/>
      <c r="B34" s="118" t="s">
        <v>145</v>
      </c>
      <c r="C34" s="118"/>
      <c r="D34" s="113"/>
      <c r="E34" s="113" t="str">
        <f>'Calc2 FD'!E116</f>
        <v>Water: CIS outturn ratio</v>
      </c>
      <c r="F34" s="113"/>
      <c r="G34" s="301">
        <f>'Calc2 FD'!G116</f>
        <v>123.21097211888532</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-2.0305178653898266</v>
      </c>
    </row>
    <row r="38" spans="1:21" s="117" customFormat="1" ht="17.399999999999999">
      <c r="A38" s="110"/>
      <c r="B38" s="118" t="s">
        <v>152</v>
      </c>
      <c r="C38" s="119"/>
      <c r="D38" s="113"/>
      <c r="E38" s="113" t="str">
        <f>'Calc2 FD'!E127</f>
        <v>Water: Additional income (applied at FD)</v>
      </c>
      <c r="F38" s="113"/>
      <c r="G38" s="113"/>
      <c r="H38" s="113"/>
      <c r="I38" s="113"/>
      <c r="J38" s="121">
        <f>'Calc2 FD'!J127</f>
        <v>-6.1452742745555497E-2</v>
      </c>
      <c r="K38" s="121">
        <f>'Calc2 FD'!K127</f>
        <v>-5.1550167235621697E-2</v>
      </c>
      <c r="L38" s="121">
        <f>'Calc2 FD'!L127</f>
        <v>-7.7535491780444096E-2</v>
      </c>
      <c r="M38" s="121">
        <f>'Calc2 FD'!M127</f>
        <v>-4.3504294637667501E-2</v>
      </c>
      <c r="N38" s="121">
        <f>'Calc2 FD'!N127</f>
        <v>-4.2685322433821497E-2</v>
      </c>
      <c r="O38" s="113"/>
      <c r="P38" s="113"/>
      <c r="Q38" s="113"/>
      <c r="R38" s="113"/>
      <c r="S38" s="113"/>
      <c r="T38" s="115"/>
      <c r="U38" s="295">
        <f t="shared" ref="U38" si="4">SUM(J38:N38)</f>
        <v>-0.27672801883311027</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-1.7537898465567161</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PRT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2.5687123592086492</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-1.8466625363863212</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-2.1661083748487351</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4.9178699999999997</v>
      </c>
      <c r="J4" s="566">
        <v>5.2240770000000003</v>
      </c>
      <c r="K4" s="566">
        <v>4.9178699999999997</v>
      </c>
      <c r="L4" s="566">
        <v>4.9178699999999997</v>
      </c>
      <c r="M4" s="566">
        <v>4.9178699999999997</v>
      </c>
      <c r="N4" s="566"/>
      <c r="O4" s="566"/>
    </row>
    <row r="5" spans="1:15">
      <c r="A5" t="s">
        <v>818</v>
      </c>
      <c r="B5" t="s">
        <v>452</v>
      </c>
      <c r="C5" t="s">
        <v>178</v>
      </c>
      <c r="D5" t="s">
        <v>497</v>
      </c>
      <c r="E5" t="s">
        <v>742</v>
      </c>
      <c r="F5" s="566"/>
      <c r="G5" s="566"/>
      <c r="H5" s="566"/>
      <c r="I5" s="566">
        <v>3.363</v>
      </c>
      <c r="J5" s="566">
        <v>1.363</v>
      </c>
      <c r="K5" s="566">
        <v>6.4379999999999997</v>
      </c>
      <c r="L5" s="566">
        <v>1.44</v>
      </c>
      <c r="M5" s="566">
        <v>1.389</v>
      </c>
      <c r="N5" s="566"/>
      <c r="O5" s="566"/>
    </row>
    <row r="6" spans="1:15">
      <c r="A6" t="s">
        <v>818</v>
      </c>
      <c r="B6" t="s">
        <v>453</v>
      </c>
      <c r="C6" t="s">
        <v>123</v>
      </c>
      <c r="D6" t="s">
        <v>497</v>
      </c>
      <c r="E6" t="s">
        <v>742</v>
      </c>
      <c r="F6" s="566"/>
      <c r="G6" s="566"/>
      <c r="H6" s="566"/>
      <c r="I6" s="566">
        <v>0.53</v>
      </c>
      <c r="J6" s="566">
        <v>0.53</v>
      </c>
      <c r="K6" s="566">
        <v>0.53</v>
      </c>
      <c r="L6" s="566">
        <v>0.53</v>
      </c>
      <c r="M6" s="566">
        <v>0.53</v>
      </c>
      <c r="N6" s="566"/>
      <c r="O6" s="566"/>
    </row>
    <row r="7" spans="1:15">
      <c r="A7" t="s">
        <v>818</v>
      </c>
      <c r="B7" t="s">
        <v>454</v>
      </c>
      <c r="C7" t="s">
        <v>122</v>
      </c>
      <c r="D7" t="s">
        <v>497</v>
      </c>
      <c r="E7" t="s">
        <v>742</v>
      </c>
      <c r="F7" s="566"/>
      <c r="G7" s="566"/>
      <c r="H7" s="566"/>
      <c r="I7" s="566">
        <v>2.2229999999999999</v>
      </c>
      <c r="J7" s="566">
        <v>2.4260000000000002</v>
      </c>
      <c r="K7" s="566">
        <v>1.585</v>
      </c>
      <c r="L7" s="566">
        <v>0.94599999999999995</v>
      </c>
      <c r="M7" s="566">
        <v>0.91600000000000004</v>
      </c>
      <c r="N7" s="566"/>
      <c r="O7" s="566"/>
    </row>
    <row r="8" spans="1:15">
      <c r="A8" t="s">
        <v>818</v>
      </c>
      <c r="B8" t="s">
        <v>455</v>
      </c>
      <c r="C8" t="s">
        <v>190</v>
      </c>
      <c r="D8" t="s">
        <v>497</v>
      </c>
      <c r="E8" t="s">
        <v>742</v>
      </c>
      <c r="F8" s="566"/>
      <c r="G8" s="566"/>
      <c r="H8" s="566"/>
      <c r="I8" s="566">
        <v>1.6539999999999999</v>
      </c>
      <c r="J8" s="566">
        <v>1.6539999999999999</v>
      </c>
      <c r="K8" s="566">
        <v>1.6539999999999999</v>
      </c>
      <c r="L8" s="566">
        <v>1.6539999999999999</v>
      </c>
      <c r="M8" s="566">
        <v>1.6539999999999999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4.7750000000000004</v>
      </c>
      <c r="G20" s="566">
        <v>4.9209310545511</v>
      </c>
      <c r="H20" s="566">
        <v>5.3049999999999997</v>
      </c>
      <c r="I20" s="566">
        <v>4.39597987914164</v>
      </c>
      <c r="J20" s="566">
        <v>4.6510130665451204</v>
      </c>
      <c r="K20" s="566">
        <v>4.36088237578657</v>
      </c>
      <c r="L20" s="566">
        <v>4.3434388462834201</v>
      </c>
      <c r="M20" s="566">
        <v>4.3260650908982896</v>
      </c>
      <c r="N20" s="566"/>
      <c r="O20" s="566"/>
    </row>
    <row r="21" spans="1:15">
      <c r="A21" t="s">
        <v>818</v>
      </c>
      <c r="B21" t="s">
        <v>529</v>
      </c>
      <c r="C21" t="s">
        <v>512</v>
      </c>
      <c r="D21" t="s">
        <v>497</v>
      </c>
      <c r="E21" t="s">
        <v>742</v>
      </c>
      <c r="F21" s="566">
        <v>1.345</v>
      </c>
      <c r="G21" s="566">
        <v>1.8704782338790999</v>
      </c>
      <c r="H21" s="566">
        <v>4.1440000000000001</v>
      </c>
      <c r="I21" s="566">
        <v>3.2235510857021099</v>
      </c>
      <c r="J21" s="566">
        <v>1.34033005536492</v>
      </c>
      <c r="K21" s="566">
        <v>5.9497362521654003</v>
      </c>
      <c r="L21" s="566">
        <v>1.4053301155664399</v>
      </c>
      <c r="M21" s="566">
        <v>1.34053370287739</v>
      </c>
      <c r="N21" s="566"/>
      <c r="O21" s="566"/>
    </row>
    <row r="22" spans="1:15">
      <c r="A22" t="s">
        <v>818</v>
      </c>
      <c r="B22" t="s">
        <v>1</v>
      </c>
      <c r="C22" t="s">
        <v>513</v>
      </c>
      <c r="D22" t="s">
        <v>497</v>
      </c>
      <c r="E22" t="s">
        <v>742</v>
      </c>
      <c r="F22" s="566">
        <v>0.50233688898019202</v>
      </c>
      <c r="G22" s="566">
        <v>2.2999880842954301</v>
      </c>
      <c r="H22" s="566">
        <v>1.5340823362401099</v>
      </c>
      <c r="I22" s="566">
        <v>0.21718470970666401</v>
      </c>
      <c r="J22" s="566">
        <v>0.24954331987061401</v>
      </c>
      <c r="K22" s="566">
        <v>0.12599632392409499</v>
      </c>
      <c r="L22" s="566">
        <v>9.0676335970493405E-2</v>
      </c>
      <c r="M22" s="566">
        <v>8.0983932121316701E-2</v>
      </c>
      <c r="N22" s="566"/>
      <c r="O22" s="566"/>
    </row>
    <row r="23" spans="1:15">
      <c r="A23" t="s">
        <v>818</v>
      </c>
      <c r="B23" t="s">
        <v>5</v>
      </c>
      <c r="C23" t="s">
        <v>514</v>
      </c>
      <c r="D23" t="s">
        <v>497</v>
      </c>
      <c r="E23" t="s">
        <v>742</v>
      </c>
      <c r="F23" s="566">
        <v>4.9626631110197996</v>
      </c>
      <c r="G23" s="566">
        <v>1.4856423184359899</v>
      </c>
      <c r="H23" s="566">
        <v>2.1309176637598801</v>
      </c>
      <c r="I23" s="566">
        <v>0.63114986371487602</v>
      </c>
      <c r="J23" s="566">
        <v>0.86245614511963997</v>
      </c>
      <c r="K23" s="566">
        <v>0.247369025186678</v>
      </c>
      <c r="L23" s="566">
        <v>0.15521825778614701</v>
      </c>
      <c r="M23" s="566">
        <v>0.13423075676061499</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108.478222780116</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-6.1452742745555497E-2</v>
      </c>
      <c r="J34" s="566">
        <v>-5.1550167235621697E-2</v>
      </c>
      <c r="K34" s="566">
        <v>-7.7535491780444096E-2</v>
      </c>
      <c r="L34" s="566">
        <v>-4.3504294637667501E-2</v>
      </c>
      <c r="M34" s="566">
        <v>-4.2685322433821497E-2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110.35106313141</v>
      </c>
      <c r="G36" s="566">
        <v>108.864253583603</v>
      </c>
      <c r="H36" s="566">
        <v>105.30388013386499</v>
      </c>
      <c r="I36" s="566">
        <v>103.420016124234</v>
      </c>
      <c r="J36" s="566">
        <v>100.298401339497</v>
      </c>
      <c r="K36" s="566">
        <v>100.707164711616</v>
      </c>
      <c r="L36" s="566">
        <v>96.550351287214298</v>
      </c>
      <c r="M36" s="566">
        <v>92.441354482253999</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6.7599999999999993E-2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5.0140000000000002</v>
      </c>
      <c r="J40" s="566">
        <v>3.9129999999999998</v>
      </c>
      <c r="K40" s="566">
        <v>5.202</v>
      </c>
      <c r="L40" s="566">
        <v>5.415</v>
      </c>
      <c r="M40" s="566">
        <v>4.5</v>
      </c>
      <c r="N40" s="566"/>
      <c r="O40" s="566"/>
    </row>
    <row r="41" spans="1:15">
      <c r="A41" t="s">
        <v>818</v>
      </c>
      <c r="B41" t="s">
        <v>425</v>
      </c>
      <c r="C41" t="s">
        <v>65</v>
      </c>
      <c r="D41" t="s">
        <v>497</v>
      </c>
      <c r="E41" t="s">
        <v>742</v>
      </c>
      <c r="F41" s="566"/>
      <c r="G41" s="566"/>
      <c r="H41" s="566"/>
      <c r="I41" s="566">
        <v>2.177</v>
      </c>
      <c r="J41" s="566">
        <v>1.96</v>
      </c>
      <c r="K41" s="566">
        <v>7.29</v>
      </c>
      <c r="L41" s="566">
        <v>2.4089999999999998</v>
      </c>
      <c r="M41" s="566">
        <v>2.5350000000000001</v>
      </c>
      <c r="N41" s="566"/>
      <c r="O41" s="566"/>
    </row>
    <row r="42" spans="1:15">
      <c r="A42" t="s">
        <v>818</v>
      </c>
      <c r="B42" t="s">
        <v>426</v>
      </c>
      <c r="C42" t="s">
        <v>382</v>
      </c>
      <c r="D42" t="s">
        <v>497</v>
      </c>
      <c r="E42" t="s">
        <v>742</v>
      </c>
      <c r="F42" s="566"/>
      <c r="G42" s="566"/>
      <c r="H42" s="566"/>
      <c r="I42" s="566">
        <v>0.40600000000000003</v>
      </c>
      <c r="J42" s="566">
        <v>6.0000000000000001E-3</v>
      </c>
      <c r="K42" s="566">
        <v>2.1000000000000001E-2</v>
      </c>
      <c r="L42" s="566">
        <v>-8.0000000000000002E-3</v>
      </c>
      <c r="M42" s="566">
        <v>-4.0000000000000001E-3</v>
      </c>
      <c r="N42" s="566"/>
      <c r="O42" s="566"/>
    </row>
    <row r="43" spans="1:15">
      <c r="A43" t="s">
        <v>818</v>
      </c>
      <c r="B43" t="s">
        <v>427</v>
      </c>
      <c r="C43" t="s">
        <v>383</v>
      </c>
      <c r="D43" t="s">
        <v>497</v>
      </c>
      <c r="E43" t="s">
        <v>742</v>
      </c>
      <c r="F43" s="566"/>
      <c r="G43" s="566"/>
      <c r="H43" s="566"/>
      <c r="I43" s="566">
        <v>1.0780000000000001</v>
      </c>
      <c r="J43" s="566">
        <v>1.33</v>
      </c>
      <c r="K43" s="566">
        <v>1.8360000000000001</v>
      </c>
      <c r="L43" s="566">
        <v>1.476</v>
      </c>
      <c r="M43" s="566">
        <v>1.0529999999999999</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-0.20936212802493101</v>
      </c>
      <c r="J54" s="566">
        <v>-0.14255505363059001</v>
      </c>
      <c r="K54" s="566">
        <v>-2.11466773172867E-2</v>
      </c>
      <c r="L54" s="566">
        <v>-1.88054380428729E-2</v>
      </c>
      <c r="M54" s="566">
        <v>-0.215022883017251</v>
      </c>
      <c r="N54" s="566"/>
      <c r="O54" s="566"/>
    </row>
    <row r="55" spans="1:15">
      <c r="A55" t="s">
        <v>818</v>
      </c>
      <c r="B55" t="s">
        <v>477</v>
      </c>
      <c r="C55" t="s">
        <v>252</v>
      </c>
      <c r="D55" t="s">
        <v>497</v>
      </c>
      <c r="E55" t="s">
        <v>742</v>
      </c>
      <c r="F55" s="566"/>
      <c r="G55" s="566"/>
      <c r="H55" s="566">
        <v>0</v>
      </c>
      <c r="I55" s="566">
        <v>-0.20936212802493101</v>
      </c>
      <c r="J55" s="566">
        <v>-0.14255505363059001</v>
      </c>
      <c r="K55" s="566">
        <v>-2.11466773172867E-2</v>
      </c>
      <c r="L55" s="566">
        <v>-1.88054380428729E-2</v>
      </c>
      <c r="M55" s="566">
        <v>-0.215022883017251</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3.7600000000000001E-2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4.9178699999999997</v>
      </c>
      <c r="K10" s="221">
        <f>INDEX('F_Inputs BYR'!$B$4:$N$90,MATCH($C10,'F_Inputs BYR'!$B$4:$B$90,0),MATCH(K$2,'F_Inputs BYR'!$B$2:$N$2,0))</f>
        <v>5.2240770000000003</v>
      </c>
      <c r="L10" s="221">
        <f>INDEX('F_Inputs BYR'!$B$4:$N$90,MATCH($C10,'F_Inputs BYR'!$B$4:$B$90,0),MATCH(L$2,'F_Inputs BYR'!$B$2:$N$2,0))</f>
        <v>4.9178699999999997</v>
      </c>
      <c r="M10" s="221">
        <f>INDEX('F_Inputs BYR'!$B$4:$N$90,MATCH($C10,'F_Inputs BYR'!$B$4:$B$90,0),MATCH(M$2,'F_Inputs BYR'!$B$2:$N$2,0))</f>
        <v>4.9178699999999997</v>
      </c>
      <c r="N10" s="395">
        <f>INDEX('F_Inputs BYR'!$B$4:$N$90,MATCH($C10,'F_Inputs BYR'!$B$4:$B$90,0),MATCH(N$2,'F_Inputs BYR'!$B$2:$N$2,0))</f>
        <v>4.9178699999999997</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3.363</v>
      </c>
      <c r="K11" s="221">
        <f>INDEX('F_Inputs BYR'!$B$4:$N$90,MATCH($C11,'F_Inputs BYR'!$B$4:$B$90,0),MATCH(K$2,'F_Inputs BYR'!$B$2:$N$2,0))</f>
        <v>1.363</v>
      </c>
      <c r="L11" s="221">
        <f>INDEX('F_Inputs BYR'!$B$4:$N$90,MATCH($C11,'F_Inputs BYR'!$B$4:$B$90,0),MATCH(L$2,'F_Inputs BYR'!$B$2:$N$2,0))</f>
        <v>6.4379999999999997</v>
      </c>
      <c r="M11" s="221">
        <f>INDEX('F_Inputs BYR'!$B$4:$N$90,MATCH($C11,'F_Inputs BYR'!$B$4:$B$90,0),MATCH(M$2,'F_Inputs BYR'!$B$2:$N$2,0))</f>
        <v>1.44</v>
      </c>
      <c r="N11" s="395">
        <f>INDEX('F_Inputs BYR'!$B$4:$N$90,MATCH($C11,'F_Inputs BYR'!$B$4:$B$90,0),MATCH(N$2,'F_Inputs BYR'!$B$2:$N$2,0))</f>
        <v>1.389</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0.53</v>
      </c>
      <c r="K12" s="221">
        <f>INDEX('F_Inputs BYR'!$B$4:$N$90,MATCH($C12,'F_Inputs BYR'!$B$4:$B$90,0),MATCH(K$2,'F_Inputs BYR'!$B$2:$N$2,0))</f>
        <v>0.53</v>
      </c>
      <c r="L12" s="221">
        <f>INDEX('F_Inputs BYR'!$B$4:$N$90,MATCH($C12,'F_Inputs BYR'!$B$4:$B$90,0),MATCH(L$2,'F_Inputs BYR'!$B$2:$N$2,0))</f>
        <v>0.53</v>
      </c>
      <c r="M12" s="221">
        <f>INDEX('F_Inputs BYR'!$B$4:$N$90,MATCH($C12,'F_Inputs BYR'!$B$4:$B$90,0),MATCH(M$2,'F_Inputs BYR'!$B$2:$N$2,0))</f>
        <v>0.53</v>
      </c>
      <c r="N12" s="395">
        <f>INDEX('F_Inputs BYR'!$B$4:$N$90,MATCH($C12,'F_Inputs BYR'!$B$4:$B$90,0),MATCH(N$2,'F_Inputs BYR'!$B$2:$N$2,0))</f>
        <v>0.53</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2.2229999999999999</v>
      </c>
      <c r="K13" s="221">
        <f>INDEX('F_Inputs BYR'!$B$4:$N$90,MATCH($C13,'F_Inputs BYR'!$B$4:$B$90,0),MATCH(K$2,'F_Inputs BYR'!$B$2:$N$2,0))</f>
        <v>2.4260000000000002</v>
      </c>
      <c r="L13" s="221">
        <f>INDEX('F_Inputs BYR'!$B$4:$N$90,MATCH($C13,'F_Inputs BYR'!$B$4:$B$90,0),MATCH(L$2,'F_Inputs BYR'!$B$2:$N$2,0))</f>
        <v>1.585</v>
      </c>
      <c r="M13" s="221">
        <f>INDEX('F_Inputs BYR'!$B$4:$N$90,MATCH($C13,'F_Inputs BYR'!$B$4:$B$90,0),MATCH(M$2,'F_Inputs BYR'!$B$2:$N$2,0))</f>
        <v>0.94599999999999995</v>
      </c>
      <c r="N13" s="395">
        <f>INDEX('F_Inputs BYR'!$B$4:$N$90,MATCH($C13,'F_Inputs BYR'!$B$4:$B$90,0),MATCH(N$2,'F_Inputs BYR'!$B$2:$N$2,0))</f>
        <v>0.91600000000000004</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1.6539999999999999</v>
      </c>
      <c r="K14" s="221">
        <f>INDEX('F_Inputs BYR'!$B$4:$N$90,MATCH($C14,'F_Inputs BYR'!$B$4:$B$90,0),MATCH(K$2,'F_Inputs BYR'!$B$2:$N$2,0))</f>
        <v>1.6539999999999999</v>
      </c>
      <c r="L14" s="221">
        <f>INDEX('F_Inputs BYR'!$B$4:$N$90,MATCH($C14,'F_Inputs BYR'!$B$4:$B$90,0),MATCH(L$2,'F_Inputs BYR'!$B$2:$N$2,0))</f>
        <v>1.6539999999999999</v>
      </c>
      <c r="M14" s="221">
        <f>INDEX('F_Inputs BYR'!$B$4:$N$90,MATCH($C14,'F_Inputs BYR'!$B$4:$B$90,0),MATCH(M$2,'F_Inputs BYR'!$B$2:$N$2,0))</f>
        <v>1.6539999999999999</v>
      </c>
      <c r="N14" s="395">
        <f>INDEX('F_Inputs BYR'!$B$4:$N$90,MATCH($C14,'F_Inputs BYR'!$B$4:$B$90,0),MATCH(N$2,'F_Inputs BYR'!$B$2:$N$2,0))</f>
        <v>1.6539999999999999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4.39597987914164</v>
      </c>
      <c r="K30" s="221">
        <f>INDEX('F_Inputs BYR'!$B$4:$N$90,MATCH($C30,'F_Inputs BYR'!$B$4:$B$90,0),MATCH(K$2,'F_Inputs BYR'!$B$2:$N$2,0))</f>
        <v>4.6510130665451204</v>
      </c>
      <c r="L30" s="221">
        <f>INDEX('F_Inputs BYR'!$B$4:$N$90,MATCH($C30,'F_Inputs BYR'!$B$4:$B$90,0),MATCH(L$2,'F_Inputs BYR'!$B$2:$N$2,0))</f>
        <v>4.36088237578657</v>
      </c>
      <c r="M30" s="221">
        <f>INDEX('F_Inputs BYR'!$B$4:$N$90,MATCH($C30,'F_Inputs BYR'!$B$4:$B$90,0),MATCH(M$2,'F_Inputs BYR'!$B$2:$N$2,0))</f>
        <v>4.3434388462834201</v>
      </c>
      <c r="N30" s="395">
        <f>INDEX('F_Inputs BYR'!$B$4:$N$90,MATCH($C30,'F_Inputs BYR'!$B$4:$B$90,0),MATCH(N$2,'F_Inputs BYR'!$B$2:$N$2,0))</f>
        <v>4.3260650908982896</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3.2235510857021099</v>
      </c>
      <c r="K31" s="221">
        <f>INDEX('F_Inputs BYR'!$B$4:$N$90,MATCH($C31,'F_Inputs BYR'!$B$4:$B$90,0),MATCH(K$2,'F_Inputs BYR'!$B$2:$N$2,0))</f>
        <v>1.34033005536492</v>
      </c>
      <c r="L31" s="221">
        <f>INDEX('F_Inputs BYR'!$B$4:$N$90,MATCH($C31,'F_Inputs BYR'!$B$4:$B$90,0),MATCH(L$2,'F_Inputs BYR'!$B$2:$N$2,0))</f>
        <v>5.9497362521654003</v>
      </c>
      <c r="M31" s="221">
        <f>INDEX('F_Inputs BYR'!$B$4:$N$90,MATCH($C31,'F_Inputs BYR'!$B$4:$B$90,0),MATCH(M$2,'F_Inputs BYR'!$B$2:$N$2,0))</f>
        <v>1.4053301155664399</v>
      </c>
      <c r="N31" s="395">
        <f>INDEX('F_Inputs BYR'!$B$4:$N$90,MATCH($C31,'F_Inputs BYR'!$B$4:$B$90,0),MATCH(N$2,'F_Inputs BYR'!$B$2:$N$2,0))</f>
        <v>1.34053370287739</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0.21718470970666401</v>
      </c>
      <c r="K32" s="221">
        <f>INDEX('F_Inputs BYR'!$B$4:$N$90,MATCH($C32,'F_Inputs BYR'!$B$4:$B$90,0),MATCH(K$2,'F_Inputs BYR'!$B$2:$N$2,0))</f>
        <v>0.24954331987061401</v>
      </c>
      <c r="L32" s="221">
        <f>INDEX('F_Inputs BYR'!$B$4:$N$90,MATCH($C32,'F_Inputs BYR'!$B$4:$B$90,0),MATCH(L$2,'F_Inputs BYR'!$B$2:$N$2,0))</f>
        <v>0.12599632392409499</v>
      </c>
      <c r="M32" s="221">
        <f>INDEX('F_Inputs BYR'!$B$4:$N$90,MATCH($C32,'F_Inputs BYR'!$B$4:$B$90,0),MATCH(M$2,'F_Inputs BYR'!$B$2:$N$2,0))</f>
        <v>9.0676335970493405E-2</v>
      </c>
      <c r="N32" s="395">
        <f>INDEX('F_Inputs BYR'!$B$4:$N$90,MATCH($C32,'F_Inputs BYR'!$B$4:$B$90,0),MATCH(N$2,'F_Inputs BYR'!$B$2:$N$2,0))</f>
        <v>8.0983932121316701E-2</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0.63114986371487602</v>
      </c>
      <c r="K33" s="221">
        <f>INDEX('F_Inputs BYR'!$B$4:$N$90,MATCH($C33,'F_Inputs BYR'!$B$4:$B$90,0),MATCH(K$2,'F_Inputs BYR'!$B$2:$N$2,0))</f>
        <v>0.86245614511963997</v>
      </c>
      <c r="L33" s="221">
        <f>INDEX('F_Inputs BYR'!$B$4:$N$90,MATCH($C33,'F_Inputs BYR'!$B$4:$B$90,0),MATCH(L$2,'F_Inputs BYR'!$B$2:$N$2,0))</f>
        <v>0.247369025186678</v>
      </c>
      <c r="M33" s="221">
        <f>INDEX('F_Inputs BYR'!$B$4:$N$90,MATCH($C33,'F_Inputs BYR'!$B$4:$B$90,0),MATCH(M$2,'F_Inputs BYR'!$B$2:$N$2,0))</f>
        <v>0.15521825778614701</v>
      </c>
      <c r="N33" s="395">
        <f>INDEX('F_Inputs BYR'!$B$4:$N$90,MATCH($C33,'F_Inputs BYR'!$B$4:$B$90,0),MATCH(N$2,'F_Inputs BYR'!$B$2:$N$2,0))</f>
        <v>0.13423075676061499</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-6.1452742745555497E-2</v>
      </c>
      <c r="K49" s="221">
        <f>IF(INDEX('F_Inputs BYR'!$B$4:$N$90,MATCH($C49,'F_Inputs BYR'!$B$4:$B$90,0),MATCH(K$2,'F_Inputs BYR'!$B$2:$N$2,0))="","",INDEX('F_Inputs BYR'!$B$4:$N$90,MATCH($C49,'F_Inputs BYR'!$B$4:$B$90,0),MATCH(K$2,'F_Inputs BYR'!$B$2:$N$2,0)))</f>
        <v>-5.1550167235621697E-2</v>
      </c>
      <c r="L49" s="221">
        <f>IF(INDEX('F_Inputs BYR'!$B$4:$N$90,MATCH($C49,'F_Inputs BYR'!$B$4:$B$90,0),MATCH(L$2,'F_Inputs BYR'!$B$2:$N$2,0))="","",INDEX('F_Inputs BYR'!$B$4:$N$90,MATCH($C49,'F_Inputs BYR'!$B$4:$B$90,0),MATCH(L$2,'F_Inputs BYR'!$B$2:$N$2,0)))</f>
        <v>-7.7535491780444096E-2</v>
      </c>
      <c r="M49" s="221">
        <f>IF(INDEX('F_Inputs BYR'!$B$4:$N$90,MATCH($C49,'F_Inputs BYR'!$B$4:$B$90,0),MATCH(M$2,'F_Inputs BYR'!$B$2:$N$2,0))="","",INDEX('F_Inputs BYR'!$B$4:$N$90,MATCH($C49,'F_Inputs BYR'!$B$4:$B$90,0),MATCH(M$2,'F_Inputs BYR'!$B$2:$N$2,0)))</f>
        <v>-4.3504294637667501E-2</v>
      </c>
      <c r="N49" s="395">
        <f>IF(INDEX('F_Inputs BYR'!$B$4:$N$90,MATCH($C49,'F_Inputs BYR'!$B$4:$B$90,0),MATCH(N$2,'F_Inputs BYR'!$B$2:$N$2,0))="","",INDEX('F_Inputs BYR'!$B$4:$N$90,MATCH($C49,'F_Inputs BYR'!$B$4:$B$90,0),MATCH(N$2,'F_Inputs BYR'!$B$2:$N$2,0)))</f>
        <v>-4.2685322433821497E-2</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105.30388013386499</v>
      </c>
      <c r="J54" s="221">
        <f>INDEX('F_Inputs BYR'!$B$4:$N$90,MATCH($C54,'F_Inputs BYR'!$B$4:$B$90,0),MATCH(J$2,'F_Inputs BYR'!$B$2:$N$2,0))</f>
        <v>103.420016124234</v>
      </c>
      <c r="K54" s="221">
        <f>INDEX('F_Inputs BYR'!$B$4:$N$90,MATCH($C54,'F_Inputs BYR'!$B$4:$B$90,0),MATCH(K$2,'F_Inputs BYR'!$B$2:$N$2,0))</f>
        <v>100.298401339497</v>
      </c>
      <c r="L54" s="221">
        <f>INDEX('F_Inputs BYR'!$B$4:$N$90,MATCH($C54,'F_Inputs BYR'!$B$4:$B$90,0),MATCH(L$2,'F_Inputs BYR'!$B$2:$N$2,0))</f>
        <v>100.707164711616</v>
      </c>
      <c r="M54" s="221">
        <f>INDEX('F_Inputs BYR'!$B$4:$N$90,MATCH($C54,'F_Inputs BYR'!$B$4:$B$90,0),MATCH(M$2,'F_Inputs BYR'!$B$2:$N$2,0))</f>
        <v>96.550351287214298</v>
      </c>
      <c r="N54" s="395">
        <f>INDEX('F_Inputs BYR'!$B$4:$N$90,MATCH($C54,'F_Inputs BYR'!$B$4:$B$90,0),MATCH(N$2,'F_Inputs BYR'!$B$2:$N$2,0))</f>
        <v>92.441354482253999</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5.0140000000000002</v>
      </c>
      <c r="K65" s="221">
        <f>INDEX('F_Inputs BYR'!$B$4:$N$90,MATCH($C65,'F_Inputs BYR'!$B$4:$B$90,0),MATCH(K$2,'F_Inputs BYR'!$B$2:$N$2,0))</f>
        <v>3.9129999999999998</v>
      </c>
      <c r="L65" s="221">
        <f>INDEX('F_Inputs BYR'!$B$4:$N$90,MATCH($C65,'F_Inputs BYR'!$B$4:$B$90,0),MATCH(L$2,'F_Inputs BYR'!$B$2:$N$2,0))</f>
        <v>5.202</v>
      </c>
      <c r="M65" s="221">
        <f>INDEX('F_Inputs BYR'!$B$4:$N$90,MATCH($C65,'F_Inputs BYR'!$B$4:$B$90,0),MATCH(M$2,'F_Inputs BYR'!$B$2:$N$2,0))</f>
        <v>5.415</v>
      </c>
      <c r="N65" s="395">
        <f>INDEX('F_Inputs BYR'!$B$4:$N$90,MATCH($C65,'F_Inputs BYR'!$B$4:$B$90,0),MATCH(N$2,'F_Inputs BYR'!$B$2:$N$2,0))</f>
        <v>4.5</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2.177</v>
      </c>
      <c r="K66" s="221">
        <f>INDEX('F_Inputs BYR'!$B$4:$N$90,MATCH($C66,'F_Inputs BYR'!$B$4:$B$90,0),MATCH(K$2,'F_Inputs BYR'!$B$2:$N$2,0))</f>
        <v>1.96</v>
      </c>
      <c r="L66" s="221">
        <f>INDEX('F_Inputs BYR'!$B$4:$N$90,MATCH($C66,'F_Inputs BYR'!$B$4:$B$90,0),MATCH(L$2,'F_Inputs BYR'!$B$2:$N$2,0))</f>
        <v>7.29</v>
      </c>
      <c r="M66" s="221">
        <f>INDEX('F_Inputs BYR'!$B$4:$N$90,MATCH($C66,'F_Inputs BYR'!$B$4:$B$90,0),MATCH(M$2,'F_Inputs BYR'!$B$2:$N$2,0))</f>
        <v>2.4089999999999998</v>
      </c>
      <c r="N66" s="395">
        <f>INDEX('F_Inputs BYR'!$B$4:$N$90,MATCH($C66,'F_Inputs BYR'!$B$4:$B$90,0),MATCH(N$2,'F_Inputs BYR'!$B$2:$N$2,0))</f>
        <v>2.5350000000000001</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0.40600000000000003</v>
      </c>
      <c r="K67" s="221">
        <f>INDEX('F_Inputs BYR'!$B$4:$N$90,MATCH($C67,'F_Inputs BYR'!$B$4:$B$90,0),MATCH(K$2,'F_Inputs BYR'!$B$2:$N$2,0))</f>
        <v>6.0000000000000001E-3</v>
      </c>
      <c r="L67" s="221">
        <f>INDEX('F_Inputs BYR'!$B$4:$N$90,MATCH($C67,'F_Inputs BYR'!$B$4:$B$90,0),MATCH(L$2,'F_Inputs BYR'!$B$2:$N$2,0))</f>
        <v>2.1000000000000001E-2</v>
      </c>
      <c r="M67" s="221">
        <f>INDEX('F_Inputs BYR'!$B$4:$N$90,MATCH($C67,'F_Inputs BYR'!$B$4:$B$90,0),MATCH(M$2,'F_Inputs BYR'!$B$2:$N$2,0))</f>
        <v>-8.0000000000000002E-3</v>
      </c>
      <c r="N67" s="395">
        <f>INDEX('F_Inputs BYR'!$B$4:$N$90,MATCH($C67,'F_Inputs BYR'!$B$4:$B$90,0),MATCH(N$2,'F_Inputs BYR'!$B$2:$N$2,0))</f>
        <v>-4.0000000000000001E-3</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1.0780000000000001</v>
      </c>
      <c r="K68" s="221">
        <f>INDEX('F_Inputs BYR'!$B$4:$N$90,MATCH($C68,'F_Inputs BYR'!$B$4:$B$90,0),MATCH(K$2,'F_Inputs BYR'!$B$2:$N$2,0))</f>
        <v>1.33</v>
      </c>
      <c r="L68" s="221">
        <f>INDEX('F_Inputs BYR'!$B$4:$N$90,MATCH($C68,'F_Inputs BYR'!$B$4:$B$90,0),MATCH(L$2,'F_Inputs BYR'!$B$2:$N$2,0))</f>
        <v>1.8360000000000001</v>
      </c>
      <c r="M68" s="221">
        <f>INDEX('F_Inputs BYR'!$B$4:$N$90,MATCH($C68,'F_Inputs BYR'!$B$4:$B$90,0),MATCH(M$2,'F_Inputs BYR'!$B$2:$N$2,0))</f>
        <v>1.476</v>
      </c>
      <c r="N68" s="395">
        <f>INDEX('F_Inputs BYR'!$B$4:$N$90,MATCH($C68,'F_Inputs BYR'!$B$4:$B$90,0),MATCH(N$2,'F_Inputs BYR'!$B$2:$N$2,0))</f>
        <v>1.0529999999999999</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-0.20936212802493101</v>
      </c>
      <c r="K85" s="221">
        <f>INDEX('F_Inputs BYR'!$B$4:$N$90,MATCH($C85,'F_Inputs BYR'!$B$4:$B$90,0),MATCH(K$2,'F_Inputs BYR'!$B$2:$N$2,0))</f>
        <v>-0.14255505363059001</v>
      </c>
      <c r="L85" s="221">
        <f>INDEX('F_Inputs BYR'!$B$4:$N$90,MATCH($C85,'F_Inputs BYR'!$B$4:$B$90,0),MATCH(L$2,'F_Inputs BYR'!$B$2:$N$2,0))</f>
        <v>-2.11466773172867E-2</v>
      </c>
      <c r="M85" s="221">
        <f>INDEX('F_Inputs BYR'!$B$4:$N$90,MATCH($C85,'F_Inputs BYR'!$B$4:$B$90,0),MATCH(M$2,'F_Inputs BYR'!$B$2:$N$2,0))</f>
        <v>-1.88054380428729E-2</v>
      </c>
      <c r="N85" s="395">
        <f>INDEX('F_Inputs BYR'!$B$4:$N$90,MATCH($C85,'F_Inputs BYR'!$B$4:$B$90,0),MATCH(N$2,'F_Inputs BYR'!$B$2:$N$2,0))</f>
        <v>-0.215022883017251</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-0.20936212802493101</v>
      </c>
      <c r="K86" s="221">
        <f>INDEX('F_Inputs BYR'!$B$4:$N$90,MATCH($C86,'F_Inputs BYR'!$B$4:$B$90,0),MATCH(K$2,'F_Inputs BYR'!$B$2:$N$2,0))</f>
        <v>-0.14255505363059001</v>
      </c>
      <c r="L86" s="221">
        <f>INDEX('F_Inputs BYR'!$B$4:$N$90,MATCH($C86,'F_Inputs BYR'!$B$4:$B$90,0),MATCH(L$2,'F_Inputs BYR'!$B$2:$N$2,0))</f>
        <v>-2.11466773172867E-2</v>
      </c>
      <c r="M86" s="221">
        <f>INDEX('F_Inputs BYR'!$B$4:$N$90,MATCH($C86,'F_Inputs BYR'!$B$4:$B$90,0),MATCH(M$2,'F_Inputs BYR'!$B$2:$N$2,0))</f>
        <v>-1.88054380428729E-2</v>
      </c>
      <c r="N86" s="395">
        <f>INDEX('F_Inputs BYR'!$B$4:$N$90,MATCH($C86,'F_Inputs BYR'!$B$4:$B$90,0),MATCH(N$2,'F_Inputs BYR'!$B$2:$N$2,0))</f>
        <v>-0.215022883017251</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0</v>
      </c>
      <c r="N107" s="416">
        <f>INDEX('F_Inputs BYR'!$B$4:$N$90,MATCH($C107,'F_Inputs BYR'!$B$4:$B$90,0),MATCH(N$2,'F_Inputs BYR'!$B$2:$N$2,0))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3.7600000000000001E-2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4.4891551210223115</v>
      </c>
      <c r="K39" s="156">
        <f>IF(OR(K$5&lt;4,K$5&gt;8),'Input BYR'!K30,'Input BYR'!K30*$G$95/100)</f>
        <v>4.7495938788736165</v>
      </c>
      <c r="L39" s="156">
        <f>IF(OR(L$5&lt;4,L$5&gt;8),'Input BYR'!L30,'Input BYR'!L30*$G$95/100)</f>
        <v>4.4533137065360657</v>
      </c>
      <c r="M39" s="156">
        <f>IF(OR(M$5&lt;4,M$5&gt;8),'Input BYR'!M30,'Input BYR'!M30*$G$95/100)</f>
        <v>4.4355004517099186</v>
      </c>
      <c r="N39" s="365">
        <f>IF(OR(N$5&lt;4,N$5&gt;8),'Input BYR'!N30,'Input BYR'!N30*$G$95/100)</f>
        <v>4.417758449903082</v>
      </c>
      <c r="O39" s="157"/>
      <c r="P39" s="158"/>
      <c r="Q39" s="148"/>
      <c r="R39" s="147" t="s">
        <v>242</v>
      </c>
    </row>
    <row r="40" spans="1:23" s="37" customFormat="1">
      <c r="C40" s="131"/>
      <c r="D40" s="153" t="s">
        <v>57</v>
      </c>
      <c r="E40" s="154" t="s">
        <v>61</v>
      </c>
      <c r="F40" s="155"/>
      <c r="G40" s="148"/>
      <c r="H40" s="148"/>
      <c r="I40" s="148"/>
      <c r="J40" s="156">
        <f>IF(OR(J$5&lt;4,J$5&gt;8),'Input BYR'!J31,'Input BYR'!J31*$G$95/100)</f>
        <v>3.2918760463212751</v>
      </c>
      <c r="K40" s="156">
        <f>IF(OR(K$5&lt;4,K$5&gt;8),'Input BYR'!K31,'Input BYR'!K31*$G$95/100)</f>
        <v>1.3687390973855913</v>
      </c>
      <c r="L40" s="156">
        <f>IF(OR(L$5&lt;4,L$5&gt;8),'Input BYR'!L31,'Input BYR'!L31*$G$95/100)</f>
        <v>6.075844225737371</v>
      </c>
      <c r="M40" s="156">
        <f>IF(OR(M$5&lt;4,M$5&gt;8),'Input BYR'!M31,'Input BYR'!M31*$G$95/100)</f>
        <v>1.4351168700648846</v>
      </c>
      <c r="N40" s="365">
        <f>IF(OR(N$5&lt;4,N$5&gt;8),'Input BYR'!N31,'Input BYR'!N31*$G$95/100)</f>
        <v>1.3689470613205097</v>
      </c>
      <c r="O40" s="157"/>
      <c r="P40" s="158"/>
      <c r="Q40" s="148"/>
      <c r="R40" s="147" t="s">
        <v>242</v>
      </c>
    </row>
    <row r="41" spans="1:23" s="37" customFormat="1">
      <c r="C41" s="131"/>
      <c r="D41" s="153" t="s">
        <v>57</v>
      </c>
      <c r="E41" s="154" t="s">
        <v>63</v>
      </c>
      <c r="F41" s="155"/>
      <c r="G41" s="148"/>
      <c r="H41" s="148"/>
      <c r="I41" s="148"/>
      <c r="J41" s="156">
        <f>IF(OR(J$5&lt;4,J$5&gt;8),'Input BYR'!J32,'Input BYR'!J32*$G$95/100)</f>
        <v>0.22178806058998363</v>
      </c>
      <c r="K41" s="156">
        <f>IF(OR(K$5&lt;4,K$5&gt;8),'Input BYR'!K32,'Input BYR'!K32*$G$95/100)</f>
        <v>0.25483252951849583</v>
      </c>
      <c r="L41" s="156">
        <f>IF(OR(L$5&lt;4,L$5&gt;8),'Input BYR'!L32,'Input BYR'!L32*$G$95/100)</f>
        <v>0.1286668861833552</v>
      </c>
      <c r="M41" s="156">
        <f>IF(OR(M$5&lt;4,M$5&gt;8),'Input BYR'!M32,'Input BYR'!M32*$G$95/100)</f>
        <v>9.2598271413599539E-2</v>
      </c>
      <c r="N41" s="365">
        <f>IF(OR(N$5&lt;4,N$5&gt;8),'Input BYR'!N32,'Input BYR'!N32*$G$95/100)</f>
        <v>8.2700431666652405E-2</v>
      </c>
      <c r="O41" s="157"/>
      <c r="P41" s="158"/>
      <c r="Q41" s="148"/>
      <c r="R41" s="147" t="s">
        <v>242</v>
      </c>
    </row>
    <row r="42" spans="1:23" s="37" customFormat="1">
      <c r="C42" s="131"/>
      <c r="D42" s="153" t="s">
        <v>57</v>
      </c>
      <c r="E42" s="154" t="s">
        <v>62</v>
      </c>
      <c r="F42" s="155"/>
      <c r="G42" s="148"/>
      <c r="H42" s="148"/>
      <c r="I42" s="148"/>
      <c r="J42" s="156">
        <f>IF(OR(J$5&lt;4,J$5&gt;8),'Input BYR'!J33,'Input BYR'!J33*$G$95/100)</f>
        <v>0.6445274365954119</v>
      </c>
      <c r="K42" s="156">
        <f>IF(OR(K$5&lt;4,K$5&gt;8),'Input BYR'!K33,'Input BYR'!K33*$G$95/100)</f>
        <v>0.88073638346065009</v>
      </c>
      <c r="L42" s="156">
        <f>IF(OR(L$5&lt;4,L$5&gt;8),'Input BYR'!L33,'Input BYR'!L33*$G$95/100)</f>
        <v>0.25261214944775973</v>
      </c>
      <c r="M42" s="156">
        <f>IF(OR(M$5&lt;4,M$5&gt;8),'Input BYR'!M33,'Input BYR'!M33*$G$95/100)</f>
        <v>0.15850819520877793</v>
      </c>
      <c r="N42" s="365">
        <f>IF(OR(N$5&lt;4,N$5&gt;8),'Input BYR'!N33,'Input BYR'!N33*$G$95/100)</f>
        <v>0.13707585241001502</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9.3798700000000004</v>
      </c>
      <c r="K55" s="156">
        <f>SUM('Input BYR'!K10:K13)-'Input BYR'!K14-'Input BYR'!K17+'Input BYR'!K15+'Input BYR'!K16</f>
        <v>7.8890770000000003</v>
      </c>
      <c r="L55" s="156">
        <f>SUM('Input BYR'!L10:L13)-'Input BYR'!L14-'Input BYR'!L17+'Input BYR'!L15+'Input BYR'!L16</f>
        <v>11.816869999999998</v>
      </c>
      <c r="M55" s="156">
        <f>SUM('Input BYR'!M10:M13)-'Input BYR'!M14-'Input BYR'!M17+'Input BYR'!M15+'Input BYR'!M16</f>
        <v>6.1798700000000002</v>
      </c>
      <c r="N55" s="365">
        <f>SUM('Input BYR'!N10:N13)-'Input BYR'!N14-'Input BYR'!N17+'Input BYR'!N15+'Input BYR'!N16</f>
        <v>6.0988700000000007</v>
      </c>
      <c r="O55" s="157"/>
      <c r="P55" s="158"/>
      <c r="Q55" s="148"/>
      <c r="R55" s="147" t="s">
        <v>242</v>
      </c>
    </row>
    <row r="56" spans="1:18" s="37" customFormat="1">
      <c r="C56" s="131"/>
      <c r="D56" s="153" t="s">
        <v>57</v>
      </c>
      <c r="E56" s="154" t="s">
        <v>114</v>
      </c>
      <c r="F56" s="155"/>
      <c r="G56" s="148"/>
      <c r="H56" s="148"/>
      <c r="I56" s="148"/>
      <c r="J56" s="156">
        <f>SUM('Input BYR'!J30:J35)</f>
        <v>8.4678655382652899</v>
      </c>
      <c r="K56" s="156">
        <f>SUM('Input BYR'!K30:K35)</f>
        <v>7.1033425869002933</v>
      </c>
      <c r="L56" s="156">
        <f>SUM('Input BYR'!L30:L35)</f>
        <v>10.683983977062745</v>
      </c>
      <c r="M56" s="156">
        <f>SUM('Input BYR'!M30:M35)</f>
        <v>5.9946635556065004</v>
      </c>
      <c r="N56" s="365">
        <f>SUM('Input BYR'!N30:N35)</f>
        <v>5.8818134826576109</v>
      </c>
      <c r="O56" s="157"/>
      <c r="P56" s="158"/>
      <c r="Q56" s="148"/>
      <c r="R56" s="147" t="s">
        <v>242</v>
      </c>
    </row>
    <row r="57" spans="1:18" s="37" customFormat="1">
      <c r="C57" s="131"/>
      <c r="D57" s="153" t="s">
        <v>57</v>
      </c>
      <c r="E57" s="154" t="s">
        <v>115</v>
      </c>
      <c r="F57" s="155"/>
      <c r="G57" s="148"/>
      <c r="H57" s="148"/>
      <c r="I57" s="148"/>
      <c r="J57" s="156">
        <f>SUM(J39:J44)</f>
        <v>8.6473466645289818</v>
      </c>
      <c r="K57" s="156">
        <f t="shared" ref="K57:N57" si="7">SUM(K39:K44)</f>
        <v>7.2539018892383531</v>
      </c>
      <c r="L57" s="156">
        <f t="shared" si="7"/>
        <v>10.910436967904552</v>
      </c>
      <c r="M57" s="156">
        <f t="shared" si="7"/>
        <v>6.1217237883971816</v>
      </c>
      <c r="N57" s="365">
        <f t="shared" si="7"/>
        <v>6.0064817953002594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-0.20936212802493101</v>
      </c>
      <c r="K59" s="156">
        <f>'Input BYR'!K85+'Input BYR'!K82</f>
        <v>-0.14255505363059001</v>
      </c>
      <c r="L59" s="156">
        <f>'Input BYR'!L85+'Input BYR'!L82</f>
        <v>-2.11466773172867E-2</v>
      </c>
      <c r="M59" s="156">
        <f>'Input BYR'!M85+'Input BYR'!M82</f>
        <v>-1.88054380428729E-2</v>
      </c>
      <c r="N59" s="365">
        <f>'Input BYR'!N85+'Input BYR'!N82</f>
        <v>-0.215022883017251</v>
      </c>
      <c r="O59" s="157"/>
      <c r="P59" s="158"/>
      <c r="Q59" s="148"/>
      <c r="R59" s="147" t="s">
        <v>242</v>
      </c>
    </row>
    <row r="60" spans="1:18" s="37" customFormat="1">
      <c r="C60" s="131"/>
      <c r="D60" s="153" t="s">
        <v>57</v>
      </c>
      <c r="E60" s="154" t="s">
        <v>107</v>
      </c>
      <c r="F60" s="155"/>
      <c r="G60" s="148"/>
      <c r="H60" s="148"/>
      <c r="I60" s="148"/>
      <c r="J60" s="156">
        <f>'Input BYR'!J86+'Input BYR'!J88+'Input BYR'!J83</f>
        <v>-0.20936212802493101</v>
      </c>
      <c r="K60" s="156">
        <f>'Input BYR'!K86+'Input BYR'!K88+'Input BYR'!K83</f>
        <v>-0.14255505363059001</v>
      </c>
      <c r="L60" s="156">
        <f>'Input BYR'!L86+'Input BYR'!L88+'Input BYR'!L83</f>
        <v>-2.11466773172867E-2</v>
      </c>
      <c r="M60" s="156">
        <f>'Input BYR'!M86+'Input BYR'!M88+'Input BYR'!M83</f>
        <v>-1.88054380428729E-2</v>
      </c>
      <c r="N60" s="365">
        <f>'Input BYR'!N86+'Input BYR'!N88+'Input BYR'!N83</f>
        <v>-0.215022883017251</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9.1705078719750688</v>
      </c>
      <c r="K62" s="156">
        <f t="shared" ref="K62:N63" si="8">K55+K59</f>
        <v>7.7465219463694099</v>
      </c>
      <c r="L62" s="156">
        <f t="shared" si="8"/>
        <v>11.795723322682711</v>
      </c>
      <c r="M62" s="156">
        <f t="shared" si="8"/>
        <v>6.1610645619571276</v>
      </c>
      <c r="N62" s="365">
        <f t="shared" si="8"/>
        <v>5.88384711698275</v>
      </c>
      <c r="O62" s="157"/>
      <c r="P62" s="158"/>
      <c r="Q62" s="148"/>
      <c r="R62" s="147" t="s">
        <v>242</v>
      </c>
    </row>
    <row r="63" spans="1:18" s="37" customFormat="1">
      <c r="C63" s="131"/>
      <c r="D63" s="153" t="s">
        <v>57</v>
      </c>
      <c r="E63" s="154" t="s">
        <v>182</v>
      </c>
      <c r="F63" s="155"/>
      <c r="G63" s="148"/>
      <c r="H63" s="148"/>
      <c r="I63" s="148"/>
      <c r="J63" s="156">
        <f>J56+J60</f>
        <v>8.2585034102403583</v>
      </c>
      <c r="K63" s="156">
        <f t="shared" si="8"/>
        <v>6.9607875332697029</v>
      </c>
      <c r="L63" s="156">
        <f t="shared" si="8"/>
        <v>10.662837299745458</v>
      </c>
      <c r="M63" s="156">
        <f t="shared" si="8"/>
        <v>5.9758581175636278</v>
      </c>
      <c r="N63" s="365">
        <f t="shared" si="8"/>
        <v>5.6667905996403602</v>
      </c>
      <c r="O63" s="157"/>
      <c r="P63" s="158"/>
      <c r="Q63" s="148"/>
      <c r="R63" s="147" t="s">
        <v>242</v>
      </c>
    </row>
    <row r="64" spans="1:18" s="37" customFormat="1">
      <c r="C64" s="131"/>
      <c r="D64" s="153" t="s">
        <v>57</v>
      </c>
      <c r="E64" s="154" t="s">
        <v>250</v>
      </c>
      <c r="F64" s="155"/>
      <c r="G64" s="148"/>
      <c r="H64" s="148"/>
      <c r="I64" s="148"/>
      <c r="J64" s="156">
        <f>J63*$G$107/100</f>
        <v>8.4363779878880862</v>
      </c>
      <c r="K64" s="156">
        <f t="shared" ref="K64:N64" si="9">K63*$G$107/100</f>
        <v>7.1107114457597858</v>
      </c>
      <c r="L64" s="156">
        <f t="shared" si="9"/>
        <v>10.892497274077716</v>
      </c>
      <c r="M64" s="156">
        <f t="shared" si="9"/>
        <v>6.1045682707163573</v>
      </c>
      <c r="N64" s="365">
        <f t="shared" si="9"/>
        <v>5.7888439468944499</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8.1485078139869387</v>
      </c>
      <c r="K79" s="156">
        <f t="shared" ref="K79:N81" si="13">K62*K$21</f>
        <v>6.725580750121626</v>
      </c>
      <c r="L79" s="156">
        <f t="shared" si="13"/>
        <v>10.250410791824104</v>
      </c>
      <c r="M79" s="156">
        <f t="shared" si="13"/>
        <v>5.4297122563538798</v>
      </c>
      <c r="N79" s="365">
        <f t="shared" si="13"/>
        <v>5.2339566240727677</v>
      </c>
      <c r="P79" s="136"/>
      <c r="Q79" s="131"/>
      <c r="R79" s="147" t="s">
        <v>242</v>
      </c>
    </row>
    <row r="80" spans="1:18" s="37" customFormat="1">
      <c r="C80" s="131"/>
      <c r="D80" s="153" t="s">
        <v>57</v>
      </c>
      <c r="E80" s="132" t="s">
        <v>317</v>
      </c>
      <c r="F80" s="161"/>
      <c r="G80" s="162"/>
      <c r="H80" s="162"/>
      <c r="I80" s="163"/>
      <c r="J80" s="156">
        <f>J63*J$21</f>
        <v>7.3381409742673283</v>
      </c>
      <c r="K80" s="156">
        <f t="shared" si="13"/>
        <v>6.0434010209428788</v>
      </c>
      <c r="L80" s="156">
        <f t="shared" si="13"/>
        <v>9.2659398274117528</v>
      </c>
      <c r="M80" s="156">
        <f t="shared" si="13"/>
        <v>5.2664908372360664</v>
      </c>
      <c r="N80" s="365">
        <f t="shared" si="13"/>
        <v>5.0408747213388736</v>
      </c>
      <c r="P80" s="136"/>
      <c r="Q80" s="131"/>
      <c r="R80" s="147" t="s">
        <v>242</v>
      </c>
    </row>
    <row r="81" spans="1:18" s="37" customFormat="1">
      <c r="C81" s="131"/>
      <c r="D81" s="153" t="s">
        <v>57</v>
      </c>
      <c r="E81" s="132" t="s">
        <v>318</v>
      </c>
      <c r="F81" s="161"/>
      <c r="G81" s="162"/>
      <c r="H81" s="162"/>
      <c r="I81" s="163"/>
      <c r="J81" s="156">
        <f>J64*J$21</f>
        <v>7.4961924591040097</v>
      </c>
      <c r="K81" s="156">
        <f t="shared" si="13"/>
        <v>6.1735659371216549</v>
      </c>
      <c r="L81" s="156">
        <f t="shared" si="13"/>
        <v>9.4655129281828234</v>
      </c>
      <c r="M81" s="156">
        <f t="shared" si="13"/>
        <v>5.3799223861287402</v>
      </c>
      <c r="N81" s="365">
        <f t="shared" si="13"/>
        <v>5.1494468702492258</v>
      </c>
      <c r="P81" s="136"/>
      <c r="Q81" s="131"/>
      <c r="R81" s="147" t="s">
        <v>242</v>
      </c>
    </row>
    <row r="82" spans="1:18" s="37" customFormat="1">
      <c r="C82" s="131"/>
      <c r="D82" s="153" t="s">
        <v>57</v>
      </c>
      <c r="E82" s="132" t="s">
        <v>110</v>
      </c>
      <c r="F82" s="164"/>
      <c r="G82" s="164"/>
      <c r="H82" s="164"/>
      <c r="I82" s="164"/>
      <c r="J82" s="156">
        <f>SUM('Input BYR'!J65:J70)*J$15</f>
        <v>7.989988777274915</v>
      </c>
      <c r="K82" s="156">
        <f>SUM('Input BYR'!K65:K70)*K$15</f>
        <v>6.3357494118886288</v>
      </c>
      <c r="L82" s="156">
        <f>SUM('Input BYR'!L65:L70)*L$15</f>
        <v>12.232887810360705</v>
      </c>
      <c r="M82" s="156">
        <f>SUM('Input BYR'!M65:M70)*M$15</f>
        <v>7.6995515095339204</v>
      </c>
      <c r="N82" s="365">
        <f>SUM('Input BYR'!N65:N70)*N$15</f>
        <v>6.5698248051948065</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108.47822278011566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102.11955569502891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0.25760888609942179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-0.72571703539526489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108.61534197235632</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102.15383549308908</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0.25692329013821846</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123.89073401550108</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-6.3104325211739365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-2.0795934064462864</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-6.1452742745555497E-2</v>
      </c>
      <c r="K127" s="156">
        <f>IF('Input BYR'!K49&lt;&gt;"",'Input BYR'!K49,K56*$G$97/100)</f>
        <v>-5.1550167235621697E-2</v>
      </c>
      <c r="L127" s="156">
        <f>IF('Input BYR'!L49&lt;&gt;"",'Input BYR'!L49,L56*$G$97/100)</f>
        <v>-7.7535491780444096E-2</v>
      </c>
      <c r="M127" s="156">
        <f>IF('Input BYR'!M49&lt;&gt;"",'Input BYR'!M49,M56*$G$97/100)</f>
        <v>-4.3504294637667501E-2</v>
      </c>
      <c r="N127" s="365">
        <f>IF('Input BYR'!N49&lt;&gt;"",'Input BYR'!N49,N56*$G$97/100)</f>
        <v>-4.2685322433821497E-2</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-1.8028653876131762</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8.6539801106733929</v>
      </c>
      <c r="K138" s="156">
        <f>(K57+'Input BYR'!K83)*K$29</f>
        <v>7.5861424017697896</v>
      </c>
      <c r="L138" s="156">
        <f>(L57+'Input BYR'!L83)*L$29</f>
        <v>11.832328389503424</v>
      </c>
      <c r="M138" s="156">
        <f>(M57+'Input BYR'!M83)*M$29</f>
        <v>6.8381563248886001</v>
      </c>
      <c r="N138" s="365">
        <f>(N57+'Input BYR'!N83)*N$29</f>
        <v>6.9107102485431042</v>
      </c>
      <c r="O138" s="104"/>
      <c r="P138" s="136"/>
      <c r="Q138" s="104"/>
      <c r="R138" s="147" t="s">
        <v>87</v>
      </c>
      <c r="S138" s="147"/>
    </row>
    <row r="139" spans="1:19" s="37" customFormat="1">
      <c r="C139" s="131"/>
      <c r="D139" s="104" t="s">
        <v>57</v>
      </c>
      <c r="E139" s="104" t="s">
        <v>110</v>
      </c>
      <c r="F139" s="104"/>
      <c r="G139" s="104"/>
      <c r="H139" s="104"/>
      <c r="I139" s="104"/>
      <c r="J139" s="156">
        <f>SUM('Input BYR'!J65:J70)</f>
        <v>8.6750000000000007</v>
      </c>
      <c r="K139" s="156">
        <f>SUM('Input BYR'!K65:K70)</f>
        <v>7.2089999999999996</v>
      </c>
      <c r="L139" s="156">
        <f>SUM('Input BYR'!L65:L70)</f>
        <v>14.349000000000002</v>
      </c>
      <c r="M139" s="156">
        <f>SUM('Input BYR'!M65:M70)</f>
        <v>9.2919999999999998</v>
      </c>
      <c r="N139" s="365">
        <f>SUM('Input BYR'!N65:N70)</f>
        <v>8.0839999999999996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-0.31973103821784754</v>
      </c>
      <c r="K140" s="672">
        <f>(K$139*K$15)-(K$138*K$26)</f>
        <v>-0.73666201975441314</v>
      </c>
      <c r="L140" s="672">
        <f>(L$139*L$15)-(L$138*L$26)</f>
        <v>1.4918487102194238</v>
      </c>
      <c r="M140" s="672">
        <f>(M$139*M$15)-(M$138*M$26)</f>
        <v>1.6434765422463924</v>
      </c>
      <c r="N140" s="673">
        <f>(N$139*N$15)-(N$138*N$26)</f>
        <v>0.59877028456966386</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105.30388013386499</v>
      </c>
      <c r="J148" s="156">
        <f>'Input BYR'!J$54</f>
        <v>103.420016124234</v>
      </c>
      <c r="K148" s="156">
        <f>'Input BYR'!K$54</f>
        <v>100.298401339497</v>
      </c>
      <c r="L148" s="156">
        <f>'Input BYR'!L$54</f>
        <v>100.707164711616</v>
      </c>
      <c r="M148" s="156">
        <f>'Input BYR'!M$54</f>
        <v>96.550351287214298</v>
      </c>
      <c r="N148" s="365">
        <f>'Input BYR'!N$54</f>
        <v>92.441354482253999</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2.6777024790632193</v>
      </c>
      <c r="Q149" s="161"/>
      <c r="R149" s="147" t="s">
        <v>242</v>
      </c>
    </row>
    <row r="150" spans="1:24" s="37" customFormat="1">
      <c r="A150" s="109"/>
      <c r="B150" s="109"/>
      <c r="C150" s="104"/>
      <c r="D150" s="104" t="s">
        <v>57</v>
      </c>
      <c r="E150" s="177" t="s">
        <v>386</v>
      </c>
      <c r="F150" s="131"/>
      <c r="G150" s="104"/>
      <c r="H150" s="104"/>
      <c r="I150" s="205"/>
      <c r="J150" s="156">
        <f>IF(J5=8,J148+$P$149,J148)</f>
        <v>103.420016124234</v>
      </c>
      <c r="K150" s="156">
        <f>IF(K5=8,K148+$P$149,K148)</f>
        <v>100.298401339497</v>
      </c>
      <c r="L150" s="156">
        <f>IF(L5=8,L148+$P$149,L148)</f>
        <v>100.707164711616</v>
      </c>
      <c r="M150" s="156">
        <f>IF(M5=8,M148+$P$149,M148)</f>
        <v>96.550351287214298</v>
      </c>
      <c r="N150" s="365">
        <f>IF(N5=8,N148+$P$149,N148)</f>
        <v>95.119056961317213</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8.3097198154927625</v>
      </c>
      <c r="L161" s="360">
        <f t="shared" si="16"/>
        <v>15.382131247135804</v>
      </c>
      <c r="M161" s="360">
        <f t="shared" si="16"/>
        <v>26.123170347277085</v>
      </c>
      <c r="N161" s="363">
        <f t="shared" si="16"/>
        <v>32.179245314564611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8.3097198154927625</v>
      </c>
      <c r="K162" s="360">
        <f t="shared" ref="K162:N162" si="17">K161+K138*K$26</f>
        <v>15.382131247135804</v>
      </c>
      <c r="L162" s="360">
        <f t="shared" si="17"/>
        <v>26.123170347277085</v>
      </c>
      <c r="M162" s="360">
        <f t="shared" si="17"/>
        <v>32.179245314564611</v>
      </c>
      <c r="N162" s="363">
        <f t="shared" si="17"/>
        <v>38.150299835189756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4.1548599077463813</v>
      </c>
      <c r="K163" s="360">
        <f t="shared" ref="K163:N163" si="18">(K162+K161)/2</f>
        <v>11.845925531314283</v>
      </c>
      <c r="L163" s="360">
        <f t="shared" si="18"/>
        <v>20.752650797206446</v>
      </c>
      <c r="M163" s="360">
        <f t="shared" si="18"/>
        <v>29.151207830920846</v>
      </c>
      <c r="N163" s="363">
        <f t="shared" si="18"/>
        <v>35.164772574877183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7.989988777274915</v>
      </c>
      <c r="L171" s="360">
        <f t="shared" si="22"/>
        <v>14.325738189163545</v>
      </c>
      <c r="M171" s="360">
        <f t="shared" si="22"/>
        <v>26.558625999524249</v>
      </c>
      <c r="N171" s="363">
        <f t="shared" si="22"/>
        <v>34.258177509058171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7.989988777274915</v>
      </c>
      <c r="K172" s="360">
        <f t="shared" ref="K172:N172" si="23">K171+K139*K$15</f>
        <v>14.325738189163545</v>
      </c>
      <c r="L172" s="360">
        <f t="shared" si="23"/>
        <v>26.558625999524249</v>
      </c>
      <c r="M172" s="360">
        <f t="shared" si="23"/>
        <v>34.258177509058171</v>
      </c>
      <c r="N172" s="363">
        <f t="shared" si="23"/>
        <v>40.828002314252977</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3.9949943886374575</v>
      </c>
      <c r="K173" s="360">
        <f t="shared" ref="K173:N173" si="24">(K172+K171)/2</f>
        <v>11.157863483219231</v>
      </c>
      <c r="L173" s="360">
        <f t="shared" si="24"/>
        <v>20.442182094343899</v>
      </c>
      <c r="M173" s="360">
        <f t="shared" si="24"/>
        <v>30.408401754291212</v>
      </c>
      <c r="N173" s="363">
        <f t="shared" si="24"/>
        <v>37.543089911655571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-0.31973103821784754</v>
      </c>
      <c r="K181" s="156">
        <f>(K$139*K$15)-(K$138*K$26)</f>
        <v>-0.73666201975441314</v>
      </c>
      <c r="L181" s="156">
        <f>(L$139*L$15)-(L$138*L$26)</f>
        <v>1.4918487102194238</v>
      </c>
      <c r="M181" s="156">
        <f>(M$139*M$15)-(M$138*M$26)</f>
        <v>1.6434765422463924</v>
      </c>
      <c r="N181" s="365">
        <f>(N$139*N$15)-(N$138*N$26)</f>
        <v>0.59877028456966386</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-8.7926035509908081E-3</v>
      </c>
      <c r="K184" s="156">
        <f>(K173-K163)*'Input BYR'!$O$59</f>
        <v>-3.7843412645227857E-2</v>
      </c>
      <c r="L184" s="156">
        <f>(L173-L163)*'Input BYR'!$O$59</f>
        <v>-1.7075778657440085E-2</v>
      </c>
      <c r="M184" s="156">
        <f>(M173-M163)*'Input BYR'!$O$59</f>
        <v>6.9145665785370125E-2</v>
      </c>
      <c r="N184" s="365">
        <f>(N173-N163)*'Input BYR'!$O$59</f>
        <v>0.13080745352281131</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-0.39677704060696967</v>
      </c>
      <c r="K187" s="156">
        <f>$P$130*K63/SUM($J$63:$N$63)</f>
        <v>-0.33442871432612975</v>
      </c>
      <c r="L187" s="156">
        <f>$P$130*L63/SUM($J$63:$N$63)</f>
        <v>-0.51229246003828677</v>
      </c>
      <c r="M187" s="156">
        <f>$P$130*M63/SUM($J$63:$N$63)</f>
        <v>-0.2871081092046221</v>
      </c>
      <c r="N187" s="365">
        <f>$P$130*N63/SUM($J$63:$N$63)</f>
        <v>-0.27225906343716788</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-0.40556964415796048</v>
      </c>
      <c r="K190" s="156">
        <f t="shared" ref="K190:N191" si="28">K187+K184</f>
        <v>-0.37227212697135759</v>
      </c>
      <c r="L190" s="156">
        <f t="shared" si="28"/>
        <v>-0.5293682386957268</v>
      </c>
      <c r="M190" s="156">
        <f t="shared" si="28"/>
        <v>-0.21796244341925197</v>
      </c>
      <c r="N190" s="365">
        <f t="shared" si="28"/>
        <v>-0.14145160991435657</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-0.50242967272809091</v>
      </c>
      <c r="K193" s="156">
        <f>IF('Input BYR'!$O$156=0,(K190/(1+'Input BYR'!$O$60)^K$6),(K190/(1+'Input BYR'!$O$59)^K$6))</f>
        <v>-0.43713733424902146</v>
      </c>
      <c r="L193" s="156">
        <f>IF('Input BYR'!$O$156=0,(L190/(1+'Input BYR'!$O$60)^L$6),(L190/(1+'Input BYR'!$O$59)^L$6))</f>
        <v>-0.58920008387431122</v>
      </c>
      <c r="M193" s="156">
        <f>IF('Input BYR'!$O$156=0,(M190/(1+'Input BYR'!$O$60)^M$6),(M190/(1+'Input BYR'!$O$59)^M$6))</f>
        <v>-0.22995037780731081</v>
      </c>
      <c r="N193" s="664">
        <f>IF('Input BYR'!$O$156=0,(N190/(1+'Input BYR'!$O$60)^N$6),(N190/(1+'Input BYR'!$O$59)^N$6))</f>
        <v>-0.14145160991435657</v>
      </c>
      <c r="O193" s="109"/>
      <c r="P193" s="622">
        <f>SUM(J193:N193)</f>
        <v>-1.9001690785730909</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-0.58934271986614406</v>
      </c>
      <c r="K196" s="156">
        <f t="shared" ref="K196:N197" si="29">K193*$L$13/$G$13</f>
        <v>-0.51275575370083093</v>
      </c>
      <c r="L196" s="156">
        <f t="shared" si="29"/>
        <v>-0.69112315379463962</v>
      </c>
      <c r="M196" s="156">
        <f t="shared" si="29"/>
        <v>-0.26972845842357246</v>
      </c>
      <c r="N196" s="365">
        <f t="shared" si="29"/>
        <v>-0.16592068709581784</v>
      </c>
      <c r="O196" s="109"/>
      <c r="P196" s="622">
        <f>P193*$L$13/$G$13</f>
        <v>-2.2288707728810051</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3.1409061758529448</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-2.4393329074615204</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-0.32459795297666644</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-2.1147349544848546</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0.15980909781108366</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-1.9549258566737702</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-2.2288707728810051</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-2.2288707728810051</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3.7600000000000001E-2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0.96376252891287584</v>
      </c>
      <c r="T20" s="610">
        <f t="shared" si="4"/>
        <v>0.92883821213654183</v>
      </c>
      <c r="U20" s="610">
        <f t="shared" si="4"/>
        <v>0.8951794642796278</v>
      </c>
      <c r="V20" s="611">
        <f t="shared" si="4"/>
        <v>0.86274042432500742</v>
      </c>
    </row>
    <row r="21" spans="1:22" s="138" customFormat="1">
      <c r="C21" s="139"/>
      <c r="D21" s="153" t="s">
        <v>556</v>
      </c>
      <c r="E21" s="645" t="s">
        <v>570</v>
      </c>
      <c r="F21" s="142"/>
      <c r="G21" s="134"/>
      <c r="H21" s="134"/>
      <c r="I21" s="134"/>
      <c r="J21" s="135"/>
      <c r="K21" s="135"/>
      <c r="L21" s="135"/>
      <c r="M21" s="135"/>
      <c r="N21" s="608"/>
      <c r="O21" s="37"/>
      <c r="P21" s="613">
        <f>SUM(R20:V20)</f>
        <v>4.6505206296540527</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-2.2288707728810051</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0.96376252891287584</v>
      </c>
      <c r="T35" s="616">
        <f>T$20</f>
        <v>0.92883821213654183</v>
      </c>
      <c r="U35" s="616">
        <f>U$20</f>
        <v>0.8951794642796278</v>
      </c>
      <c r="V35" s="621">
        <f>V$20</f>
        <v>0.86274042432500742</v>
      </c>
    </row>
    <row r="36" spans="1:22" s="37" customFormat="1">
      <c r="C36" s="131"/>
      <c r="D36" s="104" t="s">
        <v>57</v>
      </c>
      <c r="E36" s="643" t="s">
        <v>411</v>
      </c>
      <c r="F36" s="131"/>
      <c r="G36" s="148"/>
      <c r="H36" s="148"/>
      <c r="I36" s="148"/>
      <c r="J36" s="106"/>
      <c r="K36" s="106"/>
      <c r="L36" s="106"/>
      <c r="M36" s="106"/>
      <c r="N36" s="612"/>
      <c r="O36" s="203"/>
      <c r="P36" s="136"/>
      <c r="Q36" s="131"/>
      <c r="R36" s="603">
        <f>R31*R35</f>
        <v>-2.2288707728810051</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-2.2288707728810051</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-2.2288707728810051</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4.6505206296540527</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-0.47927338686954896</v>
      </c>
      <c r="S47" s="616">
        <f t="shared" si="8"/>
        <v>-0.47927338686954896</v>
      </c>
      <c r="T47" s="616">
        <f t="shared" si="8"/>
        <v>-0.47927338686954896</v>
      </c>
      <c r="U47" s="616">
        <f t="shared" si="8"/>
        <v>-0.47927338686954896</v>
      </c>
      <c r="V47" s="623">
        <f t="shared" si="8"/>
        <v>-0.47927338686954896</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0.96376252891287584</v>
      </c>
      <c r="T51" s="616">
        <f>T$20</f>
        <v>0.92883821213654183</v>
      </c>
      <c r="U51" s="616">
        <f>U$20</f>
        <v>0.8951794642796278</v>
      </c>
      <c r="V51" s="621">
        <f>V$20</f>
        <v>0.86274042432500742</v>
      </c>
    </row>
    <row r="52" spans="1:22" s="37" customFormat="1">
      <c r="C52" s="131"/>
      <c r="D52" s="104" t="s">
        <v>57</v>
      </c>
      <c r="E52" s="643" t="s">
        <v>411</v>
      </c>
      <c r="F52" s="131"/>
      <c r="G52" s="148"/>
      <c r="H52" s="148"/>
      <c r="I52" s="148"/>
      <c r="J52" s="106"/>
      <c r="K52" s="106"/>
      <c r="L52" s="106"/>
      <c r="M52" s="106"/>
      <c r="N52" s="612"/>
      <c r="O52" s="203"/>
      <c r="P52" s="136"/>
      <c r="Q52" s="131"/>
      <c r="R52" s="603">
        <f>R47*R51</f>
        <v>-0.47927338686954896</v>
      </c>
      <c r="S52" s="616">
        <f t="shared" ref="S52:V52" si="9">S47*S51</f>
        <v>-0.4619057313700356</v>
      </c>
      <c r="T52" s="616">
        <f t="shared" si="9"/>
        <v>-0.44516743578453699</v>
      </c>
      <c r="U52" s="616">
        <f t="shared" si="9"/>
        <v>-0.42903569370136563</v>
      </c>
      <c r="V52" s="621">
        <f t="shared" si="9"/>
        <v>-0.41348852515551809</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-2.2288707728810055</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-2.2288707728810051</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-0.44577415457620101</v>
      </c>
      <c r="S64" s="616">
        <f t="shared" ref="S64:V64" si="14">IF(S$62+1&lt;=$P$61,$P59/$P$61,0)</f>
        <v>-0.44577415457620101</v>
      </c>
      <c r="T64" s="616">
        <f t="shared" si="14"/>
        <v>-0.44577415457620101</v>
      </c>
      <c r="U64" s="616">
        <f t="shared" si="14"/>
        <v>-0.44577415457620101</v>
      </c>
      <c r="V64" s="623">
        <f t="shared" si="14"/>
        <v>-0.44577415457620101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0.96376252891287584</v>
      </c>
      <c r="T68" s="616">
        <f>T$20</f>
        <v>0.92883821213654183</v>
      </c>
      <c r="U68" s="616">
        <f>U$20</f>
        <v>0.8951794642796278</v>
      </c>
      <c r="V68" s="621">
        <f>V$20</f>
        <v>0.86274042432500742</v>
      </c>
    </row>
    <row r="69" spans="1:22" s="37" customFormat="1">
      <c r="C69" s="131"/>
      <c r="D69" s="104" t="s">
        <v>57</v>
      </c>
      <c r="E69" s="643" t="s">
        <v>411</v>
      </c>
      <c r="F69" s="131"/>
      <c r="G69" s="148"/>
      <c r="H69" s="148"/>
      <c r="I69" s="148"/>
      <c r="J69" s="106"/>
      <c r="K69" s="106"/>
      <c r="L69" s="106"/>
      <c r="M69" s="106"/>
      <c r="N69" s="612"/>
      <c r="O69" s="203"/>
      <c r="P69" s="136"/>
      <c r="Q69" s="131"/>
      <c r="R69" s="603">
        <f>R64*R68</f>
        <v>-0.44577415457620101</v>
      </c>
      <c r="S69" s="616">
        <f t="shared" ref="S69:V69" si="16">S64*S68</f>
        <v>-0.42962042653835869</v>
      </c>
      <c r="T69" s="616">
        <f t="shared" si="16"/>
        <v>-0.41405206875323697</v>
      </c>
      <c r="U69" s="616">
        <f t="shared" si="16"/>
        <v>-0.39904786888322763</v>
      </c>
      <c r="V69" s="621">
        <f t="shared" si="16"/>
        <v>-0.38458738327219311</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-2.0730819020232172</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-2.2288707728810051</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3.7600000000000001E-2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-0.44577415457620101</v>
      </c>
      <c r="S82" s="616">
        <f t="shared" ref="S82:V83" si="20">IF(S$62+1&lt;=$P$78,$P76/$P$78,0) * (1+$P$79)^S$80</f>
        <v>-0.46253526278826618</v>
      </c>
      <c r="T82" s="616">
        <f t="shared" si="20"/>
        <v>-0.47992658866910504</v>
      </c>
      <c r="U82" s="616">
        <f t="shared" si="20"/>
        <v>-0.49797182840306337</v>
      </c>
      <c r="V82" s="623">
        <f t="shared" si="20"/>
        <v>-0.51669556915101866</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0.96376252891287584</v>
      </c>
      <c r="T86" s="616">
        <f>T$20</f>
        <v>0.92883821213654183</v>
      </c>
      <c r="U86" s="616">
        <f>U$20</f>
        <v>0.8951794642796278</v>
      </c>
      <c r="V86" s="621">
        <f>V$20</f>
        <v>0.86274042432500742</v>
      </c>
    </row>
    <row r="87" spans="1:22" s="37" customFormat="1">
      <c r="C87" s="131"/>
      <c r="D87" s="104" t="s">
        <v>57</v>
      </c>
      <c r="E87" s="643" t="s">
        <v>411</v>
      </c>
      <c r="F87" s="131"/>
      <c r="G87" s="148"/>
      <c r="H87" s="148"/>
      <c r="I87" s="148"/>
      <c r="J87" s="106"/>
      <c r="K87" s="106"/>
      <c r="L87" s="106"/>
      <c r="M87" s="106"/>
      <c r="N87" s="612"/>
      <c r="O87" s="203"/>
      <c r="P87" s="136"/>
      <c r="Q87" s="131"/>
      <c r="R87" s="603">
        <f>R82*R86</f>
        <v>-0.44577415457620101</v>
      </c>
      <c r="S87" s="616">
        <f t="shared" ref="S87:V87" si="21">S82*S86</f>
        <v>-0.44577415457620101</v>
      </c>
      <c r="T87" s="616">
        <f t="shared" si="21"/>
        <v>-0.44577415457620101</v>
      </c>
      <c r="U87" s="616">
        <f t="shared" si="21"/>
        <v>-0.44577415457620101</v>
      </c>
      <c r="V87" s="621">
        <f t="shared" si="21"/>
        <v>-0.44577415457620106</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-2.2288707728810051</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-0.58934271986614406</v>
      </c>
      <c r="S94" s="616">
        <f>'Calc2 BYR'!K196</f>
        <v>-0.51275575370083093</v>
      </c>
      <c r="T94" s="616">
        <f>'Calc2 BYR'!L196</f>
        <v>-0.69112315379463962</v>
      </c>
      <c r="U94" s="616">
        <f>'Calc2 BYR'!M196</f>
        <v>-0.26972845842357246</v>
      </c>
      <c r="V94" s="623">
        <f>'Calc2 BYR'!N196</f>
        <v>-0.16592068709581784</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0.96376252891287584</v>
      </c>
      <c r="T98" s="616">
        <f>T$20</f>
        <v>0.92883821213654183</v>
      </c>
      <c r="U98" s="616">
        <f>U$20</f>
        <v>0.8951794642796278</v>
      </c>
      <c r="V98" s="621">
        <f>V$20</f>
        <v>0.86274042432500742</v>
      </c>
    </row>
    <row r="99" spans="1:22" s="37" customFormat="1">
      <c r="C99" s="131"/>
      <c r="D99" s="104" t="s">
        <v>57</v>
      </c>
      <c r="E99" s="643" t="s">
        <v>411</v>
      </c>
      <c r="F99" s="131"/>
      <c r="G99" s="148"/>
      <c r="H99" s="148"/>
      <c r="I99" s="148"/>
      <c r="J99" s="106"/>
      <c r="K99" s="106"/>
      <c r="L99" s="106"/>
      <c r="M99" s="106"/>
      <c r="N99" s="612"/>
      <c r="O99" s="203"/>
      <c r="P99" s="136"/>
      <c r="Q99" s="131"/>
      <c r="R99" s="603">
        <f>R94*R98</f>
        <v>-0.58934271986614406</v>
      </c>
      <c r="S99" s="616">
        <f t="shared" ref="S99:V99" si="23">S94*S98</f>
        <v>-0.49417478190134051</v>
      </c>
      <c r="T99" s="616">
        <f t="shared" si="23"/>
        <v>-0.64194159453678135</v>
      </c>
      <c r="U99" s="616">
        <f t="shared" si="23"/>
        <v>-0.24145537691258345</v>
      </c>
      <c r="V99" s="621">
        <f t="shared" si="23"/>
        <v>-0.14314648398934265</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-2.1100609572061919</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-0.58934271986614406</v>
      </c>
      <c r="S106" s="616">
        <f>'Calc2 BYR'!K196</f>
        <v>-0.51275575370083093</v>
      </c>
      <c r="T106" s="616">
        <f>'Calc2 BYR'!L196</f>
        <v>-0.69112315379463962</v>
      </c>
      <c r="U106" s="616">
        <f>'Calc2 BYR'!M196</f>
        <v>-0.26972845842357246</v>
      </c>
      <c r="V106" s="623">
        <f>'Calc2 BYR'!N196</f>
        <v>-0.16592068709581784</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0.96376252891287584</v>
      </c>
      <c r="T110" s="616">
        <f>T$20</f>
        <v>0.92883821213654183</v>
      </c>
      <c r="U110" s="616">
        <f>U$20</f>
        <v>0.8951794642796278</v>
      </c>
      <c r="V110" s="621">
        <f>V$20</f>
        <v>0.86274042432500742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-0.58934271986614406</v>
      </c>
      <c r="S111" s="616">
        <f t="shared" ref="S111:V111" si="25">S106*S110</f>
        <v>-0.49417478190134051</v>
      </c>
      <c r="T111" s="616">
        <f t="shared" si="25"/>
        <v>-0.64194159453678135</v>
      </c>
      <c r="U111" s="616">
        <f t="shared" si="25"/>
        <v>-0.24145537691258345</v>
      </c>
      <c r="V111" s="621">
        <f t="shared" si="25"/>
        <v>-0.14314648398934265</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-2.1100609572061919</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-2.1100609572061919</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-2.2288707728810051</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1.0563063428423993</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-0.62252645310259924</v>
      </c>
      <c r="S123" s="616">
        <f t="shared" si="27"/>
        <v>-0.54162715496312275</v>
      </c>
      <c r="T123" s="616">
        <f t="shared" si="27"/>
        <v>-0.73003777103852086</v>
      </c>
      <c r="U123" s="616">
        <f t="shared" si="27"/>
        <v>-0.28491588147792196</v>
      </c>
      <c r="V123" s="621">
        <f t="shared" si="27"/>
        <v>-0.17526307418808143</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0.96376252891287584</v>
      </c>
      <c r="T127" s="616">
        <f>T$20</f>
        <v>0.92883821213654183</v>
      </c>
      <c r="U127" s="616">
        <f>U$20</f>
        <v>0.8951794642796278</v>
      </c>
      <c r="V127" s="621">
        <f>V$20</f>
        <v>0.86274042432500742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-0.62252645310259924</v>
      </c>
      <c r="S128" s="616">
        <f t="shared" ref="S128:V128" si="28">S123*S127</f>
        <v>-0.52199995659514531</v>
      </c>
      <c r="T128" s="616">
        <f t="shared" si="28"/>
        <v>-0.67808697804356577</v>
      </c>
      <c r="U128" s="616">
        <f t="shared" si="28"/>
        <v>-0.25505084614616413</v>
      </c>
      <c r="V128" s="621">
        <f t="shared" si="28"/>
        <v>-0.15120653899353062</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-2.2288707728810047</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-2.2288707728810051</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-0.47927338686954896</v>
      </c>
      <c r="S138" s="616">
        <f>S47</f>
        <v>-0.47927338686954896</v>
      </c>
      <c r="T138" s="616">
        <f>T47</f>
        <v>-0.47927338686954896</v>
      </c>
      <c r="U138" s="616">
        <f>U47</f>
        <v>-0.47927338686954896</v>
      </c>
      <c r="V138" s="621">
        <f>V47</f>
        <v>-0.47927338686954896</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-0.44577415457620101</v>
      </c>
      <c r="S139" s="616">
        <f>S64</f>
        <v>-0.44577415457620101</v>
      </c>
      <c r="T139" s="616">
        <f>T64</f>
        <v>-0.44577415457620101</v>
      </c>
      <c r="U139" s="616">
        <f>U64</f>
        <v>-0.44577415457620101</v>
      </c>
      <c r="V139" s="621">
        <f>V64</f>
        <v>-0.44577415457620101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-0.44577415457620101</v>
      </c>
      <c r="S140" s="616">
        <f>S82</f>
        <v>-0.46253526278826618</v>
      </c>
      <c r="T140" s="616">
        <f>T82</f>
        <v>-0.47992658866910504</v>
      </c>
      <c r="U140" s="616">
        <f>U82</f>
        <v>-0.49797182840306337</v>
      </c>
      <c r="V140" s="621">
        <f>V82</f>
        <v>-0.51669556915101866</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-0.58934271986614406</v>
      </c>
      <c r="S141" s="616">
        <f>S94</f>
        <v>-0.51275575370083093</v>
      </c>
      <c r="T141" s="616">
        <f>T94</f>
        <v>-0.69112315379463962</v>
      </c>
      <c r="U141" s="616">
        <f>U94</f>
        <v>-0.26972845842357246</v>
      </c>
      <c r="V141" s="621">
        <f>V94</f>
        <v>-0.16592068709581784</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-0.62252645310259924</v>
      </c>
      <c r="S142" s="616">
        <f t="shared" si="31"/>
        <v>-0.54162715496312275</v>
      </c>
      <c r="T142" s="616">
        <f t="shared" si="31"/>
        <v>-0.73003777103852086</v>
      </c>
      <c r="U142" s="616">
        <f t="shared" si="31"/>
        <v>-0.28491588147792196</v>
      </c>
      <c r="V142" s="621">
        <f t="shared" si="31"/>
        <v>-0.17526307418808143</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-0.47927338686954896</v>
      </c>
      <c r="S143" s="630">
        <f t="shared" ref="S143:V143" si="32">CHOOSE($P$135+1,S137,S138,S139,S140,S141,S142)</f>
        <v>-0.47927338686954896</v>
      </c>
      <c r="T143" s="630">
        <f t="shared" si="32"/>
        <v>-0.47927338686954896</v>
      </c>
      <c r="U143" s="630">
        <f t="shared" si="32"/>
        <v>-0.47927338686954896</v>
      </c>
      <c r="V143" s="631">
        <f t="shared" si="32"/>
        <v>-0.47927338686954896</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-0.47927338686954896</v>
      </c>
      <c r="S156" s="627">
        <f t="shared" ref="S156:V156" si="36">S143</f>
        <v>-0.47927338686954896</v>
      </c>
      <c r="T156" s="627">
        <f t="shared" si="36"/>
        <v>-0.47927338686954896</v>
      </c>
      <c r="U156" s="627">
        <f t="shared" si="36"/>
        <v>-0.47927338686954896</v>
      </c>
      <c r="V156" s="628">
        <f t="shared" si="36"/>
        <v>-0.47927338686954896</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PRT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4.9178699999999997</v>
      </c>
      <c r="K16" s="121">
        <f>'Input BYR'!K10</f>
        <v>5.2240770000000003</v>
      </c>
      <c r="L16" s="121">
        <f>'Input BYR'!L10</f>
        <v>4.9178699999999997</v>
      </c>
      <c r="M16" s="121">
        <f>'Input BYR'!M10</f>
        <v>4.9178699999999997</v>
      </c>
      <c r="N16" s="121">
        <f>'Input BYR'!N10</f>
        <v>4.9178699999999997</v>
      </c>
      <c r="O16" s="113"/>
      <c r="P16" s="113"/>
      <c r="Q16" s="113"/>
      <c r="R16" s="113"/>
      <c r="S16" s="113"/>
      <c r="T16" s="115"/>
      <c r="U16" s="122">
        <f t="shared" ref="U16:U34" si="0">SUM(J16:N16)</f>
        <v>24.895557</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3.363</v>
      </c>
      <c r="K17" s="121">
        <f>'Input BYR'!K11</f>
        <v>1.363</v>
      </c>
      <c r="L17" s="121">
        <f>'Input BYR'!L11</f>
        <v>6.4379999999999997</v>
      </c>
      <c r="M17" s="121">
        <f>'Input BYR'!M11</f>
        <v>1.44</v>
      </c>
      <c r="N17" s="121">
        <f>'Input BYR'!N11</f>
        <v>1.389</v>
      </c>
      <c r="O17" s="113"/>
      <c r="P17" s="113"/>
      <c r="Q17" s="113"/>
      <c r="R17" s="113"/>
      <c r="S17" s="113"/>
      <c r="T17" s="115"/>
      <c r="U17" s="122">
        <f t="shared" si="0"/>
        <v>13.992999999999999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0.53</v>
      </c>
      <c r="K18" s="121">
        <f>'Input BYR'!K12</f>
        <v>0.53</v>
      </c>
      <c r="L18" s="121">
        <f>'Input BYR'!L12</f>
        <v>0.53</v>
      </c>
      <c r="M18" s="121">
        <f>'Input BYR'!M12</f>
        <v>0.53</v>
      </c>
      <c r="N18" s="121">
        <f>'Input BYR'!N12</f>
        <v>0.53</v>
      </c>
      <c r="O18" s="113"/>
      <c r="P18" s="113"/>
      <c r="Q18" s="113"/>
      <c r="R18" s="113"/>
      <c r="S18" s="113"/>
      <c r="T18" s="115"/>
      <c r="U18" s="122">
        <f t="shared" si="0"/>
        <v>2.6500000000000004</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2.2229999999999999</v>
      </c>
      <c r="K19" s="121">
        <f>'Input BYR'!K13</f>
        <v>2.4260000000000002</v>
      </c>
      <c r="L19" s="121">
        <f>'Input BYR'!L13</f>
        <v>1.585</v>
      </c>
      <c r="M19" s="121">
        <f>'Input BYR'!M13</f>
        <v>0.94599999999999995</v>
      </c>
      <c r="N19" s="121">
        <f>'Input BYR'!N13</f>
        <v>0.91600000000000004</v>
      </c>
      <c r="O19" s="113"/>
      <c r="P19" s="113"/>
      <c r="Q19" s="113"/>
      <c r="R19" s="113"/>
      <c r="S19" s="113"/>
      <c r="T19" s="115"/>
      <c r="U19" s="122">
        <f t="shared" si="0"/>
        <v>8.0960000000000001</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-1.6539999999999999</v>
      </c>
      <c r="K20" s="121">
        <f>-'Input BYR'!K14</f>
        <v>-1.6539999999999999</v>
      </c>
      <c r="L20" s="121">
        <f>-'Input BYR'!L14</f>
        <v>-1.6539999999999999</v>
      </c>
      <c r="M20" s="121">
        <f>-'Input BYR'!M14</f>
        <v>-1.6539999999999999</v>
      </c>
      <c r="N20" s="121">
        <f>-'Input BYR'!N14</f>
        <v>-1.6539999999999999</v>
      </c>
      <c r="O20" s="113"/>
      <c r="P20" s="113"/>
      <c r="Q20" s="113"/>
      <c r="R20" s="113"/>
      <c r="S20" s="113"/>
      <c r="T20" s="115"/>
      <c r="U20" s="122">
        <f t="shared" si="0"/>
        <v>-8.27</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9.3798700000000004</v>
      </c>
      <c r="K24" s="121">
        <f>'Calc2 BYR'!K55</f>
        <v>7.8890770000000003</v>
      </c>
      <c r="L24" s="121">
        <f>'Calc2 BYR'!L55</f>
        <v>11.816869999999998</v>
      </c>
      <c r="M24" s="121">
        <f>'Calc2 BYR'!M55</f>
        <v>6.1798700000000002</v>
      </c>
      <c r="N24" s="121">
        <f>'Calc2 BYR'!N55</f>
        <v>6.0988700000000007</v>
      </c>
      <c r="O24" s="113"/>
      <c r="P24" s="113"/>
      <c r="Q24" s="113"/>
      <c r="R24" s="113"/>
      <c r="S24" s="113"/>
      <c r="T24" s="115"/>
      <c r="U24" s="122">
        <f t="shared" si="0"/>
        <v>41.364556999999998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4.39597987914164</v>
      </c>
      <c r="K37" s="121">
        <f>'Input BYR'!K30</f>
        <v>4.6510130665451204</v>
      </c>
      <c r="L37" s="121">
        <f>'Input BYR'!L30</f>
        <v>4.36088237578657</v>
      </c>
      <c r="M37" s="121">
        <f>'Input BYR'!M30</f>
        <v>4.3434388462834201</v>
      </c>
      <c r="N37" s="121">
        <f>'Input BYR'!N30</f>
        <v>4.3260650908982896</v>
      </c>
      <c r="O37" s="113"/>
      <c r="P37" s="113"/>
      <c r="Q37" s="113"/>
      <c r="R37" s="113"/>
      <c r="S37" s="113"/>
      <c r="T37" s="115"/>
      <c r="U37" s="122">
        <f t="shared" ref="U37:U51" si="3">SUM(J37:N37)</f>
        <v>22.077379258655039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3.2235510857021099</v>
      </c>
      <c r="K38" s="121">
        <f>'Input BYR'!K31</f>
        <v>1.34033005536492</v>
      </c>
      <c r="L38" s="121">
        <f>'Input BYR'!L31</f>
        <v>5.9497362521654003</v>
      </c>
      <c r="M38" s="121">
        <f>'Input BYR'!M31</f>
        <v>1.4053301155664399</v>
      </c>
      <c r="N38" s="121">
        <f>'Input BYR'!N31</f>
        <v>1.34053370287739</v>
      </c>
      <c r="O38" s="113"/>
      <c r="P38" s="113"/>
      <c r="Q38" s="113"/>
      <c r="R38" s="113"/>
      <c r="S38" s="113"/>
      <c r="T38" s="115"/>
      <c r="U38" s="122">
        <f t="shared" si="3"/>
        <v>13.25948121167626</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0.21718470970666401</v>
      </c>
      <c r="K39" s="121">
        <f>'Input BYR'!K32</f>
        <v>0.24954331987061401</v>
      </c>
      <c r="L39" s="121">
        <f>'Input BYR'!L32</f>
        <v>0.12599632392409499</v>
      </c>
      <c r="M39" s="121">
        <f>'Input BYR'!M32</f>
        <v>9.0676335970493405E-2</v>
      </c>
      <c r="N39" s="121">
        <f>'Input BYR'!N32</f>
        <v>8.0983932121316701E-2</v>
      </c>
      <c r="O39" s="113"/>
      <c r="P39" s="113"/>
      <c r="Q39" s="113"/>
      <c r="R39" s="113"/>
      <c r="S39" s="113"/>
      <c r="T39" s="115"/>
      <c r="U39" s="122">
        <f t="shared" si="3"/>
        <v>0.7643846215931831</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0.63114986371487602</v>
      </c>
      <c r="K40" s="121">
        <f>'Input BYR'!K33</f>
        <v>0.86245614511963997</v>
      </c>
      <c r="L40" s="121">
        <f>'Input BYR'!L33</f>
        <v>0.247369025186678</v>
      </c>
      <c r="M40" s="121">
        <f>'Input BYR'!M33</f>
        <v>0.15521825778614701</v>
      </c>
      <c r="N40" s="121">
        <f>'Input BYR'!N33</f>
        <v>0.13423075676061499</v>
      </c>
      <c r="O40" s="113"/>
      <c r="P40" s="113"/>
      <c r="Q40" s="113"/>
      <c r="R40" s="113"/>
      <c r="S40" s="113"/>
      <c r="T40" s="115"/>
      <c r="U40" s="122">
        <f t="shared" si="3"/>
        <v>2.0304240485679559</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8.4678655382652899</v>
      </c>
      <c r="K43" s="121">
        <f>'Calc2 BYR'!K56</f>
        <v>7.1033425869002933</v>
      </c>
      <c r="L43" s="121">
        <f>'Calc2 BYR'!L56</f>
        <v>10.683983977062745</v>
      </c>
      <c r="M43" s="121">
        <f>'Calc2 BYR'!M56</f>
        <v>5.9946635556065004</v>
      </c>
      <c r="N43" s="121">
        <f>'Calc2 BYR'!N56</f>
        <v>5.8818134826576109</v>
      </c>
      <c r="O43" s="113"/>
      <c r="P43" s="113"/>
      <c r="Q43" s="113"/>
      <c r="R43" s="113"/>
      <c r="S43" s="113"/>
      <c r="T43" s="115"/>
      <c r="U43" s="122">
        <f t="shared" si="3"/>
        <v>38.131669140492441</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4.4891551210223115</v>
      </c>
      <c r="K54" s="121">
        <f>'Calc2 BYR'!K39</f>
        <v>4.7495938788736165</v>
      </c>
      <c r="L54" s="121">
        <f>'Calc2 BYR'!L39</f>
        <v>4.4533137065360657</v>
      </c>
      <c r="M54" s="121">
        <f>'Calc2 BYR'!M39</f>
        <v>4.4355004517099186</v>
      </c>
      <c r="N54" s="121">
        <f>'Calc2 BYR'!N39</f>
        <v>4.417758449903082</v>
      </c>
      <c r="O54" s="113"/>
      <c r="P54" s="113"/>
      <c r="Q54" s="113"/>
      <c r="R54" s="113"/>
      <c r="S54" s="113"/>
      <c r="T54" s="115"/>
      <c r="U54" s="122">
        <f>SUM(J54:N54)</f>
        <v>22.545321608044993</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3.2918760463212751</v>
      </c>
      <c r="K55" s="121">
        <f>'Calc2 BYR'!K40</f>
        <v>1.3687390973855913</v>
      </c>
      <c r="L55" s="121">
        <f>'Calc2 BYR'!L40</f>
        <v>6.075844225737371</v>
      </c>
      <c r="M55" s="121">
        <f>'Calc2 BYR'!M40</f>
        <v>1.4351168700648846</v>
      </c>
      <c r="N55" s="121">
        <f>'Calc2 BYR'!N40</f>
        <v>1.3689470613205097</v>
      </c>
      <c r="O55" s="113"/>
      <c r="P55" s="113"/>
      <c r="Q55" s="113"/>
      <c r="R55" s="113"/>
      <c r="S55" s="113"/>
      <c r="T55" s="115"/>
      <c r="U55" s="122">
        <f>SUM(J55:N55)</f>
        <v>13.540523300829632</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0.22178806058998363</v>
      </c>
      <c r="K56" s="121">
        <f>'Calc2 BYR'!K41</f>
        <v>0.25483252951849583</v>
      </c>
      <c r="L56" s="121">
        <f>'Calc2 BYR'!L41</f>
        <v>0.1286668861833552</v>
      </c>
      <c r="M56" s="121">
        <f>'Calc2 BYR'!M41</f>
        <v>9.2598271413599539E-2</v>
      </c>
      <c r="N56" s="121">
        <f>'Calc2 BYR'!N41</f>
        <v>8.2700431666652405E-2</v>
      </c>
      <c r="O56" s="113"/>
      <c r="P56" s="113"/>
      <c r="Q56" s="113"/>
      <c r="R56" s="113"/>
      <c r="S56" s="113"/>
      <c r="T56" s="115"/>
      <c r="U56" s="122">
        <f>SUM(J56:N56)</f>
        <v>0.78058617937208663</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0.6445274365954119</v>
      </c>
      <c r="K57" s="121">
        <f>'Calc2 BYR'!K42</f>
        <v>0.88073638346065009</v>
      </c>
      <c r="L57" s="121">
        <f>'Calc2 BYR'!L42</f>
        <v>0.25261214944775973</v>
      </c>
      <c r="M57" s="121">
        <f>'Calc2 BYR'!M42</f>
        <v>0.15850819520877793</v>
      </c>
      <c r="N57" s="121">
        <f>'Calc2 BYR'!N42</f>
        <v>0.13707585241001502</v>
      </c>
      <c r="O57" s="113"/>
      <c r="P57" s="113"/>
      <c r="Q57" s="113"/>
      <c r="R57" s="113"/>
      <c r="S57" s="113"/>
      <c r="T57" s="115"/>
      <c r="U57" s="122">
        <f>SUM(J57:N57)</f>
        <v>2.0734600171226147</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8.6473466645289818</v>
      </c>
      <c r="K60" s="121">
        <f>'Calc2 BYR'!K57</f>
        <v>7.2539018892383531</v>
      </c>
      <c r="L60" s="121">
        <f>'Calc2 BYR'!L57</f>
        <v>10.910436967904552</v>
      </c>
      <c r="M60" s="121">
        <f>'Calc2 BYR'!M57</f>
        <v>6.1217237883971816</v>
      </c>
      <c r="N60" s="121">
        <f>'Calc2 BYR'!N57</f>
        <v>6.0064817953002594</v>
      </c>
      <c r="O60" s="113"/>
      <c r="P60" s="113"/>
      <c r="Q60" s="113"/>
      <c r="R60" s="113"/>
      <c r="S60" s="113"/>
      <c r="T60" s="115"/>
      <c r="U60" s="122">
        <f>SUM(J60:N60)</f>
        <v>38.939891105369327</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108.47822278011566</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-6.1452742745555497E-2</v>
      </c>
      <c r="K73" s="121">
        <f>'Calc2 BYR'!K127</f>
        <v>-5.1550167235621697E-2</v>
      </c>
      <c r="L73" s="121">
        <f>'Calc2 BYR'!L127</f>
        <v>-7.7535491780444096E-2</v>
      </c>
      <c r="M73" s="121">
        <f>'Calc2 BYR'!M127</f>
        <v>-4.3504294637667501E-2</v>
      </c>
      <c r="N73" s="121">
        <f>'Calc2 BYR'!N127</f>
        <v>-4.2685322433821497E-2</v>
      </c>
      <c r="O73" s="113"/>
      <c r="P73" s="113"/>
      <c r="Q73" s="113"/>
      <c r="R73" s="113"/>
      <c r="S73" s="113"/>
      <c r="T73" s="115"/>
      <c r="U73" s="122">
        <f>SUM(J73:N73)</f>
        <v>-0.27672801883311027</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PRT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9.3798700000000004</v>
      </c>
      <c r="K16" s="121">
        <f>'Calc2 BYR'!K55</f>
        <v>7.8890770000000003</v>
      </c>
      <c r="L16" s="121">
        <f>'Calc2 BYR'!L55</f>
        <v>11.816869999999998</v>
      </c>
      <c r="M16" s="121">
        <f>'Calc2 BYR'!M55</f>
        <v>6.1798700000000002</v>
      </c>
      <c r="N16" s="121">
        <f>'Calc2 BYR'!N55</f>
        <v>6.0988700000000007</v>
      </c>
      <c r="O16" s="113"/>
      <c r="P16" s="113"/>
      <c r="Q16" s="113"/>
      <c r="R16" s="113"/>
      <c r="S16" s="113"/>
      <c r="T16" s="115"/>
      <c r="U16" s="295">
        <f>SUM(J16:N16)</f>
        <v>41.364556999999998</v>
      </c>
    </row>
    <row r="17" spans="1:21" s="117" customFormat="1" ht="17.399999999999999">
      <c r="A17" s="110"/>
      <c r="B17" s="118" t="s">
        <v>131</v>
      </c>
      <c r="C17" s="119"/>
      <c r="D17" s="113"/>
      <c r="E17" s="124" t="str">
        <f>'Calc2 BYR'!E56</f>
        <v>Water: Baseline capex (gross of adjustments)</v>
      </c>
      <c r="F17" s="124"/>
      <c r="G17" s="113"/>
      <c r="H17" s="120"/>
      <c r="I17" s="120"/>
      <c r="J17" s="121">
        <f>'Calc2 BYR'!J56</f>
        <v>8.4678655382652899</v>
      </c>
      <c r="K17" s="121">
        <f>'Calc2 BYR'!K56</f>
        <v>7.1033425869002933</v>
      </c>
      <c r="L17" s="121">
        <f>'Calc2 BYR'!L56</f>
        <v>10.683983977062745</v>
      </c>
      <c r="M17" s="121">
        <f>'Calc2 BYR'!M56</f>
        <v>5.9946635556065004</v>
      </c>
      <c r="N17" s="121">
        <f>'Calc2 BYR'!N56</f>
        <v>5.8818134826576109</v>
      </c>
      <c r="O17" s="113"/>
      <c r="P17" s="113"/>
      <c r="Q17" s="113"/>
      <c r="R17" s="113"/>
      <c r="S17" s="113"/>
      <c r="T17" s="115"/>
      <c r="U17" s="295">
        <f t="shared" ref="U17:U18" si="0">SUM(J17:N17)</f>
        <v>38.131669140492441</v>
      </c>
    </row>
    <row r="18" spans="1:21" s="117" customFormat="1" ht="17.399999999999999">
      <c r="A18" s="110"/>
      <c r="B18" s="118" t="s">
        <v>132</v>
      </c>
      <c r="C18" s="119"/>
      <c r="D18" s="113"/>
      <c r="E18" s="124" t="str">
        <f>'Calc2 BYR'!E57</f>
        <v>Water: Allowance capex (gross of adjustments)</v>
      </c>
      <c r="F18" s="124"/>
      <c r="G18" s="113"/>
      <c r="H18" s="286"/>
      <c r="I18" s="120"/>
      <c r="J18" s="121">
        <f>'Calc2 BYR'!J57</f>
        <v>8.6473466645289818</v>
      </c>
      <c r="K18" s="121">
        <f>'Calc2 BYR'!K57</f>
        <v>7.2539018892383531</v>
      </c>
      <c r="L18" s="121">
        <f>'Calc2 BYR'!L57</f>
        <v>10.910436967904552</v>
      </c>
      <c r="M18" s="121">
        <f>'Calc2 BYR'!M57</f>
        <v>6.1217237883971816</v>
      </c>
      <c r="N18" s="121">
        <f>'Calc2 BYR'!N57</f>
        <v>6.0064817953002594</v>
      </c>
      <c r="O18" s="113"/>
      <c r="P18" s="113"/>
      <c r="Q18" s="113"/>
      <c r="R18" s="113"/>
      <c r="S18" s="113"/>
      <c r="T18" s="115"/>
      <c r="U18" s="295">
        <f t="shared" si="0"/>
        <v>38.939891105369327</v>
      </c>
    </row>
    <row r="19" spans="1:21" s="117" customFormat="1" ht="17.399999999999999">
      <c r="A19" s="110"/>
      <c r="B19" s="118" t="s">
        <v>133</v>
      </c>
      <c r="C19" s="119"/>
      <c r="D19" s="113"/>
      <c r="E19" s="124" t="str">
        <f>'Calc2 BYR'!E94</f>
        <v>Water: CIS bid ratio</v>
      </c>
      <c r="F19" s="124"/>
      <c r="G19" s="301">
        <f>'Calc2 BYR'!G94</f>
        <v>108.47822278011566</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-0.20936212802493101</v>
      </c>
      <c r="K21" s="121">
        <f>'Calc2 BYR'!K59</f>
        <v>-0.14255505363059001</v>
      </c>
      <c r="L21" s="121">
        <f>'Calc2 BYR'!L59</f>
        <v>-2.11466773172867E-2</v>
      </c>
      <c r="M21" s="121">
        <f>'Calc2 BYR'!M59</f>
        <v>-1.88054380428729E-2</v>
      </c>
      <c r="N21" s="121">
        <f>'Calc2 BYR'!N59</f>
        <v>-0.215022883017251</v>
      </c>
      <c r="O21" s="113"/>
      <c r="P21" s="113"/>
      <c r="Q21" s="113"/>
      <c r="R21" s="113"/>
      <c r="S21" s="113"/>
      <c r="T21" s="115"/>
      <c r="U21" s="295">
        <f t="shared" ref="U21:U22" si="1">SUM(J21:N21)</f>
        <v>-0.60689218003293155</v>
      </c>
    </row>
    <row r="22" spans="1:21" s="117" customFormat="1" ht="17.399999999999999">
      <c r="A22" s="110"/>
      <c r="B22" s="118" t="s">
        <v>135</v>
      </c>
      <c r="C22" s="119"/>
      <c r="D22" s="113"/>
      <c r="E22" s="113" t="str">
        <f>'Calc2 BYR'!E60</f>
        <v>Water: Adjustments to baseline capex</v>
      </c>
      <c r="F22" s="113"/>
      <c r="G22" s="113"/>
      <c r="H22" s="120"/>
      <c r="I22" s="120"/>
      <c r="J22" s="121">
        <f>'Calc2 BYR'!J60</f>
        <v>-0.20936212802493101</v>
      </c>
      <c r="K22" s="121">
        <f>'Calc2 BYR'!K60</f>
        <v>-0.14255505363059001</v>
      </c>
      <c r="L22" s="121">
        <f>'Calc2 BYR'!L60</f>
        <v>-2.11466773172867E-2</v>
      </c>
      <c r="M22" s="121">
        <f>'Calc2 BYR'!M60</f>
        <v>-1.88054380428729E-2</v>
      </c>
      <c r="N22" s="121">
        <f>'Calc2 BYR'!N60</f>
        <v>-0.215022883017251</v>
      </c>
      <c r="O22" s="113"/>
      <c r="P22" s="113"/>
      <c r="Q22" s="113"/>
      <c r="R22" s="113"/>
      <c r="S22" s="113"/>
      <c r="T22" s="115"/>
      <c r="U22" s="295">
        <f t="shared" si="1"/>
        <v>-0.60689218003293155</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9.1705078719750688</v>
      </c>
      <c r="K24" s="121">
        <f>'Calc2 BYR'!K62</f>
        <v>7.7465219463694099</v>
      </c>
      <c r="L24" s="121">
        <f>'Calc2 BYR'!L62</f>
        <v>11.795723322682711</v>
      </c>
      <c r="M24" s="121">
        <f>'Calc2 BYR'!M62</f>
        <v>6.1610645619571276</v>
      </c>
      <c r="N24" s="121">
        <f>'Calc2 BYR'!N62</f>
        <v>5.88384711698275</v>
      </c>
      <c r="O24" s="113"/>
      <c r="P24" s="113"/>
      <c r="Q24" s="113"/>
      <c r="R24" s="113"/>
      <c r="S24" s="113"/>
      <c r="T24" s="115"/>
      <c r="U24" s="295">
        <f t="shared" ref="U24:U26" si="2">SUM(J24:N24)</f>
        <v>40.757664819967069</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8.2585034102403583</v>
      </c>
      <c r="K25" s="121">
        <f>'Calc2 BYR'!K63</f>
        <v>6.9607875332697029</v>
      </c>
      <c r="L25" s="121">
        <f>'Calc2 BYR'!L63</f>
        <v>10.662837299745458</v>
      </c>
      <c r="M25" s="121">
        <f>'Calc2 BYR'!M63</f>
        <v>5.9758581175636278</v>
      </c>
      <c r="N25" s="121">
        <f>'Calc2 BYR'!N63</f>
        <v>5.6667905996403602</v>
      </c>
      <c r="O25" s="113"/>
      <c r="P25" s="113"/>
      <c r="Q25" s="113"/>
      <c r="R25" s="113"/>
      <c r="S25" s="113"/>
      <c r="T25" s="115"/>
      <c r="U25" s="295">
        <f t="shared" si="2"/>
        <v>37.524776960459505</v>
      </c>
    </row>
    <row r="26" spans="1:21" s="117" customFormat="1" ht="17.399999999999999">
      <c r="A26" s="110"/>
      <c r="B26" s="118" t="s">
        <v>138</v>
      </c>
      <c r="C26" s="119"/>
      <c r="D26" s="113"/>
      <c r="E26" s="113" t="str">
        <f>'Calc2 BYR'!E64</f>
        <v>Water: Allowance capex (net of adjustments)</v>
      </c>
      <c r="F26" s="113"/>
      <c r="G26" s="113"/>
      <c r="H26" s="120"/>
      <c r="I26" s="120"/>
      <c r="J26" s="121">
        <f>'Calc2 BYR'!J64</f>
        <v>8.4363779878880862</v>
      </c>
      <c r="K26" s="121">
        <f>'Calc2 BYR'!K64</f>
        <v>7.1107114457597858</v>
      </c>
      <c r="L26" s="121">
        <f>'Calc2 BYR'!L64</f>
        <v>10.892497274077716</v>
      </c>
      <c r="M26" s="121">
        <f>'Calc2 BYR'!M64</f>
        <v>6.1045682707163573</v>
      </c>
      <c r="N26" s="121">
        <f>'Calc2 BYR'!N64</f>
        <v>5.7888439468944499</v>
      </c>
      <c r="O26" s="113"/>
      <c r="P26" s="113"/>
      <c r="Q26" s="113"/>
      <c r="R26" s="113"/>
      <c r="S26" s="113"/>
      <c r="T26" s="115"/>
      <c r="U26" s="295">
        <f t="shared" si="2"/>
        <v>38.332998925336398</v>
      </c>
    </row>
    <row r="27" spans="1:21" s="117" customFormat="1" ht="17.399999999999999">
      <c r="A27" s="110"/>
      <c r="B27" s="118" t="s">
        <v>139</v>
      </c>
      <c r="C27" s="119"/>
      <c r="D27" s="113"/>
      <c r="E27" s="113" t="str">
        <f>'Calc2 BYR'!E106</f>
        <v>Water: Restated CIS bid ratio</v>
      </c>
      <c r="F27" s="113"/>
      <c r="G27" s="301">
        <f>'Calc2 BYR'!G106</f>
        <v>108.61534197235632</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8.1485078139869387</v>
      </c>
      <c r="K30" s="121">
        <f>'Calc2 BYR'!K79</f>
        <v>6.725580750121626</v>
      </c>
      <c r="L30" s="121">
        <f>'Calc2 BYR'!L79</f>
        <v>10.250410791824104</v>
      </c>
      <c r="M30" s="121">
        <f>'Calc2 BYR'!M79</f>
        <v>5.4297122563538798</v>
      </c>
      <c r="N30" s="121">
        <f>'Calc2 BYR'!N79</f>
        <v>5.2339566240727677</v>
      </c>
      <c r="O30" s="113"/>
      <c r="P30" s="113"/>
      <c r="Q30" s="113"/>
      <c r="R30" s="113"/>
      <c r="S30" s="113"/>
      <c r="T30" s="115"/>
      <c r="U30" s="295">
        <f t="shared" ref="U30:U33" si="3">SUM(J30:N30)</f>
        <v>35.788168236359319</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7.3381409742673283</v>
      </c>
      <c r="K31" s="121">
        <f>'Calc2 BYR'!K80</f>
        <v>6.0434010209428788</v>
      </c>
      <c r="L31" s="121">
        <f>'Calc2 BYR'!L80</f>
        <v>9.2659398274117528</v>
      </c>
      <c r="M31" s="121">
        <f>'Calc2 BYR'!M80</f>
        <v>5.2664908372360664</v>
      </c>
      <c r="N31" s="121">
        <f>'Calc2 BYR'!N80</f>
        <v>5.0408747213388736</v>
      </c>
      <c r="O31" s="113"/>
      <c r="P31" s="113"/>
      <c r="Q31" s="113"/>
      <c r="R31" s="113"/>
      <c r="S31" s="113"/>
      <c r="T31" s="115"/>
      <c r="U31" s="295">
        <f t="shared" si="3"/>
        <v>32.954847381196899</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7.4961924591040097</v>
      </c>
      <c r="K32" s="121">
        <f>'Calc2 BYR'!K81</f>
        <v>6.1735659371216549</v>
      </c>
      <c r="L32" s="121">
        <f>'Calc2 BYR'!L81</f>
        <v>9.4655129281828234</v>
      </c>
      <c r="M32" s="121">
        <f>'Calc2 BYR'!M81</f>
        <v>5.3799223861287402</v>
      </c>
      <c r="N32" s="121">
        <f>'Calc2 BYR'!N81</f>
        <v>5.1494468702492258</v>
      </c>
      <c r="O32" s="113"/>
      <c r="P32" s="113"/>
      <c r="Q32" s="113"/>
      <c r="R32" s="113"/>
      <c r="S32" s="113"/>
      <c r="T32" s="115"/>
      <c r="U32" s="295">
        <f t="shared" si="3"/>
        <v>33.664640580786454</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7.989988777274915</v>
      </c>
      <c r="K33" s="121">
        <f>'Calc2 BYR'!K82</f>
        <v>6.3357494118886288</v>
      </c>
      <c r="L33" s="121">
        <f>'Calc2 BYR'!L82</f>
        <v>12.232887810360705</v>
      </c>
      <c r="M33" s="121">
        <f>'Calc2 BYR'!M82</f>
        <v>7.6995515095339204</v>
      </c>
      <c r="N33" s="121">
        <f>'Calc2 BYR'!N82</f>
        <v>6.5698248051948065</v>
      </c>
      <c r="O33" s="113"/>
      <c r="P33" s="113"/>
      <c r="Q33" s="113"/>
      <c r="R33" s="113"/>
      <c r="S33" s="113"/>
      <c r="T33" s="115"/>
      <c r="U33" s="295">
        <f t="shared" si="3"/>
        <v>40.828002314252977</v>
      </c>
    </row>
    <row r="34" spans="1:21" s="117" customFormat="1" ht="17.399999999999999">
      <c r="A34" s="110"/>
      <c r="B34" s="118" t="s">
        <v>145</v>
      </c>
      <c r="C34" s="118"/>
      <c r="D34" s="113"/>
      <c r="E34" s="113" t="str">
        <f>'Calc2 BYR'!E116</f>
        <v>Water: CIS outturn ratio</v>
      </c>
      <c r="F34" s="113"/>
      <c r="G34" s="301">
        <f>'Calc2 BYR'!G116</f>
        <v>123.89073401550108</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-2.0795934064462864</v>
      </c>
    </row>
    <row r="38" spans="1:21" s="117" customFormat="1" ht="17.399999999999999">
      <c r="A38" s="110"/>
      <c r="B38" s="118" t="s">
        <v>152</v>
      </c>
      <c r="C38" s="119"/>
      <c r="D38" s="113"/>
      <c r="E38" s="113" t="str">
        <f>'Calc2 BYR'!E127</f>
        <v>Water: Additional income (applied at FD)</v>
      </c>
      <c r="F38" s="113"/>
      <c r="G38" s="113"/>
      <c r="H38" s="113"/>
      <c r="I38" s="113"/>
      <c r="J38" s="121">
        <f>'Calc2 BYR'!J127</f>
        <v>-6.1452742745555497E-2</v>
      </c>
      <c r="K38" s="121">
        <f>'Calc2 BYR'!K127</f>
        <v>-5.1550167235621697E-2</v>
      </c>
      <c r="L38" s="121">
        <f>'Calc2 BYR'!L127</f>
        <v>-7.7535491780444096E-2</v>
      </c>
      <c r="M38" s="121">
        <f>'Calc2 BYR'!M127</f>
        <v>-4.3504294637667501E-2</v>
      </c>
      <c r="N38" s="121">
        <f>'Calc2 BYR'!N127</f>
        <v>-4.2685322433821497E-2</v>
      </c>
      <c r="O38" s="113"/>
      <c r="P38" s="113"/>
      <c r="Q38" s="113"/>
      <c r="R38" s="113"/>
      <c r="S38" s="113"/>
      <c r="T38" s="115"/>
      <c r="U38" s="295">
        <f t="shared" ref="U38" si="4">SUM(J38:N38)</f>
        <v>-0.27672801883311027</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-1.8028653876131764</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PRT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2.6777024790632193</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-1.9001690785730909</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-2.2288707728810051</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4.7679950839727727</v>
      </c>
      <c r="G4" s="571"/>
      <c r="H4" s="571"/>
      <c r="I4" s="571"/>
      <c r="J4" s="571"/>
      <c r="K4" s="571"/>
      <c r="L4" s="571"/>
      <c r="M4" s="571"/>
      <c r="O4" s="552">
        <f>VLOOKUP($B4,'Calc2 FD'!$C$1:$P$216,14,FALSE)</f>
        <v>2.5687123592086492</v>
      </c>
      <c r="P4" s="571"/>
      <c r="Q4" s="571"/>
      <c r="R4" s="571"/>
      <c r="S4" s="571"/>
      <c r="T4" s="571"/>
      <c r="U4" s="571"/>
      <c r="V4" s="571"/>
      <c r="X4" s="690">
        <f>O4-F4</f>
        <v>-2.1992827247641236</v>
      </c>
      <c r="Y4" s="691"/>
      <c r="Z4" s="691"/>
      <c r="AA4" s="691"/>
      <c r="AB4" s="691"/>
      <c r="AC4" s="691"/>
      <c r="AD4" s="691"/>
      <c r="AE4" s="691"/>
      <c r="AG4" s="550" t="s">
        <v>711</v>
      </c>
      <c r="AH4" s="696">
        <f>VLOOKUP($AG4,'Calc2 BYR'!$C$1:$P$216,14,FALSE)</f>
        <v>2.6777024790632193</v>
      </c>
      <c r="AI4" s="571"/>
      <c r="AJ4" s="571"/>
      <c r="AK4" s="571"/>
      <c r="AL4" s="571"/>
      <c r="AM4" s="571"/>
      <c r="AN4" s="571"/>
      <c r="AO4" s="571"/>
      <c r="AQ4" s="690">
        <f>AH4-O4</f>
        <v>0.10899011985457019</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-0.46577760800297097</v>
      </c>
      <c r="H6" s="687">
        <f>VLOOKUP($B6,Profiling!$C$1:$V$159,17,FALSE)</f>
        <v>-0.46577760800297097</v>
      </c>
      <c r="I6" s="687">
        <f>VLOOKUP($B6,Profiling!$C$1:$V$159,18,FALSE)</f>
        <v>-0.46577760800297097</v>
      </c>
      <c r="J6" s="687">
        <f>VLOOKUP($B6,Profiling!$C$1:$V$159,19,FALSE)</f>
        <v>-0.46577760800297097</v>
      </c>
      <c r="K6" s="687">
        <f>VLOOKUP($B6,Profiling!$C$1:$V$159,20,FALSE)</f>
        <v>-0.46577760800297097</v>
      </c>
      <c r="L6" s="571"/>
      <c r="M6" s="571"/>
      <c r="O6" s="571"/>
      <c r="P6" s="633">
        <f>VLOOKUP($B6,'Profiling2 FD'!$C$1:$V$159,16,FALSE)</f>
        <v>-0.46577760800297097</v>
      </c>
      <c r="Q6" s="552">
        <f>VLOOKUP($B6,'Profiling2 FD'!$C$1:$V$159,17,FALSE)</f>
        <v>-0.46577760800297097</v>
      </c>
      <c r="R6" s="552">
        <f>VLOOKUP($B6,'Profiling2 FD'!$C$1:$V$159,18,FALSE)</f>
        <v>-0.46577760800297097</v>
      </c>
      <c r="S6" s="552">
        <f>VLOOKUP($B6,'Profiling2 FD'!$C$1:$V$159,19,FALSE)</f>
        <v>-0.46577760800297097</v>
      </c>
      <c r="T6" s="552">
        <f>VLOOKUP($B6,'Profiling2 FD'!$C$1:$V$159,20,FALSE)</f>
        <v>-0.46577760800297097</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-0.47927338686954896</v>
      </c>
      <c r="AJ6" s="696">
        <f>VLOOKUP($AG6,'Profiling2 BYR'!$C$1:$V$159,17,FALSE)</f>
        <v>-0.47927338686954896</v>
      </c>
      <c r="AK6" s="696">
        <f>VLOOKUP($AG6,'Profiling2 BYR'!$C$1:$V$159,18,FALSE)</f>
        <v>-0.47927338686954896</v>
      </c>
      <c r="AL6" s="696">
        <f>VLOOKUP($AG6,'Profiling2 BYR'!$C$1:$V$159,19,FALSE)</f>
        <v>-0.47927338686954896</v>
      </c>
      <c r="AM6" s="696">
        <f>VLOOKUP($AG6,'Profiling2 BYR'!$C$1:$V$159,20,FALSE)</f>
        <v>-0.47927338686954896</v>
      </c>
      <c r="AN6" s="571"/>
      <c r="AO6" s="571"/>
      <c r="AQ6" s="691"/>
      <c r="AR6" s="690">
        <f>AI6-P6</f>
        <v>-1.349577886657799E-2</v>
      </c>
      <c r="AS6" s="690">
        <f t="shared" ref="AS6:AS7" si="1">AJ6-Q6</f>
        <v>-1.349577886657799E-2</v>
      </c>
      <c r="AT6" s="690">
        <f t="shared" ref="AT6:AT7" si="2">AK6-R6</f>
        <v>-1.349577886657799E-2</v>
      </c>
      <c r="AU6" s="690">
        <f t="shared" ref="AU6:AU7" si="3">AL6-S6</f>
        <v>-1.349577886657799E-2</v>
      </c>
      <c r="AV6" s="690">
        <f t="shared" ref="AV6:AV7" si="4">AM6-T6</f>
        <v>-1.349577886657799E-2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3.7600000000000001E-2</v>
      </c>
      <c r="O8" s="568"/>
      <c r="P8" s="568"/>
      <c r="Q8" s="568"/>
      <c r="R8" s="568"/>
      <c r="S8" s="568"/>
      <c r="T8" s="568"/>
      <c r="U8" s="568"/>
      <c r="V8" s="653">
        <f>'Input FD'!O153</f>
        <v>3.7600000000000001E-2</v>
      </c>
      <c r="X8" s="693"/>
      <c r="Y8" s="693"/>
      <c r="Z8" s="693"/>
      <c r="AA8" s="693"/>
      <c r="AB8" s="693"/>
      <c r="AC8" s="693"/>
      <c r="AD8" s="693"/>
      <c r="AE8" s="694">
        <f>V8-M8</f>
        <v>0</v>
      </c>
      <c r="AG8" s="654" t="s">
        <v>715</v>
      </c>
      <c r="AH8" s="568"/>
      <c r="AI8" s="568"/>
      <c r="AJ8" s="568"/>
      <c r="AK8" s="568"/>
      <c r="AL8" s="568"/>
      <c r="AM8" s="568"/>
      <c r="AN8" s="568"/>
      <c r="AO8" s="697">
        <f>'Input BYR'!$O$153</f>
        <v>3.7600000000000001E-2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108.47822278011566</v>
      </c>
      <c r="M9" s="570"/>
      <c r="O9" s="570"/>
      <c r="P9" s="570"/>
      <c r="Q9" s="570"/>
      <c r="R9" s="570"/>
      <c r="S9" s="570"/>
      <c r="T9" s="570"/>
      <c r="U9" s="663">
        <f>VLOOKUP($B9,'Calc2 FD'!$C$1:$P$216,5,FALSE)</f>
        <v>108.47822278011566</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108.47822278011566</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108.566255976226</v>
      </c>
      <c r="M10" s="570"/>
      <c r="O10" s="570"/>
      <c r="P10" s="570"/>
      <c r="Q10" s="570"/>
      <c r="R10" s="570"/>
      <c r="S10" s="570"/>
      <c r="T10" s="570"/>
      <c r="U10" s="663">
        <f>VLOOKUP($B10,'Calc2 FD'!$C$1:$P$216,5,FALSE)</f>
        <v>108.566255976226</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108.61534197235632</v>
      </c>
      <c r="AO10" s="570"/>
      <c r="AQ10" s="695"/>
      <c r="AR10" s="695"/>
      <c r="AS10" s="695"/>
      <c r="AT10" s="695"/>
      <c r="AU10" s="695"/>
      <c r="AV10" s="695"/>
      <c r="AW10" s="690">
        <f t="shared" ref="AW10:AW29" si="6">AN10-U10</f>
        <v>4.9085996130315834E-2</v>
      </c>
      <c r="AX10" s="695"/>
    </row>
    <row r="11" spans="1:50">
      <c r="B11" s="654" t="s">
        <v>585</v>
      </c>
      <c r="C11" t="s">
        <v>304</v>
      </c>
      <c r="D11" s="547" t="s">
        <v>55</v>
      </c>
      <c r="E11" s="657" t="s">
        <v>505</v>
      </c>
      <c r="F11" s="570"/>
      <c r="G11" s="570"/>
      <c r="H11" s="570"/>
      <c r="I11" s="570"/>
      <c r="J11" s="570"/>
      <c r="K11" s="570"/>
      <c r="L11" s="689">
        <f>VLOOKUP($B11,Calc!$C$1:$P$216,5,FALSE)</f>
        <v>123.21097211888532</v>
      </c>
      <c r="M11" s="570"/>
      <c r="O11" s="570"/>
      <c r="P11" s="570"/>
      <c r="Q11" s="570"/>
      <c r="R11" s="570"/>
      <c r="S11" s="570"/>
      <c r="T11" s="570"/>
      <c r="U11" s="663">
        <f>VLOOKUP($B11,'Calc2 FD'!$C$1:$P$216,5,FALSE)</f>
        <v>123.21097211888532</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123.89073401550108</v>
      </c>
      <c r="AO11" s="570"/>
      <c r="AQ11" s="695"/>
      <c r="AR11" s="695"/>
      <c r="AS11" s="695"/>
      <c r="AT11" s="695"/>
      <c r="AU11" s="695"/>
      <c r="AV11" s="695"/>
      <c r="AW11" s="690">
        <f t="shared" si="6"/>
        <v>0.67976189661575859</v>
      </c>
      <c r="AX11" s="695"/>
    </row>
    <row r="12" spans="1:50">
      <c r="B12" s="654" t="s">
        <v>586</v>
      </c>
      <c r="C12" t="s">
        <v>83</v>
      </c>
      <c r="D12" s="547" t="s">
        <v>55</v>
      </c>
      <c r="E12" s="657" t="s">
        <v>505</v>
      </c>
      <c r="F12" s="570"/>
      <c r="G12" s="570"/>
      <c r="H12" s="570"/>
      <c r="I12" s="570"/>
      <c r="J12" s="570"/>
      <c r="K12" s="570"/>
      <c r="L12" s="689">
        <f>VLOOKUP($B12,Calc!$C$1:$P$216,5,FALSE)</f>
        <v>-6.1441097565196152</v>
      </c>
      <c r="M12" s="570"/>
      <c r="O12" s="570"/>
      <c r="P12" s="570"/>
      <c r="Q12" s="570"/>
      <c r="R12" s="570"/>
      <c r="S12" s="570"/>
      <c r="T12" s="570"/>
      <c r="U12" s="663">
        <f>VLOOKUP($B12,'Calc2 FD'!$C$1:$P$216,5,FALSE)</f>
        <v>-6.1441097565196152</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-6.3104325211739365</v>
      </c>
      <c r="AO12" s="570"/>
      <c r="AQ12" s="695"/>
      <c r="AR12" s="695"/>
      <c r="AS12" s="695"/>
      <c r="AT12" s="695"/>
      <c r="AU12" s="695"/>
      <c r="AV12" s="695"/>
      <c r="AW12" s="690">
        <f t="shared" si="6"/>
        <v>-0.16632276465432128</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5.592789087951914</v>
      </c>
      <c r="M17" s="566"/>
      <c r="O17" s="566"/>
      <c r="P17" s="566"/>
      <c r="Q17" s="566"/>
      <c r="R17" s="566"/>
      <c r="S17" s="566"/>
      <c r="T17" s="566"/>
      <c r="U17" s="552">
        <f>VLOOKUP($B17,'Calc2 FD'!$C$1:$P$216,14,FALSE)</f>
        <v>3.0130623458401593</v>
      </c>
      <c r="V17" s="566"/>
      <c r="X17" s="692"/>
      <c r="Y17" s="692"/>
      <c r="Z17" s="692"/>
      <c r="AA17" s="692"/>
      <c r="AB17" s="692"/>
      <c r="AC17" s="692"/>
      <c r="AD17" s="690">
        <f t="shared" si="5"/>
        <v>-2.5797267421117547</v>
      </c>
      <c r="AE17" s="692"/>
      <c r="AG17" s="22" t="s">
        <v>724</v>
      </c>
      <c r="AH17" s="566"/>
      <c r="AI17" s="566"/>
      <c r="AJ17" s="566"/>
      <c r="AK17" s="566"/>
      <c r="AL17" s="566"/>
      <c r="AM17" s="566"/>
      <c r="AN17" s="696">
        <f>VLOOKUP($AG17,'Calc2 BYR'!$C$1:$P$216,14,FALSE)</f>
        <v>3.1409061758529448</v>
      </c>
      <c r="AO17" s="566"/>
      <c r="AQ17" s="692"/>
      <c r="AR17" s="692"/>
      <c r="AS17" s="692"/>
      <c r="AT17" s="692"/>
      <c r="AU17" s="692"/>
      <c r="AV17" s="692"/>
      <c r="AW17" s="690">
        <f t="shared" si="6"/>
        <v>0.12784383001278554</v>
      </c>
      <c r="AX17" s="692"/>
    </row>
    <row r="18" spans="2:50">
      <c r="B18" s="22" t="s">
        <v>592</v>
      </c>
      <c r="C18" t="s">
        <v>323</v>
      </c>
      <c r="D18" s="547" t="s">
        <v>497</v>
      </c>
      <c r="E18" s="547" t="s">
        <v>505</v>
      </c>
      <c r="F18" s="566"/>
      <c r="G18" s="566"/>
      <c r="H18" s="566"/>
      <c r="I18" s="566"/>
      <c r="J18" s="566"/>
      <c r="K18" s="566"/>
      <c r="L18" s="687">
        <f>VLOOKUP($B18,Calc!$C$1:$P$216,14,FALSE)</f>
        <v>-2.3817680094966485</v>
      </c>
      <c r="M18" s="566"/>
      <c r="O18" s="566"/>
      <c r="P18" s="566"/>
      <c r="Q18" s="566"/>
      <c r="R18" s="566"/>
      <c r="S18" s="566"/>
      <c r="T18" s="566"/>
      <c r="U18" s="552">
        <f>VLOOKUP($B18,'Calc2 FD'!$C$1:$P$216,14,FALSE)</f>
        <v>-2.3817680094966485</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-2.4393329074615204</v>
      </c>
      <c r="AO18" s="566"/>
      <c r="AQ18" s="692"/>
      <c r="AR18" s="692"/>
      <c r="AS18" s="692"/>
      <c r="AT18" s="692"/>
      <c r="AU18" s="692"/>
      <c r="AV18" s="692"/>
      <c r="AW18" s="690">
        <f t="shared" si="6"/>
        <v>-5.7564897964871964E-2</v>
      </c>
      <c r="AX18" s="692"/>
    </row>
    <row r="19" spans="2:50">
      <c r="B19" s="22" t="s">
        <v>593</v>
      </c>
      <c r="C19" t="s">
        <v>72</v>
      </c>
      <c r="D19" s="547" t="s">
        <v>497</v>
      </c>
      <c r="E19" s="547" t="s">
        <v>505</v>
      </c>
      <c r="F19" s="566"/>
      <c r="G19" s="566"/>
      <c r="H19" s="566"/>
      <c r="I19" s="566"/>
      <c r="J19" s="566"/>
      <c r="K19" s="566"/>
      <c r="L19" s="687">
        <f>VLOOKUP($B19,Calc!$C$1:$P$216,14,FALSE)</f>
        <v>-0.32459795297666644</v>
      </c>
      <c r="M19" s="566"/>
      <c r="O19" s="566"/>
      <c r="P19" s="566"/>
      <c r="Q19" s="566"/>
      <c r="R19" s="566"/>
      <c r="S19" s="566"/>
      <c r="T19" s="566"/>
      <c r="U19" s="552">
        <f>VLOOKUP($B19,'Calc2 FD'!$C$1:$P$216,14,FALSE)</f>
        <v>-0.32459795297666644</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-0.32459795297666644</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-2.0571700565199817</v>
      </c>
      <c r="M20" s="566"/>
      <c r="O20" s="566"/>
      <c r="P20" s="566"/>
      <c r="Q20" s="566"/>
      <c r="R20" s="566"/>
      <c r="S20" s="566"/>
      <c r="T20" s="566"/>
      <c r="U20" s="552">
        <f>VLOOKUP($B20,'Calc2 FD'!$C$1:$P$216,14,FALSE)</f>
        <v>-2.0571700565199817</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-2.1147349544848546</v>
      </c>
      <c r="AO20" s="566"/>
      <c r="AQ20" s="692"/>
      <c r="AR20" s="692"/>
      <c r="AS20" s="692"/>
      <c r="AT20" s="692"/>
      <c r="AU20" s="692"/>
      <c r="AV20" s="692"/>
      <c r="AW20" s="690">
        <f t="shared" si="6"/>
        <v>-5.7564897964872852E-2</v>
      </c>
      <c r="AX20" s="692"/>
    </row>
    <row r="21" spans="2:50">
      <c r="B21" s="22" t="s">
        <v>595</v>
      </c>
      <c r="C21" t="s">
        <v>248</v>
      </c>
      <c r="D21" s="547" t="s">
        <v>497</v>
      </c>
      <c r="E21" s="547" t="s">
        <v>505</v>
      </c>
      <c r="F21" s="566"/>
      <c r="G21" s="566"/>
      <c r="H21" s="566"/>
      <c r="I21" s="566"/>
      <c r="J21" s="566"/>
      <c r="K21" s="566"/>
      <c r="L21" s="687">
        <f>VLOOKUP($B21,Calc!$C$1:$P$216,14,FALSE)</f>
        <v>0.15629339248573254</v>
      </c>
      <c r="M21" s="566"/>
      <c r="O21" s="566"/>
      <c r="P21" s="566"/>
      <c r="Q21" s="566"/>
      <c r="R21" s="566"/>
      <c r="S21" s="566"/>
      <c r="T21" s="566"/>
      <c r="U21" s="552">
        <f>VLOOKUP($B21,'Calc2 FD'!$C$1:$P$216,14,FALSE)</f>
        <v>0.15629339248573254</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0.15980909781108366</v>
      </c>
      <c r="AO21" s="566"/>
      <c r="AQ21" s="692"/>
      <c r="AR21" s="692"/>
      <c r="AS21" s="692"/>
      <c r="AT21" s="692"/>
      <c r="AU21" s="692"/>
      <c r="AV21" s="692"/>
      <c r="AW21" s="690">
        <f t="shared" si="6"/>
        <v>3.515705325351115E-3</v>
      </c>
      <c r="AX21" s="692"/>
    </row>
    <row r="22" spans="2:50">
      <c r="B22" s="22" t="s">
        <v>596</v>
      </c>
      <c r="C22" t="s">
        <v>606</v>
      </c>
      <c r="D22" s="547" t="s">
        <v>497</v>
      </c>
      <c r="E22" s="547" t="s">
        <v>505</v>
      </c>
      <c r="F22" s="566"/>
      <c r="G22" s="566"/>
      <c r="H22" s="566"/>
      <c r="I22" s="566"/>
      <c r="J22" s="566"/>
      <c r="K22" s="566"/>
      <c r="L22" s="687">
        <f>VLOOKUP($B22,Calc!$C$1:$P$216,14,FALSE)</f>
        <v>-1.9008766640342492</v>
      </c>
      <c r="M22" s="566"/>
      <c r="O22" s="566"/>
      <c r="P22" s="566"/>
      <c r="Q22" s="566"/>
      <c r="R22" s="566"/>
      <c r="S22" s="566"/>
      <c r="T22" s="566"/>
      <c r="U22" s="552">
        <f>VLOOKUP($B22,'Calc2 FD'!$C$1:$P$216,14,FALSE)</f>
        <v>-1.9008766640342492</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-1.9549258566737702</v>
      </c>
      <c r="AO22" s="566"/>
      <c r="AQ22" s="692"/>
      <c r="AR22" s="692"/>
      <c r="AS22" s="692"/>
      <c r="AT22" s="692"/>
      <c r="AU22" s="692"/>
      <c r="AV22" s="692"/>
      <c r="AW22" s="690">
        <f t="shared" si="6"/>
        <v>-5.4049192639521015E-2</v>
      </c>
      <c r="AX22" s="692"/>
    </row>
    <row r="23" spans="2:50">
      <c r="B23" s="22" t="s">
        <v>597</v>
      </c>
      <c r="C23" t="s">
        <v>610</v>
      </c>
      <c r="D23" s="547" t="s">
        <v>497</v>
      </c>
      <c r="E23" s="547" t="s">
        <v>505</v>
      </c>
      <c r="F23" s="566"/>
      <c r="G23" s="566"/>
      <c r="H23" s="566"/>
      <c r="I23" s="566"/>
      <c r="J23" s="566"/>
      <c r="K23" s="566"/>
      <c r="L23" s="687">
        <f>VLOOKUP($B23,Calc!$C$1:$P$216,14,FALSE)</f>
        <v>-2.1661083748487351</v>
      </c>
      <c r="M23" s="566"/>
      <c r="O23" s="566"/>
      <c r="P23" s="566"/>
      <c r="Q23" s="566"/>
      <c r="R23" s="566"/>
      <c r="S23" s="566"/>
      <c r="T23" s="566"/>
      <c r="U23" s="552">
        <f>VLOOKUP($B23,'Calc2 FD'!$C$1:$P$216,14,FALSE)</f>
        <v>-2.1661083748487351</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-2.2288707728810051</v>
      </c>
      <c r="AO23" s="566"/>
      <c r="AQ23" s="692"/>
      <c r="AR23" s="692"/>
      <c r="AS23" s="692"/>
      <c r="AT23" s="692"/>
      <c r="AU23" s="692"/>
      <c r="AV23" s="692"/>
      <c r="AW23" s="690">
        <f t="shared" si="6"/>
        <v>-6.2762398032270017E-2</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2.5687123592086492</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-0.46577760800297097</v>
      </c>
      <c r="H6" s="552">
        <f>VLOOKUP($B6,'Profiling2 FD'!$C$1:$V$159,17,FALSE)</f>
        <v>-0.46577760800297097</v>
      </c>
      <c r="I6" s="552">
        <f>VLOOKUP($B6,'Profiling2 FD'!$C$1:$V$159,18,FALSE)</f>
        <v>-0.46577760800297097</v>
      </c>
      <c r="J6" s="552">
        <f>VLOOKUP($B6,'Profiling2 FD'!$C$1:$V$159,19,FALSE)</f>
        <v>-0.46577760800297097</v>
      </c>
      <c r="K6" s="552">
        <f>VLOOKUP($B6,'Profiling2 FD'!$C$1:$V$159,20,FALSE)</f>
        <v>-0.46577760800297097</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3.7600000000000001E-2</v>
      </c>
    </row>
    <row r="9" spans="1:13">
      <c r="B9" s="654" t="s">
        <v>583</v>
      </c>
      <c r="C9" t="s">
        <v>175</v>
      </c>
      <c r="D9" s="547" t="s">
        <v>55</v>
      </c>
      <c r="E9" t="s">
        <v>742</v>
      </c>
      <c r="F9" s="570"/>
      <c r="G9" s="570"/>
      <c r="H9" s="570"/>
      <c r="I9" s="570"/>
      <c r="J9" s="570"/>
      <c r="K9" s="570"/>
      <c r="L9" s="663">
        <f>VLOOKUP($B9,'Calc2 FD'!$C$1:$P$216,5,FALSE)</f>
        <v>108.47822278011566</v>
      </c>
      <c r="M9" s="703"/>
    </row>
    <row r="10" spans="1:13">
      <c r="B10" s="654" t="s">
        <v>584</v>
      </c>
      <c r="C10" t="s">
        <v>312</v>
      </c>
      <c r="D10" s="547" t="s">
        <v>55</v>
      </c>
      <c r="E10" t="s">
        <v>742</v>
      </c>
      <c r="F10" s="570"/>
      <c r="G10" s="570"/>
      <c r="H10" s="570"/>
      <c r="I10" s="570"/>
      <c r="J10" s="570"/>
      <c r="K10" s="570"/>
      <c r="L10" s="663">
        <f>VLOOKUP($B10,'Calc2 FD'!$C$1:$P$216,5,FALSE)</f>
        <v>108.566255976226</v>
      </c>
      <c r="M10" s="703"/>
    </row>
    <row r="11" spans="1:13">
      <c r="B11" s="654" t="s">
        <v>585</v>
      </c>
      <c r="C11" t="s">
        <v>304</v>
      </c>
      <c r="D11" s="547" t="s">
        <v>55</v>
      </c>
      <c r="E11" t="s">
        <v>742</v>
      </c>
      <c r="F11" s="570"/>
      <c r="G11" s="570"/>
      <c r="H11" s="570"/>
      <c r="I11" s="570"/>
      <c r="J11" s="570"/>
      <c r="K11" s="570"/>
      <c r="L11" s="663">
        <f>VLOOKUP($B11,'Calc2 FD'!$C$1:$P$216,5,FALSE)</f>
        <v>123.21097211888532</v>
      </c>
      <c r="M11" s="703"/>
    </row>
    <row r="12" spans="1:13">
      <c r="B12" s="654" t="s">
        <v>586</v>
      </c>
      <c r="C12" t="s">
        <v>83</v>
      </c>
      <c r="D12" s="547" t="s">
        <v>55</v>
      </c>
      <c r="E12" t="s">
        <v>742</v>
      </c>
      <c r="F12" s="570"/>
      <c r="G12" s="570"/>
      <c r="H12" s="570"/>
      <c r="I12" s="570"/>
      <c r="J12" s="570"/>
      <c r="K12" s="570"/>
      <c r="L12" s="663">
        <f>VLOOKUP($B12,'Calc2 FD'!$C$1:$P$216,5,FALSE)</f>
        <v>-6.1441097565196152</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3.0130623458401593</v>
      </c>
      <c r="M17" s="686"/>
    </row>
    <row r="18" spans="1:13">
      <c r="B18" s="22" t="s">
        <v>592</v>
      </c>
      <c r="C18" t="s">
        <v>323</v>
      </c>
      <c r="D18" s="547" t="s">
        <v>497</v>
      </c>
      <c r="E18" t="s">
        <v>742</v>
      </c>
      <c r="F18" s="566"/>
      <c r="G18" s="566"/>
      <c r="H18" s="566"/>
      <c r="I18" s="566"/>
      <c r="J18" s="566"/>
      <c r="K18" s="566"/>
      <c r="L18" s="552">
        <f>VLOOKUP($B18,'Calc2 FD'!$C$1:$P$216,14,FALSE)</f>
        <v>-2.3817680094966485</v>
      </c>
      <c r="M18" s="686"/>
    </row>
    <row r="19" spans="1:13">
      <c r="B19" s="22" t="s">
        <v>593</v>
      </c>
      <c r="C19" t="s">
        <v>72</v>
      </c>
      <c r="D19" s="547" t="s">
        <v>497</v>
      </c>
      <c r="E19" t="s">
        <v>742</v>
      </c>
      <c r="F19" s="566"/>
      <c r="G19" s="566"/>
      <c r="H19" s="566"/>
      <c r="I19" s="566"/>
      <c r="J19" s="566"/>
      <c r="K19" s="566"/>
      <c r="L19" s="552">
        <f>VLOOKUP($B19,'Calc2 FD'!$C$1:$P$216,14,FALSE)</f>
        <v>-0.32459795297666644</v>
      </c>
      <c r="M19" s="686"/>
    </row>
    <row r="20" spans="1:13">
      <c r="B20" s="22" t="s">
        <v>594</v>
      </c>
      <c r="C20" t="s">
        <v>244</v>
      </c>
      <c r="D20" s="547" t="s">
        <v>497</v>
      </c>
      <c r="E20" t="s">
        <v>742</v>
      </c>
      <c r="F20" s="566"/>
      <c r="G20" s="566"/>
      <c r="H20" s="566"/>
      <c r="I20" s="566"/>
      <c r="J20" s="566"/>
      <c r="K20" s="566"/>
      <c r="L20" s="552">
        <f>VLOOKUP($B20,'Calc2 FD'!$C$1:$P$216,14,FALSE)</f>
        <v>-2.0571700565199817</v>
      </c>
      <c r="M20" s="686"/>
    </row>
    <row r="21" spans="1:13">
      <c r="B21" s="22" t="s">
        <v>595</v>
      </c>
      <c r="C21" t="s">
        <v>248</v>
      </c>
      <c r="D21" s="547" t="s">
        <v>497</v>
      </c>
      <c r="E21" t="s">
        <v>742</v>
      </c>
      <c r="F21" s="566"/>
      <c r="G21" s="566"/>
      <c r="H21" s="566"/>
      <c r="I21" s="566"/>
      <c r="J21" s="566"/>
      <c r="K21" s="566"/>
      <c r="L21" s="552">
        <f>VLOOKUP($B21,'Calc2 FD'!$C$1:$P$216,14,FALSE)</f>
        <v>0.15629339248573254</v>
      </c>
      <c r="M21" s="686"/>
    </row>
    <row r="22" spans="1:13">
      <c r="B22" s="22" t="s">
        <v>596</v>
      </c>
      <c r="C22" t="s">
        <v>606</v>
      </c>
      <c r="D22" s="547" t="s">
        <v>497</v>
      </c>
      <c r="E22" t="s">
        <v>742</v>
      </c>
      <c r="F22" s="566"/>
      <c r="G22" s="566"/>
      <c r="H22" s="566"/>
      <c r="I22" s="566"/>
      <c r="J22" s="566"/>
      <c r="K22" s="566"/>
      <c r="L22" s="552">
        <f>VLOOKUP($B22,'Calc2 FD'!$C$1:$P$216,14,FALSE)</f>
        <v>-1.9008766640342492</v>
      </c>
      <c r="M22" s="686"/>
    </row>
    <row r="23" spans="1:13">
      <c r="B23" s="22" t="s">
        <v>597</v>
      </c>
      <c r="C23" t="s">
        <v>610</v>
      </c>
      <c r="D23" s="547" t="s">
        <v>497</v>
      </c>
      <c r="E23" t="s">
        <v>742</v>
      </c>
      <c r="F23" s="566"/>
      <c r="G23" s="566"/>
      <c r="H23" s="566"/>
      <c r="I23" s="566"/>
      <c r="J23" s="566"/>
      <c r="K23" s="566"/>
      <c r="L23" s="552">
        <f>VLOOKUP($B23,'Calc2 FD'!$C$1:$P$216,14,FALSE)</f>
        <v>-2.1661083748487351</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2.6777024790632193</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-0.47927338686954896</v>
      </c>
      <c r="H33" s="552">
        <f>VLOOKUP($B33,'Profiling2 BYR'!$C$1:$V$159,17,FALSE)</f>
        <v>-0.47927338686954896</v>
      </c>
      <c r="I33" s="552">
        <f>VLOOKUP($B33,'Profiling2 BYR'!$C$1:$V$159,18,FALSE)</f>
        <v>-0.47927338686954896</v>
      </c>
      <c r="J33" s="552">
        <f>VLOOKUP($B33,'Profiling2 BYR'!$C$1:$V$159,19,FALSE)</f>
        <v>-0.47927338686954896</v>
      </c>
      <c r="K33" s="552">
        <f>VLOOKUP($B33,'Profiling2 BYR'!$C$1:$V$159,20,FALSE)</f>
        <v>-0.47927338686954896</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3.7600000000000001E-2</v>
      </c>
    </row>
    <row r="36" spans="1:13">
      <c r="B36" s="654" t="s">
        <v>716</v>
      </c>
      <c r="C36" t="s">
        <v>175</v>
      </c>
      <c r="D36" s="547" t="s">
        <v>55</v>
      </c>
      <c r="E36" t="s">
        <v>742</v>
      </c>
      <c r="F36" s="570"/>
      <c r="G36" s="570"/>
      <c r="H36" s="570"/>
      <c r="I36" s="570"/>
      <c r="J36" s="570"/>
      <c r="K36" s="570"/>
      <c r="L36" s="663">
        <f>VLOOKUP($B36,'Calc2 BYR'!$C$1:$P$216,5,FALSE)</f>
        <v>108.47822278011566</v>
      </c>
      <c r="M36" s="703"/>
    </row>
    <row r="37" spans="1:13">
      <c r="B37" s="654" t="s">
        <v>717</v>
      </c>
      <c r="C37" t="s">
        <v>312</v>
      </c>
      <c r="D37" s="547" t="s">
        <v>55</v>
      </c>
      <c r="E37" t="s">
        <v>742</v>
      </c>
      <c r="F37" s="570"/>
      <c r="G37" s="570"/>
      <c r="H37" s="570"/>
      <c r="I37" s="570"/>
      <c r="J37" s="570"/>
      <c r="K37" s="570"/>
      <c r="L37" s="663">
        <f>VLOOKUP($B37,'Calc2 BYR'!$C$1:$P$216,5,FALSE)</f>
        <v>108.61534197235632</v>
      </c>
      <c r="M37" s="703"/>
    </row>
    <row r="38" spans="1:13">
      <c r="B38" s="654" t="s">
        <v>718</v>
      </c>
      <c r="C38" t="s">
        <v>304</v>
      </c>
      <c r="D38" s="547" t="s">
        <v>55</v>
      </c>
      <c r="E38" t="s">
        <v>742</v>
      </c>
      <c r="F38" s="570"/>
      <c r="G38" s="570"/>
      <c r="H38" s="570"/>
      <c r="I38" s="570"/>
      <c r="J38" s="570"/>
      <c r="K38" s="570"/>
      <c r="L38" s="663">
        <f>VLOOKUP($B38,'Calc2 BYR'!$C$1:$P$216,5,FALSE)</f>
        <v>123.89073401550108</v>
      </c>
      <c r="M38" s="703"/>
    </row>
    <row r="39" spans="1:13">
      <c r="B39" s="654" t="s">
        <v>719</v>
      </c>
      <c r="C39" t="s">
        <v>83</v>
      </c>
      <c r="D39" s="547" t="s">
        <v>55</v>
      </c>
      <c r="E39" t="s">
        <v>742</v>
      </c>
      <c r="F39" s="570"/>
      <c r="G39" s="570"/>
      <c r="H39" s="570"/>
      <c r="I39" s="570"/>
      <c r="J39" s="570"/>
      <c r="K39" s="570"/>
      <c r="L39" s="663">
        <f>VLOOKUP($B39,'Calc2 BYR'!$C$1:$P$216,5,FALSE)</f>
        <v>-6.3104325211739365</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3.1409061758529448</v>
      </c>
      <c r="M44" s="686"/>
    </row>
    <row r="45" spans="1:13">
      <c r="B45" s="22" t="s">
        <v>725</v>
      </c>
      <c r="C45" t="s">
        <v>323</v>
      </c>
      <c r="D45" s="547" t="s">
        <v>497</v>
      </c>
      <c r="E45" t="s">
        <v>742</v>
      </c>
      <c r="F45" s="566"/>
      <c r="G45" s="566"/>
      <c r="H45" s="566"/>
      <c r="I45" s="566"/>
      <c r="J45" s="566"/>
      <c r="K45" s="566"/>
      <c r="L45" s="552">
        <f>VLOOKUP($B45,'Calc2 BYR'!$C$1:$P$216,14,FALSE)</f>
        <v>-2.4393329074615204</v>
      </c>
      <c r="M45" s="686"/>
    </row>
    <row r="46" spans="1:13">
      <c r="B46" s="22" t="s">
        <v>726</v>
      </c>
      <c r="C46" t="s">
        <v>72</v>
      </c>
      <c r="D46" s="547" t="s">
        <v>497</v>
      </c>
      <c r="E46" t="s">
        <v>742</v>
      </c>
      <c r="F46" s="566"/>
      <c r="G46" s="566"/>
      <c r="H46" s="566"/>
      <c r="I46" s="566"/>
      <c r="J46" s="566"/>
      <c r="K46" s="566"/>
      <c r="L46" s="552">
        <f>VLOOKUP($B46,'Calc2 BYR'!$C$1:$P$216,14,FALSE)</f>
        <v>-0.32459795297666644</v>
      </c>
      <c r="M46" s="686"/>
    </row>
    <row r="47" spans="1:13">
      <c r="B47" s="22" t="s">
        <v>727</v>
      </c>
      <c r="C47" t="s">
        <v>244</v>
      </c>
      <c r="D47" s="547" t="s">
        <v>497</v>
      </c>
      <c r="E47" t="s">
        <v>742</v>
      </c>
      <c r="F47" s="566"/>
      <c r="G47" s="566"/>
      <c r="H47" s="566"/>
      <c r="I47" s="566"/>
      <c r="J47" s="566"/>
      <c r="K47" s="566"/>
      <c r="L47" s="552">
        <f>VLOOKUP($B47,'Calc2 BYR'!$C$1:$P$216,14,FALSE)</f>
        <v>-2.1147349544848546</v>
      </c>
      <c r="M47" s="686"/>
    </row>
    <row r="48" spans="1:13">
      <c r="B48" s="22" t="s">
        <v>728</v>
      </c>
      <c r="C48" t="s">
        <v>248</v>
      </c>
      <c r="D48" s="547" t="s">
        <v>497</v>
      </c>
      <c r="E48" t="s">
        <v>742</v>
      </c>
      <c r="F48" s="566"/>
      <c r="G48" s="566"/>
      <c r="H48" s="566"/>
      <c r="I48" s="566"/>
      <c r="J48" s="566"/>
      <c r="K48" s="566"/>
      <c r="L48" s="552">
        <f>VLOOKUP($B48,'Calc2 BYR'!$C$1:$P$216,14,FALSE)</f>
        <v>0.15980909781108366</v>
      </c>
      <c r="M48" s="686"/>
    </row>
    <row r="49" spans="2:13">
      <c r="B49" s="22" t="s">
        <v>729</v>
      </c>
      <c r="C49" t="s">
        <v>606</v>
      </c>
      <c r="D49" s="547" t="s">
        <v>497</v>
      </c>
      <c r="E49" t="s">
        <v>742</v>
      </c>
      <c r="F49" s="566"/>
      <c r="G49" s="566"/>
      <c r="H49" s="566"/>
      <c r="I49" s="566"/>
      <c r="J49" s="566"/>
      <c r="K49" s="566"/>
      <c r="L49" s="552">
        <f>VLOOKUP($B49,'Calc2 BYR'!$C$1:$P$216,14,FALSE)</f>
        <v>-1.9549258566737702</v>
      </c>
      <c r="M49" s="686"/>
    </row>
    <row r="50" spans="2:13">
      <c r="B50" s="22" t="s">
        <v>730</v>
      </c>
      <c r="C50" t="s">
        <v>610</v>
      </c>
      <c r="D50" s="547" t="s">
        <v>497</v>
      </c>
      <c r="E50" t="s">
        <v>742</v>
      </c>
      <c r="F50" s="566"/>
      <c r="G50" s="566"/>
      <c r="H50" s="566"/>
      <c r="I50" s="566"/>
      <c r="J50" s="566"/>
      <c r="K50" s="566"/>
      <c r="L50" s="552">
        <f>VLOOKUP($B50,'Calc2 BYR'!$C$1:$P$216,14,FALSE)</f>
        <v>-2.2288707728810051</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811</v>
      </c>
    </row>
    <row r="4" spans="1:2">
      <c r="A4" t="s">
        <v>781</v>
      </c>
      <c r="B4" t="s">
        <v>782</v>
      </c>
    </row>
    <row r="5" spans="1:2">
      <c r="A5" t="s">
        <v>783</v>
      </c>
      <c r="B5" t="s">
        <v>784</v>
      </c>
    </row>
    <row r="6" spans="1:2">
      <c r="A6" t="s">
        <v>785</v>
      </c>
      <c r="B6" t="s">
        <v>786</v>
      </c>
    </row>
    <row r="7" spans="1:2">
      <c r="A7" t="s">
        <v>787</v>
      </c>
      <c r="B7" t="s">
        <v>788</v>
      </c>
    </row>
    <row r="8" spans="1:2">
      <c r="A8" t="s">
        <v>789</v>
      </c>
      <c r="B8" t="s">
        <v>786</v>
      </c>
    </row>
    <row r="9" spans="1:2">
      <c r="A9" t="s">
        <v>790</v>
      </c>
      <c r="B9" t="s">
        <v>788</v>
      </c>
    </row>
    <row r="10" spans="1:2">
      <c r="A10" t="s">
        <v>791</v>
      </c>
      <c r="B10" t="s">
        <v>792</v>
      </c>
    </row>
    <row r="11" spans="1:2">
      <c r="A11" t="s">
        <v>793</v>
      </c>
      <c r="B11" t="s">
        <v>794</v>
      </c>
    </row>
    <row r="12" spans="1:2">
      <c r="A12" t="s">
        <v>795</v>
      </c>
      <c r="B12" t="s">
        <v>796</v>
      </c>
    </row>
    <row r="13" spans="1:2">
      <c r="A13" t="s">
        <v>797</v>
      </c>
      <c r="B13" t="s">
        <v>798</v>
      </c>
    </row>
    <row r="14" spans="1:2">
      <c r="A14" t="s">
        <v>799</v>
      </c>
      <c r="B14" t="s">
        <v>800</v>
      </c>
    </row>
    <row r="15" spans="1:2">
      <c r="A15" t="s">
        <v>801</v>
      </c>
      <c r="B15" t="s">
        <v>802</v>
      </c>
    </row>
    <row r="16" spans="1:2">
      <c r="A16" t="s">
        <v>803</v>
      </c>
      <c r="B16" t="s">
        <v>804</v>
      </c>
    </row>
    <row r="17" spans="1:2">
      <c r="A17" t="s">
        <v>805</v>
      </c>
      <c r="B17" t="s">
        <v>802</v>
      </c>
    </row>
    <row r="18" spans="1:2">
      <c r="A18" t="s">
        <v>806</v>
      </c>
      <c r="B18" t="s">
        <v>802</v>
      </c>
    </row>
    <row r="19" spans="1:2">
      <c r="A19" t="s">
        <v>807</v>
      </c>
      <c r="B19" t="s">
        <v>808</v>
      </c>
    </row>
    <row r="20" spans="1:2">
      <c r="A20" t="s">
        <v>809</v>
      </c>
      <c r="B20" t="s">
        <v>810</v>
      </c>
    </row>
    <row r="21" spans="1:2">
      <c r="A21" t="s">
        <v>812</v>
      </c>
      <c r="B21" t="s">
        <v>820</v>
      </c>
    </row>
    <row r="22" spans="1:2">
      <c r="A22" t="s">
        <v>813</v>
      </c>
      <c r="B22" t="s">
        <v>798</v>
      </c>
    </row>
    <row r="23" spans="1:2">
      <c r="A23" t="s">
        <v>814</v>
      </c>
      <c r="B23" t="s">
        <v>821</v>
      </c>
    </row>
    <row r="24" spans="1:2">
      <c r="A24" t="s">
        <v>815</v>
      </c>
      <c r="B24" t="s">
        <v>822</v>
      </c>
    </row>
    <row r="25" spans="1:2">
      <c r="A25" t="s">
        <v>816</v>
      </c>
      <c r="B25" t="s">
        <v>804</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4.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4.9178699999999997</v>
      </c>
      <c r="J4" s="566">
        <v>5.2240770000000003</v>
      </c>
      <c r="K4" s="566">
        <v>4.9178699999999997</v>
      </c>
      <c r="L4" s="566">
        <v>4.9178699999999997</v>
      </c>
      <c r="M4" s="566">
        <v>4.9178699999999997</v>
      </c>
      <c r="N4" s="566"/>
      <c r="O4" s="566"/>
    </row>
    <row r="5" spans="1:15">
      <c r="A5" t="s">
        <v>818</v>
      </c>
      <c r="B5" t="s">
        <v>452</v>
      </c>
      <c r="C5" t="s">
        <v>178</v>
      </c>
      <c r="D5" t="s">
        <v>497</v>
      </c>
      <c r="E5" t="s">
        <v>742</v>
      </c>
      <c r="F5" s="566"/>
      <c r="G5" s="566"/>
      <c r="H5" s="566"/>
      <c r="I5" s="566">
        <v>3.363</v>
      </c>
      <c r="J5" s="566">
        <v>1.363</v>
      </c>
      <c r="K5" s="566">
        <v>6.4379999999999997</v>
      </c>
      <c r="L5" s="566">
        <v>1.44</v>
      </c>
      <c r="M5" s="566">
        <v>1.389</v>
      </c>
      <c r="N5" s="566"/>
      <c r="O5" s="566"/>
    </row>
    <row r="6" spans="1:15">
      <c r="A6" t="s">
        <v>818</v>
      </c>
      <c r="B6" t="s">
        <v>453</v>
      </c>
      <c r="C6" t="s">
        <v>123</v>
      </c>
      <c r="D6" t="s">
        <v>497</v>
      </c>
      <c r="E6" t="s">
        <v>742</v>
      </c>
      <c r="F6" s="566"/>
      <c r="G6" s="566"/>
      <c r="H6" s="566"/>
      <c r="I6" s="566">
        <v>0.53</v>
      </c>
      <c r="J6" s="566">
        <v>0.53</v>
      </c>
      <c r="K6" s="566">
        <v>0.53</v>
      </c>
      <c r="L6" s="566">
        <v>0.53</v>
      </c>
      <c r="M6" s="566">
        <v>0.53</v>
      </c>
      <c r="N6" s="566"/>
      <c r="O6" s="566"/>
    </row>
    <row r="7" spans="1:15">
      <c r="A7" t="s">
        <v>818</v>
      </c>
      <c r="B7" t="s">
        <v>454</v>
      </c>
      <c r="C7" t="s">
        <v>122</v>
      </c>
      <c r="D7" t="s">
        <v>497</v>
      </c>
      <c r="E7" t="s">
        <v>742</v>
      </c>
      <c r="F7" s="566"/>
      <c r="G7" s="566"/>
      <c r="H7" s="566"/>
      <c r="I7" s="566">
        <v>2.2229999999999999</v>
      </c>
      <c r="J7" s="566">
        <v>2.4260000000000002</v>
      </c>
      <c r="K7" s="566">
        <v>1.585</v>
      </c>
      <c r="L7" s="566">
        <v>0.94599999999999995</v>
      </c>
      <c r="M7" s="566">
        <v>0.91600000000000004</v>
      </c>
      <c r="N7" s="566"/>
      <c r="O7" s="566"/>
    </row>
    <row r="8" spans="1:15">
      <c r="A8" t="s">
        <v>818</v>
      </c>
      <c r="B8" t="s">
        <v>455</v>
      </c>
      <c r="C8" t="s">
        <v>190</v>
      </c>
      <c r="D8" t="s">
        <v>497</v>
      </c>
      <c r="E8" t="s">
        <v>742</v>
      </c>
      <c r="F8" s="566"/>
      <c r="G8" s="566"/>
      <c r="H8" s="566"/>
      <c r="I8" s="566">
        <v>1.6539999999999999</v>
      </c>
      <c r="J8" s="566">
        <v>1.6539999999999999</v>
      </c>
      <c r="K8" s="566">
        <v>1.6539999999999999</v>
      </c>
      <c r="L8" s="566">
        <v>1.6539999999999999</v>
      </c>
      <c r="M8" s="566">
        <v>1.6539999999999999</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4.7750000000000004</v>
      </c>
      <c r="G20" s="566">
        <v>4.9209310545511</v>
      </c>
      <c r="H20" s="566">
        <v>5.3049999999999997</v>
      </c>
      <c r="I20" s="566">
        <v>4.39597987914164</v>
      </c>
      <c r="J20" s="566">
        <v>4.6510130665451204</v>
      </c>
      <c r="K20" s="566">
        <v>4.36088237578657</v>
      </c>
      <c r="L20" s="566">
        <v>4.3434388462834201</v>
      </c>
      <c r="M20" s="566">
        <v>4.3260650908982896</v>
      </c>
      <c r="N20" s="566"/>
      <c r="O20" s="566"/>
    </row>
    <row r="21" spans="1:15">
      <c r="A21" t="s">
        <v>818</v>
      </c>
      <c r="B21" t="s">
        <v>529</v>
      </c>
      <c r="C21" t="s">
        <v>512</v>
      </c>
      <c r="D21" t="s">
        <v>497</v>
      </c>
      <c r="E21" t="s">
        <v>742</v>
      </c>
      <c r="F21" s="566">
        <v>1.345</v>
      </c>
      <c r="G21" s="566">
        <v>1.8704782338790999</v>
      </c>
      <c r="H21" s="566">
        <v>4.1440000000000001</v>
      </c>
      <c r="I21" s="566">
        <v>3.2235510857021099</v>
      </c>
      <c r="J21" s="566">
        <v>1.34033005536492</v>
      </c>
      <c r="K21" s="566">
        <v>5.9497362521654003</v>
      </c>
      <c r="L21" s="566">
        <v>1.4053301155664399</v>
      </c>
      <c r="M21" s="566">
        <v>1.34053370287739</v>
      </c>
      <c r="N21" s="566"/>
      <c r="O21" s="566"/>
    </row>
    <row r="22" spans="1:15">
      <c r="A22" t="s">
        <v>818</v>
      </c>
      <c r="B22" t="s">
        <v>1</v>
      </c>
      <c r="C22" t="s">
        <v>513</v>
      </c>
      <c r="D22" t="s">
        <v>497</v>
      </c>
      <c r="E22" t="s">
        <v>742</v>
      </c>
      <c r="F22" s="566">
        <v>0.50233688898019202</v>
      </c>
      <c r="G22" s="566">
        <v>2.2999880842954301</v>
      </c>
      <c r="H22" s="566">
        <v>1.5340823362401099</v>
      </c>
      <c r="I22" s="566">
        <v>0.21718470970666401</v>
      </c>
      <c r="J22" s="566">
        <v>0.24954331987061401</v>
      </c>
      <c r="K22" s="566">
        <v>0.12599632392409499</v>
      </c>
      <c r="L22" s="566">
        <v>9.0676335970493405E-2</v>
      </c>
      <c r="M22" s="566">
        <v>8.0983932121316701E-2</v>
      </c>
      <c r="N22" s="566"/>
      <c r="O22" s="566"/>
    </row>
    <row r="23" spans="1:15">
      <c r="A23" t="s">
        <v>818</v>
      </c>
      <c r="B23" t="s">
        <v>5</v>
      </c>
      <c r="C23" t="s">
        <v>514</v>
      </c>
      <c r="D23" t="s">
        <v>497</v>
      </c>
      <c r="E23" t="s">
        <v>742</v>
      </c>
      <c r="F23" s="566">
        <v>4.9626631110197996</v>
      </c>
      <c r="G23" s="566">
        <v>1.4856423184359899</v>
      </c>
      <c r="H23" s="566">
        <v>2.1309176637598801</v>
      </c>
      <c r="I23" s="566">
        <v>0.63114986371487602</v>
      </c>
      <c r="J23" s="566">
        <v>0.86245614511963997</v>
      </c>
      <c r="K23" s="566">
        <v>0.247369025186678</v>
      </c>
      <c r="L23" s="566">
        <v>0.15521825778614701</v>
      </c>
      <c r="M23" s="566">
        <v>0.13423075676061499</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108.478222780116</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-6.1452742745555497E-2</v>
      </c>
      <c r="J34" s="566">
        <v>-5.1550167235621697E-2</v>
      </c>
      <c r="K34" s="566">
        <v>-7.7535491780444096E-2</v>
      </c>
      <c r="L34" s="566">
        <v>-4.3504294637667501E-2</v>
      </c>
      <c r="M34" s="566">
        <v>-4.2685322433821497E-2</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110.35106313141</v>
      </c>
      <c r="G36" s="566">
        <v>108.864253583603</v>
      </c>
      <c r="H36" s="566">
        <v>105.30388013386499</v>
      </c>
      <c r="I36" s="566">
        <v>103.420016124234</v>
      </c>
      <c r="J36" s="566">
        <v>100.298401339497</v>
      </c>
      <c r="K36" s="566">
        <v>100.707164711616</v>
      </c>
      <c r="L36" s="566">
        <v>96.550351287214298</v>
      </c>
      <c r="M36" s="566">
        <v>92.441354482253999</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6.7599999999999993E-2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5.0140000000000002</v>
      </c>
      <c r="J40" s="566">
        <v>3.9129999999999998</v>
      </c>
      <c r="K40" s="566">
        <v>5.202</v>
      </c>
      <c r="L40" s="566">
        <v>5.415</v>
      </c>
      <c r="M40" s="566">
        <v>4.5</v>
      </c>
      <c r="N40" s="566"/>
      <c r="O40" s="566"/>
    </row>
    <row r="41" spans="1:15">
      <c r="A41" t="s">
        <v>818</v>
      </c>
      <c r="B41" t="s">
        <v>425</v>
      </c>
      <c r="C41" t="s">
        <v>65</v>
      </c>
      <c r="D41" t="s">
        <v>497</v>
      </c>
      <c r="E41" t="s">
        <v>742</v>
      </c>
      <c r="F41" s="566"/>
      <c r="G41" s="566"/>
      <c r="H41" s="566"/>
      <c r="I41" s="566">
        <v>2.177</v>
      </c>
      <c r="J41" s="566">
        <v>1.96</v>
      </c>
      <c r="K41" s="566">
        <v>7.29</v>
      </c>
      <c r="L41" s="566">
        <v>2.4089999999999998</v>
      </c>
      <c r="M41" s="566">
        <v>2.5350000000000001</v>
      </c>
      <c r="N41" s="566"/>
      <c r="O41" s="566"/>
    </row>
    <row r="42" spans="1:15">
      <c r="A42" t="s">
        <v>818</v>
      </c>
      <c r="B42" t="s">
        <v>426</v>
      </c>
      <c r="C42" t="s">
        <v>382</v>
      </c>
      <c r="D42" t="s">
        <v>497</v>
      </c>
      <c r="E42" t="s">
        <v>742</v>
      </c>
      <c r="F42" s="566"/>
      <c r="G42" s="566"/>
      <c r="H42" s="566"/>
      <c r="I42" s="566">
        <v>0.40600000000000003</v>
      </c>
      <c r="J42" s="566">
        <v>6.0000000000000001E-3</v>
      </c>
      <c r="K42" s="566">
        <v>2.1000000000000001E-2</v>
      </c>
      <c r="L42" s="566">
        <v>-8.0000000000000002E-3</v>
      </c>
      <c r="M42" s="566">
        <v>-4.0000000000000001E-3</v>
      </c>
      <c r="N42" s="566"/>
      <c r="O42" s="566"/>
    </row>
    <row r="43" spans="1:15">
      <c r="A43" t="s">
        <v>818</v>
      </c>
      <c r="B43" t="s">
        <v>427</v>
      </c>
      <c r="C43" t="s">
        <v>383</v>
      </c>
      <c r="D43" t="s">
        <v>497</v>
      </c>
      <c r="E43" t="s">
        <v>742</v>
      </c>
      <c r="F43" s="566"/>
      <c r="G43" s="566"/>
      <c r="H43" s="566"/>
      <c r="I43" s="566">
        <v>1.0780000000000001</v>
      </c>
      <c r="J43" s="566">
        <v>1.33</v>
      </c>
      <c r="K43" s="566">
        <v>1.8360000000000001</v>
      </c>
      <c r="L43" s="566">
        <v>1.476</v>
      </c>
      <c r="M43" s="566">
        <v>1.0529999999999999</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-0.20936212802493101</v>
      </c>
      <c r="J54" s="566">
        <v>-0.14255505363059001</v>
      </c>
      <c r="K54" s="566">
        <v>-2.11466773172867E-2</v>
      </c>
      <c r="L54" s="566">
        <v>-1.88054380428729E-2</v>
      </c>
      <c r="M54" s="566">
        <v>-0.215022883017251</v>
      </c>
      <c r="N54" s="566"/>
      <c r="O54" s="566"/>
    </row>
    <row r="55" spans="1:15">
      <c r="A55" t="s">
        <v>818</v>
      </c>
      <c r="B55" t="s">
        <v>477</v>
      </c>
      <c r="C55" t="s">
        <v>252</v>
      </c>
      <c r="D55" t="s">
        <v>497</v>
      </c>
      <c r="E55" t="s">
        <v>742</v>
      </c>
      <c r="F55" s="566"/>
      <c r="G55" s="566"/>
      <c r="H55" s="566">
        <v>0</v>
      </c>
      <c r="I55" s="566">
        <v>-0.20936212802493101</v>
      </c>
      <c r="J55" s="566">
        <v>-0.14255505363059001</v>
      </c>
      <c r="K55" s="566">
        <v>-2.11466773172867E-2</v>
      </c>
      <c r="L55" s="566">
        <v>-1.88054380428729E-2</v>
      </c>
      <c r="M55" s="566">
        <v>-0.215022883017251</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c r="M65" s="568">
        <v>0.03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3.7600000000000001E-2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4.9178699999999997</v>
      </c>
      <c r="J4" s="566">
        <v>5.2240770000000003</v>
      </c>
      <c r="K4" s="566">
        <v>4.9178699999999997</v>
      </c>
      <c r="L4" s="566">
        <v>4.9178699999999997</v>
      </c>
      <c r="M4" s="566">
        <v>4.9178699999999997</v>
      </c>
      <c r="N4" s="566"/>
      <c r="O4" s="566"/>
    </row>
    <row r="5" spans="1:15">
      <c r="B5" t="s">
        <v>452</v>
      </c>
      <c r="C5" t="s">
        <v>178</v>
      </c>
      <c r="D5" t="s">
        <v>497</v>
      </c>
      <c r="E5" t="s">
        <v>742</v>
      </c>
      <c r="F5" s="566"/>
      <c r="G5" s="566"/>
      <c r="H5" s="566"/>
      <c r="I5" s="566">
        <v>3.363</v>
      </c>
      <c r="J5" s="566">
        <v>1.363</v>
      </c>
      <c r="K5" s="566">
        <v>6.4379999999999997</v>
      </c>
      <c r="L5" s="566">
        <v>1.44</v>
      </c>
      <c r="M5" s="566">
        <v>1.389</v>
      </c>
      <c r="N5" s="566"/>
      <c r="O5" s="566"/>
    </row>
    <row r="6" spans="1:15">
      <c r="B6" t="s">
        <v>453</v>
      </c>
      <c r="C6" t="s">
        <v>123</v>
      </c>
      <c r="D6" t="s">
        <v>497</v>
      </c>
      <c r="E6" t="s">
        <v>742</v>
      </c>
      <c r="F6" s="566"/>
      <c r="G6" s="566"/>
      <c r="H6" s="566"/>
      <c r="I6" s="566">
        <v>0.53</v>
      </c>
      <c r="J6" s="566">
        <v>0.53</v>
      </c>
      <c r="K6" s="566">
        <v>0.53</v>
      </c>
      <c r="L6" s="566">
        <v>0.53</v>
      </c>
      <c r="M6" s="566">
        <v>0.53</v>
      </c>
      <c r="N6" s="566"/>
      <c r="O6" s="566"/>
    </row>
    <row r="7" spans="1:15">
      <c r="B7" t="s">
        <v>454</v>
      </c>
      <c r="C7" t="s">
        <v>122</v>
      </c>
      <c r="D7" t="s">
        <v>497</v>
      </c>
      <c r="E7" t="s">
        <v>742</v>
      </c>
      <c r="F7" s="566"/>
      <c r="G7" s="566"/>
      <c r="H7" s="566"/>
      <c r="I7" s="566">
        <v>2.2229999999999999</v>
      </c>
      <c r="J7" s="566">
        <v>2.4260000000000002</v>
      </c>
      <c r="K7" s="566">
        <v>1.585</v>
      </c>
      <c r="L7" s="566">
        <v>0.94599999999999995</v>
      </c>
      <c r="M7" s="566">
        <v>0.91600000000000004</v>
      </c>
      <c r="N7" s="566"/>
      <c r="O7" s="566"/>
    </row>
    <row r="8" spans="1:15">
      <c r="B8" t="s">
        <v>455</v>
      </c>
      <c r="C8" t="s">
        <v>190</v>
      </c>
      <c r="D8" t="s">
        <v>497</v>
      </c>
      <c r="E8" t="s">
        <v>742</v>
      </c>
      <c r="F8" s="566"/>
      <c r="G8" s="566"/>
      <c r="H8" s="566"/>
      <c r="I8" s="566">
        <v>1.6539999999999999</v>
      </c>
      <c r="J8" s="566">
        <v>1.6539999999999999</v>
      </c>
      <c r="K8" s="566">
        <v>1.6539999999999999</v>
      </c>
      <c r="L8" s="566">
        <v>1.6539999999999999</v>
      </c>
      <c r="M8" s="566">
        <v>1.6539999999999999</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4.7750000000000004</v>
      </c>
      <c r="G20" s="566">
        <v>4.9209310545511</v>
      </c>
      <c r="H20" s="566">
        <v>5.3049999999999997</v>
      </c>
      <c r="I20" s="566">
        <v>4.39597987914164</v>
      </c>
      <c r="J20" s="566">
        <v>4.6510130665451204</v>
      </c>
      <c r="K20" s="566">
        <v>4.36088237578657</v>
      </c>
      <c r="L20" s="566">
        <v>4.3434388462834201</v>
      </c>
      <c r="M20" s="566">
        <v>4.3260650908982896</v>
      </c>
      <c r="N20" s="566"/>
      <c r="O20" s="566"/>
    </row>
    <row r="21" spans="2:15">
      <c r="B21" t="s">
        <v>529</v>
      </c>
      <c r="C21" t="s">
        <v>512</v>
      </c>
      <c r="D21" t="s">
        <v>497</v>
      </c>
      <c r="E21" t="s">
        <v>742</v>
      </c>
      <c r="F21" s="566">
        <v>1.345</v>
      </c>
      <c r="G21" s="566">
        <v>1.8704782338790999</v>
      </c>
      <c r="H21" s="566">
        <v>4.1440000000000001</v>
      </c>
      <c r="I21" s="566">
        <v>3.2235510857021099</v>
      </c>
      <c r="J21" s="566">
        <v>1.34033005536492</v>
      </c>
      <c r="K21" s="566">
        <v>5.9497362521654003</v>
      </c>
      <c r="L21" s="566">
        <v>1.4053301155664399</v>
      </c>
      <c r="M21" s="566">
        <v>1.34053370287739</v>
      </c>
      <c r="N21" s="566"/>
      <c r="O21" s="566"/>
    </row>
    <row r="22" spans="2:15">
      <c r="B22" t="s">
        <v>1</v>
      </c>
      <c r="C22" t="s">
        <v>513</v>
      </c>
      <c r="D22" t="s">
        <v>497</v>
      </c>
      <c r="E22" t="s">
        <v>742</v>
      </c>
      <c r="F22" s="566">
        <v>0.50233688898019202</v>
      </c>
      <c r="G22" s="566">
        <v>2.2999880842954301</v>
      </c>
      <c r="H22" s="566">
        <v>1.5340823362401099</v>
      </c>
      <c r="I22" s="566">
        <v>0.21718470970666401</v>
      </c>
      <c r="J22" s="566">
        <v>0.24954331987061401</v>
      </c>
      <c r="K22" s="566">
        <v>0.12599632392409499</v>
      </c>
      <c r="L22" s="566">
        <v>9.0676335970493405E-2</v>
      </c>
      <c r="M22" s="566">
        <v>8.0983932121316701E-2</v>
      </c>
      <c r="N22" s="566"/>
      <c r="O22" s="566"/>
    </row>
    <row r="23" spans="2:15">
      <c r="B23" t="s">
        <v>5</v>
      </c>
      <c r="C23" t="s">
        <v>514</v>
      </c>
      <c r="D23" t="s">
        <v>497</v>
      </c>
      <c r="E23" t="s">
        <v>742</v>
      </c>
      <c r="F23" s="566">
        <v>4.9626631110197996</v>
      </c>
      <c r="G23" s="566">
        <v>1.4856423184359899</v>
      </c>
      <c r="H23" s="566">
        <v>2.1309176637598801</v>
      </c>
      <c r="I23" s="566">
        <v>0.63114986371487602</v>
      </c>
      <c r="J23" s="566">
        <v>0.86245614511963997</v>
      </c>
      <c r="K23" s="566">
        <v>0.247369025186678</v>
      </c>
      <c r="L23" s="566">
        <v>0.15521825778614701</v>
      </c>
      <c r="M23" s="566">
        <v>0.13423075676061499</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108.478222780116</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-6.1452742745555497E-2</v>
      </c>
      <c r="J34" s="566">
        <v>-5.1550167235621697E-2</v>
      </c>
      <c r="K34" s="566">
        <v>-7.7535491780444096E-2</v>
      </c>
      <c r="L34" s="566">
        <v>-4.3504294637667501E-2</v>
      </c>
      <c r="M34" s="566">
        <v>-4.2685322433821497E-2</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110.35106313141</v>
      </c>
      <c r="G36" s="566">
        <v>108.864253583603</v>
      </c>
      <c r="H36" s="566">
        <v>105.30388013386499</v>
      </c>
      <c r="I36" s="566">
        <v>103.420016124234</v>
      </c>
      <c r="J36" s="566">
        <v>100.298401339497</v>
      </c>
      <c r="K36" s="566">
        <v>100.707164711616</v>
      </c>
      <c r="L36" s="566">
        <v>96.550351287214298</v>
      </c>
      <c r="M36" s="566">
        <v>92.441354482253999</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6.7599999999999993E-2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5.0140000000000002</v>
      </c>
      <c r="J40" s="566">
        <v>3.9129999999999998</v>
      </c>
      <c r="K40" s="566">
        <v>5.202</v>
      </c>
      <c r="L40" s="566">
        <v>5.415</v>
      </c>
      <c r="M40" s="566">
        <v>4.4130000000000003</v>
      </c>
      <c r="N40" s="566"/>
      <c r="O40" s="566"/>
    </row>
    <row r="41" spans="2:15">
      <c r="B41" t="s">
        <v>425</v>
      </c>
      <c r="C41" t="s">
        <v>65</v>
      </c>
      <c r="D41" t="s">
        <v>497</v>
      </c>
      <c r="E41" t="s">
        <v>742</v>
      </c>
      <c r="F41" s="566"/>
      <c r="G41" s="566"/>
      <c r="H41" s="566"/>
      <c r="I41" s="566">
        <v>2.177</v>
      </c>
      <c r="J41" s="566">
        <v>1.96</v>
      </c>
      <c r="K41" s="566">
        <v>7.29</v>
      </c>
      <c r="L41" s="566">
        <v>2.4089999999999998</v>
      </c>
      <c r="M41" s="566">
        <v>2.7490000000000001</v>
      </c>
      <c r="N41" s="566"/>
      <c r="O41" s="566"/>
    </row>
    <row r="42" spans="2:15">
      <c r="B42" t="s">
        <v>426</v>
      </c>
      <c r="C42" t="s">
        <v>382</v>
      </c>
      <c r="D42" t="s">
        <v>497</v>
      </c>
      <c r="E42" t="s">
        <v>742</v>
      </c>
      <c r="F42" s="566"/>
      <c r="G42" s="566"/>
      <c r="H42" s="566"/>
      <c r="I42" s="566">
        <v>0.40600000000000003</v>
      </c>
      <c r="J42" s="566">
        <v>6.0000000000000001E-3</v>
      </c>
      <c r="K42" s="566">
        <v>2.1000000000000001E-2</v>
      </c>
      <c r="L42" s="566">
        <v>-8.0000000000000002E-3</v>
      </c>
      <c r="M42" s="566">
        <v>-0.42099999999999999</v>
      </c>
      <c r="N42" s="566"/>
      <c r="O42" s="566"/>
    </row>
    <row r="43" spans="2:15">
      <c r="B43" t="s">
        <v>427</v>
      </c>
      <c r="C43" t="s">
        <v>383</v>
      </c>
      <c r="D43" t="s">
        <v>497</v>
      </c>
      <c r="E43" t="s">
        <v>742</v>
      </c>
      <c r="F43" s="566"/>
      <c r="G43" s="566"/>
      <c r="H43" s="566"/>
      <c r="I43" s="566">
        <v>1.0780000000000001</v>
      </c>
      <c r="J43" s="566">
        <v>1.33</v>
      </c>
      <c r="K43" s="566">
        <v>1.8360000000000001</v>
      </c>
      <c r="L43" s="566">
        <v>1.476</v>
      </c>
      <c r="M43" s="566">
        <v>1.29</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-0.20936212802493101</v>
      </c>
      <c r="J54" s="566">
        <v>-0.14255505363059001</v>
      </c>
      <c r="K54" s="566">
        <v>-2.11466773172867E-2</v>
      </c>
      <c r="L54" s="566">
        <v>-1.88054380428729E-2</v>
      </c>
      <c r="M54" s="566">
        <v>0</v>
      </c>
      <c r="N54" s="566"/>
      <c r="O54" s="566"/>
    </row>
    <row r="55" spans="2:15">
      <c r="B55" t="s">
        <v>477</v>
      </c>
      <c r="C55" t="s">
        <v>252</v>
      </c>
      <c r="D55" t="s">
        <v>497</v>
      </c>
      <c r="E55" t="s">
        <v>742</v>
      </c>
      <c r="F55" s="566"/>
      <c r="G55" s="566"/>
      <c r="H55" s="566">
        <v>0</v>
      </c>
      <c r="I55" s="566">
        <v>-0.20936212802493101</v>
      </c>
      <c r="J55" s="566">
        <v>-0.14255505363059001</v>
      </c>
      <c r="K55" s="566">
        <v>-2.11466773172867E-2</v>
      </c>
      <c r="L55" s="566">
        <v>-1.88054380428729E-2</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259.28533333333303</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113.575</v>
      </c>
      <c r="L64" s="569">
        <v>117.7</v>
      </c>
      <c r="M64" s="569">
        <v>121.23099999999999</v>
      </c>
      <c r="N64" s="569"/>
      <c r="O64" s="569"/>
    </row>
    <row r="65" spans="2:15">
      <c r="B65" t="s">
        <v>534</v>
      </c>
      <c r="C65" t="s">
        <v>559</v>
      </c>
      <c r="D65" t="s">
        <v>522</v>
      </c>
      <c r="E65" t="s">
        <v>742</v>
      </c>
      <c r="F65" s="568"/>
      <c r="G65" s="568"/>
      <c r="H65" s="568"/>
      <c r="I65" s="568"/>
      <c r="J65" s="568"/>
      <c r="K65" s="568"/>
      <c r="L65" s="568"/>
      <c r="M65" s="568">
        <v>0.03</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3.7600000000000001E-2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4.9178699999999997</v>
      </c>
      <c r="K10" s="221">
        <f>INDEX('F_Inputs FD'!$B$4:$O$90,MATCH($C10,'F_Inputs FD'!$B$4:$B$90,0),MATCH(K$2,'F_Inputs FD'!$B$2:$N$2,0))</f>
        <v>5.2240770000000003</v>
      </c>
      <c r="L10" s="221">
        <f>INDEX('F_Inputs FD'!$B$4:$O$90,MATCH($C10,'F_Inputs FD'!$B$4:$B$90,0),MATCH(L$2,'F_Inputs FD'!$B$2:$N$2,0))</f>
        <v>4.9178699999999997</v>
      </c>
      <c r="M10" s="221">
        <f>INDEX('F_Inputs FD'!$B$4:$O$90,MATCH($C10,'F_Inputs FD'!$B$4:$B$90,0),MATCH(M$2,'F_Inputs FD'!$B$2:$N$2,0))</f>
        <v>4.9178699999999997</v>
      </c>
      <c r="N10" s="395">
        <f>INDEX('F_Inputs FD'!$B$4:$O$90,MATCH($C10,'F_Inputs FD'!$B$4:$B$90,0),MATCH(N$2,'F_Inputs FD'!$B$2:$N$2,0))</f>
        <v>4.9178699999999997</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3.363</v>
      </c>
      <c r="K11" s="221">
        <f>INDEX('F_Inputs FD'!$B$4:$O$90,MATCH($C11,'F_Inputs FD'!$B$4:$B$90,0),MATCH(K$2,'F_Inputs FD'!$B$2:$N$2,0))</f>
        <v>1.363</v>
      </c>
      <c r="L11" s="221">
        <f>INDEX('F_Inputs FD'!$B$4:$O$90,MATCH($C11,'F_Inputs FD'!$B$4:$B$90,0),MATCH(L$2,'F_Inputs FD'!$B$2:$N$2,0))</f>
        <v>6.4379999999999997</v>
      </c>
      <c r="M11" s="221">
        <f>INDEX('F_Inputs FD'!$B$4:$O$90,MATCH($C11,'F_Inputs FD'!$B$4:$B$90,0),MATCH(M$2,'F_Inputs FD'!$B$2:$N$2,0))</f>
        <v>1.44</v>
      </c>
      <c r="N11" s="395">
        <f>INDEX('F_Inputs FD'!$B$4:$O$90,MATCH($C11,'F_Inputs FD'!$B$4:$B$90,0),MATCH(N$2,'F_Inputs FD'!$B$2:$N$2,0))</f>
        <v>1.389</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0.53</v>
      </c>
      <c r="K12" s="221">
        <f>INDEX('F_Inputs FD'!$B$4:$O$90,MATCH($C12,'F_Inputs FD'!$B$4:$B$90,0),MATCH(K$2,'F_Inputs FD'!$B$2:$N$2,0))</f>
        <v>0.53</v>
      </c>
      <c r="L12" s="221">
        <f>INDEX('F_Inputs FD'!$B$4:$O$90,MATCH($C12,'F_Inputs FD'!$B$4:$B$90,0),MATCH(L$2,'F_Inputs FD'!$B$2:$N$2,0))</f>
        <v>0.53</v>
      </c>
      <c r="M12" s="221">
        <f>INDEX('F_Inputs FD'!$B$4:$O$90,MATCH($C12,'F_Inputs FD'!$B$4:$B$90,0),MATCH(M$2,'F_Inputs FD'!$B$2:$N$2,0))</f>
        <v>0.53</v>
      </c>
      <c r="N12" s="395">
        <f>INDEX('F_Inputs FD'!$B$4:$O$90,MATCH($C12,'F_Inputs FD'!$B$4:$B$90,0),MATCH(N$2,'F_Inputs FD'!$B$2:$N$2,0))</f>
        <v>0.53</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2.2229999999999999</v>
      </c>
      <c r="K13" s="221">
        <f>INDEX('F_Inputs FD'!$B$4:$O$90,MATCH($C13,'F_Inputs FD'!$B$4:$B$90,0),MATCH(K$2,'F_Inputs FD'!$B$2:$N$2,0))</f>
        <v>2.4260000000000002</v>
      </c>
      <c r="L13" s="221">
        <f>INDEX('F_Inputs FD'!$B$4:$O$90,MATCH($C13,'F_Inputs FD'!$B$4:$B$90,0),MATCH(L$2,'F_Inputs FD'!$B$2:$N$2,0))</f>
        <v>1.585</v>
      </c>
      <c r="M13" s="221">
        <f>INDEX('F_Inputs FD'!$B$4:$O$90,MATCH($C13,'F_Inputs FD'!$B$4:$B$90,0),MATCH(M$2,'F_Inputs FD'!$B$2:$N$2,0))</f>
        <v>0.94599999999999995</v>
      </c>
      <c r="N13" s="395">
        <f>INDEX('F_Inputs FD'!$B$4:$O$90,MATCH($C13,'F_Inputs FD'!$B$4:$B$90,0),MATCH(N$2,'F_Inputs FD'!$B$2:$N$2,0))</f>
        <v>0.91600000000000004</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1.6539999999999999</v>
      </c>
      <c r="K14" s="221">
        <f>INDEX('F_Inputs FD'!$B$4:$O$90,MATCH($C14,'F_Inputs FD'!$B$4:$B$90,0),MATCH(K$2,'F_Inputs FD'!$B$2:$N$2,0))</f>
        <v>1.6539999999999999</v>
      </c>
      <c r="L14" s="221">
        <f>INDEX('F_Inputs FD'!$B$4:$O$90,MATCH($C14,'F_Inputs FD'!$B$4:$B$90,0),MATCH(L$2,'F_Inputs FD'!$B$2:$N$2,0))</f>
        <v>1.6539999999999999</v>
      </c>
      <c r="M14" s="221">
        <f>INDEX('F_Inputs FD'!$B$4:$O$90,MATCH($C14,'F_Inputs FD'!$B$4:$B$90,0),MATCH(M$2,'F_Inputs FD'!$B$2:$N$2,0))</f>
        <v>1.6539999999999999</v>
      </c>
      <c r="N14" s="395">
        <f>INDEX('F_Inputs FD'!$B$4:$O$90,MATCH($C14,'F_Inputs FD'!$B$4:$B$90,0),MATCH(N$2,'F_Inputs FD'!$B$2:$N$2,0))</f>
        <v>1.6539999999999999</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4.39597987914164</v>
      </c>
      <c r="K30" s="221">
        <f>INDEX('F_Inputs FD'!$B$4:$O$90,MATCH($C30,'F_Inputs FD'!$B$4:$B$90,0),MATCH(K$2,'F_Inputs FD'!$B$2:$N$2,0))</f>
        <v>4.6510130665451204</v>
      </c>
      <c r="L30" s="221">
        <f>INDEX('F_Inputs FD'!$B$4:$O$90,MATCH($C30,'F_Inputs FD'!$B$4:$B$90,0),MATCH(L$2,'F_Inputs FD'!$B$2:$N$2,0))</f>
        <v>4.36088237578657</v>
      </c>
      <c r="M30" s="221">
        <f>INDEX('F_Inputs FD'!$B$4:$O$90,MATCH($C30,'F_Inputs FD'!$B$4:$B$90,0),MATCH(M$2,'F_Inputs FD'!$B$2:$N$2,0))</f>
        <v>4.3434388462834201</v>
      </c>
      <c r="N30" s="395">
        <f>INDEX('F_Inputs FD'!$B$4:$O$90,MATCH($C30,'F_Inputs FD'!$B$4:$B$90,0),MATCH(N$2,'F_Inputs FD'!$B$2:$N$2,0))</f>
        <v>4.3260650908982896</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3.2235510857021099</v>
      </c>
      <c r="K31" s="221">
        <f>INDEX('F_Inputs FD'!$B$4:$O$90,MATCH($C31,'F_Inputs FD'!$B$4:$B$90,0),MATCH(K$2,'F_Inputs FD'!$B$2:$N$2,0))</f>
        <v>1.34033005536492</v>
      </c>
      <c r="L31" s="221">
        <f>INDEX('F_Inputs FD'!$B$4:$O$90,MATCH($C31,'F_Inputs FD'!$B$4:$B$90,0),MATCH(L$2,'F_Inputs FD'!$B$2:$N$2,0))</f>
        <v>5.9497362521654003</v>
      </c>
      <c r="M31" s="221">
        <f>INDEX('F_Inputs FD'!$B$4:$O$90,MATCH($C31,'F_Inputs FD'!$B$4:$B$90,0),MATCH(M$2,'F_Inputs FD'!$B$2:$N$2,0))</f>
        <v>1.4053301155664399</v>
      </c>
      <c r="N31" s="395">
        <f>INDEX('F_Inputs FD'!$B$4:$O$90,MATCH($C31,'F_Inputs FD'!$B$4:$B$90,0),MATCH(N$2,'F_Inputs FD'!$B$2:$N$2,0))</f>
        <v>1.34053370287739</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0.21718470970666401</v>
      </c>
      <c r="K32" s="221">
        <f>INDEX('F_Inputs FD'!$B$4:$O$90,MATCH($C32,'F_Inputs FD'!$B$4:$B$90,0),MATCH(K$2,'F_Inputs FD'!$B$2:$N$2,0))</f>
        <v>0.24954331987061401</v>
      </c>
      <c r="L32" s="221">
        <f>INDEX('F_Inputs FD'!$B$4:$O$90,MATCH($C32,'F_Inputs FD'!$B$4:$B$90,0),MATCH(L$2,'F_Inputs FD'!$B$2:$N$2,0))</f>
        <v>0.12599632392409499</v>
      </c>
      <c r="M32" s="221">
        <f>INDEX('F_Inputs FD'!$B$4:$O$90,MATCH($C32,'F_Inputs FD'!$B$4:$B$90,0),MATCH(M$2,'F_Inputs FD'!$B$2:$N$2,0))</f>
        <v>9.0676335970493405E-2</v>
      </c>
      <c r="N32" s="395">
        <f>INDEX('F_Inputs FD'!$B$4:$O$90,MATCH($C32,'F_Inputs FD'!$B$4:$B$90,0),MATCH(N$2,'F_Inputs FD'!$B$2:$N$2,0))</f>
        <v>8.0983932121316701E-2</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0.63114986371487602</v>
      </c>
      <c r="K33" s="221">
        <f>INDEX('F_Inputs FD'!$B$4:$O$90,MATCH($C33,'F_Inputs FD'!$B$4:$B$90,0),MATCH(K$2,'F_Inputs FD'!$B$2:$N$2,0))</f>
        <v>0.86245614511963997</v>
      </c>
      <c r="L33" s="221">
        <f>INDEX('F_Inputs FD'!$B$4:$O$90,MATCH($C33,'F_Inputs FD'!$B$4:$B$90,0),MATCH(L$2,'F_Inputs FD'!$B$2:$N$2,0))</f>
        <v>0.247369025186678</v>
      </c>
      <c r="M33" s="221">
        <f>INDEX('F_Inputs FD'!$B$4:$O$90,MATCH($C33,'F_Inputs FD'!$B$4:$B$90,0),MATCH(M$2,'F_Inputs FD'!$B$2:$N$2,0))</f>
        <v>0.15521825778614701</v>
      </c>
      <c r="N33" s="395">
        <f>INDEX('F_Inputs FD'!$B$4:$O$90,MATCH($C33,'F_Inputs FD'!$B$4:$B$90,0),MATCH(N$2,'F_Inputs FD'!$B$2:$N$2,0))</f>
        <v>0.13423075676061499</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-6.1452742745555497E-2</v>
      </c>
      <c r="K49" s="221">
        <f>IF(INDEX('F_Inputs FD'!$B$4:$O$90,MATCH($C49,'F_Inputs FD'!$B$4:$B$90,0),MATCH(K$2,'F_Inputs FD'!$B$2:$N$2,0))="","",INDEX('F_Inputs FD'!$B$4:$O$90,MATCH($C49,'F_Inputs FD'!$B$4:$B$90,0),MATCH(K$2,'F_Inputs FD'!$B$2:$N$2,0)))</f>
        <v>-5.1550167235621697E-2</v>
      </c>
      <c r="L49" s="221">
        <f>IF(INDEX('F_Inputs FD'!$B$4:$O$90,MATCH($C49,'F_Inputs FD'!$B$4:$B$90,0),MATCH(L$2,'F_Inputs FD'!$B$2:$N$2,0))="","",INDEX('F_Inputs FD'!$B$4:$O$90,MATCH($C49,'F_Inputs FD'!$B$4:$B$90,0),MATCH(L$2,'F_Inputs FD'!$B$2:$N$2,0)))</f>
        <v>-7.7535491780444096E-2</v>
      </c>
      <c r="M49" s="221">
        <f>IF(INDEX('F_Inputs FD'!$B$4:$O$90,MATCH($C49,'F_Inputs FD'!$B$4:$B$90,0),MATCH(M$2,'F_Inputs FD'!$B$2:$N$2,0))="","",INDEX('F_Inputs FD'!$B$4:$O$90,MATCH($C49,'F_Inputs FD'!$B$4:$B$90,0),MATCH(M$2,'F_Inputs FD'!$B$2:$N$2,0)))</f>
        <v>-4.3504294637667501E-2</v>
      </c>
      <c r="N49" s="395">
        <f>IF(INDEX('F_Inputs FD'!$B$4:$O$90,MATCH($C49,'F_Inputs FD'!$B$4:$B$90,0),MATCH(N$2,'F_Inputs FD'!$B$2:$N$2,0))="","",INDEX('F_Inputs FD'!$B$4:$O$90,MATCH($C49,'F_Inputs FD'!$B$4:$B$90,0),MATCH(N$2,'F_Inputs FD'!$B$2:$N$2,0)))</f>
        <v>-4.2685322433821497E-2</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105.30388013386499</v>
      </c>
      <c r="J54" s="221">
        <f>INDEX('F_Inputs FD'!$B$4:$O$90,MATCH($C54,'F_Inputs FD'!$B$4:$B$90,0),MATCH(J$2,'F_Inputs FD'!$B$2:$N$2,0))</f>
        <v>103.420016124234</v>
      </c>
      <c r="K54" s="221">
        <f>INDEX('F_Inputs FD'!$B$4:$O$90,MATCH($C54,'F_Inputs FD'!$B$4:$B$90,0),MATCH(K$2,'F_Inputs FD'!$B$2:$N$2,0))</f>
        <v>100.298401339497</v>
      </c>
      <c r="L54" s="221">
        <f>INDEX('F_Inputs FD'!$B$4:$O$90,MATCH($C54,'F_Inputs FD'!$B$4:$B$90,0),MATCH(L$2,'F_Inputs FD'!$B$2:$N$2,0))</f>
        <v>100.707164711616</v>
      </c>
      <c r="M54" s="221">
        <f>INDEX('F_Inputs FD'!$B$4:$O$90,MATCH($C54,'F_Inputs FD'!$B$4:$B$90,0),MATCH(M$2,'F_Inputs FD'!$B$2:$N$2,0))</f>
        <v>96.550351287214298</v>
      </c>
      <c r="N54" s="395">
        <f>INDEX('F_Inputs FD'!$B$4:$O$90,MATCH($C54,'F_Inputs FD'!$B$4:$B$90,0),MATCH(N$2,'F_Inputs FD'!$B$2:$N$2,0))</f>
        <v>92.441354482253999</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5.0140000000000002</v>
      </c>
      <c r="K65" s="221">
        <f>INDEX('F_Inputs FD'!$B$4:$O$90,MATCH($C65,'F_Inputs FD'!$B$4:$B$90,0),MATCH(K$2,'F_Inputs FD'!$B$2:$N$2,0))</f>
        <v>3.9129999999999998</v>
      </c>
      <c r="L65" s="221">
        <f>INDEX('F_Inputs FD'!$B$4:$O$90,MATCH($C65,'F_Inputs FD'!$B$4:$B$90,0),MATCH(L$2,'F_Inputs FD'!$B$2:$N$2,0))</f>
        <v>5.202</v>
      </c>
      <c r="M65" s="221">
        <f>INDEX('F_Inputs FD'!$B$4:$O$90,MATCH($C65,'F_Inputs FD'!$B$4:$B$90,0),MATCH(M$2,'F_Inputs FD'!$B$2:$N$2,0))</f>
        <v>5.415</v>
      </c>
      <c r="N65" s="395">
        <f>INDEX('F_Inputs FD'!$B$4:$O$90,MATCH($C65,'F_Inputs FD'!$B$4:$B$90,0),MATCH(N$2,'F_Inputs FD'!$B$2:$N$2,0))</f>
        <v>4.4130000000000003</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2.177</v>
      </c>
      <c r="K66" s="221">
        <f>INDEX('F_Inputs FD'!$B$4:$O$90,MATCH($C66,'F_Inputs FD'!$B$4:$B$90,0),MATCH(K$2,'F_Inputs FD'!$B$2:$N$2,0))</f>
        <v>1.96</v>
      </c>
      <c r="L66" s="221">
        <f>INDEX('F_Inputs FD'!$B$4:$O$90,MATCH($C66,'F_Inputs FD'!$B$4:$B$90,0),MATCH(L$2,'F_Inputs FD'!$B$2:$N$2,0))</f>
        <v>7.29</v>
      </c>
      <c r="M66" s="221">
        <f>INDEX('F_Inputs FD'!$B$4:$O$90,MATCH($C66,'F_Inputs FD'!$B$4:$B$90,0),MATCH(M$2,'F_Inputs FD'!$B$2:$N$2,0))</f>
        <v>2.4089999999999998</v>
      </c>
      <c r="N66" s="395">
        <f>INDEX('F_Inputs FD'!$B$4:$O$90,MATCH($C66,'F_Inputs FD'!$B$4:$B$90,0),MATCH(N$2,'F_Inputs FD'!$B$2:$N$2,0))</f>
        <v>2.7490000000000001</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0.40600000000000003</v>
      </c>
      <c r="K67" s="221">
        <f>INDEX('F_Inputs FD'!$B$4:$O$90,MATCH($C67,'F_Inputs FD'!$B$4:$B$90,0),MATCH(K$2,'F_Inputs FD'!$B$2:$N$2,0))</f>
        <v>6.0000000000000001E-3</v>
      </c>
      <c r="L67" s="221">
        <f>INDEX('F_Inputs FD'!$B$4:$O$90,MATCH($C67,'F_Inputs FD'!$B$4:$B$90,0),MATCH(L$2,'F_Inputs FD'!$B$2:$N$2,0))</f>
        <v>2.1000000000000001E-2</v>
      </c>
      <c r="M67" s="221">
        <f>INDEX('F_Inputs FD'!$B$4:$O$90,MATCH($C67,'F_Inputs FD'!$B$4:$B$90,0),MATCH(M$2,'F_Inputs FD'!$B$2:$N$2,0))</f>
        <v>-8.0000000000000002E-3</v>
      </c>
      <c r="N67" s="395">
        <f>INDEX('F_Inputs FD'!$B$4:$O$90,MATCH($C67,'F_Inputs FD'!$B$4:$B$90,0),MATCH(N$2,'F_Inputs FD'!$B$2:$N$2,0))</f>
        <v>-0.42099999999999999</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1.0780000000000001</v>
      </c>
      <c r="K68" s="221">
        <f>INDEX('F_Inputs FD'!$B$4:$O$90,MATCH($C68,'F_Inputs FD'!$B$4:$B$90,0),MATCH(K$2,'F_Inputs FD'!$B$2:$N$2,0))</f>
        <v>1.33</v>
      </c>
      <c r="L68" s="221">
        <f>INDEX('F_Inputs FD'!$B$4:$O$90,MATCH($C68,'F_Inputs FD'!$B$4:$B$90,0),MATCH(L$2,'F_Inputs FD'!$B$2:$N$2,0))</f>
        <v>1.8360000000000001</v>
      </c>
      <c r="M68" s="221">
        <f>INDEX('F_Inputs FD'!$B$4:$O$90,MATCH($C68,'F_Inputs FD'!$B$4:$B$90,0),MATCH(M$2,'F_Inputs FD'!$B$2:$N$2,0))</f>
        <v>1.476</v>
      </c>
      <c r="N68" s="395">
        <f>INDEX('F_Inputs FD'!$B$4:$O$90,MATCH($C68,'F_Inputs FD'!$B$4:$B$90,0),MATCH(N$2,'F_Inputs FD'!$B$2:$N$2,0))</f>
        <v>1.29</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-0.20936212802493101</v>
      </c>
      <c r="K85" s="221">
        <f>INDEX('F_Inputs FD'!$B$4:$O$90,MATCH($C85,'F_Inputs FD'!$B$4:$B$90,0),MATCH(K$2,'F_Inputs FD'!$B$2:$N$2,0))</f>
        <v>-0.14255505363059001</v>
      </c>
      <c r="L85" s="221">
        <f>INDEX('F_Inputs FD'!$B$4:$O$90,MATCH($C85,'F_Inputs FD'!$B$4:$B$90,0),MATCH(L$2,'F_Inputs FD'!$B$2:$N$2,0))</f>
        <v>-2.11466773172867E-2</v>
      </c>
      <c r="M85" s="221">
        <f>INDEX('F_Inputs FD'!$B$4:$O$90,MATCH($C85,'F_Inputs FD'!$B$4:$B$90,0),MATCH(M$2,'F_Inputs FD'!$B$2:$N$2,0))</f>
        <v>-1.88054380428729E-2</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-0.20936212802493101</v>
      </c>
      <c r="K86" s="221">
        <f>INDEX('F_Inputs FD'!$B$4:$O$90,MATCH($C86,'F_Inputs FD'!$B$4:$B$90,0),MATCH(K$2,'F_Inputs FD'!$B$2:$N$2,0))</f>
        <v>-0.14255505363059001</v>
      </c>
      <c r="L86" s="221">
        <f>INDEX('F_Inputs FD'!$B$4:$O$90,MATCH($C86,'F_Inputs FD'!$B$4:$B$90,0),MATCH(L$2,'F_Inputs FD'!$B$2:$N$2,0))</f>
        <v>-2.11466773172867E-2</v>
      </c>
      <c r="M86" s="221">
        <f>INDEX('F_Inputs FD'!$B$4:$O$90,MATCH($C86,'F_Inputs FD'!$B$4:$B$90,0),MATCH(M$2,'F_Inputs FD'!$B$2:$N$2,0))</f>
        <v>-1.88054380428729E-2</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259.28533333333303</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113.575</v>
      </c>
      <c r="M106" s="564">
        <f>INDEX('F_Inputs FD'!$B$4:$O$90,MATCH($C106,'F_Inputs FD'!$B$4:$B$90,0),MATCH(M$2,'F_Inputs FD'!$B$2:$N$2,0))</f>
        <v>117.7</v>
      </c>
      <c r="N106" s="565">
        <f>INDEX('F_Inputs FD'!$B$4:$O$90,MATCH($C106,'F_Inputs FD'!$B$4:$B$90,0),MATCH(N$2,'F_Inputs FD'!$B$2:$N$2,0))</f>
        <v>121.23099999999999</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0</v>
      </c>
      <c r="N107" s="416">
        <f>INDEX('F_Inputs FD'!$B$4:$O$90,MATCH($C107,'F_Inputs FD'!$B$4:$B$90,0),MATCH(N$2,'F_Inputs FD'!$B$2:$N$2,0))</f>
        <v>0.03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3.7600000000000001E-2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259.28533333333303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3.0000000000000027E-2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0.80448694874115745</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113.575</v>
      </c>
      <c r="M17" s="135">
        <f>IF('Input FD'!M106=0,L17*(1+'Input FD'!M107),'Input FD'!M106)</f>
        <v>117.7</v>
      </c>
      <c r="N17" s="375">
        <f>IF('Input FD'!N106=0,M17*(1+'Input FD'!N107),'Input FD'!N106)</f>
        <v>121.23099999999999</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1.0204402515723272</v>
      </c>
      <c r="M18" s="144">
        <f t="shared" si="4"/>
        <v>1.0575022461814916</v>
      </c>
      <c r="N18" s="377">
        <f t="shared" si="4"/>
        <v>1.0892273135669361</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86.995129379472644</v>
      </c>
      <c r="M20" s="135">
        <f>((M17/'Input FD'!$G$117)/(M13/'Input FD'!$G$116))*100</f>
        <v>87.626915797699255</v>
      </c>
      <c r="N20" s="375">
        <f>((N17/'Input FD'!$G$117)/(N13/'Input FD'!$G$116))*100</f>
        <v>87.62691579769924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0.86995129379472647</v>
      </c>
      <c r="M21" s="144">
        <f t="shared" si="5"/>
        <v>0.87626915797699256</v>
      </c>
      <c r="N21" s="377">
        <f t="shared" si="5"/>
        <v>0.87626915797699245</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4.4891551210223115</v>
      </c>
      <c r="K39" s="156">
        <f>IF(OR(K$5&lt;4,K$5&gt;8),'Input FD'!K30,'Input FD'!K30*$G$95/100)</f>
        <v>4.7495938788736165</v>
      </c>
      <c r="L39" s="156">
        <f>IF(OR(L$5&lt;4,L$5&gt;8),'Input FD'!L30,'Input FD'!L30*$G$95/100)</f>
        <v>4.4533137065360657</v>
      </c>
      <c r="M39" s="156">
        <f>IF(OR(M$5&lt;4,M$5&gt;8),'Input FD'!M30,'Input FD'!M30*$G$95/100)</f>
        <v>4.4355004517099186</v>
      </c>
      <c r="N39" s="365">
        <f>IF(OR(N$5&lt;4,N$5&gt;8),'Input FD'!N30,'Input FD'!N30*$G$95/100)</f>
        <v>4.417758449903082</v>
      </c>
      <c r="O39" s="157"/>
      <c r="P39" s="158"/>
      <c r="Q39" s="148"/>
      <c r="R39" s="147" t="s">
        <v>242</v>
      </c>
    </row>
    <row r="40" spans="1:23" s="37" customFormat="1">
      <c r="C40" s="131"/>
      <c r="D40" s="153" t="s">
        <v>57</v>
      </c>
      <c r="E40" s="154" t="s">
        <v>61</v>
      </c>
      <c r="F40" s="155"/>
      <c r="G40" s="148"/>
      <c r="H40" s="148"/>
      <c r="I40" s="148"/>
      <c r="J40" s="156">
        <f>IF(OR(J$5&lt;4,J$5&gt;8),'Input FD'!J31,'Input FD'!J31*$G$95/100)</f>
        <v>3.2918760463212751</v>
      </c>
      <c r="K40" s="156">
        <f>IF(OR(K$5&lt;4,K$5&gt;8),'Input FD'!K31,'Input FD'!K31*$G$95/100)</f>
        <v>1.3687390973855913</v>
      </c>
      <c r="L40" s="156">
        <f>IF(OR(L$5&lt;4,L$5&gt;8),'Input FD'!L31,'Input FD'!L31*$G$95/100)</f>
        <v>6.075844225737371</v>
      </c>
      <c r="M40" s="156">
        <f>IF(OR(M$5&lt;4,M$5&gt;8),'Input FD'!M31,'Input FD'!M31*$G$95/100)</f>
        <v>1.4351168700648846</v>
      </c>
      <c r="N40" s="365">
        <f>IF(OR(N$5&lt;4,N$5&gt;8),'Input FD'!N31,'Input FD'!N31*$G$95/100)</f>
        <v>1.3689470613205097</v>
      </c>
      <c r="O40" s="157"/>
      <c r="P40" s="158"/>
      <c r="Q40" s="148"/>
      <c r="R40" s="147" t="s">
        <v>242</v>
      </c>
    </row>
    <row r="41" spans="1:23" s="37" customFormat="1">
      <c r="C41" s="131"/>
      <c r="D41" s="153" t="s">
        <v>57</v>
      </c>
      <c r="E41" s="154" t="s">
        <v>63</v>
      </c>
      <c r="F41" s="155"/>
      <c r="G41" s="148"/>
      <c r="H41" s="148"/>
      <c r="I41" s="148"/>
      <c r="J41" s="156">
        <f>IF(OR(J$5&lt;4,J$5&gt;8),'Input FD'!J32,'Input FD'!J32*$G$95/100)</f>
        <v>0.22178806058998363</v>
      </c>
      <c r="K41" s="156">
        <f>IF(OR(K$5&lt;4,K$5&gt;8),'Input FD'!K32,'Input FD'!K32*$G$95/100)</f>
        <v>0.25483252951849583</v>
      </c>
      <c r="L41" s="156">
        <f>IF(OR(L$5&lt;4,L$5&gt;8),'Input FD'!L32,'Input FD'!L32*$G$95/100)</f>
        <v>0.1286668861833552</v>
      </c>
      <c r="M41" s="156">
        <f>IF(OR(M$5&lt;4,M$5&gt;8),'Input FD'!M32,'Input FD'!M32*$G$95/100)</f>
        <v>9.2598271413599539E-2</v>
      </c>
      <c r="N41" s="365">
        <f>IF(OR(N$5&lt;4,N$5&gt;8),'Input FD'!N32,'Input FD'!N32*$G$95/100)</f>
        <v>8.2700431666652405E-2</v>
      </c>
      <c r="O41" s="157"/>
      <c r="P41" s="158"/>
      <c r="Q41" s="148"/>
      <c r="R41" s="147" t="s">
        <v>242</v>
      </c>
    </row>
    <row r="42" spans="1:23" s="37" customFormat="1">
      <c r="C42" s="131"/>
      <c r="D42" s="153" t="s">
        <v>57</v>
      </c>
      <c r="E42" s="154" t="s">
        <v>62</v>
      </c>
      <c r="F42" s="155"/>
      <c r="G42" s="148"/>
      <c r="H42" s="148"/>
      <c r="I42" s="148"/>
      <c r="J42" s="156">
        <f>IF(OR(J$5&lt;4,J$5&gt;8),'Input FD'!J33,'Input FD'!J33*$G$95/100)</f>
        <v>0.6445274365954119</v>
      </c>
      <c r="K42" s="156">
        <f>IF(OR(K$5&lt;4,K$5&gt;8),'Input FD'!K33,'Input FD'!K33*$G$95/100)</f>
        <v>0.88073638346065009</v>
      </c>
      <c r="L42" s="156">
        <f>IF(OR(L$5&lt;4,L$5&gt;8),'Input FD'!L33,'Input FD'!L33*$G$95/100)</f>
        <v>0.25261214944775973</v>
      </c>
      <c r="M42" s="156">
        <f>IF(OR(M$5&lt;4,M$5&gt;8),'Input FD'!M33,'Input FD'!M33*$G$95/100)</f>
        <v>0.15850819520877793</v>
      </c>
      <c r="N42" s="365">
        <f>IF(OR(N$5&lt;4,N$5&gt;8),'Input FD'!N33,'Input FD'!N33*$G$95/100)</f>
        <v>0.13707585241001502</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9.3798700000000004</v>
      </c>
      <c r="K55" s="156">
        <f>SUM('Input FD'!K10:K13)-'Input FD'!K14-'Input FD'!K17+'Input FD'!K15+'Input FD'!K16</f>
        <v>7.8890770000000003</v>
      </c>
      <c r="L55" s="156">
        <f>SUM('Input FD'!L10:L13)-'Input FD'!L14-'Input FD'!L17+'Input FD'!L15+'Input FD'!L16</f>
        <v>11.816869999999998</v>
      </c>
      <c r="M55" s="156">
        <f>SUM('Input FD'!M10:M13)-'Input FD'!M14-'Input FD'!M17+'Input FD'!M15+'Input FD'!M16</f>
        <v>6.1798700000000002</v>
      </c>
      <c r="N55" s="365">
        <f>SUM('Input FD'!N10:N13)-'Input FD'!N14-'Input FD'!N17+'Input FD'!N15+'Input FD'!N16</f>
        <v>6.0988700000000007</v>
      </c>
      <c r="O55" s="157"/>
      <c r="P55" s="158"/>
      <c r="Q55" s="148"/>
      <c r="R55" s="147" t="s">
        <v>242</v>
      </c>
    </row>
    <row r="56" spans="1:18" s="37" customFormat="1">
      <c r="C56" s="131"/>
      <c r="D56" s="153" t="s">
        <v>57</v>
      </c>
      <c r="E56" s="154" t="s">
        <v>114</v>
      </c>
      <c r="F56" s="155"/>
      <c r="G56" s="148"/>
      <c r="H56" s="148"/>
      <c r="I56" s="148"/>
      <c r="J56" s="156">
        <f>SUM('Input FD'!J30:J35)</f>
        <v>8.4678655382652899</v>
      </c>
      <c r="K56" s="156">
        <f>SUM('Input FD'!K30:K35)</f>
        <v>7.1033425869002933</v>
      </c>
      <c r="L56" s="156">
        <f>SUM('Input FD'!L30:L35)</f>
        <v>10.683983977062745</v>
      </c>
      <c r="M56" s="156">
        <f>SUM('Input FD'!M30:M35)</f>
        <v>5.9946635556065004</v>
      </c>
      <c r="N56" s="365">
        <f>SUM('Input FD'!N30:N35)</f>
        <v>5.8818134826576109</v>
      </c>
      <c r="O56" s="157"/>
      <c r="P56" s="158"/>
      <c r="Q56" s="148"/>
      <c r="R56" s="147" t="s">
        <v>242</v>
      </c>
    </row>
    <row r="57" spans="1:18" s="37" customFormat="1">
      <c r="C57" s="131"/>
      <c r="D57" s="153" t="s">
        <v>57</v>
      </c>
      <c r="E57" s="154" t="s">
        <v>115</v>
      </c>
      <c r="F57" s="155"/>
      <c r="G57" s="148"/>
      <c r="H57" s="148"/>
      <c r="I57" s="148"/>
      <c r="J57" s="156">
        <f>SUM(J39:J44)</f>
        <v>8.6473466645289818</v>
      </c>
      <c r="K57" s="156">
        <f t="shared" ref="K57:N57" si="7">SUM(K39:K44)</f>
        <v>7.2539018892383531</v>
      </c>
      <c r="L57" s="156">
        <f t="shared" si="7"/>
        <v>10.910436967904552</v>
      </c>
      <c r="M57" s="156">
        <f t="shared" si="7"/>
        <v>6.1217237883971816</v>
      </c>
      <c r="N57" s="365">
        <f t="shared" si="7"/>
        <v>6.0064817953002594</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-0.20936212802493101</v>
      </c>
      <c r="K59" s="156">
        <f>'Input FD'!K85+'Input FD'!K82</f>
        <v>-0.14255505363059001</v>
      </c>
      <c r="L59" s="156">
        <f>'Input FD'!L85+'Input FD'!L82</f>
        <v>-2.11466773172867E-2</v>
      </c>
      <c r="M59" s="156">
        <f>'Input FD'!M85+'Input FD'!M82</f>
        <v>-1.88054380428729E-2</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-0.20936212802493101</v>
      </c>
      <c r="K60" s="156">
        <f>'Input FD'!K86+'Input FD'!K88+'Input FD'!K83</f>
        <v>-0.14255505363059001</v>
      </c>
      <c r="L60" s="156">
        <f>'Input FD'!L86+'Input FD'!L88+'Input FD'!L83</f>
        <v>-2.11466773172867E-2</v>
      </c>
      <c r="M60" s="156">
        <f>'Input FD'!M86+'Input FD'!M88+'Input FD'!M83</f>
        <v>-1.88054380428729E-2</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9.1705078719750688</v>
      </c>
      <c r="K62" s="156">
        <f t="shared" ref="K62:N62" si="8">K55+K59</f>
        <v>7.7465219463694099</v>
      </c>
      <c r="L62" s="156">
        <f t="shared" si="8"/>
        <v>11.795723322682711</v>
      </c>
      <c r="M62" s="156">
        <f t="shared" si="8"/>
        <v>6.1610645619571276</v>
      </c>
      <c r="N62" s="365">
        <f t="shared" si="8"/>
        <v>6.0988700000000007</v>
      </c>
      <c r="O62" s="157"/>
      <c r="P62" s="158"/>
      <c r="Q62" s="148"/>
      <c r="R62" s="147" t="s">
        <v>242</v>
      </c>
    </row>
    <row r="63" spans="1:18" s="37" customFormat="1">
      <c r="C63" s="131"/>
      <c r="D63" s="153" t="s">
        <v>57</v>
      </c>
      <c r="E63" s="154" t="s">
        <v>182</v>
      </c>
      <c r="F63" s="155"/>
      <c r="G63" s="148"/>
      <c r="H63" s="148"/>
      <c r="I63" s="148"/>
      <c r="J63" s="156">
        <f>J56+J60</f>
        <v>8.2585034102403583</v>
      </c>
      <c r="K63" s="156">
        <f t="shared" ref="K63:N63" si="9">K56+K60</f>
        <v>6.9607875332697029</v>
      </c>
      <c r="L63" s="156">
        <f t="shared" si="9"/>
        <v>10.662837299745458</v>
      </c>
      <c r="M63" s="156">
        <f t="shared" si="9"/>
        <v>5.9758581175636278</v>
      </c>
      <c r="N63" s="365">
        <f t="shared" si="9"/>
        <v>5.8818134826576109</v>
      </c>
      <c r="O63" s="157"/>
      <c r="P63" s="158"/>
      <c r="Q63" s="148"/>
      <c r="R63" s="147" t="s">
        <v>242</v>
      </c>
    </row>
    <row r="64" spans="1:18" s="37" customFormat="1">
      <c r="C64" s="131"/>
      <c r="D64" s="153" t="s">
        <v>57</v>
      </c>
      <c r="E64" s="154" t="s">
        <v>250</v>
      </c>
      <c r="F64" s="155"/>
      <c r="G64" s="148"/>
      <c r="H64" s="148"/>
      <c r="I64" s="148"/>
      <c r="J64" s="156">
        <f>J63*$G$107/100</f>
        <v>8.4353645457219937</v>
      </c>
      <c r="K64" s="156">
        <f t="shared" ref="K64:N64" si="10">K63*$G$107/100</f>
        <v>7.1098572527849804</v>
      </c>
      <c r="L64" s="156">
        <f t="shared" si="10"/>
        <v>10.891188784101633</v>
      </c>
      <c r="M64" s="156">
        <f t="shared" si="10"/>
        <v>6.103834943345273</v>
      </c>
      <c r="N64" s="365">
        <f t="shared" si="10"/>
        <v>6.0077762823997674</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8.1485078139869387</v>
      </c>
      <c r="K79" s="156">
        <f t="shared" ref="K79:N79" si="14">K62*K$21</f>
        <v>6.725580750121626</v>
      </c>
      <c r="L79" s="156">
        <f t="shared" si="14"/>
        <v>10.261704765812455</v>
      </c>
      <c r="M79" s="156">
        <f t="shared" si="14"/>
        <v>5.3987508559480606</v>
      </c>
      <c r="N79" s="365">
        <f t="shared" si="14"/>
        <v>5.3442516795111406</v>
      </c>
      <c r="P79" s="136"/>
      <c r="Q79" s="131"/>
      <c r="R79" s="147" t="s">
        <v>242</v>
      </c>
    </row>
    <row r="80" spans="1:18" s="37" customFormat="1">
      <c r="C80" s="131"/>
      <c r="D80" s="153" t="s">
        <v>57</v>
      </c>
      <c r="E80" s="132" t="s">
        <v>317</v>
      </c>
      <c r="F80" s="161"/>
      <c r="G80" s="162"/>
      <c r="H80" s="162"/>
      <c r="I80" s="163"/>
      <c r="J80" s="156">
        <f>J63*J$21</f>
        <v>7.3381409742673283</v>
      </c>
      <c r="K80" s="156">
        <f t="shared" ref="K80:N80" si="15">K63*K$21</f>
        <v>6.0434010209428788</v>
      </c>
      <c r="L80" s="156">
        <f t="shared" si="15"/>
        <v>9.2761491044362288</v>
      </c>
      <c r="M80" s="156">
        <f t="shared" si="15"/>
        <v>5.2364601608674564</v>
      </c>
      <c r="N80" s="365">
        <f t="shared" si="15"/>
        <v>5.1540517478261059</v>
      </c>
      <c r="P80" s="136"/>
      <c r="Q80" s="131"/>
      <c r="R80" s="147" t="s">
        <v>242</v>
      </c>
    </row>
    <row r="81" spans="1:18" s="37" customFormat="1">
      <c r="C81" s="131"/>
      <c r="D81" s="153" t="s">
        <v>57</v>
      </c>
      <c r="E81" s="132" t="s">
        <v>318</v>
      </c>
      <c r="F81" s="161"/>
      <c r="G81" s="162"/>
      <c r="H81" s="162"/>
      <c r="I81" s="163"/>
      <c r="J81" s="156">
        <f>J64*J$21</f>
        <v>7.4952919592053444</v>
      </c>
      <c r="K81" s="156">
        <f t="shared" ref="K81:N81" si="16">K64*K$21</f>
        <v>6.1728243212238345</v>
      </c>
      <c r="L81" s="156">
        <f t="shared" si="16"/>
        <v>9.4748037736918302</v>
      </c>
      <c r="M81" s="156">
        <f t="shared" si="16"/>
        <v>5.3486023062357066</v>
      </c>
      <c r="N81" s="365">
        <f t="shared" si="16"/>
        <v>5.2644290642925897</v>
      </c>
      <c r="P81" s="136"/>
      <c r="Q81" s="131"/>
      <c r="R81" s="147" t="s">
        <v>242</v>
      </c>
    </row>
    <row r="82" spans="1:18" s="37" customFormat="1">
      <c r="C82" s="131"/>
      <c r="D82" s="153" t="s">
        <v>57</v>
      </c>
      <c r="E82" s="132" t="s">
        <v>110</v>
      </c>
      <c r="F82" s="164"/>
      <c r="G82" s="164"/>
      <c r="H82" s="164"/>
      <c r="I82" s="164"/>
      <c r="J82" s="156">
        <f>SUM('Input FD'!J65:J70)*J$15</f>
        <v>7.989988777274915</v>
      </c>
      <c r="K82" s="156">
        <f>SUM('Input FD'!K65:K70)*K$15</f>
        <v>6.3357494118886288</v>
      </c>
      <c r="L82" s="156">
        <f>SUM('Input FD'!L65:L70)*L$15</f>
        <v>12.232887810360705</v>
      </c>
      <c r="M82" s="156">
        <f>SUM('Input FD'!M65:M70)*M$15</f>
        <v>7.6995515095339204</v>
      </c>
      <c r="N82" s="365">
        <f>SUM('Input FD'!N65:N70)*N$15</f>
        <v>6.4608346853402363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108.47822278011566</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102.11955569502891</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0.25760888609942179</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-0.72571703539526489</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108.566255976226</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102.1415639940565</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0.25716872011887004</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123.21097211888532</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-6.1441097565196152</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-2.0305178653898266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-6.1452742745555497E-2</v>
      </c>
      <c r="K127" s="156">
        <f>IF('Input FD'!K49&lt;&gt;"",'Input FD'!K49,K56*$G$97/100)</f>
        <v>-5.1550167235621697E-2</v>
      </c>
      <c r="L127" s="156">
        <f>IF('Input FD'!L49&lt;&gt;"",'Input FD'!L49,L56*$G$97/100)</f>
        <v>-7.7535491780444096E-2</v>
      </c>
      <c r="M127" s="156">
        <f>IF('Input FD'!M49&lt;&gt;"",'Input FD'!M49,M56*$G$97/100)</f>
        <v>-4.3504294637667501E-2</v>
      </c>
      <c r="N127" s="365">
        <f>IF('Input FD'!N49&lt;&gt;"",'Input FD'!N49,N56*$G$97/100)</f>
        <v>-4.2685322433821497E-2</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-1.7537898465567163</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8.6539801106733929</v>
      </c>
      <c r="K138" s="156">
        <f>(K57+'Input FD'!K83)*K$29</f>
        <v>7.5861424017697896</v>
      </c>
      <c r="L138" s="156">
        <f>(L57+'Input FD'!L83)*L$29</f>
        <v>11.832328389503424</v>
      </c>
      <c r="M138" s="156">
        <f>(M57+'Input FD'!M83)*M$29</f>
        <v>6.8381563248886001</v>
      </c>
      <c r="N138" s="365">
        <f>(N57+'Input FD'!N83)*N$29</f>
        <v>6.9107102485431042</v>
      </c>
      <c r="O138" s="109"/>
      <c r="P138" s="136"/>
      <c r="Q138" s="104"/>
      <c r="R138" s="147" t="s">
        <v>87</v>
      </c>
    </row>
    <row r="139" spans="1:18" s="37" customFormat="1">
      <c r="C139" s="131"/>
      <c r="D139" s="131" t="s">
        <v>57</v>
      </c>
      <c r="E139" s="132" t="s">
        <v>110</v>
      </c>
      <c r="F139" s="131"/>
      <c r="G139" s="131"/>
      <c r="H139" s="182"/>
      <c r="I139" s="148"/>
      <c r="J139" s="156">
        <f>SUM('Input FD'!J65:J70)</f>
        <v>8.6750000000000007</v>
      </c>
      <c r="K139" s="156">
        <f>SUM('Input FD'!K65:K70)</f>
        <v>7.2089999999999996</v>
      </c>
      <c r="L139" s="156">
        <f>SUM('Input FD'!L65:L70)</f>
        <v>14.349000000000002</v>
      </c>
      <c r="M139" s="156">
        <f>SUM('Input FD'!M65:M70)</f>
        <v>9.2919999999999998</v>
      </c>
      <c r="N139" s="365">
        <f>SUM('Input FD'!N65:N70)</f>
        <v>8.0310000000000006</v>
      </c>
      <c r="P139" s="136"/>
      <c r="Q139" s="131"/>
      <c r="R139" s="147" t="s">
        <v>87</v>
      </c>
    </row>
    <row r="140" spans="1:18" s="37" customFormat="1">
      <c r="C140" s="131"/>
      <c r="D140" s="131" t="s">
        <v>57</v>
      </c>
      <c r="E140" s="132" t="s">
        <v>192</v>
      </c>
      <c r="F140" s="131"/>
      <c r="G140" s="131"/>
      <c r="H140" s="131"/>
      <c r="I140" s="181"/>
      <c r="J140" s="205">
        <f>(J139-J138)*J$15</f>
        <v>1.936007836532071E-2</v>
      </c>
      <c r="K140" s="205">
        <f>(K139-K138)*K$15</f>
        <v>-0.33145786519783765</v>
      </c>
      <c r="L140" s="205">
        <f>(L139-L138)*L$15</f>
        <v>2.1455266197452385</v>
      </c>
      <c r="M140" s="205">
        <f>(M139-M138)*M$15</f>
        <v>2.0333077672045028</v>
      </c>
      <c r="N140" s="675">
        <f>(N139-N138)*N$15</f>
        <v>0.90125848385554819</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105.30388013386499</v>
      </c>
      <c r="J148" s="156">
        <f>'Input FD'!J$54</f>
        <v>103.420016124234</v>
      </c>
      <c r="K148" s="156">
        <f>'Input FD'!K$54</f>
        <v>100.298401339497</v>
      </c>
      <c r="L148" s="156">
        <f>'Input FD'!L$54</f>
        <v>100.707164711616</v>
      </c>
      <c r="M148" s="156">
        <f>'Input FD'!M$54</f>
        <v>96.550351287214298</v>
      </c>
      <c r="N148" s="365">
        <f>'Input FD'!N$54</f>
        <v>92.441354482253999</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4.7679950839727727</v>
      </c>
      <c r="Q149" s="161"/>
      <c r="R149" s="147" t="s">
        <v>242</v>
      </c>
    </row>
    <row r="150" spans="1:24" s="37" customFormat="1">
      <c r="A150" s="109"/>
      <c r="B150" s="109"/>
      <c r="C150" s="104"/>
      <c r="D150" s="104" t="s">
        <v>57</v>
      </c>
      <c r="E150" s="177" t="s">
        <v>386</v>
      </c>
      <c r="F150" s="131"/>
      <c r="G150" s="104"/>
      <c r="H150" s="104"/>
      <c r="I150" s="205"/>
      <c r="J150" s="156">
        <f>IF(J5=8,J148+$P$149,J148)</f>
        <v>103.420016124234</v>
      </c>
      <c r="K150" s="156">
        <f>IF(K5=8,K148+$P$149,K148)</f>
        <v>100.298401339497</v>
      </c>
      <c r="L150" s="156">
        <f>IF(L5=8,L148+$P$149,L148)</f>
        <v>100.707164711616</v>
      </c>
      <c r="M150" s="156">
        <f>IF(M5=8,M148+$P$149,M148)</f>
        <v>96.550351287214298</v>
      </c>
      <c r="N150" s="365">
        <f>IF(N5=8,N148+$P$149,N148)</f>
        <v>97.209349566226777</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8.3097198154927625</v>
      </c>
      <c r="L161" s="360">
        <f t="shared" si="21"/>
        <v>15.382131247135804</v>
      </c>
      <c r="M161" s="360">
        <f t="shared" si="21"/>
        <v>26.123170347277085</v>
      </c>
      <c r="N161" s="363">
        <f t="shared" si="21"/>
        <v>32.179245314564611</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8.3097198154927625</v>
      </c>
      <c r="K162" s="360">
        <f t="shared" ref="K162:N162" si="22">K161+K138*K$26</f>
        <v>15.382131247135804</v>
      </c>
      <c r="L162" s="360">
        <f t="shared" si="22"/>
        <v>26.123170347277085</v>
      </c>
      <c r="M162" s="360">
        <f t="shared" si="22"/>
        <v>32.179245314564611</v>
      </c>
      <c r="N162" s="363">
        <f t="shared" si="22"/>
        <v>38.150299835189756</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4.1548599077463813</v>
      </c>
      <c r="K163" s="360">
        <f t="shared" ref="K163:N163" si="23">(K162+K161)/2</f>
        <v>11.845925531314283</v>
      </c>
      <c r="L163" s="360">
        <f t="shared" si="23"/>
        <v>20.752650797206446</v>
      </c>
      <c r="M163" s="360">
        <f t="shared" si="23"/>
        <v>29.151207830920846</v>
      </c>
      <c r="N163" s="363">
        <f t="shared" si="23"/>
        <v>35.164772574877183</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7.989988777274915</v>
      </c>
      <c r="L171" s="360">
        <f t="shared" si="30"/>
        <v>14.325738189163545</v>
      </c>
      <c r="M171" s="360">
        <f t="shared" si="30"/>
        <v>26.558625999524249</v>
      </c>
      <c r="N171" s="363">
        <f t="shared" si="30"/>
        <v>34.258177509058171</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7.989988777274915</v>
      </c>
      <c r="K172" s="360">
        <f t="shared" ref="K172:N172" si="31">K171+K139*K$15</f>
        <v>14.325738189163545</v>
      </c>
      <c r="L172" s="360">
        <f t="shared" si="31"/>
        <v>26.558625999524249</v>
      </c>
      <c r="M172" s="360">
        <f t="shared" si="31"/>
        <v>34.258177509058171</v>
      </c>
      <c r="N172" s="363">
        <f t="shared" si="31"/>
        <v>40.71901219439841</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3.9949943886374575</v>
      </c>
      <c r="K173" s="360">
        <f t="shared" ref="K173" si="32">(K172+K171)/2</f>
        <v>11.157863483219231</v>
      </c>
      <c r="L173" s="360">
        <f t="shared" ref="L173" si="33">(L172+L171)/2</f>
        <v>20.442182094343899</v>
      </c>
      <c r="M173" s="360">
        <f t="shared" ref="M173" si="34">(M172+M171)/2</f>
        <v>30.408401754291212</v>
      </c>
      <c r="N173" s="363">
        <f t="shared" ref="N173" si="35">(N172+N171)/2</f>
        <v>37.488594851728294</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-0.31973103821784754</v>
      </c>
      <c r="K181" s="156">
        <f>(K$139*K$15)-(K$138*K$26)</f>
        <v>-0.73666201975441314</v>
      </c>
      <c r="L181" s="156">
        <f>(L$139*L$15)-(L$138*L$26)</f>
        <v>1.4918487102194238</v>
      </c>
      <c r="M181" s="156">
        <f>(M$139*M$15)-(M$138*M$26)</f>
        <v>1.6434765422463924</v>
      </c>
      <c r="N181" s="365">
        <f>(N$139*N$15)-(N$138*N$26)</f>
        <v>0.48978016471509367</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-8.7926035509908081E-3</v>
      </c>
      <c r="K184" s="156">
        <f>(K173-K163)*'Input FD'!$O$59</f>
        <v>-3.7843412645227857E-2</v>
      </c>
      <c r="L184" s="156">
        <f>(L173-L163)*'Input FD'!$O$59</f>
        <v>-1.7075778657440085E-2</v>
      </c>
      <c r="M184" s="156">
        <f>(M173-M163)*'Input FD'!$O$59</f>
        <v>6.9145665785370125E-2</v>
      </c>
      <c r="N184" s="365">
        <f>(N173-N163)*'Input FD'!$O$59</f>
        <v>0.1278102252268111</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-0.38377732496472228</v>
      </c>
      <c r="K187" s="156">
        <f>$P$130*K63/SUM($J$63:$N$63)</f>
        <v>-0.32347173409816216</v>
      </c>
      <c r="L187" s="156">
        <f>$P$130*L63/SUM($J$63:$N$63)</f>
        <v>-0.49550808084140219</v>
      </c>
      <c r="M187" s="156">
        <f>$P$130*M63/SUM($J$63:$N$63)</f>
        <v>-0.27770150701681939</v>
      </c>
      <c r="N187" s="365">
        <f>$P$130*N63/SUM($J$63:$N$63)</f>
        <v>-0.2733311996356102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-0.3925699285157131</v>
      </c>
      <c r="K190" s="156">
        <f t="shared" ref="K190:N190" si="42">K187+K184</f>
        <v>-0.36131514674338999</v>
      </c>
      <c r="L190" s="156">
        <f t="shared" si="42"/>
        <v>-0.51258385949884222</v>
      </c>
      <c r="M190" s="156">
        <f t="shared" si="42"/>
        <v>-0.20855584123144927</v>
      </c>
      <c r="N190" s="365">
        <f t="shared" si="42"/>
        <v>-0.1455209744087991</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-0.4863253045393594</v>
      </c>
      <c r="K193" s="156">
        <f>IF('Input FD'!$O$156=0,(K190/(1+'Input FD'!$O$60)^K$6),(K190/(1+'Input FD'!$O$59)^K$6))</f>
        <v>-0.42427119472028496</v>
      </c>
      <c r="L193" s="156">
        <f>IF('Input FD'!$O$156=0,(L190/(1+'Input FD'!$O$60)^L$6),(L190/(1+'Input FD'!$O$59)^L$6))</f>
        <v>-0.57051865021869874</v>
      </c>
      <c r="M193" s="156">
        <f>IF('Input FD'!$O$156=0,(M190/(1+'Input FD'!$O$60)^M$6),(M190/(1+'Input FD'!$O$59)^M$6))</f>
        <v>-0.22002641249917898</v>
      </c>
      <c r="N193" s="664">
        <f>IF('Input FD'!$O$156=0,(N190/(1+'Input FD'!$O$60)^N$6),(N190/(1+'Input FD'!$O$59)^N$6))</f>
        <v>-0.1455209744087991</v>
      </c>
      <c r="O193" s="109"/>
      <c r="P193" s="622">
        <f>SUM(J193:N193)</f>
        <v>-1.8466625363863212</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-0.57045252952659142</v>
      </c>
      <c r="K196" s="156">
        <f t="shared" ref="K196:N197" si="44">K193*$L$13/$G$13</f>
        <v>-0.49766395861860357</v>
      </c>
      <c r="L196" s="156">
        <f t="shared" si="44"/>
        <v>-0.66921010303508399</v>
      </c>
      <c r="M196" s="156">
        <f t="shared" si="44"/>
        <v>-0.2580877910346524</v>
      </c>
      <c r="N196" s="365">
        <f t="shared" si="44"/>
        <v>-0.17069399263380383</v>
      </c>
      <c r="O196" s="109"/>
      <c r="P196" s="622">
        <f>P193*$L$13/$G$13</f>
        <v>-2.1661083748487351</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5.592789087951914</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-2.3817680094966485</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-0.32459795297666644</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-2.0571700565199817</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0.15629339248573254</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-1.9008766640342492</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-2.1661083748487351</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2016-09-30T09:26:50Z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