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N111" i="28"/>
  <c r="M111" i="28"/>
  <c r="L111" i="28"/>
  <c r="K111" i="28"/>
  <c r="J111" i="28"/>
  <c r="I111" i="28"/>
  <c r="H111" i="28"/>
  <c r="H26" i="29" s="1"/>
  <c r="G111" i="28"/>
  <c r="N107" i="28"/>
  <c r="M107" i="28"/>
  <c r="L107" i="28"/>
  <c r="K107" i="28"/>
  <c r="J107" i="28"/>
  <c r="I107" i="28"/>
  <c r="H107" i="28"/>
  <c r="G107" i="28"/>
  <c r="N106" i="28"/>
  <c r="M106" i="28"/>
  <c r="L106" i="28"/>
  <c r="K106" i="28"/>
  <c r="J106" i="28"/>
  <c r="I106" i="28"/>
  <c r="H106" i="28"/>
  <c r="G106" i="28"/>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L40" i="28"/>
  <c r="L48" i="31" s="1"/>
  <c r="K40" i="28"/>
  <c r="K48" i="31" s="1"/>
  <c r="J40" i="28"/>
  <c r="J48" i="31" s="1"/>
  <c r="N39" i="28"/>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J33" i="28"/>
  <c r="J40" i="31" s="1"/>
  <c r="N32" i="28"/>
  <c r="N39" i="31" s="1"/>
  <c r="M32" i="28"/>
  <c r="M39" i="31" s="1"/>
  <c r="L32" i="28"/>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L24" i="28"/>
  <c r="L32" i="31" s="1"/>
  <c r="K24" i="28"/>
  <c r="K32" i="31" s="1"/>
  <c r="J24" i="28"/>
  <c r="J32" i="31" s="1"/>
  <c r="N23" i="28"/>
  <c r="N30" i="31" s="1"/>
  <c r="M23" i="28"/>
  <c r="M30" i="31" s="1"/>
  <c r="L23" i="28"/>
  <c r="L30" i="31" s="1"/>
  <c r="K23" i="28"/>
  <c r="K30" i="31" s="1"/>
  <c r="J23" i="28"/>
  <c r="N22" i="28"/>
  <c r="N29" i="31" s="1"/>
  <c r="M22" i="28"/>
  <c r="L22" i="28"/>
  <c r="L29" i="31" s="1"/>
  <c r="K22" i="28"/>
  <c r="K29" i="31" s="1"/>
  <c r="J22" i="28"/>
  <c r="J29" i="31" s="1"/>
  <c r="N21" i="28"/>
  <c r="N28" i="31" s="1"/>
  <c r="M21" i="28"/>
  <c r="M28" i="31" s="1"/>
  <c r="L21" i="28"/>
  <c r="K21" i="28"/>
  <c r="K28" i="31" s="1"/>
  <c r="J21" i="28"/>
  <c r="J28" i="31" s="1"/>
  <c r="N20" i="28"/>
  <c r="N27" i="31" s="1"/>
  <c r="M20" i="28"/>
  <c r="M27" i="31" s="1"/>
  <c r="L20" i="28"/>
  <c r="L27" i="31" s="1"/>
  <c r="K20" i="28"/>
  <c r="K27" i="31" s="1"/>
  <c r="J20" i="28"/>
  <c r="J27" i="31" s="1"/>
  <c r="N19" i="28"/>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K16" i="28"/>
  <c r="K23" i="31" s="1"/>
  <c r="J16" i="28"/>
  <c r="J23" i="31" s="1"/>
  <c r="N15" i="28"/>
  <c r="N22" i="31" s="1"/>
  <c r="M15" i="28"/>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G28" i="29"/>
  <c r="G17" i="29"/>
  <c r="M148" i="29"/>
  <c r="I148" i="29"/>
  <c r="M48" i="31"/>
  <c r="N47" i="31"/>
  <c r="L45" i="31"/>
  <c r="M42" i="31"/>
  <c r="K40" i="31"/>
  <c r="L39" i="31"/>
  <c r="J37" i="31"/>
  <c r="M32" i="31"/>
  <c r="J30" i="31"/>
  <c r="L28" i="31"/>
  <c r="N26" i="31"/>
  <c r="L23" i="31"/>
  <c r="M22" i="31"/>
  <c r="M17" i="31"/>
  <c r="N16" i="31"/>
  <c r="C83" i="30" l="1"/>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H18" i="29"/>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L188" i="29"/>
  <c r="N188" i="29"/>
  <c r="K188" i="29"/>
  <c r="J188" i="29"/>
  <c r="M188" i="29"/>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P212" i="29" s="1"/>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U68" i="32"/>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L54" i="17" l="1"/>
  <c r="AN27" i="26"/>
  <c r="J177" i="29"/>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G120" i="29"/>
  <c r="AN16" i="26" s="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U38" i="32"/>
  <c r="K60"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L43" i="17"/>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M82" i="29"/>
  <c r="M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62" i="32" l="1"/>
  <c r="U33" i="32"/>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9" i="29" l="1"/>
  <c r="G63" i="32" s="1"/>
  <c r="P125" i="29"/>
  <c r="G116" i="29"/>
  <c r="AN15" i="26"/>
  <c r="L42" i="17"/>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J191" i="29"/>
  <c r="M47" i="32"/>
  <c r="M68" i="31"/>
  <c r="M142" i="29"/>
  <c r="L165" i="29"/>
  <c r="L166" i="29" s="1"/>
  <c r="K167" i="29"/>
  <c r="K185" i="29" s="1"/>
  <c r="K191" i="29" s="1"/>
  <c r="K194" i="29" s="1"/>
  <c r="K197" i="29" s="1"/>
  <c r="C139" i="21"/>
  <c r="C65" i="21"/>
  <c r="C147" i="21" s="1"/>
  <c r="C141" i="21"/>
  <c r="C95" i="21"/>
  <c r="C149" i="21" s="1"/>
  <c r="P79" i="21"/>
  <c r="E212" i="4"/>
  <c r="E213" i="4"/>
  <c r="E205" i="4"/>
  <c r="E204" i="4"/>
  <c r="J5" i="21" l="1"/>
  <c r="P210" i="29"/>
  <c r="U66" i="32"/>
  <c r="P131" i="29"/>
  <c r="AN11" i="26"/>
  <c r="L38" i="17"/>
  <c r="G117" i="29"/>
  <c r="G34" i="32"/>
  <c r="M144" i="29"/>
  <c r="M182" i="29"/>
  <c r="J194" i="29"/>
  <c r="N18" i="32"/>
  <c r="U18" i="32" s="1"/>
  <c r="N138" i="29"/>
  <c r="N60" i="31"/>
  <c r="U60" i="31" s="1"/>
  <c r="S95" i="30"/>
  <c r="S107" i="30"/>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AN12" i="26" l="1"/>
  <c r="L39" i="17"/>
  <c r="P124" i="29"/>
  <c r="L52" i="17"/>
  <c r="AN25" i="26"/>
  <c r="L191" i="29"/>
  <c r="M163" i="29"/>
  <c r="M184" i="29" s="1"/>
  <c r="N161" i="29"/>
  <c r="N162" i="29" s="1"/>
  <c r="N163" i="29" s="1"/>
  <c r="N184" i="29" s="1"/>
  <c r="N165" i="29"/>
  <c r="N166" i="29" s="1"/>
  <c r="N167" i="29" s="1"/>
  <c r="N185" i="29" s="1"/>
  <c r="N191" i="29" s="1"/>
  <c r="N194" i="29" s="1"/>
  <c r="N197" i="29" s="1"/>
  <c r="M167" i="29"/>
  <c r="M185" i="29" s="1"/>
  <c r="M191" i="29" s="1"/>
  <c r="M194" i="29" s="1"/>
  <c r="M197" i="29" s="1"/>
  <c r="U5" i="30"/>
  <c r="T6" i="30"/>
  <c r="N140" i="29"/>
  <c r="P149" i="29" s="1"/>
  <c r="N181" i="29"/>
  <c r="J197" i="29"/>
  <c r="R127" i="30"/>
  <c r="R51" i="30"/>
  <c r="R35" i="30"/>
  <c r="R98" i="30"/>
  <c r="R68" i="30"/>
  <c r="R110" i="30"/>
  <c r="R86" i="30"/>
  <c r="S62" i="30"/>
  <c r="S80" i="30"/>
  <c r="S20" i="30"/>
  <c r="R83" i="30"/>
  <c r="R65" i="30"/>
  <c r="R64" i="30"/>
  <c r="R82" i="30"/>
  <c r="N182" i="29"/>
  <c r="N144" i="29"/>
  <c r="P153" i="29" s="1"/>
  <c r="S149" i="30"/>
  <c r="L5" i="21"/>
  <c r="K6" i="21"/>
  <c r="P135" i="18"/>
  <c r="P18" i="18"/>
  <c r="P205" i="29" l="1"/>
  <c r="L48" i="17"/>
  <c r="AN21" i="26"/>
  <c r="L194" i="29"/>
  <c r="P214" i="29"/>
  <c r="P130" i="29"/>
  <c r="U37" i="32"/>
  <c r="P202" i="29"/>
  <c r="AH5" i="26"/>
  <c r="N154" i="29"/>
  <c r="P209" i="29"/>
  <c r="F32" i="17"/>
  <c r="O14" i="33"/>
  <c r="AH4" i="26"/>
  <c r="N150" i="29"/>
  <c r="F31" i="17"/>
  <c r="O13" i="33"/>
  <c r="P201" i="29"/>
  <c r="P213" i="29"/>
  <c r="S65" i="30"/>
  <c r="S83" i="30"/>
  <c r="S82" i="30"/>
  <c r="S64" i="30"/>
  <c r="U107" i="30"/>
  <c r="U95" i="30"/>
  <c r="S110" i="30"/>
  <c r="S86" i="30"/>
  <c r="S51" i="30"/>
  <c r="S35" i="30"/>
  <c r="S98" i="30"/>
  <c r="S68" i="30"/>
  <c r="S127" i="30"/>
  <c r="V107" i="30"/>
  <c r="V95" i="30"/>
  <c r="R88" i="30"/>
  <c r="R148" i="30"/>
  <c r="V5" i="30"/>
  <c r="V6" i="30" s="1"/>
  <c r="U6" i="30"/>
  <c r="R140" i="30"/>
  <c r="R87" i="30"/>
  <c r="R139" i="30"/>
  <c r="R69" i="30"/>
  <c r="R147" i="30"/>
  <c r="R70" i="30"/>
  <c r="R107" i="30"/>
  <c r="R112" i="30" s="1"/>
  <c r="R95"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AN28" i="26" l="1"/>
  <c r="L55" i="17"/>
  <c r="L56" i="17"/>
  <c r="AN29" i="26"/>
  <c r="L51" i="17"/>
  <c r="AN24" i="26"/>
  <c r="L45" i="17"/>
  <c r="AN18" i="26"/>
  <c r="L197" i="29"/>
  <c r="P194" i="29"/>
  <c r="AN17" i="26"/>
  <c r="L44" i="17"/>
  <c r="M187" i="29"/>
  <c r="M190" i="29" s="1"/>
  <c r="M193" i="29" s="1"/>
  <c r="M196" i="29" s="1"/>
  <c r="L187" i="29"/>
  <c r="L190" i="29" s="1"/>
  <c r="L193" i="29" s="1"/>
  <c r="L196" i="29" s="1"/>
  <c r="J187" i="29"/>
  <c r="N187" i="29"/>
  <c r="N190" i="29" s="1"/>
  <c r="N193" i="29" s="1"/>
  <c r="N196" i="29" s="1"/>
  <c r="K187" i="29"/>
  <c r="K190" i="29" s="1"/>
  <c r="K193" i="29" s="1"/>
  <c r="K196" i="29" s="1"/>
  <c r="R149" i="30"/>
  <c r="R100" i="30"/>
  <c r="S37" i="30"/>
  <c r="S36" i="30"/>
  <c r="U149" i="30"/>
  <c r="S148" i="30"/>
  <c r="S88" i="30"/>
  <c r="T127" i="30"/>
  <c r="T98" i="30"/>
  <c r="T68" i="30"/>
  <c r="T110" i="30"/>
  <c r="T86" i="30"/>
  <c r="T51" i="30"/>
  <c r="T35" i="30"/>
  <c r="T82" i="30"/>
  <c r="T65" i="30"/>
  <c r="T83" i="30"/>
  <c r="T64" i="30"/>
  <c r="V80" i="30"/>
  <c r="V62" i="30"/>
  <c r="V20" i="30"/>
  <c r="S69" i="30"/>
  <c r="S139" i="30"/>
  <c r="V149" i="30"/>
  <c r="S100" i="30"/>
  <c r="S112" i="30"/>
  <c r="S140" i="30"/>
  <c r="S87" i="30"/>
  <c r="U62" i="30"/>
  <c r="U80" i="30"/>
  <c r="U20" i="30"/>
  <c r="S70" i="30"/>
  <c r="S147" i="30"/>
  <c r="M6" i="21"/>
  <c r="N5" i="21"/>
  <c r="C94" i="18"/>
  <c r="E98" i="18"/>
  <c r="D98" i="18"/>
  <c r="C64" i="18"/>
  <c r="C47" i="18"/>
  <c r="C31" i="18"/>
  <c r="T94" i="30" l="1"/>
  <c r="T141" i="30" s="1"/>
  <c r="T106" i="30"/>
  <c r="O17" i="33"/>
  <c r="P197" i="29"/>
  <c r="S94" i="30"/>
  <c r="S106" i="30"/>
  <c r="S111" i="30" s="1"/>
  <c r="U94" i="30"/>
  <c r="U141" i="30" s="1"/>
  <c r="U106" i="30"/>
  <c r="T107" i="30"/>
  <c r="T95" i="30"/>
  <c r="T149" i="30" s="1"/>
  <c r="U39" i="32"/>
  <c r="P204" i="29"/>
  <c r="J190" i="29"/>
  <c r="V106" i="30"/>
  <c r="V94" i="30"/>
  <c r="V141" i="30" s="1"/>
  <c r="T139" i="30"/>
  <c r="T69" i="30"/>
  <c r="T37" i="30"/>
  <c r="T36" i="30"/>
  <c r="T148" i="30"/>
  <c r="T88" i="30"/>
  <c r="T100" i="30"/>
  <c r="T99" i="30"/>
  <c r="U64" i="30"/>
  <c r="U83" i="30"/>
  <c r="U65" i="30"/>
  <c r="U82" i="30"/>
  <c r="U110" i="30"/>
  <c r="U98" i="30"/>
  <c r="U68" i="30"/>
  <c r="U127" i="30"/>
  <c r="U51" i="30"/>
  <c r="U35" i="30"/>
  <c r="U86" i="30"/>
  <c r="V127" i="30"/>
  <c r="V51" i="30"/>
  <c r="V35" i="30"/>
  <c r="V86" i="30"/>
  <c r="V110" i="30"/>
  <c r="V68" i="30"/>
  <c r="V98" i="30"/>
  <c r="T147" i="30"/>
  <c r="T70" i="30"/>
  <c r="V83" i="30"/>
  <c r="V82" i="30"/>
  <c r="V64" i="30"/>
  <c r="V65" i="30"/>
  <c r="P21" i="30"/>
  <c r="P45" i="30" s="1"/>
  <c r="T140" i="30"/>
  <c r="T87" i="30"/>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J193" i="29" l="1"/>
  <c r="P206" i="29"/>
  <c r="S141" i="30"/>
  <c r="S99" i="30"/>
  <c r="L47" i="17"/>
  <c r="AN20" i="26"/>
  <c r="P14" i="30"/>
  <c r="O20" i="33"/>
  <c r="P215" i="29"/>
  <c r="V139" i="30"/>
  <c r="V69" i="30"/>
  <c r="V112" i="30"/>
  <c r="V111" i="30"/>
  <c r="V148" i="30"/>
  <c r="V88" i="30"/>
  <c r="V100" i="30"/>
  <c r="V99" i="30"/>
  <c r="V37" i="30"/>
  <c r="V36" i="30"/>
  <c r="U147" i="30"/>
  <c r="U70" i="30"/>
  <c r="V70" i="30"/>
  <c r="V147" i="30"/>
  <c r="U36" i="30"/>
  <c r="U37" i="30"/>
  <c r="U100" i="30"/>
  <c r="U99" i="30"/>
  <c r="U148" i="30"/>
  <c r="U88" i="30"/>
  <c r="U112" i="30"/>
  <c r="U111" i="30"/>
  <c r="U69" i="30"/>
  <c r="P71" i="30" s="1"/>
  <c r="U139" i="30"/>
  <c r="V140" i="30"/>
  <c r="V87" i="30"/>
  <c r="U87" i="30"/>
  <c r="U140" i="30"/>
  <c r="S5" i="21"/>
  <c r="R6" i="21"/>
  <c r="C83" i="18"/>
  <c r="C148" i="18" s="1"/>
  <c r="C140" i="18"/>
  <c r="P78" i="18"/>
  <c r="P114" i="30" l="1"/>
  <c r="P117" i="30" s="1"/>
  <c r="P102" i="30"/>
  <c r="J196" i="29"/>
  <c r="P193" i="29"/>
  <c r="L57" i="17"/>
  <c r="AN30" i="26"/>
  <c r="AN22" i="26"/>
  <c r="L49" i="17"/>
  <c r="P60" i="30"/>
  <c r="P44" i="30"/>
  <c r="P77" i="30"/>
  <c r="R32" i="30"/>
  <c r="P119" i="30"/>
  <c r="P121" i="30" s="1"/>
  <c r="P90" i="30"/>
  <c r="P72" i="30"/>
  <c r="P89" i="30"/>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124" i="30" l="1"/>
  <c r="S124" i="30"/>
  <c r="V124" i="30"/>
  <c r="T124" i="30"/>
  <c r="U124" i="30"/>
  <c r="R37" i="30"/>
  <c r="P39" i="30" s="1"/>
  <c r="R145" i="30"/>
  <c r="O16" i="33"/>
  <c r="P196" i="29"/>
  <c r="V48" i="30"/>
  <c r="U48" i="30"/>
  <c r="S48" i="30"/>
  <c r="T48" i="30"/>
  <c r="R48" i="30"/>
  <c r="R106" i="30"/>
  <c r="R111" i="30" s="1"/>
  <c r="P113" i="30" s="1"/>
  <c r="P116" i="30" s="1"/>
  <c r="R94" i="30"/>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G31" i="20"/>
  <c r="G32" i="20" s="1"/>
  <c r="H31" i="20"/>
  <c r="G29" i="20"/>
  <c r="H29" i="20"/>
  <c r="J31" i="20"/>
  <c r="L29" i="20"/>
  <c r="M29" i="20"/>
  <c r="N29" i="20"/>
  <c r="N31"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U16" i="22"/>
  <c r="J20" i="22"/>
  <c r="N20" i="22"/>
  <c r="U21" i="22"/>
  <c r="U31" i="22"/>
  <c r="J37" i="22"/>
  <c r="N37" i="22"/>
  <c r="M38" i="22"/>
  <c r="L39" i="22"/>
  <c r="K40" i="22"/>
  <c r="J41" i="22"/>
  <c r="M42" i="22"/>
  <c r="U47" i="22"/>
  <c r="S80" i="21"/>
  <c r="S62" i="21"/>
  <c r="S20" i="21"/>
  <c r="R64" i="21"/>
  <c r="R82" i="21"/>
  <c r="R83" i="21"/>
  <c r="R65" i="21"/>
  <c r="T6" i="21"/>
  <c r="U5" i="21"/>
  <c r="R98" i="21"/>
  <c r="R68" i="21"/>
  <c r="R127" i="21"/>
  <c r="R110" i="21"/>
  <c r="R86" i="21"/>
  <c r="R35" i="21"/>
  <c r="R51" i="21"/>
  <c r="G6" i="18"/>
  <c r="H5" i="18"/>
  <c r="F6" i="4"/>
  <c r="R141" i="30" l="1"/>
  <c r="R99" i="30"/>
  <c r="P101" i="30" s="1"/>
  <c r="T129" i="30"/>
  <c r="T150" i="30"/>
  <c r="U53" i="30"/>
  <c r="U146" i="30"/>
  <c r="U151" i="30" s="1"/>
  <c r="U157" i="30" s="1"/>
  <c r="V150" i="30"/>
  <c r="V129" i="30"/>
  <c r="S146" i="30"/>
  <c r="S151" i="30" s="1"/>
  <c r="S157" i="30" s="1"/>
  <c r="S53" i="30"/>
  <c r="R146" i="30"/>
  <c r="R151" i="30" s="1"/>
  <c r="R157" i="30" s="1"/>
  <c r="R53" i="30"/>
  <c r="V53" i="30"/>
  <c r="V146" i="30"/>
  <c r="V151" i="30" s="1"/>
  <c r="V157" i="30" s="1"/>
  <c r="S129" i="30"/>
  <c r="S150" i="30"/>
  <c r="T53" i="30"/>
  <c r="T146" i="30"/>
  <c r="T151" i="30" s="1"/>
  <c r="T157" i="30" s="1"/>
  <c r="O19" i="33"/>
  <c r="P13" i="30"/>
  <c r="P207" i="29"/>
  <c r="U129" i="30"/>
  <c r="U150" i="30"/>
  <c r="R129" i="30"/>
  <c r="P131" i="30" s="1"/>
  <c r="R150" i="30"/>
  <c r="L31" i="20"/>
  <c r="L32" i="20" s="1"/>
  <c r="K29" i="20"/>
  <c r="I29" i="20"/>
  <c r="J29" i="20"/>
  <c r="N62" i="20"/>
  <c r="J73" i="20"/>
  <c r="M62" i="20"/>
  <c r="H32" i="20"/>
  <c r="L73" i="20"/>
  <c r="H20" i="20"/>
  <c r="H21" i="20" s="1"/>
  <c r="H18" i="20"/>
  <c r="J74" i="20"/>
  <c r="G99" i="20"/>
  <c r="L13" i="17" s="1"/>
  <c r="L74" i="20"/>
  <c r="K62" i="20"/>
  <c r="M31" i="20"/>
  <c r="M32" i="20" s="1"/>
  <c r="K31" i="20"/>
  <c r="K32" i="20" s="1"/>
  <c r="I31" i="20"/>
  <c r="I32" i="20" s="1"/>
  <c r="H15" i="20"/>
  <c r="N63" i="20"/>
  <c r="N73" i="20"/>
  <c r="K74" i="20"/>
  <c r="M63" i="20"/>
  <c r="I17" i="20"/>
  <c r="G94" i="20"/>
  <c r="L9" i="17" s="1"/>
  <c r="J62" i="20"/>
  <c r="N32" i="20"/>
  <c r="J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R147" i="21"/>
  <c r="R70" i="21"/>
  <c r="R88" i="21"/>
  <c r="R148" i="21"/>
  <c r="S83" i="21"/>
  <c r="S64" i="21"/>
  <c r="S65" i="21"/>
  <c r="S82" i="21"/>
  <c r="T62" i="21"/>
  <c r="T80" i="21"/>
  <c r="T20" i="21"/>
  <c r="R139" i="21"/>
  <c r="R69" i="21"/>
  <c r="S127" i="21"/>
  <c r="S51" i="21"/>
  <c r="S35" i="21"/>
  <c r="S110" i="21"/>
  <c r="S86" i="21"/>
  <c r="S98" i="21"/>
  <c r="S68" i="21"/>
  <c r="V5" i="21"/>
  <c r="V6" i="21" s="1"/>
  <c r="U6" i="21"/>
  <c r="R140" i="21"/>
  <c r="R87" i="21"/>
  <c r="H6" i="18"/>
  <c r="I5" i="18"/>
  <c r="C14" i="9"/>
  <c r="C13" i="9"/>
  <c r="E19" i="9"/>
  <c r="E20" i="9"/>
  <c r="G34" i="17" l="1"/>
  <c r="AI7" i="26"/>
  <c r="AK7" i="26"/>
  <c r="I34" i="17"/>
  <c r="K34" i="17"/>
  <c r="AM7" i="26"/>
  <c r="AN23" i="26"/>
  <c r="L50" i="17"/>
  <c r="AJ7" i="26"/>
  <c r="H34" i="17"/>
  <c r="J34" i="17"/>
  <c r="AL7" i="26"/>
  <c r="P118" i="30"/>
  <c r="P120" i="30" s="1"/>
  <c r="P76" i="30"/>
  <c r="R31" i="30"/>
  <c r="P59" i="30"/>
  <c r="P43" i="30"/>
  <c r="P55" i="30"/>
  <c r="G106" i="20"/>
  <c r="L10" i="17" s="1"/>
  <c r="G100" i="20"/>
  <c r="G101" i="20"/>
  <c r="G102" i="20"/>
  <c r="I14" i="20"/>
  <c r="J13" i="20"/>
  <c r="I15" i="20"/>
  <c r="G97" i="20"/>
  <c r="G96" i="20"/>
  <c r="G95" i="20"/>
  <c r="I20" i="20"/>
  <c r="I21" i="20" s="1"/>
  <c r="I18" i="20"/>
  <c r="J17" i="20"/>
  <c r="G110" i="20"/>
  <c r="L14" i="17" s="1"/>
  <c r="N188" i="20"/>
  <c r="J188" i="20"/>
  <c r="K188" i="20"/>
  <c r="L188" i="20"/>
  <c r="M188" i="20"/>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S139" i="21"/>
  <c r="S69" i="21"/>
  <c r="V62" i="21"/>
  <c r="V20" i="21"/>
  <c r="V80" i="21"/>
  <c r="S87" i="21"/>
  <c r="S140" i="21"/>
  <c r="S70" i="21"/>
  <c r="S147" i="21"/>
  <c r="U62" i="21"/>
  <c r="U80" i="21"/>
  <c r="U20" i="21"/>
  <c r="T65" i="21"/>
  <c r="T83" i="21"/>
  <c r="T82" i="21"/>
  <c r="T64" i="21"/>
  <c r="S88" i="21"/>
  <c r="S148" i="21"/>
  <c r="I6" i="18"/>
  <c r="J5" i="18"/>
  <c r="E17" i="9"/>
  <c r="E16" i="9"/>
  <c r="R137" i="30" l="1"/>
  <c r="R36" i="30"/>
  <c r="P38" i="30" s="1"/>
  <c r="U47" i="30"/>
  <c r="T47" i="30"/>
  <c r="R47" i="30"/>
  <c r="S47" i="30"/>
  <c r="V47" i="30"/>
  <c r="T123" i="30"/>
  <c r="U123" i="30"/>
  <c r="R123" i="30"/>
  <c r="V123" i="30"/>
  <c r="S123"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J46" i="20"/>
  <c r="L47" i="20"/>
  <c r="L63" i="22" s="1"/>
  <c r="J48" i="20"/>
  <c r="M47" i="20"/>
  <c r="N48" i="20"/>
  <c r="N64" i="22" s="1"/>
  <c r="N47" i="20"/>
  <c r="N63" i="22" s="1"/>
  <c r="L49" i="20"/>
  <c r="L65" i="22" s="1"/>
  <c r="J47" i="20"/>
  <c r="J50" i="20"/>
  <c r="M48" i="20"/>
  <c r="M64" i="22" s="1"/>
  <c r="M46" i="20"/>
  <c r="N50" i="20"/>
  <c r="K48" i="20"/>
  <c r="K64" i="22" s="1"/>
  <c r="K49" i="20"/>
  <c r="K65" i="22" s="1"/>
  <c r="L50" i="20"/>
  <c r="L66" i="22" s="1"/>
  <c r="J51" i="20"/>
  <c r="J67" i="22" s="1"/>
  <c r="J49" i="20"/>
  <c r="J65" i="22" s="1"/>
  <c r="M51" i="20"/>
  <c r="M67" i="22" s="1"/>
  <c r="M50" i="20"/>
  <c r="M66" i="22" s="1"/>
  <c r="N49" i="20"/>
  <c r="G108" i="20"/>
  <c r="G107" i="20"/>
  <c r="G111" i="20"/>
  <c r="G112" i="20"/>
  <c r="J42" i="20"/>
  <c r="J57" i="22" s="1"/>
  <c r="K44" i="20"/>
  <c r="K59" i="22" s="1"/>
  <c r="L40" i="20"/>
  <c r="M43" i="20"/>
  <c r="M40" i="20"/>
  <c r="M55" i="22" s="1"/>
  <c r="K39" i="20"/>
  <c r="M41" i="20"/>
  <c r="M56" i="22" s="1"/>
  <c r="L39" i="20"/>
  <c r="N41" i="20"/>
  <c r="N56" i="22" s="1"/>
  <c r="K41" i="20"/>
  <c r="K56" i="22" s="1"/>
  <c r="L44" i="20"/>
  <c r="L59" i="22" s="1"/>
  <c r="J39" i="20"/>
  <c r="L41" i="20"/>
  <c r="N43" i="20"/>
  <c r="N58" i="22" s="1"/>
  <c r="J40" i="20"/>
  <c r="L42" i="20"/>
  <c r="L57" i="22" s="1"/>
  <c r="N44" i="20"/>
  <c r="N59" i="22" s="1"/>
  <c r="K40" i="20"/>
  <c r="K55" i="22" s="1"/>
  <c r="M42" i="20"/>
  <c r="M57" i="22" s="1"/>
  <c r="K42" i="20"/>
  <c r="K57" i="22" s="1"/>
  <c r="M44" i="20"/>
  <c r="M59" i="22" s="1"/>
  <c r="K43" i="20"/>
  <c r="K58" i="22" s="1"/>
  <c r="J41" i="20"/>
  <c r="L43" i="20"/>
  <c r="M39" i="20"/>
  <c r="M57" i="20" s="1"/>
  <c r="M138" i="20" s="1"/>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M63" i="22"/>
  <c r="K63" i="22"/>
  <c r="N65" i="22"/>
  <c r="J63" i="22"/>
  <c r="L64" i="22"/>
  <c r="N66" i="22"/>
  <c r="J64" i="22"/>
  <c r="U14" i="26"/>
  <c r="AW14" i="26" s="1"/>
  <c r="G56" i="23"/>
  <c r="J56" i="22"/>
  <c r="L56" i="22"/>
  <c r="L55" i="22"/>
  <c r="M58" i="22"/>
  <c r="L58" i="22"/>
  <c r="J55" i="22"/>
  <c r="T148" i="21"/>
  <c r="T88" i="21"/>
  <c r="T69" i="21"/>
  <c r="T139" i="21"/>
  <c r="U98" i="21"/>
  <c r="U68" i="21"/>
  <c r="U110" i="21"/>
  <c r="U86" i="21"/>
  <c r="U51" i="21"/>
  <c r="U127" i="21"/>
  <c r="U35" i="21"/>
  <c r="V64" i="21"/>
  <c r="V82" i="21"/>
  <c r="V65" i="21"/>
  <c r="V83" i="21"/>
  <c r="T87" i="21"/>
  <c r="T140" i="21"/>
  <c r="T36" i="21"/>
  <c r="T37" i="21"/>
  <c r="U82" i="21"/>
  <c r="U65" i="21"/>
  <c r="U64" i="21"/>
  <c r="U83" i="21"/>
  <c r="T70" i="21"/>
  <c r="T14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S142" i="30" l="1"/>
  <c r="S128" i="30"/>
  <c r="T52" i="30"/>
  <c r="T138" i="30"/>
  <c r="T143" i="30" s="1"/>
  <c r="T156" i="30" s="1"/>
  <c r="V142" i="30"/>
  <c r="V128" i="30"/>
  <c r="V52" i="30"/>
  <c r="V138" i="30"/>
  <c r="V143" i="30" s="1"/>
  <c r="V156" i="30" s="1"/>
  <c r="U138" i="30"/>
  <c r="U143" i="30" s="1"/>
  <c r="U156" i="30" s="1"/>
  <c r="U52" i="30"/>
  <c r="T128" i="30"/>
  <c r="T142" i="30"/>
  <c r="R128" i="30"/>
  <c r="R142" i="30"/>
  <c r="S52" i="30"/>
  <c r="S138" i="30"/>
  <c r="S143" i="30" s="1"/>
  <c r="S156" i="30" s="1"/>
  <c r="U142" i="30"/>
  <c r="U128" i="30"/>
  <c r="R52" i="30"/>
  <c r="R138" i="30"/>
  <c r="R143" i="30" s="1"/>
  <c r="R156" i="30" s="1"/>
  <c r="K57" i="20"/>
  <c r="K138" i="20" s="1"/>
  <c r="J57" i="20"/>
  <c r="J138" i="20" s="1"/>
  <c r="J162"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181" i="20"/>
  <c r="J140" i="20"/>
  <c r="J68" i="20"/>
  <c r="J142" i="20" s="1"/>
  <c r="J166" i="20" s="1"/>
  <c r="M68" i="20"/>
  <c r="M142" i="20" s="1"/>
  <c r="K68" i="20"/>
  <c r="K142" i="20" s="1"/>
  <c r="K64" i="20"/>
  <c r="N64" i="20"/>
  <c r="M64" i="20"/>
  <c r="J64" i="20"/>
  <c r="J81" i="20" s="1"/>
  <c r="L64" i="20"/>
  <c r="N68" i="20"/>
  <c r="N142" i="20" s="1"/>
  <c r="K14" i="20"/>
  <c r="K15" i="20"/>
  <c r="L13" i="20"/>
  <c r="P211" i="20" s="1"/>
  <c r="K161" i="20"/>
  <c r="K162"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U147" i="21"/>
  <c r="U70" i="21"/>
  <c r="V140" i="21"/>
  <c r="V87" i="21"/>
  <c r="V139" i="21"/>
  <c r="V69" i="21"/>
  <c r="U148" i="21"/>
  <c r="U88" i="21"/>
  <c r="U69" i="21"/>
  <c r="U139" i="21"/>
  <c r="V147" i="21"/>
  <c r="V70" i="21"/>
  <c r="U140" i="21"/>
  <c r="U87" i="21"/>
  <c r="V36" i="21"/>
  <c r="V37" i="21"/>
  <c r="V88" i="21"/>
  <c r="V148" i="21"/>
  <c r="U37" i="21"/>
  <c r="U36" i="21"/>
  <c r="K6" i="18"/>
  <c r="L5" i="18"/>
  <c r="I5" i="4"/>
  <c r="I6" i="4" s="1"/>
  <c r="J171" i="4"/>
  <c r="P54" i="30" l="1"/>
  <c r="P130" i="30"/>
  <c r="AI6" i="26"/>
  <c r="G33" i="17"/>
  <c r="AJ6" i="26"/>
  <c r="H33" i="17"/>
  <c r="AM6" i="26"/>
  <c r="K33" i="17"/>
  <c r="I33" i="17"/>
  <c r="AK6" i="26"/>
  <c r="J33" i="17"/>
  <c r="AL6" i="26"/>
  <c r="P203" i="20"/>
  <c r="U19" i="26" s="1"/>
  <c r="AW19" i="26" s="1"/>
  <c r="U26" i="26"/>
  <c r="AW26" i="26" s="1"/>
  <c r="L26" i="17"/>
  <c r="J182" i="20"/>
  <c r="K86" i="20"/>
  <c r="K61" i="23" s="1"/>
  <c r="L161" i="20"/>
  <c r="L162" i="20" s="1"/>
  <c r="K163" i="20"/>
  <c r="L14" i="20"/>
  <c r="M13" i="20"/>
  <c r="L15" i="20"/>
  <c r="P212" i="20"/>
  <c r="L27" i="17" s="1"/>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P72" i="21"/>
  <c r="P89" i="21"/>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P90" i="21"/>
  <c r="J61" i="23"/>
  <c r="J55" i="23"/>
  <c r="L55" i="23"/>
  <c r="M26" i="23"/>
  <c r="L60" i="22"/>
  <c r="L18" i="23"/>
  <c r="U67" i="23"/>
  <c r="N47" i="23"/>
  <c r="N68" i="22"/>
  <c r="P71" i="21"/>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K191" i="20" s="1"/>
  <c r="K194" i="20" s="1"/>
  <c r="K197" i="20" s="1"/>
  <c r="G120" i="20"/>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J191" i="20"/>
  <c r="N14" i="20"/>
  <c r="N15" i="20"/>
  <c r="M85" i="20"/>
  <c r="M79" i="20"/>
  <c r="M30" i="23" s="1"/>
  <c r="M84" i="20"/>
  <c r="M59" i="23" s="1"/>
  <c r="M80" i="20"/>
  <c r="M31" i="23" s="1"/>
  <c r="M86" i="20"/>
  <c r="M61" i="23" s="1"/>
  <c r="M81" i="20"/>
  <c r="M32" i="23" s="1"/>
  <c r="R6" i="18"/>
  <c r="R80" i="18" s="1"/>
  <c r="S5" i="18"/>
  <c r="N6" i="18"/>
  <c r="L5" i="4"/>
  <c r="L6" i="4" s="1"/>
  <c r="M60" i="23" l="1"/>
  <c r="L16" i="17"/>
  <c r="L185" i="20"/>
  <c r="M173" i="20"/>
  <c r="M184" i="20" s="1"/>
  <c r="N171" i="20"/>
  <c r="N172" i="20" s="1"/>
  <c r="N173" i="20" s="1"/>
  <c r="N184" i="20" s="1"/>
  <c r="J194" i="20"/>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U16" i="26"/>
  <c r="AW16" i="26" s="1"/>
  <c r="R20" i="18"/>
  <c r="R127" i="18" s="1"/>
  <c r="R62" i="18"/>
  <c r="S6" i="18"/>
  <c r="S80" i="18" s="1"/>
  <c r="T5" i="18"/>
  <c r="M5" i="4"/>
  <c r="M6" i="4" s="1"/>
  <c r="E2" i="9"/>
  <c r="E2" i="11"/>
  <c r="E2" i="8"/>
  <c r="P205" i="20" l="1"/>
  <c r="L21" i="17" s="1"/>
  <c r="G119" i="20"/>
  <c r="G63" i="23" s="1"/>
  <c r="F5" i="17"/>
  <c r="N154" i="20"/>
  <c r="P209" i="20"/>
  <c r="O5" i="26"/>
  <c r="AQ5" i="26" s="1"/>
  <c r="O14" i="24"/>
  <c r="G116" i="20"/>
  <c r="G34" i="23" s="1"/>
  <c r="F4" i="17"/>
  <c r="N150" i="20"/>
  <c r="P201" i="20"/>
  <c r="N33" i="23"/>
  <c r="U33" i="23" s="1"/>
  <c r="M185" i="20"/>
  <c r="M191" i="20" s="1"/>
  <c r="M194" i="20" s="1"/>
  <c r="M197" i="20" s="1"/>
  <c r="L191" i="20"/>
  <c r="P125" i="20"/>
  <c r="P210" i="20" s="1"/>
  <c r="L25" i="17" s="1"/>
  <c r="L15" i="17"/>
  <c r="U15" i="26"/>
  <c r="AW15" i="26" s="1"/>
  <c r="O13" i="24"/>
  <c r="P131" i="20"/>
  <c r="J197" i="20"/>
  <c r="N185" i="20"/>
  <c r="N191" i="20" s="1"/>
  <c r="N194" i="20" s="1"/>
  <c r="N197" i="20" s="1"/>
  <c r="R110" i="18"/>
  <c r="R86" i="18"/>
  <c r="R98" i="18"/>
  <c r="R51" i="18"/>
  <c r="R68" i="18"/>
  <c r="R35" i="18"/>
  <c r="S20" i="18"/>
  <c r="S127" i="18" s="1"/>
  <c r="S62" i="18"/>
  <c r="U5" i="18"/>
  <c r="T6" i="18"/>
  <c r="T80" i="18" s="1"/>
  <c r="N5" i="4"/>
  <c r="N6" i="4" s="1"/>
  <c r="G25" i="4"/>
  <c r="M25" i="4"/>
  <c r="L25" i="4"/>
  <c r="K25" i="4"/>
  <c r="J25" i="4"/>
  <c r="I25" i="4"/>
  <c r="H25" i="4"/>
  <c r="G14" i="4"/>
  <c r="G28" i="4"/>
  <c r="G17" i="4"/>
  <c r="U66" i="23" l="1"/>
  <c r="U11" i="26"/>
  <c r="AW11" i="26" s="1"/>
  <c r="L24" i="17"/>
  <c r="U24" i="26"/>
  <c r="AW24" i="26" s="1"/>
  <c r="G117" i="20"/>
  <c r="L11" i="17"/>
  <c r="L194" i="20"/>
  <c r="P214" i="20"/>
  <c r="L29" i="17" s="1"/>
  <c r="P213" i="20"/>
  <c r="L28" i="17" s="1"/>
  <c r="L17" i="17"/>
  <c r="U17" i="26"/>
  <c r="AW17" i="26" s="1"/>
  <c r="U25" i="26"/>
  <c r="AW25" i="26" s="1"/>
  <c r="U12" i="26"/>
  <c r="AW12" i="26" s="1"/>
  <c r="S98" i="18"/>
  <c r="S110" i="18"/>
  <c r="S68" i="18"/>
  <c r="S86" i="18"/>
  <c r="S35" i="18"/>
  <c r="S37" i="18" s="1"/>
  <c r="S51" i="18"/>
  <c r="T20" i="18"/>
  <c r="T127" i="18" s="1"/>
  <c r="T62" i="18"/>
  <c r="V5" i="18"/>
  <c r="V6" i="18" s="1"/>
  <c r="V80" i="18" s="1"/>
  <c r="U6" i="18"/>
  <c r="U80" i="18" s="1"/>
  <c r="N25" i="4"/>
  <c r="G29" i="4"/>
  <c r="G31" i="4"/>
  <c r="H28" i="4"/>
  <c r="L12" i="17" l="1"/>
  <c r="P124" i="20"/>
  <c r="L197" i="20"/>
  <c r="T95" i="21" s="1"/>
  <c r="T100" i="21" s="1"/>
  <c r="P194" i="20"/>
  <c r="P197" i="20" s="1"/>
  <c r="P215" i="20" s="1"/>
  <c r="L30" i="17" s="1"/>
  <c r="U21" i="26"/>
  <c r="AW21" i="26" s="1"/>
  <c r="U37" i="23"/>
  <c r="S107" i="21"/>
  <c r="S112" i="21" s="1"/>
  <c r="S95" i="21"/>
  <c r="U68" i="23"/>
  <c r="U27" i="26"/>
  <c r="AW27" i="26" s="1"/>
  <c r="U28" i="26"/>
  <c r="AW28" i="26" s="1"/>
  <c r="U107" i="21"/>
  <c r="U112" i="21" s="1"/>
  <c r="U95" i="21"/>
  <c r="V107" i="21"/>
  <c r="V112" i="21" s="1"/>
  <c r="V95" i="2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T107" i="21" l="1"/>
  <c r="T112" i="21" s="1"/>
  <c r="P130" i="20"/>
  <c r="P202" i="20"/>
  <c r="T149" i="21"/>
  <c r="S149" i="21"/>
  <c r="S100" i="21"/>
  <c r="U29" i="26"/>
  <c r="AW29" i="26" s="1"/>
  <c r="U149" i="21"/>
  <c r="U100" i="21"/>
  <c r="V149" i="21"/>
  <c r="V100" i="21"/>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L18" i="17" l="1"/>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S106" i="21" l="1"/>
  <c r="S111" i="21" s="1"/>
  <c r="U106" i="21"/>
  <c r="U111" i="21" s="1"/>
  <c r="T94" i="21"/>
  <c r="T141" i="21" s="1"/>
  <c r="U39" i="23"/>
  <c r="V106" i="21"/>
  <c r="V111" i="21" s="1"/>
  <c r="V94" i="21"/>
  <c r="J190" i="20"/>
  <c r="P204" i="20"/>
  <c r="O17" i="24"/>
  <c r="R95" i="21"/>
  <c r="R107" i="21"/>
  <c r="R112" i="21" s="1"/>
  <c r="P114" i="21" s="1"/>
  <c r="P117" i="21" s="1"/>
  <c r="S141" i="21"/>
  <c r="S99" i="21"/>
  <c r="U141" i="21"/>
  <c r="U99" i="21"/>
  <c r="L28" i="4"/>
  <c r="K29" i="4"/>
  <c r="K31" i="4"/>
  <c r="K32" i="4" s="1"/>
  <c r="N19" i="6"/>
  <c r="N17" i="6"/>
  <c r="N15" i="6"/>
  <c r="N6" i="6"/>
  <c r="N13" i="6"/>
  <c r="N11" i="6"/>
  <c r="N9" i="6"/>
  <c r="N7" i="6"/>
  <c r="N5" i="6"/>
  <c r="N18" i="6"/>
  <c r="N16" i="6"/>
  <c r="N14" i="6"/>
  <c r="N12" i="6"/>
  <c r="N10" i="6"/>
  <c r="N8" i="6"/>
  <c r="T99" i="21" l="1"/>
  <c r="L20" i="17"/>
  <c r="U20" i="26"/>
  <c r="AW20" i="26" s="1"/>
  <c r="J193" i="20"/>
  <c r="P206" i="20"/>
  <c r="V99" i="21"/>
  <c r="V141" i="21"/>
  <c r="P14" i="21"/>
  <c r="O20" i="24"/>
  <c r="U30" i="26"/>
  <c r="AW30" i="26" s="1"/>
  <c r="R100" i="21"/>
  <c r="P102" i="21" s="1"/>
  <c r="R149" i="21"/>
  <c r="M28" i="4"/>
  <c r="L29" i="4"/>
  <c r="L31" i="4"/>
  <c r="L32" i="4" s="1"/>
  <c r="G26" i="4"/>
  <c r="L22" i="17" l="1"/>
  <c r="U22" i="26"/>
  <c r="AW22" i="26" s="1"/>
  <c r="P193" i="20"/>
  <c r="P196" i="20" s="1"/>
  <c r="P207" i="20" s="1"/>
  <c r="L23" i="17" s="1"/>
  <c r="J196" i="20"/>
  <c r="R106" i="21" s="1"/>
  <c r="R111" i="21" s="1"/>
  <c r="P113" i="21" s="1"/>
  <c r="P116" i="21" s="1"/>
  <c r="P44" i="21"/>
  <c r="R32" i="21"/>
  <c r="P60" i="21"/>
  <c r="P119" i="21"/>
  <c r="P121" i="21" s="1"/>
  <c r="P77" i="2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O16" i="24" l="1"/>
  <c r="R94" i="21"/>
  <c r="R99" i="21" s="1"/>
  <c r="P101" i="21" s="1"/>
  <c r="U124" i="21"/>
  <c r="R124" i="21"/>
  <c r="S124" i="21"/>
  <c r="T124" i="21"/>
  <c r="V124" i="21"/>
  <c r="O19" i="24"/>
  <c r="P13" i="21"/>
  <c r="U23" i="26"/>
  <c r="AW23" i="26" s="1"/>
  <c r="R37" i="21"/>
  <c r="P39" i="21" s="1"/>
  <c r="R145" i="21"/>
  <c r="T48" i="21"/>
  <c r="V48" i="21"/>
  <c r="R48" i="21"/>
  <c r="U48" i="21"/>
  <c r="S48" i="2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41" i="21" l="1"/>
  <c r="T129" i="21"/>
  <c r="T150" i="21"/>
  <c r="R146" i="21"/>
  <c r="R151" i="21" s="1"/>
  <c r="R157" i="21" s="1"/>
  <c r="R53" i="21"/>
  <c r="P43" i="21"/>
  <c r="P76" i="21"/>
  <c r="R31" i="21"/>
  <c r="P118" i="21"/>
  <c r="P120" i="21" s="1"/>
  <c r="P59" i="21"/>
  <c r="S129" i="21"/>
  <c r="S150" i="21"/>
  <c r="U146" i="21"/>
  <c r="U151" i="21" s="1"/>
  <c r="U157" i="21" s="1"/>
  <c r="U53" i="21"/>
  <c r="V146" i="21"/>
  <c r="V151" i="21" s="1"/>
  <c r="V157" i="21" s="1"/>
  <c r="V53" i="21"/>
  <c r="R150" i="21"/>
  <c r="R129" i="21"/>
  <c r="S146" i="21"/>
  <c r="S151" i="21" s="1"/>
  <c r="S157" i="21" s="1"/>
  <c r="S53" i="21"/>
  <c r="T146" i="21"/>
  <c r="T151" i="21" s="1"/>
  <c r="T157" i="21" s="1"/>
  <c r="T53" i="21"/>
  <c r="V129" i="21"/>
  <c r="V150" i="21"/>
  <c r="U129" i="21"/>
  <c r="U150"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7" i="26" l="1"/>
  <c r="AT7" i="26" s="1"/>
  <c r="I7" i="17"/>
  <c r="Q7" i="26"/>
  <c r="AS7" i="26" s="1"/>
  <c r="H7" i="17"/>
  <c r="T7" i="26"/>
  <c r="AV7" i="26" s="1"/>
  <c r="K7" i="17"/>
  <c r="S7" i="26"/>
  <c r="AU7" i="26" s="1"/>
  <c r="J7" i="17"/>
  <c r="P7" i="26"/>
  <c r="AR7" i="26" s="1"/>
  <c r="G7" i="17"/>
  <c r="P55" i="21"/>
  <c r="S123" i="21"/>
  <c r="V123" i="21"/>
  <c r="T123" i="21"/>
  <c r="U123" i="21"/>
  <c r="R123" i="21"/>
  <c r="R36" i="21"/>
  <c r="P38" i="21" s="1"/>
  <c r="R137" i="21"/>
  <c r="P131" i="21"/>
  <c r="R47" i="21"/>
  <c r="V47" i="21"/>
  <c r="T47" i="21"/>
  <c r="S47" i="21"/>
  <c r="U47" i="21"/>
  <c r="G27" i="11"/>
  <c r="U31" i="8"/>
  <c r="G94" i="4"/>
  <c r="L9" i="26" s="1"/>
  <c r="AD9" i="26" s="1"/>
  <c r="U49" i="8"/>
  <c r="U41" i="8"/>
  <c r="U42" i="8"/>
  <c r="U50" i="8"/>
  <c r="S138" i="21" l="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T6" i="26" l="1"/>
  <c r="AV6" i="26" s="1"/>
  <c r="K6" i="17"/>
  <c r="R6" i="26"/>
  <c r="AT6" i="26" s="1"/>
  <c r="I6" i="17"/>
  <c r="S6" i="26"/>
  <c r="AU6" i="26" s="1"/>
  <c r="J6" i="17"/>
  <c r="P6" i="26"/>
  <c r="AR6" i="26" s="1"/>
  <c r="G6" i="17"/>
  <c r="Q6" i="26"/>
  <c r="AS6" i="26" s="1"/>
  <c r="H6" i="17"/>
  <c r="P54" i="21"/>
  <c r="P130" i="21"/>
  <c r="G32" i="4"/>
  <c r="N152" i="4" l="1"/>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<sst xmlns="http://schemas.openxmlformats.org/spreadsheetml/2006/main" count="4980" uniqueCount="826">
  <si>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</si>
  <si>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</si>
  <si>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</si>
  <si>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</si>
  <si>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</si>
  <si>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</si>
  <si>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</si>
  <si>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</si>
  <si>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</si>
  <si>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</si>
  <si>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</si>
  <si>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</si>
  <si>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</si>
  <si>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</si>
  <si>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</si>
  <si>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</si>
  <si>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</si>
  <si>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</si>
  <si>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</si>
  <si>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</si>
  <si>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</si>
  <si>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</si>
  <si>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</si>
  <si>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</si>
  <si>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</si>
  <si>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</si>
  <si>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</si>
  <si>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</si>
  <si>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</si>
  <si>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</si>
  <si>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</si>
  <si>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</si>
  <si>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</si>
  <si>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</si>
  <si>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</si>
  <si>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</si>
  <si>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</si>
  <si>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</si>
  <si>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</si>
  <si>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</si>
  <si>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</si>
  <si>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</si>
  <si>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</si>
  <si>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</si>
  <si>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</si>
  <si>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</si>
  <si>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</si>
  <si>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</si>
  <si>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</si>
  <si>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</si>
  <si>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</si>
  <si>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</si>
  <si>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</si>
  <si>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</si>
  <si>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</si>
  <si>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</si>
  <si>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</si>
  <si>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</si>
  <si>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</si>
  <si>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</si>
  <si>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</si>
  <si>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</si>
  <si>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</si>
  <si>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</si>
  <si>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</si>
  <si>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</si>
  <si>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</si>
  <si>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</si>
  <si>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</si>
  <si>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</si>
  <si>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</si>
  <si>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</si>
  <si>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</si>
  <si>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</si>
  <si>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</si>
  <si>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</si>
  <si>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</si>
  <si>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</si>
  <si>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</si>
  <si>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</si>
  <si>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</si>
  <si>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</si>
  <si>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</si>
  <si>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</si>
  <si>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</si>
  <si>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</si>
  <si>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</si>
  <si>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</si>
  <si>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</si>
  <si>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</si>
  <si>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</si>
  <si>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</si>
  <si>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</si>
  <si>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</si>
  <si>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</si>
  <si>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</si>
  <si>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</si>
  <si>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</si>
  <si>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</si>
  <si>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</si>
  <si>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</si>
  <si>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</si>
  <si>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</si>
  <si>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</si>
  <si>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</si>
  <si>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</si>
  <si>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</si>
  <si>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</si>
  <si>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</si>
  <si>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</si>
  <si>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</si>
  <si>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</si>
  <si>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</si>
  <si>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</si>
  <si>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</si>
  <si>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</si>
  <si>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</si>
  <si>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</si>
  <si>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</si>
  <si>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</si>
  <si>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</si>
  <si>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</si>
  <si>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</si>
  <si>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</si>
  <si>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</si>
  <si>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</si>
  <si>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</si>
  <si>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</si>
  <si>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</si>
  <si>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</si>
  <si>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</si>
  <si>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</si>
  <si>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</si>
  <si>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</si>
  <si>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</si>
  <si>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</si>
  <si>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</si>
  <si>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</si>
  <si>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</si>
  <si>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</si>
  <si>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</si>
  <si>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</si>
  <si>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</si>
  <si>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</si>
  <si>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</si>
  <si>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</si>
  <si>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</si>
  <si>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</si>
  <si>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</si>
  <si>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</si>
  <si>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</si>
  <si>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</si>
  <si>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</si>
  <si>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</si>
  <si>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</si>
  <si>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</si>
  <si>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</si>
  <si>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</si>
  <si>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</si>
  <si>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</si>
  <si>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</si>
  <si>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</si>
  <si>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</si>
  <si>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</si>
  <si>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</si>
  <si>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</si>
  <si>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</si>
  <si>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</si>
  <si>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</si>
  <si>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</si>
  <si>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</si>
  <si>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</si>
  <si>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</si>
  <si>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</si>
  <si>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</si>
  <si>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</si>
  <si>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</si>
  <si>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</si>
  <si>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</si>
  <si>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</si>
  <si>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</si>
  <si>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</si>
  <si>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</si>
  <si>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</si>
  <si>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</si>
  <si>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</si>
  <si>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</si>
  <si>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</si>
  <si>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</si>
  <si>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</si>
  <si>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</si>
  <si>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</si>
  <si>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</si>
  <si>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</si>
  <si>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</si>
  <si>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</si>
  <si>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</si>
  <si>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</si>
  <si>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</si>
  <si>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</si>
  <si>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</si>
  <si>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</si>
  <si>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</si>
  <si>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</si>
  <si>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</si>
  <si>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</si>
  <si>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</si>
  <si>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</si>
  <si>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</si>
  <si>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</si>
  <si>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</si>
  <si>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</si>
  <si>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</si>
  <si>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</si>
  <si>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</si>
  <si>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</si>
  <si>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</si>
  <si>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</si>
  <si>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</si>
  <si>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</si>
  <si>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</si>
  <si>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</si>
  <si>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</si>
  <si>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</si>
  <si>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</si>
  <si>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</si>
  <si>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</si>
  <si>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</si>
  <si>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</si>
  <si>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</si>
  <si>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</si>
  <si>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</si>
  <si>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</si>
  <si>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</si>
  <si>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</si>
  <si>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</si>
  <si>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</si>
  <si>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</si>
  <si>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</si>
  <si>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</si>
  <si>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</si>
  <si>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</si>
  <si>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</si>
  <si>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</si>
  <si>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</si>
  <si>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</si>
  <si>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</si>
  <si>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</si>
  <si>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</si>
  <si>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</si>
  <si>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</si>
  <si>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</si>
  <si>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</si>
  <si>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</si>
  <si>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</si>
  <si>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</si>
  <si>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</si>
  <si>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</si>
  <si>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</si>
  <si>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</si>
  <si>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</si>
  <si>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</si>
  <si>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</si>
  <si>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</si>
  <si>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</si>
  <si>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</si>
  <si>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</si>
  <si>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</si>
  <si>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</si>
  <si>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</si>
  <si>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</si>
  <si>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</si>
  <si>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</si>
  <si>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</si>
  <si>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</si>
  <si>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</si>
  <si>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</si>
  <si>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</si>
  <si>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</si>
  <si>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</si>
  <si>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</si>
  <si>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</si>
  <si>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</si>
  <si>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</si>
  <si>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</si>
  <si>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</si>
  <si>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</si>
  <si>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</si>
  <si>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</si>
  <si>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</si>
  <si>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</si>
  <si>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</si>
  <si>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</si>
  <si>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</si>
  <si>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</si>
  <si>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</si>
  <si>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</si>
  <si>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</si>
  <si>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</si>
  <si>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</si>
  <si>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</si>
  <si>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</si>
  <si>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</si>
  <si>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</si>
  <si>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</si>
  <si>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</si>
  <si>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</si>
  <si>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</si>
  <si>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</si>
  <si>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</si>
  <si>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</si>
  <si>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</si>
  <si>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</si>
  <si>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</si>
  <si>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</si>
  <si>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</si>
  <si>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</si>
  <si>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</si>
  <si>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</si>
  <si>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</si>
  <si>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</si>
  <si>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</si>
  <si>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</si>
  <si>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</si>
  <si>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</si>
  <si>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</si>
  <si>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</si>
  <si>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</si>
  <si>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</si>
  <si>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</si>
  <si>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</si>
  <si>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</si>
  <si>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</si>
  <si>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</si>
  <si>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</si>
  <si>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</si>
  <si>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</si>
  <si>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</si>
  <si>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</si>
  <si>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</si>
  <si>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</si>
  <si>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</si>
  <si>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</si>
  <si>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</si>
  <si>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</si>
  <si>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</si>
  <si>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</si>
  <si>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</si>
  <si>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</si>
  <si>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</si>
  <si>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</si>
  <si>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</si>
  <si>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</si>
  <si>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</si>
  <si>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</si>
  <si>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</si>
  <si>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</si>
  <si>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</si>
  <si>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</si>
  <si>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</si>
  <si>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</si>
  <si>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</si>
  <si>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</si>
  <si>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</si>
  <si>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</si>
  <si>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</si>
  <si>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</si>
  <si>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</si>
  <si>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</si>
  <si>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</si>
  <si>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</si>
  <si>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</si>
  <si>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</si>
  <si>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</si>
  <si>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</si>
  <si>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</si>
  <si>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</si>
  <si>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</si>
  <si>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</si>
  <si>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</si>
  <si>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</si>
  <si>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</si>
  <si>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</si>
  <si>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</si>
  <si>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</si>
  <si>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</si>
  <si>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</si>
  <si>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</si>
  <si>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</si>
  <si>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</si>
  <si>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</si>
  <si>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</si>
  <si>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</si>
  <si>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</si>
  <si>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</si>
  <si>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</si>
  <si>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</si>
  <si>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</si>
  <si>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</si>
  <si>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</si>
  <si>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</si>
  <si>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</si>
  <si>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</si>
  <si>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</si>
  <si>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</si>
  <si>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</si>
  <si>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</si>
  <si>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</si>
  <si>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</si>
  <si>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</si>
  <si>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</si>
  <si>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</si>
  <si>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</si>
  <si>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</si>
  <si>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</si>
  <si>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</si>
  <si>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</si>
  <si>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</si>
  <si>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</si>
  <si>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</si>
  <si>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</si>
  <si>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</si>
  <si>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</si>
  <si>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</si>
  <si>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</si>
  <si>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</si>
  <si>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</si>
  <si>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</si>
  <si>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</si>
  <si>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</si>
  <si>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</si>
  <si>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</si>
  <si>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</si>
  <si>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</si>
  <si>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</si>
  <si>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</si>
  <si>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</si>
  <si>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</si>
  <si>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</si>
  <si>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</si>
  <si>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</si>
  <si>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</si>
  <si>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</si>
  <si>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</si>
  <si>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</si>
  <si>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</si>
  <si>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</si>
  <si>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</si>
  <si>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</si>
  <si>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</si>
  <si>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</si>
  <si>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</si>
  <si>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</si>
  <si>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</si>
  <si>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</si>
  <si>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</si>
  <si>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</si>
  <si>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</si>
  <si>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</si>
  <si>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</si>
  <si>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</si>
  <si>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</si>
  <si>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</si>
  <si>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</si>
  <si>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</si>
  <si>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</si>
  <si>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</si>
  <si>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</si>
  <si>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</si>
  <si>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</si>
  <si>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</si>
  <si>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</si>
  <si>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</si>
  <si>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</si>
  <si>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</si>
  <si>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</si>
  <si>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</si>
  <si>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</si>
  <si>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</si>
  <si>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</si>
  <si>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</si>
  <si>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</si>
  <si>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</si>
  <si>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</si>
  <si>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</si>
  <si>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</si>
  <si>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</si>
  <si>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</si>
  <si>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</si>
  <si>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</si>
  <si>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</si>
  <si>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</si>
  <si>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</si>
  <si>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</si>
  <si>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</si>
  <si>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</si>
  <si>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</si>
  <si>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</si>
  <si>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</si>
  <si>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</si>
  <si>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</si>
  <si>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</si>
  <si>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</si>
  <si>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</si>
  <si>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</si>
  <si>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</si>
  <si>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</si>
  <si>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</si>
  <si>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</si>
  <si>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</si>
  <si>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</si>
  <si>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</si>
  <si>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</si>
  <si>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</si>
  <si>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</si>
  <si>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</si>
  <si>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</si>
  <si>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</si>
  <si>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</si>
  <si>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</si>
  <si>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</si>
  <si>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</si>
  <si>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</si>
  <si>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</si>
  <si>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</si>
  <si>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</si>
  <si>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</si>
  <si>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</si>
  <si>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</si>
  <si>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</si>
  <si>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</si>
  <si>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</si>
  <si>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</si>
  <si>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</si>
  <si>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</si>
  <si>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</si>
  <si>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</si>
  <si>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</si>
  <si>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</si>
  <si>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</si>
  <si>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</si>
  <si>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</si>
  <si>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</si>
  <si>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</si>
  <si>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</si>
  <si>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</si>
  <si>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</si>
  <si>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</si>
  <si>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</si>
  <si>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</si>
  <si>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</si>
  <si>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</si>
  <si>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</si>
  <si>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</si>
  <si>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</si>
  <si>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</si>
  <si>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</si>
  <si>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</si>
  <si>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</si>
  <si>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</si>
  <si>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</si>
  <si>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</si>
  <si>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</si>
  <si>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</si>
  <si>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</si>
  <si>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</si>
  <si>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</si>
  <si>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</si>
  <si>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</si>
  <si>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</si>
  <si>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</si>
  <si>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</si>
  <si>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</si>
  <si>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</si>
  <si>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</si>
  <si>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</si>
  <si>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</si>
  <si>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</si>
  <si>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</si>
  <si>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</si>
  <si>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</si>
  <si>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</si>
  <si>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</si>
  <si>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</si>
  <si>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</si>
  <si>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</si>
  <si>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</si>
  <si>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</si>
  <si>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</si>
  <si>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</si>
  <si>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</si>
  <si>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</si>
  <si>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</si>
  <si>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</si>
  <si>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</si>
  <si>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</si>
  <si>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</si>
  <si>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</si>
  <si>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</si>
  <si>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</si>
  <si>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</si>
  <si>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</si>
  <si>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</si>
  <si>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</si>
  <si>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</si>
  <si>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</si>
  <si>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</si>
  <si>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</si>
  <si>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</si>
  <si>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</si>
  <si>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</si>
  <si>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</si>
  <si>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</si>
  <si>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</si>
  <si>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</si>
  <si>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</si>
  <si>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</si>
  <si>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</si>
  <si>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</si>
  <si>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</si>
  <si>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</si>
  <si>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</si>
  <si>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</si>
  <si>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</si>
  <si>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</si>
  <si>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</si>
  <si>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</si>
  <si>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</si>
  <si>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</si>
  <si>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</si>
  <si>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</si>
  <si>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</si>
  <si>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</si>
  <si>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</si>
  <si>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</si>
  <si>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</si>
  <si>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</si>
  <si>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</si>
  <si>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</si>
  <si>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</si>
  <si>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</si>
  <si>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</si>
  <si>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</si>
  <si>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</si>
  <si>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</si>
  <si>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</si>
  <si>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</si>
  <si>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</si>
  <si>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</si>
  <si>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</si>
  <si>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</si>
  <si>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</si>
  <si>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</si>
  <si>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</si>
  <si>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</si>
  <si>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</si>
  <si>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</si>
  <si>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</si>
  <si>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</si>
  <si>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</si>
  <si>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</si>
  <si>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</si>
  <si>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</si>
  <si>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</si>
  <si>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</si>
  <si>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</si>
  <si>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</si>
  <si>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</si>
  <si>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</si>
  <si>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</si>
  <si>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</si>
  <si>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</si>
  <si>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</si>
  <si>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</si>
  <si>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</si>
  <si>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</si>
  <si>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</si>
  <si>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</si>
  <si>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</si>
  <si>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</si>
  <si>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</si>
  <si>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</si>
  <si>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</si>
  <si>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</si>
  <si>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</si>
  <si>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</si>
  <si>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</si>
  <si>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</si>
  <si>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</si>
  <si>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</si>
  <si>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</si>
  <si>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</si>
  <si>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</si>
  <si>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</si>
  <si>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</si>
  <si>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</si>
  <si>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</si>
  <si>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</si>
  <si>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</si>
  <si>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</si>
  <si>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</si>
  <si>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</si>
  <si>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</si>
  <si>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</si>
  <si>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</si>
  <si>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</si>
  <si>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</si>
  <si>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</si>
  <si>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</si>
  <si>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</si>
  <si>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</si>
  <si>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</si>
  <si>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</si>
  <si>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</si>
  <si>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</si>
  <si>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</si>
  <si>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</si>
  <si>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</si>
  <si>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</si>
  <si>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</si>
  <si>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</si>
  <si>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</si>
  <si>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</si>
  <si>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</si>
  <si>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</si>
  <si>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</si>
  <si>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</si>
  <si>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</si>
  <si>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</si>
  <si>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</si>
  <si>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</si>
  <si>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</si>
  <si>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</si>
  <si>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</si>
  <si>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</si>
  <si>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</si>
  <si>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</si>
  <si>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</si>
  <si>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</si>
  <si>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</si>
  <si>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</si>
  <si>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</si>
  <si>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</si>
  <si>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</si>
  <si>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</si>
  <si>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</si>
  <si>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</si>
  <si>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</si>
  <si>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</si>
  <si>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</si>
  <si>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</si>
  <si>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</si>
  <si>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</si>
  <si>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</si>
  <si>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</si>
  <si>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</si>
  <si>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</si>
  <si>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</si>
  <si>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</si>
  <si>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</si>
  <si>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</si>
  <si>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</si>
  <si>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</si>
  <si>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</si>
  <si>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</si>
  <si>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</si>
  <si>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</si>
  <si>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</si>
  <si>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</si>
  <si>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</si>
  <si>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</si>
  <si>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</si>
  <si>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</si>
  <si>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</si>
  <si>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</si>
  <si>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</si>
  <si>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https://fntlive201/Fountain/rest-services_XLSPF</t>
  </si>
  <si>
    <t>agendaId</t>
  </si>
  <si>
    <t>1_XLSPF</t>
  </si>
  <si>
    <t>inputSheetLastUpdated</t>
  </si>
  <si>
    <t>PL14L012IN_BY</t>
  </si>
  <si>
    <t>SES Inputs as at FD</t>
  </si>
  <si>
    <t>companyId</t>
  </si>
  <si>
    <t>52_XLSPF</t>
  </si>
  <si>
    <t>companyName</t>
  </si>
  <si>
    <t>Sutton &amp; East Surrey Water Ltd_XLSPF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</si>
  <si>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</si>
  <si>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</si>
  <si>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</si>
  <si>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</si>
  <si>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</si>
  <si>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</si>
  <si>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</si>
  <si>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</si>
  <si>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</si>
  <si>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</si>
  <si>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</si>
  <si>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</si>
  <si>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</si>
  <si>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</si>
  <si>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</si>
  <si>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</si>
  <si>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</si>
  <si>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</si>
  <si>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</si>
  <si>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</si>
  <si>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</si>
  <si>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</si>
  <si>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</si>
  <si>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</si>
  <si>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</si>
  <si>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</si>
  <si>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</si>
  <si>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</si>
  <si>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</si>
  <si>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</si>
  <si>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</si>
  <si>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</si>
  <si>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SES</t>
  </si>
  <si>
    <t>27/09/2016 15:11:52_XLSPF</t>
  </si>
  <si>
    <t>9365_XLSPF</t>
  </si>
  <si>
    <t>OFWAT\Jenny.Ngai_XLSPF</t>
  </si>
  <si>
    <t>PL14L012_BY_XLSPF</t>
  </si>
  <si>
    <t>PL14L012_BY</t>
  </si>
  <si>
    <t>27/09/2016 15:13:02_XLSPF</t>
  </si>
  <si>
    <t>SES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</si>
</sst>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28" xfId="0" quotePrefix="1"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18" xfId="0"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7" fillId="22" borderId="18" xfId="0" quotePrefix="1" applyFont="1"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7" fillId="22" borderId="20"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65" fillId="25" borderId="28" xfId="0" applyFont="1" applyFill="1" applyBorder="1" applyAlignment="1">
      <alignment horizontal="center" wrapText="1"/>
    </xf>
    <xf numFmtId="0" fontId="65" fillId="25" borderId="28" xfId="0" applyFont="1" applyFill="1" applyBorder="1" applyAlignment="1">
      <alignment horizontal="center"/>
    </xf>
    <xf numFmtId="0" fontId="40" fillId="0" borderId="18" xfId="0" applyFont="1" applyFill="1" applyBorder="1" applyAlignment="1">
      <alignment horizontal="left" vertical="center"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3" fillId="23" borderId="28" xfId="0" applyFont="1" applyFill="1" applyBorder="1" applyAlignment="1">
      <alignment horizontal="center" vertical="center" wrapText="1"/>
    </xf>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0" fillId="0" borderId="19" xfId="0" applyBorder="1" applyAlignment="1">
      <alignment horizontal="left" vertical="top" wrapText="1"/>
    </xf>
    <xf numFmtId="0" fontId="0" fillId="0" borderId="27" xfId="0" applyBorder="1" applyAlignment="1">
      <alignment horizontal="left" vertical="top"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57" t="s">
        <v>488</v>
      </c>
      <c r="F6" s="758"/>
      <c r="G6" s="758"/>
      <c r="H6" s="758"/>
      <c r="I6" s="758"/>
      <c r="J6" s="758"/>
      <c r="K6" s="758"/>
      <c r="L6" s="758"/>
      <c r="M6" s="758"/>
      <c r="N6" s="759"/>
      <c r="O6" s="535" t="s">
        <v>489</v>
      </c>
    </row>
    <row r="7" spans="1:15" s="531" customFormat="1" ht="12.75" customHeight="1">
      <c r="B7" s="533"/>
      <c r="C7" s="536"/>
      <c r="D7" s="667"/>
      <c r="E7" s="545"/>
      <c r="F7" s="546" t="s">
        <v>410</v>
      </c>
      <c r="G7" s="546" t="s">
        <v>414</v>
      </c>
      <c r="H7" s="749" t="s">
        <v>491</v>
      </c>
      <c r="I7" s="749"/>
      <c r="J7" s="749"/>
      <c r="K7" s="749"/>
      <c r="L7" s="749"/>
      <c r="M7" s="749"/>
      <c r="N7" s="750"/>
      <c r="O7" s="546"/>
    </row>
    <row r="8" spans="1:15" s="531" customFormat="1" ht="45" customHeight="1">
      <c r="B8" s="533"/>
      <c r="C8" s="766" t="s">
        <v>613</v>
      </c>
      <c r="D8" s="768" t="s">
        <v>620</v>
      </c>
      <c r="E8" s="770" t="s">
        <v>616</v>
      </c>
      <c r="F8" s="546" t="s">
        <v>88</v>
      </c>
      <c r="G8" s="546">
        <v>156</v>
      </c>
      <c r="H8" s="749" t="s">
        <v>617</v>
      </c>
      <c r="I8" s="749"/>
      <c r="J8" s="749"/>
      <c r="K8" s="749"/>
      <c r="L8" s="749"/>
      <c r="M8" s="749"/>
      <c r="N8" s="750"/>
      <c r="O8" s="546">
        <v>3.3</v>
      </c>
    </row>
    <row r="9" spans="1:15" s="531" customFormat="1" ht="45" customHeight="1">
      <c r="B9" s="533"/>
      <c r="C9" s="767"/>
      <c r="D9" s="769"/>
      <c r="E9" s="771"/>
      <c r="F9" s="546" t="s">
        <v>614</v>
      </c>
      <c r="G9" s="546" t="s">
        <v>615</v>
      </c>
      <c r="H9" s="749" t="s">
        <v>618</v>
      </c>
      <c r="I9" s="749"/>
      <c r="J9" s="749"/>
      <c r="K9" s="749"/>
      <c r="L9" s="749"/>
      <c r="M9" s="749"/>
      <c r="N9" s="750"/>
      <c r="O9" s="546">
        <v>3.3</v>
      </c>
    </row>
    <row r="10" spans="1:15" s="531" customFormat="1" ht="26.4" customHeight="1">
      <c r="B10" s="533"/>
      <c r="C10" s="674" t="s">
        <v>622</v>
      </c>
      <c r="D10" s="683" t="s">
        <v>619</v>
      </c>
      <c r="E10" s="546" t="s">
        <v>623</v>
      </c>
      <c r="F10" s="546" t="s">
        <v>624</v>
      </c>
      <c r="G10" s="546" t="s">
        <v>698</v>
      </c>
      <c r="H10" s="756" t="s">
        <v>699</v>
      </c>
      <c r="I10" s="749"/>
      <c r="J10" s="749"/>
      <c r="K10" s="749"/>
      <c r="L10" s="749"/>
      <c r="M10" s="749"/>
      <c r="N10" s="750"/>
      <c r="O10" s="546">
        <v>3.4</v>
      </c>
    </row>
    <row r="11" spans="1:15" s="531" customFormat="1" ht="26.4" customHeight="1">
      <c r="B11" s="533"/>
      <c r="C11" s="674" t="s">
        <v>749</v>
      </c>
      <c r="D11" s="683" t="s">
        <v>620</v>
      </c>
      <c r="E11" s="546" t="s">
        <v>748</v>
      </c>
      <c r="F11" s="546" t="s">
        <v>745</v>
      </c>
      <c r="G11" s="546" t="s">
        <v>698</v>
      </c>
      <c r="H11" s="756" t="s">
        <v>750</v>
      </c>
      <c r="I11" s="749"/>
      <c r="J11" s="749"/>
      <c r="K11" s="749"/>
      <c r="L11" s="749"/>
      <c r="M11" s="749"/>
      <c r="N11" s="750"/>
      <c r="O11" s="546">
        <v>3.5</v>
      </c>
    </row>
    <row r="12" spans="1:15" s="531" customFormat="1" ht="40.049999999999997" customHeight="1">
      <c r="B12" s="533"/>
      <c r="C12" s="674" t="s">
        <v>749</v>
      </c>
      <c r="D12" s="683" t="s">
        <v>620</v>
      </c>
      <c r="E12" s="546" t="s">
        <v>756</v>
      </c>
      <c r="F12" s="546" t="s">
        <v>757</v>
      </c>
      <c r="G12" s="546"/>
      <c r="H12" s="756" t="s">
        <v>764</v>
      </c>
      <c r="I12" s="749"/>
      <c r="J12" s="749"/>
      <c r="K12" s="749"/>
      <c r="L12" s="749"/>
      <c r="M12" s="749"/>
      <c r="N12" s="750"/>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51" t="s">
        <v>693</v>
      </c>
      <c r="F17" s="752"/>
      <c r="G17" s="752"/>
      <c r="H17" s="752"/>
      <c r="I17" s="752"/>
      <c r="J17" s="752"/>
      <c r="K17" s="752"/>
      <c r="L17" s="752"/>
      <c r="M17" s="752"/>
      <c r="N17" s="753"/>
    </row>
    <row r="18" spans="1:14" s="531" customFormat="1">
      <c r="B18" s="537"/>
      <c r="C18" s="674" t="s">
        <v>622</v>
      </c>
      <c r="D18" s="668" t="s">
        <v>694</v>
      </c>
      <c r="E18" s="751" t="s">
        <v>695</v>
      </c>
      <c r="F18" s="775"/>
      <c r="G18" s="775"/>
      <c r="H18" s="775"/>
      <c r="I18" s="775"/>
      <c r="J18" s="775"/>
      <c r="K18" s="775"/>
      <c r="L18" s="775"/>
      <c r="M18" s="775"/>
      <c r="N18" s="776"/>
    </row>
    <row r="19" spans="1:14" s="531" customFormat="1">
      <c r="B19" s="537"/>
      <c r="C19" s="674" t="s">
        <v>752</v>
      </c>
      <c r="D19" s="668" t="s">
        <v>751</v>
      </c>
      <c r="E19" s="751" t="s">
        <v>693</v>
      </c>
      <c r="F19" s="752"/>
      <c r="G19" s="752"/>
      <c r="H19" s="752"/>
      <c r="I19" s="752"/>
      <c r="J19" s="752"/>
      <c r="K19" s="752"/>
      <c r="L19" s="752"/>
      <c r="M19" s="752"/>
      <c r="N19" s="753"/>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72" t="s">
        <v>288</v>
      </c>
      <c r="C45" s="773"/>
      <c r="D45" s="774"/>
      <c r="E45" s="754" t="s">
        <v>258</v>
      </c>
      <c r="F45" s="754"/>
      <c r="G45" s="755" t="s">
        <v>289</v>
      </c>
      <c r="H45" s="755"/>
      <c r="I45" s="754" t="s">
        <v>271</v>
      </c>
      <c r="J45" s="754"/>
      <c r="K45" s="754"/>
      <c r="L45" s="754"/>
      <c r="M45" s="754"/>
    </row>
    <row r="46" spans="1:13" s="284" customFormat="1" ht="15" customHeight="1">
      <c r="A46" s="283"/>
      <c r="B46" s="704" t="s">
        <v>278</v>
      </c>
      <c r="C46" s="705"/>
      <c r="D46" s="706"/>
      <c r="E46" s="744"/>
      <c r="F46" s="745"/>
      <c r="G46" s="744"/>
      <c r="H46" s="745"/>
      <c r="I46" s="765"/>
      <c r="J46" s="765"/>
      <c r="K46" s="765"/>
      <c r="L46" s="765"/>
      <c r="M46" s="765"/>
    </row>
    <row r="47" spans="1:13" s="282" customFormat="1" ht="59.25" customHeight="1">
      <c r="A47" s="285"/>
      <c r="B47" s="715" t="s">
        <v>112</v>
      </c>
      <c r="C47" s="716"/>
      <c r="D47" s="717"/>
      <c r="E47" s="715" t="s">
        <v>264</v>
      </c>
      <c r="F47" s="717"/>
      <c r="G47" s="746" t="s">
        <v>283</v>
      </c>
      <c r="H47" s="747"/>
      <c r="I47" s="715" t="s">
        <v>362</v>
      </c>
      <c r="J47" s="716"/>
      <c r="K47" s="716"/>
      <c r="L47" s="716"/>
      <c r="M47" s="717"/>
    </row>
    <row r="48" spans="1:13" s="282" customFormat="1" ht="77.25" customHeight="1">
      <c r="A48" s="285"/>
      <c r="B48" s="718"/>
      <c r="C48" s="719"/>
      <c r="D48" s="720"/>
      <c r="E48" s="718"/>
      <c r="F48" s="720"/>
      <c r="G48" s="737"/>
      <c r="H48" s="748"/>
      <c r="I48" s="718" t="s">
        <v>295</v>
      </c>
      <c r="J48" s="719"/>
      <c r="K48" s="719"/>
      <c r="L48" s="719"/>
      <c r="M48" s="720"/>
    </row>
    <row r="49" spans="1:13" s="282" customFormat="1" ht="50.25" customHeight="1">
      <c r="A49" s="285"/>
      <c r="B49" s="727" t="s">
        <v>162</v>
      </c>
      <c r="C49" s="728"/>
      <c r="D49" s="729"/>
      <c r="E49" s="710" t="s">
        <v>259</v>
      </c>
      <c r="F49" s="710"/>
      <c r="G49" s="710" t="s">
        <v>260</v>
      </c>
      <c r="H49" s="710"/>
      <c r="I49" s="715" t="s">
        <v>362</v>
      </c>
      <c r="J49" s="716"/>
      <c r="K49" s="716"/>
      <c r="L49" s="716"/>
      <c r="M49" s="717"/>
    </row>
    <row r="50" spans="1:13" s="282" customFormat="1" ht="76.5" customHeight="1">
      <c r="A50" s="285"/>
      <c r="B50" s="727" t="s">
        <v>263</v>
      </c>
      <c r="C50" s="728"/>
      <c r="D50" s="729"/>
      <c r="E50" s="710" t="s">
        <v>259</v>
      </c>
      <c r="F50" s="710"/>
      <c r="G50" s="710" t="s">
        <v>261</v>
      </c>
      <c r="H50" s="710"/>
      <c r="I50" s="727" t="s">
        <v>363</v>
      </c>
      <c r="J50" s="728"/>
      <c r="K50" s="728"/>
      <c r="L50" s="728"/>
      <c r="M50" s="729"/>
    </row>
    <row r="51" spans="1:13" s="282" customFormat="1" ht="29.25" customHeight="1">
      <c r="A51" s="285"/>
      <c r="B51" s="727" t="s">
        <v>194</v>
      </c>
      <c r="C51" s="728"/>
      <c r="D51" s="729"/>
      <c r="E51" s="710" t="s">
        <v>259</v>
      </c>
      <c r="F51" s="710"/>
      <c r="G51" s="710" t="s">
        <v>262</v>
      </c>
      <c r="H51" s="710"/>
      <c r="I51" s="762"/>
      <c r="J51" s="763"/>
      <c r="K51" s="763"/>
      <c r="L51" s="763"/>
      <c r="M51" s="764"/>
    </row>
    <row r="52" spans="1:13" s="282" customFormat="1" ht="16.5" customHeight="1">
      <c r="B52" s="715" t="s">
        <v>195</v>
      </c>
      <c r="C52" s="716"/>
      <c r="D52" s="717"/>
      <c r="E52" s="715" t="s">
        <v>259</v>
      </c>
      <c r="F52" s="717"/>
      <c r="G52" s="715" t="s">
        <v>265</v>
      </c>
      <c r="H52" s="717"/>
      <c r="I52" s="715" t="s">
        <v>507</v>
      </c>
      <c r="J52" s="716"/>
      <c r="K52" s="716"/>
      <c r="L52" s="716"/>
      <c r="M52" s="717"/>
    </row>
    <row r="53" spans="1:13" s="282" customFormat="1" ht="13.5" customHeight="1">
      <c r="B53" s="738"/>
      <c r="C53" s="735"/>
      <c r="D53" s="739"/>
      <c r="E53" s="738"/>
      <c r="F53" s="739"/>
      <c r="G53" s="738"/>
      <c r="H53" s="739"/>
      <c r="I53" s="734" t="s">
        <v>509</v>
      </c>
      <c r="J53" s="735"/>
      <c r="K53" s="735"/>
      <c r="L53" s="735"/>
      <c r="M53" s="736"/>
    </row>
    <row r="54" spans="1:13" s="282" customFormat="1" ht="11.4" customHeight="1">
      <c r="B54" s="738"/>
      <c r="C54" s="735"/>
      <c r="D54" s="739"/>
      <c r="E54" s="738"/>
      <c r="F54" s="739"/>
      <c r="G54" s="738"/>
      <c r="H54" s="739"/>
      <c r="I54" s="734" t="s">
        <v>508</v>
      </c>
      <c r="J54" s="735"/>
      <c r="K54" s="735"/>
      <c r="L54" s="735"/>
      <c r="M54" s="736"/>
    </row>
    <row r="55" spans="1:13" s="282" customFormat="1" ht="11.4">
      <c r="B55" s="738"/>
      <c r="C55" s="735"/>
      <c r="D55" s="736"/>
      <c r="E55" s="738"/>
      <c r="F55" s="736"/>
      <c r="G55" s="738"/>
      <c r="H55" s="736"/>
      <c r="I55" s="734" t="s">
        <v>510</v>
      </c>
      <c r="J55" s="735"/>
      <c r="K55" s="735"/>
      <c r="L55" s="735"/>
      <c r="M55" s="739"/>
    </row>
    <row r="56" spans="1:13" s="282" customFormat="1" ht="11.4">
      <c r="B56" s="718"/>
      <c r="C56" s="719"/>
      <c r="D56" s="720"/>
      <c r="E56" s="718"/>
      <c r="F56" s="720"/>
      <c r="G56" s="718"/>
      <c r="H56" s="720"/>
      <c r="I56" s="737" t="s">
        <v>360</v>
      </c>
      <c r="J56" s="719"/>
      <c r="K56" s="719"/>
      <c r="L56" s="719"/>
      <c r="M56" s="720"/>
    </row>
    <row r="57" spans="1:13" s="282" customFormat="1" ht="15" customHeight="1">
      <c r="A57" s="285"/>
      <c r="B57" s="704" t="s">
        <v>280</v>
      </c>
      <c r="C57" s="705"/>
      <c r="D57" s="706"/>
      <c r="E57" s="714"/>
      <c r="F57" s="714"/>
      <c r="G57" s="714"/>
      <c r="H57" s="714"/>
      <c r="I57" s="730"/>
      <c r="J57" s="731"/>
      <c r="K57" s="731"/>
      <c r="L57" s="731"/>
      <c r="M57" s="732"/>
    </row>
    <row r="58" spans="1:13" s="282" customFormat="1" ht="56.25" customHeight="1">
      <c r="A58" s="285"/>
      <c r="B58" s="727" t="s">
        <v>279</v>
      </c>
      <c r="C58" s="728"/>
      <c r="D58" s="729"/>
      <c r="E58" s="710" t="s">
        <v>266</v>
      </c>
      <c r="F58" s="710"/>
      <c r="G58" s="710" t="s">
        <v>272</v>
      </c>
      <c r="H58" s="710"/>
      <c r="I58" s="727" t="s">
        <v>506</v>
      </c>
      <c r="J58" s="728"/>
      <c r="K58" s="728"/>
      <c r="L58" s="728"/>
      <c r="M58" s="729"/>
    </row>
    <row r="59" spans="1:13" s="282" customFormat="1" ht="27" customHeight="1">
      <c r="A59" s="285"/>
      <c r="B59" s="704" t="s">
        <v>287</v>
      </c>
      <c r="C59" s="705"/>
      <c r="D59" s="706"/>
      <c r="E59" s="713"/>
      <c r="F59" s="713"/>
      <c r="G59" s="713"/>
      <c r="H59" s="713"/>
      <c r="I59" s="714"/>
      <c r="J59" s="714"/>
      <c r="K59" s="714"/>
      <c r="L59" s="714"/>
      <c r="M59" s="714"/>
    </row>
    <row r="60" spans="1:13" s="282" customFormat="1" ht="37.5" customHeight="1">
      <c r="A60" s="285"/>
      <c r="B60" s="746" t="s">
        <v>291</v>
      </c>
      <c r="C60" s="760"/>
      <c r="D60" s="747"/>
      <c r="E60" s="715" t="s">
        <v>276</v>
      </c>
      <c r="F60" s="717"/>
      <c r="G60" s="715" t="s">
        <v>281</v>
      </c>
      <c r="H60" s="717"/>
      <c r="I60" s="721" t="s">
        <v>290</v>
      </c>
      <c r="J60" s="722"/>
      <c r="K60" s="722"/>
      <c r="L60" s="722"/>
      <c r="M60" s="723"/>
    </row>
    <row r="61" spans="1:13" s="282" customFormat="1" ht="61.5" customHeight="1">
      <c r="A61" s="285"/>
      <c r="B61" s="737"/>
      <c r="C61" s="761"/>
      <c r="D61" s="748"/>
      <c r="E61" s="718"/>
      <c r="F61" s="720"/>
      <c r="G61" s="718"/>
      <c r="H61" s="720"/>
      <c r="I61" s="707" t="s">
        <v>369</v>
      </c>
      <c r="J61" s="708"/>
      <c r="K61" s="708"/>
      <c r="L61" s="708"/>
      <c r="M61" s="709"/>
    </row>
    <row r="62" spans="1:13" s="282" customFormat="1" ht="57.75" customHeight="1">
      <c r="A62" s="285"/>
      <c r="B62" s="733" t="s">
        <v>292</v>
      </c>
      <c r="C62" s="728"/>
      <c r="D62" s="729"/>
      <c r="E62" s="710" t="s">
        <v>755</v>
      </c>
      <c r="F62" s="710"/>
      <c r="G62" s="710" t="s">
        <v>282</v>
      </c>
      <c r="H62" s="710"/>
      <c r="I62" s="724" t="s">
        <v>293</v>
      </c>
      <c r="J62" s="725"/>
      <c r="K62" s="725"/>
      <c r="L62" s="725"/>
      <c r="M62" s="726"/>
    </row>
    <row r="63" spans="1:13" s="282" customFormat="1" ht="29.25" customHeight="1">
      <c r="A63" s="285"/>
      <c r="B63" s="733" t="s">
        <v>273</v>
      </c>
      <c r="C63" s="728"/>
      <c r="D63" s="729"/>
      <c r="E63" s="710" t="s">
        <v>755</v>
      </c>
      <c r="F63" s="710"/>
      <c r="G63" s="710" t="s">
        <v>282</v>
      </c>
      <c r="H63" s="710"/>
      <c r="I63" s="711"/>
      <c r="J63" s="711"/>
      <c r="K63" s="711"/>
      <c r="L63" s="711"/>
      <c r="M63" s="711"/>
    </row>
    <row r="64" spans="1:13" s="282" customFormat="1" ht="15" customHeight="1">
      <c r="A64" s="285"/>
      <c r="B64" s="704" t="s">
        <v>286</v>
      </c>
      <c r="C64" s="705"/>
      <c r="D64" s="706"/>
      <c r="E64" s="713"/>
      <c r="F64" s="713"/>
      <c r="G64" s="713"/>
      <c r="H64" s="713"/>
      <c r="I64" s="714"/>
      <c r="J64" s="714"/>
      <c r="K64" s="714"/>
      <c r="L64" s="714"/>
      <c r="M64" s="714"/>
    </row>
    <row r="65" spans="1:13" s="282" customFormat="1" ht="50.25" customHeight="1">
      <c r="A65" s="285"/>
      <c r="B65" s="715" t="s">
        <v>171</v>
      </c>
      <c r="C65" s="716"/>
      <c r="D65" s="717"/>
      <c r="E65" s="740" t="s">
        <v>294</v>
      </c>
      <c r="F65" s="741"/>
      <c r="G65" s="715"/>
      <c r="H65" s="717"/>
      <c r="I65" s="715" t="s">
        <v>298</v>
      </c>
      <c r="J65" s="716"/>
      <c r="K65" s="716"/>
      <c r="L65" s="716"/>
      <c r="M65" s="717"/>
    </row>
    <row r="66" spans="1:13" s="282" customFormat="1" ht="42" customHeight="1">
      <c r="A66" s="285"/>
      <c r="B66" s="718"/>
      <c r="C66" s="719"/>
      <c r="D66" s="720"/>
      <c r="E66" s="742" t="s">
        <v>754</v>
      </c>
      <c r="F66" s="743"/>
      <c r="G66" s="718"/>
      <c r="H66" s="720"/>
      <c r="I66" s="718"/>
      <c r="J66" s="719"/>
      <c r="K66" s="719"/>
      <c r="L66" s="719"/>
      <c r="M66" s="720"/>
    </row>
    <row r="67" spans="1:13" s="282" customFormat="1" ht="68.25" customHeight="1">
      <c r="A67" s="285"/>
      <c r="B67" s="715" t="s">
        <v>172</v>
      </c>
      <c r="C67" s="716"/>
      <c r="D67" s="717"/>
      <c r="E67" s="715" t="s">
        <v>259</v>
      </c>
      <c r="F67" s="717"/>
      <c r="G67" s="715" t="s">
        <v>296</v>
      </c>
      <c r="H67" s="717"/>
      <c r="I67" s="721" t="s">
        <v>370</v>
      </c>
      <c r="J67" s="722"/>
      <c r="K67" s="722"/>
      <c r="L67" s="722"/>
      <c r="M67" s="723"/>
    </row>
    <row r="68" spans="1:13" s="282" customFormat="1" ht="55.5" customHeight="1">
      <c r="A68" s="285"/>
      <c r="B68" s="718"/>
      <c r="C68" s="719"/>
      <c r="D68" s="720"/>
      <c r="E68" s="718" t="s">
        <v>582</v>
      </c>
      <c r="F68" s="720"/>
      <c r="G68" s="718"/>
      <c r="H68" s="720"/>
      <c r="I68" s="707" t="s">
        <v>372</v>
      </c>
      <c r="J68" s="708"/>
      <c r="K68" s="708"/>
      <c r="L68" s="708"/>
      <c r="M68" s="709"/>
    </row>
    <row r="69" spans="1:13" s="282" customFormat="1" ht="15" customHeight="1">
      <c r="A69" s="285"/>
      <c r="B69" s="704" t="s">
        <v>285</v>
      </c>
      <c r="C69" s="705"/>
      <c r="D69" s="706"/>
      <c r="E69" s="713"/>
      <c r="F69" s="713"/>
      <c r="G69" s="713"/>
      <c r="H69" s="713"/>
      <c r="I69" s="714"/>
      <c r="J69" s="714"/>
      <c r="K69" s="714"/>
      <c r="L69" s="714"/>
      <c r="M69" s="714"/>
    </row>
    <row r="70" spans="1:13" s="282" customFormat="1" ht="39" customHeight="1">
      <c r="A70" s="285"/>
      <c r="B70" s="710" t="s">
        <v>269</v>
      </c>
      <c r="C70" s="710"/>
      <c r="D70" s="710"/>
      <c r="E70" s="710" t="s">
        <v>264</v>
      </c>
      <c r="F70" s="710"/>
      <c r="G70" s="712" t="s">
        <v>284</v>
      </c>
      <c r="H70" s="710"/>
      <c r="I70" s="711"/>
      <c r="J70" s="711"/>
      <c r="K70" s="711"/>
      <c r="L70" s="711"/>
      <c r="M70" s="711"/>
    </row>
    <row r="71" spans="1:13" s="282" customFormat="1" ht="30.75" customHeight="1">
      <c r="A71" s="285"/>
      <c r="B71" s="710" t="s">
        <v>174</v>
      </c>
      <c r="C71" s="710"/>
      <c r="D71" s="710"/>
      <c r="E71" s="710" t="s">
        <v>580</v>
      </c>
      <c r="F71" s="710"/>
      <c r="G71" s="710" t="s">
        <v>88</v>
      </c>
      <c r="H71" s="710"/>
      <c r="I71" s="711"/>
      <c r="J71" s="711"/>
      <c r="K71" s="711"/>
      <c r="L71" s="711"/>
      <c r="M71" s="711"/>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C8:C9"/>
    <mergeCell ref="D8:D9"/>
    <mergeCell ref="E8:E9"/>
    <mergeCell ref="B47:D48"/>
    <mergeCell ref="B45:D45"/>
    <mergeCell ref="B46:D46"/>
    <mergeCell ref="E18:N18"/>
    <mergeCell ref="H11:N11"/>
    <mergeCell ref="E19:N19"/>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H7:N7"/>
    <mergeCell ref="E17:N17"/>
    <mergeCell ref="E45:F45"/>
    <mergeCell ref="G45:H45"/>
    <mergeCell ref="H8:N8"/>
    <mergeCell ref="H9:N9"/>
    <mergeCell ref="H10:N10"/>
    <mergeCell ref="H12:N12"/>
    <mergeCell ref="I50:M50"/>
    <mergeCell ref="E46:F46"/>
    <mergeCell ref="G46:H46"/>
    <mergeCell ref="G47:H48"/>
    <mergeCell ref="E47:F48"/>
    <mergeCell ref="I49:M49"/>
    <mergeCell ref="G49:H49"/>
    <mergeCell ref="G50:H50"/>
    <mergeCell ref="I47:M47"/>
    <mergeCell ref="I48:M48"/>
    <mergeCell ref="B65:D66"/>
    <mergeCell ref="E65:F65"/>
    <mergeCell ref="G65:H65"/>
    <mergeCell ref="G66:H66"/>
    <mergeCell ref="E66:F66"/>
    <mergeCell ref="B49:D49"/>
    <mergeCell ref="B58:D58"/>
    <mergeCell ref="E58:F58"/>
    <mergeCell ref="G58:H58"/>
    <mergeCell ref="E50:F50"/>
    <mergeCell ref="B50:D50"/>
    <mergeCell ref="B51:D51"/>
    <mergeCell ref="E51:F51"/>
    <mergeCell ref="G51:H51"/>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I58:M58"/>
    <mergeCell ref="G57:H57"/>
    <mergeCell ref="G59:H59"/>
    <mergeCell ref="I59:M59"/>
    <mergeCell ref="I57:M57"/>
    <mergeCell ref="E68:F68"/>
    <mergeCell ref="I65:M66"/>
    <mergeCell ref="I60:M60"/>
    <mergeCell ref="I62:M62"/>
    <mergeCell ref="G67:H68"/>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-3.2951843042602675</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-3.2951843042602675</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-3.2951843042602675</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-3.2951843042602675</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-3.2951843042602675</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-0.70645765152263018</v>
      </c>
      <c r="S47" s="616">
        <f t="shared" si="8"/>
        <v>-0.70645765152263018</v>
      </c>
      <c r="T47" s="616">
        <f t="shared" si="8"/>
        <v>-0.70645765152263018</v>
      </c>
      <c r="U47" s="616">
        <f t="shared" si="8"/>
        <v>-0.70645765152263018</v>
      </c>
      <c r="V47" s="623">
        <f t="shared" si="8"/>
        <v>-0.70645765152263018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-0.70645765152263018</v>
      </c>
      <c r="S52" s="616">
        <f t="shared" ref="S52" si="9">S47*S51</f>
        <v>-0.68190893004114883</v>
      </c>
      <c r="T52" s="616">
        <f t="shared" ref="T52" si="10">T47*T51</f>
        <v>-0.65821325293547184</v>
      </c>
      <c r="U52" s="616">
        <f t="shared" ref="U52" si="11">U47*U51</f>
        <v>-0.63534097773694187</v>
      </c>
      <c r="V52" s="621">
        <f t="shared" ref="V52" si="12">V47*V51</f>
        <v>-0.61326349202407515</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3">S48*S51</f>
        <v>0</v>
      </c>
      <c r="T53" s="616">
        <f t="shared" si="13"/>
        <v>0</v>
      </c>
      <c r="U53" s="616">
        <f t="shared" si="13"/>
        <v>0</v>
      </c>
      <c r="V53" s="621">
        <f t="shared" si="13"/>
        <v>0</v>
      </c>
    </row>
    <row r="54" spans="1:22" s="37" customFormat="1">
      <c r="C54" s="131"/>
      <c r="D54" s="104" t="s">
        <v>57</v>
      </c>
      <c r="E54" s="643" t="s">
        <v>557</v>
      </c>
      <c r="F54" s="131"/>
      <c r="G54" s="148"/>
      <c r="H54" s="148"/>
      <c r="I54" s="148"/>
      <c r="J54" s="106"/>
      <c r="K54" s="106"/>
      <c r="L54" s="106"/>
      <c r="M54" s="106"/>
      <c r="N54" s="612"/>
      <c r="O54" s="203"/>
      <c r="P54" s="622">
        <f>SUM(R52:V52)</f>
        <v>-3.2951843042602675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-3.2951843042602675</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7">IF(S$62+1&lt;=$P$61,$P59/$P$61,0)</f>
        <v>0</v>
      </c>
      <c r="T64" s="616">
        <f t="shared" si="17"/>
        <v>0</v>
      </c>
      <c r="U64" s="616">
        <f t="shared" si="17"/>
        <v>0</v>
      </c>
      <c r="V64" s="623">
        <f t="shared" si="17"/>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 si="19">S64*S68</f>
        <v>0</v>
      </c>
      <c r="T69" s="616">
        <f t="shared" ref="T69" si="20">T64*T68</f>
        <v>0</v>
      </c>
      <c r="U69" s="616">
        <f t="shared" ref="U69" si="21">U64*U68</f>
        <v>0</v>
      </c>
      <c r="V69" s="621">
        <f t="shared" ref="V69" si="22">V64*V68</f>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-3.2951843042602675</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2" si="26">IF(S$62+1&lt;=$P$78,$P76/$P$78,0) * (1+$P$79)^S$80</f>
        <v>0</v>
      </c>
      <c r="T82" s="616">
        <f t="shared" si="26"/>
        <v>0</v>
      </c>
      <c r="U82" s="616">
        <f t="shared" si="26"/>
        <v>0</v>
      </c>
      <c r="V82" s="623">
        <f t="shared" si="26"/>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 si="28">S82*S86</f>
        <v>0</v>
      </c>
      <c r="T87" s="616">
        <f t="shared" ref="T87" si="29">T82*T86</f>
        <v>0</v>
      </c>
      <c r="U87" s="616">
        <f t="shared" ref="U87" si="30">U82*U86</f>
        <v>0</v>
      </c>
      <c r="V87" s="621">
        <f t="shared" ref="V87" si="31">V82*V86</f>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-0.29515770042806627</v>
      </c>
      <c r="S94" s="616">
        <f>Calc!K196</f>
        <v>-0.70661056174709902</v>
      </c>
      <c r="T94" s="616">
        <f>Calc!L196</f>
        <v>-0.78327200741971392</v>
      </c>
      <c r="U94" s="616">
        <f>Calc!M196</f>
        <v>-0.81417553516556984</v>
      </c>
      <c r="V94" s="623">
        <f>Calc!N196</f>
        <v>-0.69596849949981832</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v>
      </c>
      <c r="S95" s="616">
        <f>Calc!K197</f>
        <v>0</v>
      </c>
      <c r="T95" s="616">
        <f>Calc!L197</f>
        <v>0</v>
      </c>
      <c r="U95" s="616">
        <f>Calc!M197</f>
        <v>0</v>
      </c>
      <c r="V95" s="623">
        <f>Calc!N197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-0.29515770042806627</v>
      </c>
      <c r="S99" s="616">
        <f t="shared" ref="S99" si="33">S94*S98</f>
        <v>-0.68205652678291406</v>
      </c>
      <c r="T99" s="616">
        <f t="shared" ref="T99" si="34">T94*T98</f>
        <v>-0.72978191237059853</v>
      </c>
      <c r="U99" s="616">
        <f t="shared" ref="U99" si="35">U94*U98</f>
        <v>-0.732215270719622</v>
      </c>
      <c r="V99" s="621">
        <f t="shared" ref="V99" si="36">V94*V98</f>
        <v>-0.60415804319212218</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37">S95*S98</f>
        <v>0</v>
      </c>
      <c r="T100" s="616">
        <f t="shared" si="37"/>
        <v>0</v>
      </c>
      <c r="U100" s="616">
        <f t="shared" si="37"/>
        <v>0</v>
      </c>
      <c r="V100" s="621">
        <f t="shared" si="37"/>
        <v>0</v>
      </c>
    </row>
    <row r="101" spans="1:22" s="37" customFormat="1">
      <c r="C101" s="131"/>
      <c r="D101" s="104" t="s">
        <v>57</v>
      </c>
      <c r="E101" s="643" t="s">
        <v>557</v>
      </c>
      <c r="F101" s="131"/>
      <c r="G101" s="148"/>
      <c r="H101" s="148"/>
      <c r="I101" s="148"/>
      <c r="J101" s="106"/>
      <c r="K101" s="106"/>
      <c r="L101" s="106"/>
      <c r="M101" s="106"/>
      <c r="N101" s="612"/>
      <c r="O101" s="203"/>
      <c r="P101" s="622">
        <f>SUM(R99:V99)</f>
        <v>-3.0433694534933231</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-0.29515770042806627</v>
      </c>
      <c r="S106" s="616">
        <f>Calc!K196</f>
        <v>-0.70661056174709902</v>
      </c>
      <c r="T106" s="616">
        <f>Calc!L196</f>
        <v>-0.78327200741971392</v>
      </c>
      <c r="U106" s="616">
        <f>Calc!M196</f>
        <v>-0.81417553516556984</v>
      </c>
      <c r="V106" s="623">
        <f>Calc!N196</f>
        <v>-0.69596849949981832</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v>
      </c>
      <c r="S107" s="616">
        <f>Calc!K197</f>
        <v>0</v>
      </c>
      <c r="T107" s="616">
        <f>Calc!L197</f>
        <v>0</v>
      </c>
      <c r="U107" s="616">
        <f>Calc!M197</f>
        <v>0</v>
      </c>
      <c r="V107" s="623">
        <f>Calc!N197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-0.29515770042806627</v>
      </c>
      <c r="S111" s="616">
        <f t="shared" ref="S111" si="38">S106*S110</f>
        <v>-0.68205652678291406</v>
      </c>
      <c r="T111" s="616">
        <f t="shared" ref="T111" si="39">T106*T110</f>
        <v>-0.72978191237059853</v>
      </c>
      <c r="U111" s="616">
        <f t="shared" ref="U111" si="40">U106*U110</f>
        <v>-0.732215270719622</v>
      </c>
      <c r="V111" s="621">
        <f t="shared" ref="V111" si="41">V106*V110</f>
        <v>-0.60415804319212218</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42">S107*S110</f>
        <v>0</v>
      </c>
      <c r="T112" s="616">
        <f t="shared" si="42"/>
        <v>0</v>
      </c>
      <c r="U112" s="616">
        <f t="shared" si="42"/>
        <v>0</v>
      </c>
      <c r="V112" s="621">
        <f t="shared" si="42"/>
        <v>0</v>
      </c>
    </row>
    <row r="113" spans="3:22" s="37" customFormat="1">
      <c r="C113" s="131"/>
      <c r="D113" s="104" t="s">
        <v>57</v>
      </c>
      <c r="E113" s="643" t="s">
        <v>557</v>
      </c>
      <c r="F113" s="131"/>
      <c r="G113" s="148"/>
      <c r="H113" s="148"/>
      <c r="I113" s="148"/>
      <c r="J113" s="106"/>
      <c r="K113" s="106"/>
      <c r="L113" s="106"/>
      <c r="M113" s="106"/>
      <c r="N113" s="612"/>
      <c r="O113" s="203"/>
      <c r="P113" s="622">
        <f>SUM(R111:V111)</f>
        <v>-3.0433694534933231</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-3.0433694534933231</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-3.2951843042602675</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1.082742123365239</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-0.3195796752890856</v>
      </c>
      <c r="S123" s="616">
        <f t="shared" si="43"/>
        <v>-0.76507702001835831</v>
      </c>
      <c r="T123" s="616">
        <f t="shared" si="43"/>
        <v>-0.84808159648617432</v>
      </c>
      <c r="U123" s="616">
        <f t="shared" si="43"/>
        <v>-0.88154214773719886</v>
      </c>
      <c r="V123" s="621">
        <f t="shared" si="43"/>
        <v>-0.75355441094375253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43"/>
        <v>#DIV/0!</v>
      </c>
      <c r="S124" s="616" t="e">
        <f t="shared" si="43"/>
        <v>#DIV/0!</v>
      </c>
      <c r="T124" s="616" t="e">
        <f t="shared" si="43"/>
        <v>#DIV/0!</v>
      </c>
      <c r="U124" s="616" t="e">
        <f t="shared" si="43"/>
        <v>#DIV/0!</v>
      </c>
      <c r="V124" s="621" t="e">
        <f t="shared" si="43"/>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-0.3195796752890856</v>
      </c>
      <c r="S128" s="616">
        <f t="shared" ref="S128" si="44">S123*S127</f>
        <v>-0.73849133206405237</v>
      </c>
      <c r="T128" s="616">
        <f t="shared" ref="T128" si="45">T123*T127</f>
        <v>-0.79016561739368663</v>
      </c>
      <c r="U128" s="616">
        <f t="shared" ref="U128" si="46">U123*U127</f>
        <v>-0.79280031697941677</v>
      </c>
      <c r="V128" s="621">
        <f t="shared" ref="V128" si="47">V123*V127</f>
        <v>-0.65414736253402606</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48">S124*S127</f>
        <v>#DIV/0!</v>
      </c>
      <c r="T129" s="616" t="e">
        <f t="shared" si="48"/>
        <v>#DIV/0!</v>
      </c>
      <c r="U129" s="616" t="e">
        <f t="shared" si="48"/>
        <v>#DIV/0!</v>
      </c>
      <c r="V129" s="621" t="e">
        <f t="shared" si="48"/>
        <v>#DIV/0!</v>
      </c>
    </row>
    <row r="130" spans="1:22" s="37" customFormat="1">
      <c r="C130" s="131"/>
      <c r="D130" s="131" t="s">
        <v>57</v>
      </c>
      <c r="E130" s="643" t="s">
        <v>557</v>
      </c>
      <c r="F130" s="131"/>
      <c r="G130" s="148"/>
      <c r="H130" s="148"/>
      <c r="I130" s="148"/>
      <c r="J130" s="106"/>
      <c r="K130" s="106"/>
      <c r="L130" s="106"/>
      <c r="M130" s="106"/>
      <c r="N130" s="612"/>
      <c r="O130" s="203"/>
      <c r="P130" s="622">
        <f>SUM(R128:V128)</f>
        <v>-3.2951843042602675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-3.2951843042602675</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-0.70645765152263018</v>
      </c>
      <c r="S138" s="616">
        <f>S47</f>
        <v>-0.70645765152263018</v>
      </c>
      <c r="T138" s="616">
        <f>T47</f>
        <v>-0.70645765152263018</v>
      </c>
      <c r="U138" s="616">
        <f>U47</f>
        <v>-0.70645765152263018</v>
      </c>
      <c r="V138" s="621">
        <f>V47</f>
        <v>-0.70645765152263018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-0.29515770042806627</v>
      </c>
      <c r="S141" s="616">
        <f>S94</f>
        <v>-0.70661056174709902</v>
      </c>
      <c r="T141" s="616">
        <f>T94</f>
        <v>-0.78327200741971392</v>
      </c>
      <c r="U141" s="616">
        <f>U94</f>
        <v>-0.81417553516556984</v>
      </c>
      <c r="V141" s="621">
        <f>V94</f>
        <v>-0.69596849949981832</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-0.3195796752890856</v>
      </c>
      <c r="S142" s="616">
        <f t="shared" si="50"/>
        <v>-0.76507702001835831</v>
      </c>
      <c r="T142" s="616">
        <f t="shared" si="50"/>
        <v>-0.84808159648617432</v>
      </c>
      <c r="U142" s="616">
        <f t="shared" si="50"/>
        <v>-0.88154214773719886</v>
      </c>
      <c r="V142" s="621">
        <f t="shared" si="50"/>
        <v>-0.75355441094375253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-0.70645765152263018</v>
      </c>
      <c r="S143" s="630">
        <f t="shared" ref="S143:V143" si="51">CHOOSE($P$135+1,S137,S138,S139,S140,S141,S142)</f>
        <v>-0.70645765152263018</v>
      </c>
      <c r="T143" s="630">
        <f t="shared" si="51"/>
        <v>-0.70645765152263018</v>
      </c>
      <c r="U143" s="630">
        <f t="shared" si="51"/>
        <v>-0.70645765152263018</v>
      </c>
      <c r="V143" s="631">
        <f t="shared" si="51"/>
        <v>-0.70645765152263018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53">R124</f>
        <v>#DIV/0!</v>
      </c>
      <c r="S150" s="616" t="e">
        <f t="shared" si="53"/>
        <v>#DIV/0!</v>
      </c>
      <c r="T150" s="616" t="e">
        <f t="shared" si="53"/>
        <v>#DIV/0!</v>
      </c>
      <c r="U150" s="616" t="e">
        <f t="shared" si="53"/>
        <v>#DIV/0!</v>
      </c>
      <c r="V150" s="621" t="e">
        <f t="shared" si="53"/>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-0.70645765152263018</v>
      </c>
      <c r="S156" s="627">
        <f t="shared" ref="S156:V156" si="58">S143</f>
        <v>-0.70645765152263018</v>
      </c>
      <c r="T156" s="627">
        <f t="shared" si="58"/>
        <v>-0.70645765152263018</v>
      </c>
      <c r="U156" s="627">
        <f t="shared" si="58"/>
        <v>-0.70645765152263018</v>
      </c>
      <c r="V156" s="628">
        <f t="shared" si="58"/>
        <v>-0.70645765152263018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4.797072</v>
      </c>
      <c r="K16" s="121">
        <f>'Input FD'!K10</f>
        <v>5.3863460999999999</v>
      </c>
      <c r="L16" s="121">
        <f>'Input FD'!L10</f>
        <v>6.6409127999999997</v>
      </c>
      <c r="M16" s="121">
        <f>'Input FD'!M10</f>
        <v>6.6940815999999996</v>
      </c>
      <c r="N16" s="121">
        <f>'Input FD'!N10</f>
        <v>5.0562753999999996</v>
      </c>
      <c r="O16" s="113"/>
      <c r="P16" s="113"/>
      <c r="Q16" s="113"/>
      <c r="R16" s="113"/>
      <c r="S16" s="113"/>
      <c r="T16" s="115"/>
      <c r="U16" s="122">
        <f t="shared" ref="U16:U34" si="0">SUM(J16:N16)</f>
        <v>28.574687900000001</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15.771167999999999</v>
      </c>
      <c r="K17" s="121">
        <f>'Input FD'!K11</f>
        <v>12.062123100000001</v>
      </c>
      <c r="L17" s="121">
        <f>'Input FD'!L11</f>
        <v>6.9655842000000003</v>
      </c>
      <c r="M17" s="121">
        <f>'Input FD'!M11</f>
        <v>5.3313135999999997</v>
      </c>
      <c r="N17" s="121">
        <f>'Input FD'!N11</f>
        <v>6.3674314000000001</v>
      </c>
      <c r="O17" s="113"/>
      <c r="P17" s="113"/>
      <c r="Q17" s="113"/>
      <c r="R17" s="113"/>
      <c r="S17" s="113"/>
      <c r="T17" s="115"/>
      <c r="U17" s="122">
        <f t="shared" si="0"/>
        <v>46.497620300000001</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1.707552</v>
      </c>
      <c r="K18" s="121">
        <f>'Input FD'!K12</f>
        <v>2.9192553000000001</v>
      </c>
      <c r="L18" s="121">
        <f>'Input FD'!L12</f>
        <v>6.3131687999999997</v>
      </c>
      <c r="M18" s="121">
        <f>'Input FD'!M12</f>
        <v>6.3626811999999999</v>
      </c>
      <c r="N18" s="121">
        <f>'Input FD'!N12</f>
        <v>2.7326155999999999</v>
      </c>
      <c r="O18" s="113"/>
      <c r="P18" s="113"/>
      <c r="Q18" s="113"/>
      <c r="R18" s="113"/>
      <c r="S18" s="113"/>
      <c r="T18" s="115"/>
      <c r="U18" s="122">
        <f t="shared" si="0"/>
        <v>20.035272899999999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7.7757120000000004</v>
      </c>
      <c r="K19" s="121">
        <f>'Input FD'!K13</f>
        <v>11.280742200000001</v>
      </c>
      <c r="L19" s="121">
        <f>'Input FD'!L13</f>
        <v>3.9769686000000002</v>
      </c>
      <c r="M19" s="121">
        <f>'Input FD'!M13</f>
        <v>2.3858763999999999</v>
      </c>
      <c r="N19" s="121">
        <f>'Input FD'!N13</f>
        <v>2.8012952000000002</v>
      </c>
      <c r="O19" s="113"/>
      <c r="P19" s="113"/>
      <c r="Q19" s="113"/>
      <c r="R19" s="113"/>
      <c r="S19" s="113"/>
      <c r="T19" s="115"/>
      <c r="U19" s="122">
        <f t="shared" si="0"/>
        <v>28.220594400000003</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-0.76100000000000001</v>
      </c>
      <c r="K20" s="121">
        <f>-'Input FD'!K14</f>
        <v>-0.75900000000000001</v>
      </c>
      <c r="L20" s="121">
        <f>-'Input FD'!L14</f>
        <v>-0.78600000000000003</v>
      </c>
      <c r="M20" s="121">
        <f>-'Input FD'!M14</f>
        <v>-0.84699999999999998</v>
      </c>
      <c r="N20" s="121">
        <f>-'Input FD'!N14</f>
        <v>-0.82399999999999995</v>
      </c>
      <c r="O20" s="113"/>
      <c r="P20" s="113"/>
      <c r="Q20" s="113"/>
      <c r="R20" s="113"/>
      <c r="S20" s="113"/>
      <c r="T20" s="115"/>
      <c r="U20" s="122">
        <f t="shared" si="0"/>
        <v>-3.9769999999999999</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29.290504000000002</v>
      </c>
      <c r="K24" s="121">
        <f>Calc!K55</f>
        <v>30.8894667</v>
      </c>
      <c r="L24" s="121">
        <f>Calc!L55</f>
        <v>23.110634399999999</v>
      </c>
      <c r="M24" s="121">
        <f>Calc!M55</f>
        <v>19.926952799999999</v>
      </c>
      <c r="N24" s="121">
        <f>Calc!N55</f>
        <v>16.133617599999997</v>
      </c>
      <c r="O24" s="113"/>
      <c r="P24" s="113"/>
      <c r="Q24" s="113"/>
      <c r="R24" s="113"/>
      <c r="S24" s="113"/>
      <c r="T24" s="115"/>
      <c r="U24" s="122">
        <f t="shared" si="0"/>
        <v>119.35117549999998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0</v>
      </c>
      <c r="K34" s="121">
        <f>Calc!K66</f>
        <v>0</v>
      </c>
      <c r="L34" s="121">
        <f>Calc!L66</f>
        <v>0</v>
      </c>
      <c r="M34" s="121">
        <f>Calc!M66</f>
        <v>0</v>
      </c>
      <c r="N34" s="121">
        <f>Calc!N66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5.1217274256155596</v>
      </c>
      <c r="K37" s="121">
        <f>'Input FD'!K30</f>
        <v>5.7219630018878203</v>
      </c>
      <c r="L37" s="121">
        <f>'Input FD'!L30</f>
        <v>7.39606188314362</v>
      </c>
      <c r="M37" s="121">
        <f>'Input FD'!M30</f>
        <v>7.3664776356110497</v>
      </c>
      <c r="N37" s="121">
        <f>'Input FD'!N30</f>
        <v>5.4982325681845099</v>
      </c>
      <c r="O37" s="113"/>
      <c r="P37" s="113"/>
      <c r="Q37" s="113"/>
      <c r="R37" s="113"/>
      <c r="S37" s="113"/>
      <c r="T37" s="115"/>
      <c r="U37" s="122">
        <f t="shared" ref="U37:U51" si="4">SUM(J37:N37)</f>
        <v>31.104462514442556</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13.8761113424824</v>
      </c>
      <c r="K38" s="121">
        <f>'Input FD'!K31</f>
        <v>9.7432356201238601</v>
      </c>
      <c r="L38" s="121">
        <f>'Input FD'!L31</f>
        <v>7.2795464827987502</v>
      </c>
      <c r="M38" s="121">
        <f>'Input FD'!M31</f>
        <v>5.49642397350451</v>
      </c>
      <c r="N38" s="121">
        <f>'Input FD'!N31</f>
        <v>6.4936037218966698</v>
      </c>
      <c r="O38" s="113"/>
      <c r="P38" s="113"/>
      <c r="Q38" s="113"/>
      <c r="R38" s="113"/>
      <c r="S38" s="113"/>
      <c r="T38" s="115"/>
      <c r="U38" s="122">
        <f t="shared" si="4"/>
        <v>42.88892114080619</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1.18561869610492</v>
      </c>
      <c r="K39" s="121">
        <f>'Input FD'!K32</f>
        <v>1.6386180195397699</v>
      </c>
      <c r="L39" s="121">
        <f>'Input FD'!L32</f>
        <v>2.5015015598287298</v>
      </c>
      <c r="M39" s="121">
        <f>'Input FD'!M32</f>
        <v>2.3256495793782199</v>
      </c>
      <c r="N39" s="121">
        <f>'Input FD'!N32</f>
        <v>1.3080532923734201</v>
      </c>
      <c r="O39" s="113"/>
      <c r="P39" s="113"/>
      <c r="Q39" s="113"/>
      <c r="R39" s="113"/>
      <c r="S39" s="113"/>
      <c r="T39" s="115"/>
      <c r="U39" s="122">
        <f t="shared" si="4"/>
        <v>8.9594411472250606</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2.8279990665602099</v>
      </c>
      <c r="K40" s="121">
        <f>'Input FD'!K33</f>
        <v>4.7783917290043201</v>
      </c>
      <c r="L40" s="121">
        <f>'Input FD'!L33</f>
        <v>2.6132132373085799</v>
      </c>
      <c r="M40" s="121">
        <f>'Input FD'!M33</f>
        <v>1.6306834375674799</v>
      </c>
      <c r="N40" s="121">
        <f>'Input FD'!N33</f>
        <v>1.78996159931696</v>
      </c>
      <c r="O40" s="113"/>
      <c r="P40" s="113"/>
      <c r="Q40" s="113"/>
      <c r="R40" s="113"/>
      <c r="S40" s="113"/>
      <c r="T40" s="115"/>
      <c r="U40" s="122">
        <f t="shared" si="4"/>
        <v>13.640249069757552</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23.011456530763091</v>
      </c>
      <c r="K43" s="121">
        <f>Calc!K56</f>
        <v>21.88220837055577</v>
      </c>
      <c r="L43" s="121">
        <f>Calc!L56</f>
        <v>19.790323163079677</v>
      </c>
      <c r="M43" s="121">
        <f>Calc!M56</f>
        <v>16.81923462606126</v>
      </c>
      <c r="N43" s="121">
        <f>Calc!N56</f>
        <v>15.089851181771561</v>
      </c>
      <c r="O43" s="113"/>
      <c r="P43" s="113"/>
      <c r="Q43" s="113"/>
      <c r="R43" s="113"/>
      <c r="S43" s="113"/>
      <c r="T43" s="115"/>
      <c r="U43" s="122">
        <f t="shared" si="4"/>
        <v>96.593073872231358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4"/>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4"/>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4"/>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4"/>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0</v>
      </c>
      <c r="K51" s="121">
        <f>Calc!K67</f>
        <v>0</v>
      </c>
      <c r="L51" s="121">
        <f>Calc!L67</f>
        <v>0</v>
      </c>
      <c r="M51" s="121">
        <f>Calc!M67</f>
        <v>0</v>
      </c>
      <c r="N51" s="121">
        <f>Calc!N67</f>
        <v>0</v>
      </c>
      <c r="O51" s="113"/>
      <c r="P51" s="113"/>
      <c r="Q51" s="113"/>
      <c r="R51" s="113"/>
      <c r="S51" s="113"/>
      <c r="T51" s="115"/>
      <c r="U51" s="122">
        <f t="shared" si="4"/>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5.4234074234383582</v>
      </c>
      <c r="K54" s="121">
        <f>Calc!K39</f>
        <v>6.0589980766788578</v>
      </c>
      <c r="L54" s="121">
        <f>Calc!L39</f>
        <v>7.8317047331798815</v>
      </c>
      <c r="M54" s="121">
        <f>Calc!M39</f>
        <v>7.8003779142471661</v>
      </c>
      <c r="N54" s="121">
        <f>Calc!N39</f>
        <v>5.8220894725764474</v>
      </c>
      <c r="O54" s="113"/>
      <c r="P54" s="113"/>
      <c r="Q54" s="113"/>
      <c r="R54" s="113"/>
      <c r="S54" s="113"/>
      <c r="T54" s="115"/>
      <c r="U54" s="122">
        <f>SUM(J54:N54)</f>
        <v>32.936577620120715</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14.69344207715848</v>
      </c>
      <c r="K55" s="121">
        <f>Calc!K40</f>
        <v>10.317131701739861</v>
      </c>
      <c r="L55" s="121">
        <f>Calc!L40</f>
        <v>7.7083263425191726</v>
      </c>
      <c r="M55" s="121">
        <f>Calc!M40</f>
        <v>5.8201743480494281</v>
      </c>
      <c r="N55" s="121">
        <f>Calc!N40</f>
        <v>6.8760899797334893</v>
      </c>
      <c r="O55" s="113"/>
      <c r="P55" s="113"/>
      <c r="Q55" s="113"/>
      <c r="R55" s="113"/>
      <c r="S55" s="113"/>
      <c r="T55" s="115"/>
      <c r="U55" s="122">
        <f>SUM(J55:N55)</f>
        <v>45.415164449200432</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1.255454010626097</v>
      </c>
      <c r="K56" s="121">
        <f>Calc!K41</f>
        <v>1.7351359010058542</v>
      </c>
      <c r="L56" s="121">
        <f>Calc!L41</f>
        <v>2.6488450091010538</v>
      </c>
      <c r="M56" s="121">
        <f>Calc!M41</f>
        <v>2.4626349949890654</v>
      </c>
      <c r="N56" s="121">
        <f>Calc!N41</f>
        <v>1.3851002496991294</v>
      </c>
      <c r="O56" s="113"/>
      <c r="P56" s="113"/>
      <c r="Q56" s="113"/>
      <c r="R56" s="113"/>
      <c r="S56" s="113"/>
      <c r="T56" s="115"/>
      <c r="U56" s="122">
        <f>SUM(J56:N56)</f>
        <v>9.4871701654212011</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2.9945738725477078</v>
      </c>
      <c r="K57" s="121">
        <f>Calc!K42</f>
        <v>5.059848567022061</v>
      </c>
      <c r="L57" s="121">
        <f>Calc!L42</f>
        <v>2.7671367280041061</v>
      </c>
      <c r="M57" s="121">
        <f>Calc!M42</f>
        <v>1.7267339562722908</v>
      </c>
      <c r="N57" s="121">
        <f>Calc!N42</f>
        <v>1.8953939205850003</v>
      </c>
      <c r="O57" s="113"/>
      <c r="P57" s="113"/>
      <c r="Q57" s="113"/>
      <c r="R57" s="113"/>
      <c r="S57" s="113"/>
      <c r="T57" s="115"/>
      <c r="U57" s="122">
        <f>SUM(J57:N57)</f>
        <v>14.443687044431167</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24.366877383770642</v>
      </c>
      <c r="K60" s="121">
        <f>Calc!K57</f>
        <v>23.171114246446635</v>
      </c>
      <c r="L60" s="121">
        <f>Calc!L57</f>
        <v>20.956012812804214</v>
      </c>
      <c r="M60" s="121">
        <f>Calc!M57</f>
        <v>17.809921213557953</v>
      </c>
      <c r="N60" s="121">
        <f>Calc!N57</f>
        <v>15.978673622594066</v>
      </c>
      <c r="O60" s="113"/>
      <c r="P60" s="113"/>
      <c r="Q60" s="113"/>
      <c r="R60" s="113"/>
      <c r="S60" s="113"/>
      <c r="T60" s="115"/>
      <c r="U60" s="122">
        <f>SUM(J60:N60)</f>
        <v>102.28259927917352</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0</v>
      </c>
      <c r="K62" s="121">
        <f>Calc!K46</f>
        <v>0</v>
      </c>
      <c r="L62" s="121">
        <f>Calc!L46</f>
        <v>0</v>
      </c>
      <c r="M62" s="121">
        <f>Calc!M46</f>
        <v>0</v>
      </c>
      <c r="N62" s="121">
        <f>Calc!N46</f>
        <v>0</v>
      </c>
      <c r="O62" s="113"/>
      <c r="P62" s="113"/>
      <c r="Q62" s="113"/>
      <c r="R62" s="113"/>
      <c r="S62" s="113"/>
      <c r="T62" s="115"/>
      <c r="U62" s="122">
        <f>SUM(J62:N62)</f>
        <v>0</v>
      </c>
    </row>
    <row r="63" spans="1:27" s="117" customFormat="1" ht="17.399999999999999">
      <c r="A63" s="110"/>
      <c r="B63" s="119" t="s">
        <v>159</v>
      </c>
      <c r="C63" s="119"/>
      <c r="D63" s="113"/>
      <c r="E63" s="113" t="str">
        <f>Calc!E47</f>
        <v>Sewerage: MNI</v>
      </c>
      <c r="F63" s="113"/>
      <c r="G63" s="120"/>
      <c r="H63" s="120"/>
      <c r="I63" s="120"/>
      <c r="J63" s="121">
        <f>Calc!J47</f>
        <v>0</v>
      </c>
      <c r="K63" s="121">
        <f>Calc!K47</f>
        <v>0</v>
      </c>
      <c r="L63" s="121">
        <f>Calc!L47</f>
        <v>0</v>
      </c>
      <c r="M63" s="121">
        <f>Calc!M47</f>
        <v>0</v>
      </c>
      <c r="N63" s="121">
        <f>Calc!N47</f>
        <v>0</v>
      </c>
      <c r="O63" s="113"/>
      <c r="P63" s="113"/>
      <c r="Q63" s="113"/>
      <c r="R63" s="113"/>
      <c r="S63" s="113"/>
      <c r="T63" s="115"/>
      <c r="U63" s="122">
        <f>SUM(J63:N63)</f>
        <v>0</v>
      </c>
    </row>
    <row r="64" spans="1:27" s="117" customFormat="1" ht="17.399999999999999">
      <c r="A64" s="110"/>
      <c r="B64" s="119" t="s">
        <v>160</v>
      </c>
      <c r="C64" s="119"/>
      <c r="D64" s="113"/>
      <c r="E64" s="113" t="str">
        <f>Calc!E48</f>
        <v>Sewerage: Infrastructure enhancements</v>
      </c>
      <c r="F64" s="113"/>
      <c r="G64" s="120"/>
      <c r="H64" s="120"/>
      <c r="I64" s="120"/>
      <c r="J64" s="121">
        <f>Calc!J48</f>
        <v>0</v>
      </c>
      <c r="K64" s="121">
        <f>Calc!K48</f>
        <v>0</v>
      </c>
      <c r="L64" s="121">
        <f>Calc!L48</f>
        <v>0</v>
      </c>
      <c r="M64" s="121">
        <f>Calc!M48</f>
        <v>0</v>
      </c>
      <c r="N64" s="121">
        <f>Calc!N48</f>
        <v>0</v>
      </c>
      <c r="O64" s="113"/>
      <c r="P64" s="113"/>
      <c r="Q64" s="113"/>
      <c r="R64" s="113"/>
      <c r="S64" s="113"/>
      <c r="T64" s="115"/>
      <c r="U64" s="122">
        <f>SUM(J64:N64)</f>
        <v>0</v>
      </c>
    </row>
    <row r="65" spans="1:21" s="117" customFormat="1" ht="17.399999999999999">
      <c r="A65" s="110"/>
      <c r="B65" s="119" t="s">
        <v>238</v>
      </c>
      <c r="C65" s="119"/>
      <c r="D65" s="113"/>
      <c r="E65" s="113" t="str">
        <f>Calc!E49</f>
        <v>Sewerage: Non-infrastructure enhancements</v>
      </c>
      <c r="F65" s="113"/>
      <c r="G65" s="120"/>
      <c r="H65" s="120"/>
      <c r="I65" s="120"/>
      <c r="J65" s="121">
        <f>Calc!J49</f>
        <v>0</v>
      </c>
      <c r="K65" s="121">
        <f>Calc!K49</f>
        <v>0</v>
      </c>
      <c r="L65" s="121">
        <f>Calc!L49</f>
        <v>0</v>
      </c>
      <c r="M65" s="121">
        <f>Calc!M49</f>
        <v>0</v>
      </c>
      <c r="N65" s="121">
        <f>Calc!N49</f>
        <v>0</v>
      </c>
      <c r="O65" s="113"/>
      <c r="P65" s="113"/>
      <c r="Q65" s="113"/>
      <c r="R65" s="113"/>
      <c r="S65" s="113"/>
      <c r="T65" s="115"/>
      <c r="U65" s="122">
        <f>SUM(J65:N65)</f>
        <v>0</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0</v>
      </c>
      <c r="K68" s="121">
        <f>Calc!K68</f>
        <v>0</v>
      </c>
      <c r="L68" s="121">
        <f>Calc!L68</f>
        <v>0</v>
      </c>
      <c r="M68" s="121">
        <f>Calc!M68</f>
        <v>0</v>
      </c>
      <c r="N68" s="121">
        <f>Calc!N68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123.56080070282465</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-0.56630025883308099</v>
      </c>
      <c r="K73" s="121">
        <f>Calc!K127</f>
        <v>-0.538510035100077</v>
      </c>
      <c r="L73" s="121">
        <f>Calc!L127</f>
        <v>-0.48702980250988398</v>
      </c>
      <c r="M73" s="121">
        <f>Calc!M127</f>
        <v>-0.41391282248385902</v>
      </c>
      <c r="N73" s="121">
        <f>Calc!N127</f>
        <v>-0.37135357418883502</v>
      </c>
      <c r="O73" s="113"/>
      <c r="P73" s="113"/>
      <c r="Q73" s="113"/>
      <c r="R73" s="113"/>
      <c r="S73" s="113"/>
      <c r="T73" s="115"/>
      <c r="U73" s="122">
        <f>SUM(J73:N73)</f>
        <v>-2.3771064931157362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v>
      </c>
      <c r="K76" s="121">
        <f>Calc!K128</f>
        <v>0</v>
      </c>
      <c r="L76" s="121">
        <f>Calc!L128</f>
        <v>0</v>
      </c>
      <c r="M76" s="121">
        <f>Calc!M128</f>
        <v>0</v>
      </c>
      <c r="N76" s="121">
        <f>Calc!N128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SES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29.290504000000002</v>
      </c>
      <c r="K16" s="121">
        <f>Calc!K55</f>
        <v>30.8894667</v>
      </c>
      <c r="L16" s="121">
        <f>Calc!L55</f>
        <v>23.110634399999999</v>
      </c>
      <c r="M16" s="121">
        <f>Calc!M55</f>
        <v>19.926952799999999</v>
      </c>
      <c r="N16" s="121">
        <f>Calc!N55</f>
        <v>16.133617599999997</v>
      </c>
      <c r="O16" s="113"/>
      <c r="P16" s="113"/>
      <c r="Q16" s="113"/>
      <c r="R16" s="113"/>
      <c r="S16" s="113"/>
      <c r="T16" s="115"/>
      <c r="U16" s="295">
        <f>SUM(J16:N16)</f>
        <v>119.35117549999998</v>
      </c>
    </row>
    <row r="17" spans="1:21" s="117" customFormat="1" ht="17.399999999999999">
      <c r="A17" s="110"/>
      <c r="B17" s="118" t="s">
        <v>131</v>
      </c>
      <c r="C17" s="119"/>
      <c r="D17" s="113"/>
      <c r="E17" s="124" t="str">
        <f>Calc!E56</f>
        <v>Water: Baseline capex (gross of adjustments)</v>
      </c>
      <c r="F17" s="124"/>
      <c r="G17" s="113"/>
      <c r="H17" s="120"/>
      <c r="I17" s="120"/>
      <c r="J17" s="121">
        <f>Calc!J56</f>
        <v>23.011456530763091</v>
      </c>
      <c r="K17" s="121">
        <f>Calc!K56</f>
        <v>21.88220837055577</v>
      </c>
      <c r="L17" s="121">
        <f>Calc!L56</f>
        <v>19.790323163079677</v>
      </c>
      <c r="M17" s="121">
        <f>Calc!M56</f>
        <v>16.81923462606126</v>
      </c>
      <c r="N17" s="121">
        <f>Calc!N56</f>
        <v>15.089851181771561</v>
      </c>
      <c r="O17" s="113"/>
      <c r="P17" s="113"/>
      <c r="Q17" s="113"/>
      <c r="R17" s="113"/>
      <c r="S17" s="113"/>
      <c r="T17" s="115"/>
      <c r="U17" s="295">
        <f t="shared" ref="U17:U18" si="0">SUM(J17:N17)</f>
        <v>96.593073872231358</v>
      </c>
    </row>
    <row r="18" spans="1:21" s="117" customFormat="1" ht="17.399999999999999">
      <c r="A18" s="110"/>
      <c r="B18" s="118" t="s">
        <v>132</v>
      </c>
      <c r="C18" s="119"/>
      <c r="D18" s="113"/>
      <c r="E18" s="124" t="str">
        <f>Calc!E57</f>
        <v>Water: Allowance capex (gross of adjustments)</v>
      </c>
      <c r="F18" s="124"/>
      <c r="G18" s="113"/>
      <c r="H18" s="286"/>
      <c r="I18" s="120"/>
      <c r="J18" s="121">
        <f>Calc!J57</f>
        <v>24.366877383770642</v>
      </c>
      <c r="K18" s="121">
        <f>Calc!K57</f>
        <v>23.171114246446635</v>
      </c>
      <c r="L18" s="121">
        <f>Calc!L57</f>
        <v>20.956012812804214</v>
      </c>
      <c r="M18" s="121">
        <f>Calc!M57</f>
        <v>17.809921213557953</v>
      </c>
      <c r="N18" s="121">
        <f>Calc!N57</f>
        <v>15.978673622594066</v>
      </c>
      <c r="O18" s="113"/>
      <c r="P18" s="113"/>
      <c r="Q18" s="113"/>
      <c r="R18" s="113"/>
      <c r="S18" s="113"/>
      <c r="T18" s="115"/>
      <c r="U18" s="295">
        <f t="shared" si="0"/>
        <v>102.28259927917352</v>
      </c>
    </row>
    <row r="19" spans="1:21" s="117" customFormat="1" ht="17.399999999999999">
      <c r="A19" s="110"/>
      <c r="B19" s="118" t="s">
        <v>133</v>
      </c>
      <c r="C19" s="119"/>
      <c r="D19" s="113"/>
      <c r="E19" s="124" t="str">
        <f>Calc!E94</f>
        <v>Water: CIS bid ratio</v>
      </c>
      <c r="F19" s="124"/>
      <c r="G19" s="301">
        <f>Calc!G94</f>
        <v>123.56080070282465</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29.290504000000002</v>
      </c>
      <c r="K24" s="121">
        <f>Calc!K62</f>
        <v>30.8894667</v>
      </c>
      <c r="L24" s="121">
        <f>Calc!L62</f>
        <v>23.110634399999999</v>
      </c>
      <c r="M24" s="121">
        <f>Calc!M62</f>
        <v>19.926952799999999</v>
      </c>
      <c r="N24" s="121">
        <f>Calc!N62</f>
        <v>16.133617599999997</v>
      </c>
      <c r="O24" s="113"/>
      <c r="P24" s="113"/>
      <c r="Q24" s="113"/>
      <c r="R24" s="113"/>
      <c r="S24" s="113"/>
      <c r="T24" s="115"/>
      <c r="U24" s="295">
        <f t="shared" ref="U24:U26" si="2">SUM(J24:N24)</f>
        <v>119.35117549999998</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23.011456530763091</v>
      </c>
      <c r="K25" s="121">
        <f>Calc!K63</f>
        <v>21.88220837055577</v>
      </c>
      <c r="L25" s="121">
        <f>Calc!L63</f>
        <v>19.790323163079677</v>
      </c>
      <c r="M25" s="121">
        <f>Calc!M63</f>
        <v>16.81923462606126</v>
      </c>
      <c r="N25" s="121">
        <f>Calc!N63</f>
        <v>15.089851181771561</v>
      </c>
      <c r="O25" s="113"/>
      <c r="P25" s="113"/>
      <c r="Q25" s="113"/>
      <c r="R25" s="113"/>
      <c r="S25" s="113"/>
      <c r="T25" s="115"/>
      <c r="U25" s="295">
        <f t="shared" si="2"/>
        <v>96.593073872231358</v>
      </c>
    </row>
    <row r="26" spans="1:21" s="117" customFormat="1" ht="17.399999999999999">
      <c r="A26" s="110"/>
      <c r="B26" s="118" t="s">
        <v>138</v>
      </c>
      <c r="C26" s="119"/>
      <c r="D26" s="113"/>
      <c r="E26" s="113" t="str">
        <f>Calc!E64</f>
        <v>Water: Allowance capex (net of adjustments)</v>
      </c>
      <c r="F26" s="113"/>
      <c r="G26" s="113"/>
      <c r="H26" s="120"/>
      <c r="I26" s="120"/>
      <c r="J26" s="121">
        <f>Calc!J64</f>
        <v>24.366877383770642</v>
      </c>
      <c r="K26" s="121">
        <f>Calc!K64</f>
        <v>23.171114246446631</v>
      </c>
      <c r="L26" s="121">
        <f>Calc!L64</f>
        <v>20.956012812804211</v>
      </c>
      <c r="M26" s="121">
        <f>Calc!M64</f>
        <v>17.809921213557949</v>
      </c>
      <c r="N26" s="121">
        <f>Calc!N64</f>
        <v>15.978673622594068</v>
      </c>
      <c r="O26" s="113"/>
      <c r="P26" s="113"/>
      <c r="Q26" s="113"/>
      <c r="R26" s="113"/>
      <c r="S26" s="113"/>
      <c r="T26" s="115"/>
      <c r="U26" s="295">
        <f t="shared" si="2"/>
        <v>102.2825992791735</v>
      </c>
    </row>
    <row r="27" spans="1:21" s="117" customFormat="1" ht="17.399999999999999">
      <c r="A27" s="110"/>
      <c r="B27" s="118" t="s">
        <v>139</v>
      </c>
      <c r="C27" s="119"/>
      <c r="D27" s="113"/>
      <c r="E27" s="113" t="str">
        <f>Calc!E106</f>
        <v>Water: Restated CIS bid ratio</v>
      </c>
      <c r="F27" s="113"/>
      <c r="G27" s="301">
        <f>Calc!G106</f>
        <v>123.56080070282465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26.026246752265429</v>
      </c>
      <c r="K30" s="121">
        <f>Calc!K79</f>
        <v>26.818435945490315</v>
      </c>
      <c r="L30" s="121">
        <f>Calc!L79</f>
        <v>20.105126296696909</v>
      </c>
      <c r="M30" s="121">
        <f>Calc!M79</f>
        <v>17.449264680711739</v>
      </c>
      <c r="N30" s="121">
        <f>Calc!N79</f>
        <v>14.128074215045938</v>
      </c>
      <c r="O30" s="113"/>
      <c r="P30" s="113"/>
      <c r="Q30" s="113"/>
      <c r="R30" s="113"/>
      <c r="S30" s="113"/>
      <c r="T30" s="115"/>
      <c r="U30" s="295">
        <f t="shared" ref="U30:U33" si="3">SUM(J30:N30)</f>
        <v>104.52714789021033</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20.446962804008766</v>
      </c>
      <c r="K31" s="121">
        <f>Calc!K80</f>
        <v>18.998275665653427</v>
      </c>
      <c r="L31" s="121">
        <f>Calc!L80</f>
        <v>17.216617240336909</v>
      </c>
      <c r="M31" s="121">
        <f>Calc!M80</f>
        <v>14.727955631888417</v>
      </c>
      <c r="N31" s="121">
        <f>Calc!N80</f>
        <v>13.214056678154272</v>
      </c>
      <c r="O31" s="113"/>
      <c r="P31" s="113"/>
      <c r="Q31" s="113"/>
      <c r="R31" s="113"/>
      <c r="S31" s="113"/>
      <c r="T31" s="115"/>
      <c r="U31" s="295">
        <f t="shared" si="3"/>
        <v>84.603868020041801</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21.651329843017059</v>
      </c>
      <c r="K32" s="121">
        <f>Calc!K81</f>
        <v>20.117312132292884</v>
      </c>
      <c r="L32" s="121">
        <f>Calc!L81</f>
        <v>18.230710459277887</v>
      </c>
      <c r="M32" s="121">
        <f>Calc!M81</f>
        <v>15.595461700395832</v>
      </c>
      <c r="N32" s="121">
        <f>Calc!N81</f>
        <v>13.992391067828827</v>
      </c>
      <c r="O32" s="113"/>
      <c r="P32" s="113"/>
      <c r="Q32" s="113"/>
      <c r="R32" s="113"/>
      <c r="S32" s="113"/>
      <c r="T32" s="115"/>
      <c r="U32" s="295">
        <f t="shared" si="3"/>
        <v>89.587205202812498</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12.358463332965394</v>
      </c>
      <c r="K33" s="121">
        <f>Calc!K82</f>
        <v>22.559627084723157</v>
      </c>
      <c r="L33" s="121">
        <f>Calc!L82</f>
        <v>17.834832601069476</v>
      </c>
      <c r="M33" s="121">
        <f>Calc!M82</f>
        <v>18.780707594014885</v>
      </c>
      <c r="N33" s="121">
        <f>Calc!N82</f>
        <v>17.347215664371451</v>
      </c>
      <c r="O33" s="113"/>
      <c r="P33" s="113"/>
      <c r="Q33" s="113"/>
      <c r="R33" s="113"/>
      <c r="S33" s="113"/>
      <c r="T33" s="115"/>
      <c r="U33" s="295">
        <f t="shared" si="3"/>
        <v>88.880846277144357</v>
      </c>
    </row>
    <row r="34" spans="1:21" s="117" customFormat="1" ht="17.399999999999999">
      <c r="A34" s="110"/>
      <c r="B34" s="118" t="s">
        <v>145</v>
      </c>
      <c r="C34" s="118"/>
      <c r="D34" s="113"/>
      <c r="E34" s="113" t="str">
        <f>Calc!E116</f>
        <v>Water: CIS outturn ratio</v>
      </c>
      <c r="F34" s="113"/>
      <c r="G34" s="301">
        <f>Calc!G116</f>
        <v>105.0552987200176</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-1.9533624574835953</v>
      </c>
    </row>
    <row r="38" spans="1:21" s="117" customFormat="1" ht="17.399999999999999">
      <c r="A38" s="110"/>
      <c r="B38" s="118" t="s">
        <v>152</v>
      </c>
      <c r="C38" s="119"/>
      <c r="D38" s="113"/>
      <c r="E38" s="113" t="str">
        <f>Calc!E127</f>
        <v>Water: Additional income (applied at FD)</v>
      </c>
      <c r="F38" s="113"/>
      <c r="G38" s="113"/>
      <c r="H38" s="113"/>
      <c r="I38" s="113"/>
      <c r="J38" s="121">
        <f>Calc!J127</f>
        <v>-0.56630025883308099</v>
      </c>
      <c r="K38" s="121">
        <f>Calc!K127</f>
        <v>-0.538510035100077</v>
      </c>
      <c r="L38" s="121">
        <f>Calc!L127</f>
        <v>-0.48702980250988398</v>
      </c>
      <c r="M38" s="121">
        <f>Calc!M127</f>
        <v>-0.41391282248385902</v>
      </c>
      <c r="N38" s="121">
        <f>Calc!N127</f>
        <v>-0.37135357418883502</v>
      </c>
      <c r="O38" s="113"/>
      <c r="P38" s="113"/>
      <c r="Q38" s="113"/>
      <c r="R38" s="113"/>
      <c r="S38" s="113"/>
      <c r="T38" s="115"/>
      <c r="U38" s="295">
        <f t="shared" ref="U38" si="4">SUM(J38:N38)</f>
        <v>-2.3771064931157362</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0.42374403563214086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0</v>
      </c>
      <c r="K45" s="121">
        <f>Calc!K66</f>
        <v>0</v>
      </c>
      <c r="L45" s="121">
        <f>Calc!L66</f>
        <v>0</v>
      </c>
      <c r="M45" s="121">
        <f>Calc!M66</f>
        <v>0</v>
      </c>
      <c r="N45" s="121">
        <f>Calc!N66</f>
        <v>0</v>
      </c>
      <c r="O45" s="113"/>
      <c r="P45" s="113"/>
      <c r="Q45" s="113"/>
      <c r="R45" s="113"/>
      <c r="S45" s="113"/>
      <c r="T45" s="115"/>
      <c r="U45" s="295">
        <f>SUM(J45:N45)</f>
        <v>0</v>
      </c>
    </row>
    <row r="46" spans="1:21" s="117" customFormat="1" ht="17.399999999999999">
      <c r="A46" s="110"/>
      <c r="B46" s="118" t="s">
        <v>327</v>
      </c>
      <c r="C46" s="119"/>
      <c r="D46" s="113"/>
      <c r="E46" s="124" t="str">
        <f>Calc!E67</f>
        <v>Sewerage: Baseline capex (gross of adjustments)</v>
      </c>
      <c r="F46" s="124"/>
      <c r="G46" s="113"/>
      <c r="H46" s="120"/>
      <c r="I46" s="120"/>
      <c r="J46" s="121">
        <f>Calc!J67</f>
        <v>0</v>
      </c>
      <c r="K46" s="121">
        <f>Calc!K67</f>
        <v>0</v>
      </c>
      <c r="L46" s="121">
        <f>Calc!L67</f>
        <v>0</v>
      </c>
      <c r="M46" s="121">
        <f>Calc!M67</f>
        <v>0</v>
      </c>
      <c r="N46" s="121">
        <f>Calc!N67</f>
        <v>0</v>
      </c>
      <c r="O46" s="113"/>
      <c r="P46" s="113"/>
      <c r="Q46" s="113"/>
      <c r="R46" s="113"/>
      <c r="S46" s="113"/>
      <c r="T46" s="115"/>
      <c r="U46" s="295">
        <f t="shared" ref="U46:U47" si="5">SUM(J46:N46)</f>
        <v>0</v>
      </c>
    </row>
    <row r="47" spans="1:21" s="117" customFormat="1" ht="17.399999999999999">
      <c r="A47" s="110"/>
      <c r="B47" s="118" t="s">
        <v>328</v>
      </c>
      <c r="C47" s="119"/>
      <c r="D47" s="113"/>
      <c r="E47" s="124" t="str">
        <f>Calc!E68</f>
        <v>Sewerage: Allowance capex (gross of adjustments)</v>
      </c>
      <c r="F47" s="124"/>
      <c r="G47" s="113"/>
      <c r="H47" s="286"/>
      <c r="I47" s="120"/>
      <c r="J47" s="121">
        <f>Calc!J68</f>
        <v>0</v>
      </c>
      <c r="K47" s="121">
        <f>Calc!K68</f>
        <v>0</v>
      </c>
      <c r="L47" s="121">
        <f>Calc!L68</f>
        <v>0</v>
      </c>
      <c r="M47" s="121">
        <f>Calc!M68</f>
        <v>0</v>
      </c>
      <c r="N47" s="121">
        <f>Calc!N68</f>
        <v>0</v>
      </c>
      <c r="O47" s="113"/>
      <c r="P47" s="113"/>
      <c r="Q47" s="113"/>
      <c r="R47" s="113"/>
      <c r="S47" s="113"/>
      <c r="T47" s="115"/>
      <c r="U47" s="295">
        <f t="shared" si="5"/>
        <v>0</v>
      </c>
    </row>
    <row r="48" spans="1:21" s="117" customFormat="1" ht="17.399999999999999">
      <c r="A48" s="110"/>
      <c r="B48" s="118" t="s">
        <v>329</v>
      </c>
      <c r="C48" s="119"/>
      <c r="D48" s="113"/>
      <c r="E48" s="124" t="str">
        <f>Calc!E99</f>
        <v>Sewerage: CIS bid ratio</v>
      </c>
      <c r="F48" s="124"/>
      <c r="G48" s="301">
        <f>Calc!G99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v>
      </c>
      <c r="L50" s="121">
        <f>Calc!L70</f>
        <v>0</v>
      </c>
      <c r="M50" s="121">
        <f>Calc!M70</f>
        <v>0</v>
      </c>
      <c r="N50" s="121">
        <f>Calc!N70</f>
        <v>0</v>
      </c>
      <c r="O50" s="113"/>
      <c r="P50" s="113"/>
      <c r="Q50" s="113"/>
      <c r="R50" s="113"/>
      <c r="S50" s="113"/>
      <c r="T50" s="115"/>
      <c r="U50" s="295">
        <f t="shared" ref="U50:U51" si="6">SUM(J50:N50)</f>
        <v>0</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v>
      </c>
      <c r="L51" s="121">
        <f>Calc!L71</f>
        <v>0</v>
      </c>
      <c r="M51" s="121">
        <f>Calc!M71</f>
        <v>0</v>
      </c>
      <c r="N51" s="121">
        <f>Calc!N71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0</v>
      </c>
      <c r="K53" s="121">
        <f>Calc!K73</f>
        <v>0</v>
      </c>
      <c r="L53" s="121">
        <f>Calc!L73</f>
        <v>0</v>
      </c>
      <c r="M53" s="121">
        <f>Calc!M73</f>
        <v>0</v>
      </c>
      <c r="N53" s="121">
        <f>Calc!N73</f>
        <v>0</v>
      </c>
      <c r="O53" s="113"/>
      <c r="P53" s="113"/>
      <c r="Q53" s="113"/>
      <c r="R53" s="113"/>
      <c r="S53" s="113"/>
      <c r="T53" s="115"/>
      <c r="U53" s="295">
        <f t="shared" ref="U53:U55" si="7">SUM(J53:N53)</f>
        <v>0</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0</v>
      </c>
      <c r="K54" s="121">
        <f>Calc!K74</f>
        <v>0</v>
      </c>
      <c r="L54" s="121">
        <f>Calc!L74</f>
        <v>0</v>
      </c>
      <c r="M54" s="121">
        <f>Calc!M74</f>
        <v>0</v>
      </c>
      <c r="N54" s="121">
        <f>Calc!N74</f>
        <v>0</v>
      </c>
      <c r="O54" s="113"/>
      <c r="P54" s="113"/>
      <c r="Q54" s="113"/>
      <c r="R54" s="113"/>
      <c r="S54" s="113"/>
      <c r="T54" s="115"/>
      <c r="U54" s="295">
        <f t="shared" si="7"/>
        <v>0</v>
      </c>
    </row>
    <row r="55" spans="1:21" s="117" customFormat="1" ht="17.399999999999999">
      <c r="A55" s="110"/>
      <c r="B55" s="118" t="s">
        <v>334</v>
      </c>
      <c r="C55" s="119"/>
      <c r="D55" s="113"/>
      <c r="E55" s="113" t="str">
        <f>Calc!E75</f>
        <v>Sewerage: Allowance capex (net of adjustments)</v>
      </c>
      <c r="F55" s="113"/>
      <c r="G55" s="113"/>
      <c r="H55" s="120"/>
      <c r="I55" s="120"/>
      <c r="J55" s="121">
        <f>Calc!J75</f>
        <v>0</v>
      </c>
      <c r="K55" s="121">
        <f>Calc!K75</f>
        <v>0</v>
      </c>
      <c r="L55" s="121">
        <f>Calc!L75</f>
        <v>0</v>
      </c>
      <c r="M55" s="121">
        <f>Calc!M75</f>
        <v>0</v>
      </c>
      <c r="N55" s="121">
        <f>Calc!N75</f>
        <v>0</v>
      </c>
      <c r="O55" s="113"/>
      <c r="P55" s="113"/>
      <c r="Q55" s="113"/>
      <c r="R55" s="113"/>
      <c r="S55" s="113"/>
      <c r="T55" s="115"/>
      <c r="U55" s="295">
        <f t="shared" si="7"/>
        <v>0</v>
      </c>
    </row>
    <row r="56" spans="1:21" s="117" customFormat="1" ht="17.399999999999999">
      <c r="A56" s="110"/>
      <c r="B56" s="118" t="s">
        <v>335</v>
      </c>
      <c r="C56" s="119"/>
      <c r="D56" s="113"/>
      <c r="E56" s="113" t="str">
        <f>Calc!E110</f>
        <v>Sewerage: Restated CIS bid ratio</v>
      </c>
      <c r="F56" s="113"/>
      <c r="G56" s="301">
        <f>Calc!G110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0</v>
      </c>
      <c r="K59" s="121">
        <f>Calc!K84</f>
        <v>0</v>
      </c>
      <c r="L59" s="121">
        <f>Calc!L84</f>
        <v>0</v>
      </c>
      <c r="M59" s="121">
        <f>Calc!M84</f>
        <v>0</v>
      </c>
      <c r="N59" s="121">
        <f>Calc!N84</f>
        <v>0</v>
      </c>
      <c r="O59" s="113"/>
      <c r="P59" s="113"/>
      <c r="Q59" s="113"/>
      <c r="R59" s="113"/>
      <c r="S59" s="113"/>
      <c r="T59" s="115"/>
      <c r="U59" s="295">
        <f t="shared" ref="U59:U62" si="8">SUM(J59:N59)</f>
        <v>0</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0</v>
      </c>
      <c r="K60" s="121">
        <f>Calc!K85</f>
        <v>0</v>
      </c>
      <c r="L60" s="121">
        <f>Calc!L85</f>
        <v>0</v>
      </c>
      <c r="M60" s="121">
        <f>Calc!M85</f>
        <v>0</v>
      </c>
      <c r="N60" s="121">
        <f>Calc!N85</f>
        <v>0</v>
      </c>
      <c r="O60" s="113"/>
      <c r="P60" s="113"/>
      <c r="Q60" s="113"/>
      <c r="R60" s="113"/>
      <c r="S60" s="113"/>
      <c r="T60" s="115"/>
      <c r="U60" s="295">
        <f t="shared" si="8"/>
        <v>0</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0</v>
      </c>
      <c r="K61" s="121">
        <f>Calc!K86</f>
        <v>0</v>
      </c>
      <c r="L61" s="121">
        <f>Calc!L86</f>
        <v>0</v>
      </c>
      <c r="M61" s="121">
        <f>Calc!M86</f>
        <v>0</v>
      </c>
      <c r="N61" s="121">
        <f>Calc!N86</f>
        <v>0</v>
      </c>
      <c r="O61" s="113"/>
      <c r="P61" s="113"/>
      <c r="Q61" s="113"/>
      <c r="R61" s="113"/>
      <c r="S61" s="113"/>
      <c r="T61" s="115"/>
      <c r="U61" s="295">
        <f t="shared" si="8"/>
        <v>0</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0</v>
      </c>
      <c r="K62" s="121">
        <f>Calc!K87</f>
        <v>0</v>
      </c>
      <c r="L62" s="121">
        <f>Calc!L87</f>
        <v>0</v>
      </c>
      <c r="M62" s="121">
        <f>Calc!M87</f>
        <v>0</v>
      </c>
      <c r="N62" s="121">
        <f>Calc!N87</f>
        <v>0</v>
      </c>
      <c r="O62" s="113"/>
      <c r="P62" s="113"/>
      <c r="Q62" s="113"/>
      <c r="R62" s="113"/>
      <c r="S62" s="113"/>
      <c r="T62" s="115"/>
      <c r="U62" s="295">
        <f t="shared" si="8"/>
        <v>0</v>
      </c>
    </row>
    <row r="63" spans="1:21" s="117" customFormat="1" ht="17.399999999999999">
      <c r="A63" s="110"/>
      <c r="B63" s="118" t="s">
        <v>340</v>
      </c>
      <c r="C63" s="118"/>
      <c r="D63" s="113"/>
      <c r="E63" s="113" t="str">
        <f>Calc!E119</f>
        <v>Sewerage: CIS outturn ratio</v>
      </c>
      <c r="F63" s="113"/>
      <c r="G63" s="301">
        <f>Calc!G119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0</v>
      </c>
    </row>
    <row r="67" spans="1:24" s="117" customFormat="1" ht="17.399999999999999">
      <c r="A67" s="110"/>
      <c r="B67" s="118" t="s">
        <v>342</v>
      </c>
      <c r="C67" s="119"/>
      <c r="D67" s="113"/>
      <c r="E67" s="113" t="str">
        <f>Calc!E128</f>
        <v>Sewerage: Additional income (applied at FD)</v>
      </c>
      <c r="F67" s="113"/>
      <c r="G67" s="113"/>
      <c r="H67" s="113"/>
      <c r="I67" s="113"/>
      <c r="J67" s="121">
        <f>Calc!J128</f>
        <v>0</v>
      </c>
      <c r="K67" s="121">
        <f>Calc!K128</f>
        <v>0</v>
      </c>
      <c r="L67" s="121">
        <f>Calc!L128</f>
        <v>0</v>
      </c>
      <c r="M67" s="121">
        <f>Calc!M128</f>
        <v>0</v>
      </c>
      <c r="N67" s="121">
        <f>Calc!N128</f>
        <v>0</v>
      </c>
      <c r="O67" s="113"/>
      <c r="P67" s="113"/>
      <c r="Q67" s="113"/>
      <c r="R67" s="113"/>
      <c r="S67" s="113"/>
      <c r="T67" s="115"/>
      <c r="U67" s="295">
        <f t="shared" ref="U67" si="9">SUM(J67:N67)</f>
        <v>0</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-5.5623765977691919</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-2.8092285112884059</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-3.2951843042602675</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258.64708416666701</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2.7464582229875578E-2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0.80647213688384245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117.618375</v>
      </c>
      <c r="N17" s="375">
        <f>IF('Input FD'!N106=0,M17*(1+'Input FD'!N107),'Input FD'!N106)</f>
        <v>120.85288031250001</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1.0567688679245284</v>
      </c>
      <c r="N18" s="377">
        <f t="shared" si="4"/>
        <v>1.0858300117924529</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87.566146494368866</v>
      </c>
      <c r="N20" s="375">
        <f>((N17/'Input FD'!$G$117)/(N13/'Input FD'!$G$116))*100</f>
        <v>87.569164990286737</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0.87566146494368868</v>
      </c>
      <c r="N21" s="377">
        <f t="shared" si="5"/>
        <v>0.87569164990286741</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5.4234074234383582</v>
      </c>
      <c r="K39" s="156">
        <f>IF(OR(K$5&lt;4,K$5&gt;8),'Input FD'!K30,'Input FD'!K30*$G$95/100)</f>
        <v>6.0589980766788578</v>
      </c>
      <c r="L39" s="156">
        <f>IF(OR(L$5&lt;4,L$5&gt;8),'Input FD'!L30,'Input FD'!L30*$G$95/100)</f>
        <v>7.8317047331798815</v>
      </c>
      <c r="M39" s="156">
        <f>IF(OR(M$5&lt;4,M$5&gt;8),'Input FD'!M30,'Input FD'!M30*$G$95/100)</f>
        <v>7.8003779142471661</v>
      </c>
      <c r="N39" s="365">
        <f>IF(OR(N$5&lt;4,N$5&gt;8),'Input FD'!N30,'Input FD'!N30*$G$95/100)</f>
        <v>5.8220894725764474</v>
      </c>
      <c r="O39" s="157"/>
      <c r="P39" s="158"/>
      <c r="Q39" s="148"/>
      <c r="R39" s="147" t="s">
        <v>242</v>
      </c>
    </row>
    <row r="40" spans="1:23" s="37" customFormat="1">
      <c r="C40" s="131"/>
      <c r="D40" s="153" t="s">
        <v>57</v>
      </c>
      <c r="E40" s="154" t="s">
        <v>61</v>
      </c>
      <c r="F40" s="155"/>
      <c r="G40" s="148"/>
      <c r="H40" s="148"/>
      <c r="I40" s="148"/>
      <c r="J40" s="156">
        <f>IF(OR(J$5&lt;4,J$5&gt;8),'Input FD'!J31,'Input FD'!J31*$G$95/100)</f>
        <v>14.69344207715848</v>
      </c>
      <c r="K40" s="156">
        <f>IF(OR(K$5&lt;4,K$5&gt;8),'Input FD'!K31,'Input FD'!K31*$G$95/100)</f>
        <v>10.317131701739861</v>
      </c>
      <c r="L40" s="156">
        <f>IF(OR(L$5&lt;4,L$5&gt;8),'Input FD'!L31,'Input FD'!L31*$G$95/100)</f>
        <v>7.7083263425191726</v>
      </c>
      <c r="M40" s="156">
        <f>IF(OR(M$5&lt;4,M$5&gt;8),'Input FD'!M31,'Input FD'!M31*$G$95/100)</f>
        <v>5.8201743480494281</v>
      </c>
      <c r="N40" s="365">
        <f>IF(OR(N$5&lt;4,N$5&gt;8),'Input FD'!N31,'Input FD'!N31*$G$95/100)</f>
        <v>6.8760899797334893</v>
      </c>
      <c r="O40" s="157"/>
      <c r="P40" s="158"/>
      <c r="Q40" s="148"/>
      <c r="R40" s="147" t="s">
        <v>242</v>
      </c>
    </row>
    <row r="41" spans="1:23" s="37" customFormat="1">
      <c r="C41" s="131"/>
      <c r="D41" s="153" t="s">
        <v>57</v>
      </c>
      <c r="E41" s="154" t="s">
        <v>63</v>
      </c>
      <c r="F41" s="155"/>
      <c r="G41" s="148"/>
      <c r="H41" s="148"/>
      <c r="I41" s="148"/>
      <c r="J41" s="156">
        <f>IF(OR(J$5&lt;4,J$5&gt;8),'Input FD'!J32,'Input FD'!J32*$G$95/100)</f>
        <v>1.255454010626097</v>
      </c>
      <c r="K41" s="156">
        <f>IF(OR(K$5&lt;4,K$5&gt;8),'Input FD'!K32,'Input FD'!K32*$G$95/100)</f>
        <v>1.7351359010058542</v>
      </c>
      <c r="L41" s="156">
        <f>IF(OR(L$5&lt;4,L$5&gt;8),'Input FD'!L32,'Input FD'!L32*$G$95/100)</f>
        <v>2.6488450091010538</v>
      </c>
      <c r="M41" s="156">
        <f>IF(OR(M$5&lt;4,M$5&gt;8),'Input FD'!M32,'Input FD'!M32*$G$95/100)</f>
        <v>2.4626349949890654</v>
      </c>
      <c r="N41" s="365">
        <f>IF(OR(N$5&lt;4,N$5&gt;8),'Input FD'!N32,'Input FD'!N32*$G$95/100)</f>
        <v>1.3851002496991294</v>
      </c>
      <c r="O41" s="157"/>
      <c r="P41" s="158"/>
      <c r="Q41" s="148"/>
      <c r="R41" s="147" t="s">
        <v>242</v>
      </c>
    </row>
    <row r="42" spans="1:23" s="37" customFormat="1">
      <c r="C42" s="131"/>
      <c r="D42" s="153" t="s">
        <v>57</v>
      </c>
      <c r="E42" s="154" t="s">
        <v>62</v>
      </c>
      <c r="F42" s="155"/>
      <c r="G42" s="148"/>
      <c r="H42" s="148"/>
      <c r="I42" s="148"/>
      <c r="J42" s="156">
        <f>IF(OR(J$5&lt;4,J$5&gt;8),'Input FD'!J33,'Input FD'!J33*$G$95/100)</f>
        <v>2.9945738725477078</v>
      </c>
      <c r="K42" s="156">
        <f>IF(OR(K$5&lt;4,K$5&gt;8),'Input FD'!K33,'Input FD'!K33*$G$95/100)</f>
        <v>5.059848567022061</v>
      </c>
      <c r="L42" s="156">
        <f>IF(OR(L$5&lt;4,L$5&gt;8),'Input FD'!L33,'Input FD'!L33*$G$95/100)</f>
        <v>2.7671367280041061</v>
      </c>
      <c r="M42" s="156">
        <f>IF(OR(M$5&lt;4,M$5&gt;8),'Input FD'!M33,'Input FD'!M33*$G$95/100)</f>
        <v>1.7267339562722908</v>
      </c>
      <c r="N42" s="365">
        <f>IF(OR(N$5&lt;4,N$5&gt;8),'Input FD'!N33,'Input FD'!N33*$G$95/100)</f>
        <v>1.8953939205850003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29.290504000000002</v>
      </c>
      <c r="K55" s="156">
        <f>SUM('Input FD'!K10:K13)-'Input FD'!K14-'Input FD'!K17+'Input FD'!K15+'Input FD'!K16</f>
        <v>30.8894667</v>
      </c>
      <c r="L55" s="156">
        <f>SUM('Input FD'!L10:L13)-'Input FD'!L14-'Input FD'!L17+'Input FD'!L15+'Input FD'!L16</f>
        <v>23.110634399999999</v>
      </c>
      <c r="M55" s="156">
        <f>SUM('Input FD'!M10:M13)-'Input FD'!M14-'Input FD'!M17+'Input FD'!M15+'Input FD'!M16</f>
        <v>19.926952799999999</v>
      </c>
      <c r="N55" s="365">
        <f>SUM('Input FD'!N10:N13)-'Input FD'!N14-'Input FD'!N17+'Input FD'!N15+'Input FD'!N16</f>
        <v>16.133617599999997</v>
      </c>
      <c r="O55" s="157"/>
      <c r="P55" s="158"/>
      <c r="Q55" s="148"/>
      <c r="R55" s="147" t="s">
        <v>242</v>
      </c>
    </row>
    <row r="56" spans="1:18" s="37" customFormat="1">
      <c r="C56" s="131"/>
      <c r="D56" s="153" t="s">
        <v>57</v>
      </c>
      <c r="E56" s="154" t="s">
        <v>114</v>
      </c>
      <c r="F56" s="155"/>
      <c r="G56" s="148"/>
      <c r="H56" s="148"/>
      <c r="I56" s="148"/>
      <c r="J56" s="156">
        <f>SUM('Input FD'!J30:J35)</f>
        <v>23.011456530763091</v>
      </c>
      <c r="K56" s="156">
        <f>SUM('Input FD'!K30:K35)</f>
        <v>21.88220837055577</v>
      </c>
      <c r="L56" s="156">
        <f>SUM('Input FD'!L30:L35)</f>
        <v>19.790323163079677</v>
      </c>
      <c r="M56" s="156">
        <f>SUM('Input FD'!M30:M35)</f>
        <v>16.81923462606126</v>
      </c>
      <c r="N56" s="365">
        <f>SUM('Input FD'!N30:N35)</f>
        <v>15.089851181771561</v>
      </c>
      <c r="O56" s="157"/>
      <c r="P56" s="158"/>
      <c r="Q56" s="148"/>
      <c r="R56" s="147" t="s">
        <v>242</v>
      </c>
    </row>
    <row r="57" spans="1:18" s="37" customFormat="1">
      <c r="C57" s="131"/>
      <c r="D57" s="153" t="s">
        <v>57</v>
      </c>
      <c r="E57" s="154" t="s">
        <v>115</v>
      </c>
      <c r="F57" s="155"/>
      <c r="G57" s="148"/>
      <c r="H57" s="148"/>
      <c r="I57" s="148"/>
      <c r="J57" s="156">
        <f>SUM(J39:J44)</f>
        <v>24.366877383770642</v>
      </c>
      <c r="K57" s="156">
        <f t="shared" ref="K57:N57" si="7">SUM(K39:K44)</f>
        <v>23.171114246446635</v>
      </c>
      <c r="L57" s="156">
        <f t="shared" si="7"/>
        <v>20.956012812804214</v>
      </c>
      <c r="M57" s="156">
        <f t="shared" si="7"/>
        <v>17.809921213557953</v>
      </c>
      <c r="N57" s="365">
        <f t="shared" si="7"/>
        <v>15.978673622594066</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29.290504000000002</v>
      </c>
      <c r="K62" s="156">
        <f t="shared" ref="K62:N63" si="8">K55+K59</f>
        <v>30.8894667</v>
      </c>
      <c r="L62" s="156">
        <f t="shared" si="8"/>
        <v>23.110634399999999</v>
      </c>
      <c r="M62" s="156">
        <f t="shared" si="8"/>
        <v>19.926952799999999</v>
      </c>
      <c r="N62" s="365">
        <f t="shared" si="8"/>
        <v>16.133617599999997</v>
      </c>
      <c r="O62" s="157"/>
      <c r="P62" s="158"/>
      <c r="Q62" s="148"/>
      <c r="R62" s="147" t="s">
        <v>242</v>
      </c>
    </row>
    <row r="63" spans="1:18" s="37" customFormat="1">
      <c r="C63" s="131"/>
      <c r="D63" s="153" t="s">
        <v>57</v>
      </c>
      <c r="E63" s="154" t="s">
        <v>182</v>
      </c>
      <c r="F63" s="155"/>
      <c r="G63" s="148"/>
      <c r="H63" s="148"/>
      <c r="I63" s="148"/>
      <c r="J63" s="156">
        <f>J56+J60</f>
        <v>23.011456530763091</v>
      </c>
      <c r="K63" s="156">
        <f t="shared" si="8"/>
        <v>21.88220837055577</v>
      </c>
      <c r="L63" s="156">
        <f t="shared" si="8"/>
        <v>19.790323163079677</v>
      </c>
      <c r="M63" s="156">
        <f t="shared" si="8"/>
        <v>16.81923462606126</v>
      </c>
      <c r="N63" s="365">
        <f t="shared" si="8"/>
        <v>15.089851181771561</v>
      </c>
      <c r="O63" s="157"/>
      <c r="P63" s="158"/>
      <c r="Q63" s="148"/>
      <c r="R63" s="147" t="s">
        <v>242</v>
      </c>
    </row>
    <row r="64" spans="1:18" s="37" customFormat="1">
      <c r="C64" s="131"/>
      <c r="D64" s="153" t="s">
        <v>57</v>
      </c>
      <c r="E64" s="154" t="s">
        <v>250</v>
      </c>
      <c r="F64" s="155"/>
      <c r="G64" s="148"/>
      <c r="H64" s="148"/>
      <c r="I64" s="148"/>
      <c r="J64" s="156">
        <f>J63*$G$107/100</f>
        <v>24.366877383770642</v>
      </c>
      <c r="K64" s="156">
        <f t="shared" ref="K64:N64" si="9">K63*$G$107/100</f>
        <v>23.171114246446631</v>
      </c>
      <c r="L64" s="156">
        <f t="shared" si="9"/>
        <v>20.956012812804211</v>
      </c>
      <c r="M64" s="156">
        <f t="shared" si="9"/>
        <v>17.809921213557949</v>
      </c>
      <c r="N64" s="365">
        <f t="shared" si="9"/>
        <v>15.978673622594068</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26.026246752265429</v>
      </c>
      <c r="K79" s="156">
        <f t="shared" ref="K79:N81" si="13">K62*K$21</f>
        <v>26.818435945490315</v>
      </c>
      <c r="L79" s="156">
        <f t="shared" si="13"/>
        <v>20.105126296696909</v>
      </c>
      <c r="M79" s="156">
        <f t="shared" si="13"/>
        <v>17.449264680711739</v>
      </c>
      <c r="N79" s="365">
        <f t="shared" si="13"/>
        <v>14.128074215045938</v>
      </c>
      <c r="P79" s="136"/>
      <c r="Q79" s="131"/>
      <c r="R79" s="147" t="s">
        <v>242</v>
      </c>
    </row>
    <row r="80" spans="1:18" s="37" customFormat="1">
      <c r="C80" s="131"/>
      <c r="D80" s="153" t="s">
        <v>57</v>
      </c>
      <c r="E80" s="132" t="s">
        <v>317</v>
      </c>
      <c r="F80" s="161"/>
      <c r="G80" s="162"/>
      <c r="H80" s="162"/>
      <c r="I80" s="163"/>
      <c r="J80" s="156">
        <f>J63*J$21</f>
        <v>20.446962804008766</v>
      </c>
      <c r="K80" s="156">
        <f t="shared" si="13"/>
        <v>18.998275665653427</v>
      </c>
      <c r="L80" s="156">
        <f t="shared" si="13"/>
        <v>17.216617240336909</v>
      </c>
      <c r="M80" s="156">
        <f t="shared" si="13"/>
        <v>14.727955631888417</v>
      </c>
      <c r="N80" s="365">
        <f t="shared" si="13"/>
        <v>13.214056678154272</v>
      </c>
      <c r="P80" s="136"/>
      <c r="Q80" s="131"/>
      <c r="R80" s="147" t="s">
        <v>242</v>
      </c>
    </row>
    <row r="81" spans="1:18" s="37" customFormat="1">
      <c r="C81" s="131"/>
      <c r="D81" s="153" t="s">
        <v>57</v>
      </c>
      <c r="E81" s="132" t="s">
        <v>318</v>
      </c>
      <c r="F81" s="161"/>
      <c r="G81" s="162"/>
      <c r="H81" s="162"/>
      <c r="I81" s="163"/>
      <c r="J81" s="156">
        <f>J64*J$21</f>
        <v>21.651329843017059</v>
      </c>
      <c r="K81" s="156">
        <f t="shared" si="13"/>
        <v>20.117312132292884</v>
      </c>
      <c r="L81" s="156">
        <f t="shared" si="13"/>
        <v>18.230710459277887</v>
      </c>
      <c r="M81" s="156">
        <f t="shared" si="13"/>
        <v>15.595461700395832</v>
      </c>
      <c r="N81" s="365">
        <f t="shared" si="13"/>
        <v>13.992391067828827</v>
      </c>
      <c r="P81" s="136"/>
      <c r="Q81" s="131"/>
      <c r="R81" s="147" t="s">
        <v>242</v>
      </c>
    </row>
    <row r="82" spans="1:18" s="37" customFormat="1">
      <c r="C82" s="131"/>
      <c r="D82" s="153" t="s">
        <v>57</v>
      </c>
      <c r="E82" s="132" t="s">
        <v>110</v>
      </c>
      <c r="F82" s="164"/>
      <c r="G82" s="164"/>
      <c r="H82" s="164"/>
      <c r="I82" s="164"/>
      <c r="J82" s="156">
        <f>SUM('Input FD'!J65:J70)*J$15</f>
        <v>12.358463332965394</v>
      </c>
      <c r="K82" s="156">
        <f>SUM('Input FD'!K65:K70)*K$15</f>
        <v>22.559627084723157</v>
      </c>
      <c r="L82" s="156">
        <f>SUM('Input FD'!L65:L70)*L$15</f>
        <v>17.834832601069476</v>
      </c>
      <c r="M82" s="156">
        <f>SUM('Input FD'!M65:M70)*M$15</f>
        <v>18.780707594014885</v>
      </c>
      <c r="N82" s="365">
        <f>SUM('Input FD'!N65:N70)*N$15</f>
        <v>17.347215664371451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123.56080070282465</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105.89020017570616</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0.18219599648587681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-2.460949214909629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123.56080070282465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105.89020017570616</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0.18219599648587681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105.0552987200176</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-2.308833512222944</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-1.9533624574835953</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-0.56630025883308099</v>
      </c>
      <c r="K127" s="156">
        <f>IF('Input FD'!K49&lt;&gt;"",'Input FD'!K49,K56*$G$97/100)</f>
        <v>-0.538510035100077</v>
      </c>
      <c r="L127" s="156">
        <f>IF('Input FD'!L49&lt;&gt;"",'Input FD'!L49,L56*$G$97/100)</f>
        <v>-0.48702980250988398</v>
      </c>
      <c r="M127" s="156">
        <f>IF('Input FD'!M49&lt;&gt;"",'Input FD'!M49,M56*$G$97/100)</f>
        <v>-0.41391282248385902</v>
      </c>
      <c r="N127" s="365">
        <f>IF('Input FD'!N49&lt;&gt;"",'Input FD'!N49,N56*$G$97/100)</f>
        <v>-0.37135357418883502</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0.42374403563214091</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24.385569402849253</v>
      </c>
      <c r="K138" s="156">
        <f>(K57+'Input FD'!K83)*K$29</f>
        <v>24.232388990813519</v>
      </c>
      <c r="L138" s="156">
        <f>(L57+'Input FD'!L83)*L$29</f>
        <v>22.726718101682362</v>
      </c>
      <c r="M138" s="156">
        <f>(M57+'Input FD'!M83)*M$29</f>
        <v>19.894237244595743</v>
      </c>
      <c r="N138" s="365">
        <f>(N57+'Input FD'!N83)*N$29</f>
        <v>18.384136891613799</v>
      </c>
      <c r="O138" s="104"/>
      <c r="P138" s="136"/>
      <c r="Q138" s="104"/>
      <c r="R138" s="147" t="s">
        <v>87</v>
      </c>
      <c r="S138" s="147"/>
    </row>
    <row r="139" spans="1:19" s="37" customFormat="1">
      <c r="C139" s="104"/>
      <c r="D139" s="104" t="s">
        <v>57</v>
      </c>
      <c r="E139" s="104" t="s">
        <v>110</v>
      </c>
      <c r="F139" s="104"/>
      <c r="G139" s="104"/>
      <c r="H139" s="104"/>
      <c r="I139" s="104"/>
      <c r="J139" s="156">
        <f>SUM('Input FD'!J65:J70)</f>
        <v>13.417999999999999</v>
      </c>
      <c r="K139" s="156">
        <f>SUM('Input FD'!K65:K70)</f>
        <v>25.669000000000004</v>
      </c>
      <c r="L139" s="156">
        <f>SUM('Input FD'!L65:L70)</f>
        <v>20.92</v>
      </c>
      <c r="M139" s="156">
        <f>SUM('Input FD'!M65:M70)</f>
        <v>22.664999999999999</v>
      </c>
      <c r="N139" s="365">
        <f>SUM('Input FD'!N65:N70)</f>
        <v>21.509999999999998</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-11.057034124557953</v>
      </c>
      <c r="K140" s="672">
        <f>(K$139*K$15)-(K$138*K$26)</f>
        <v>-3.1752807469285216E-2</v>
      </c>
      <c r="L140" s="672">
        <f>(L$139*L$15)-(L$138*L$26)</f>
        <v>-2.795812502104809</v>
      </c>
      <c r="M140" s="672">
        <f>(M$139*M$15)-(M$138*M$26)</f>
        <v>1.1617783905737475</v>
      </c>
      <c r="N140" s="673">
        <f>(N$139*N$15)-(N$138*N$26)</f>
        <v>1.4627870388761206</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0</v>
      </c>
      <c r="K142" s="156">
        <f>(K68+'Input FD'!K91)*K$29</f>
        <v>0</v>
      </c>
      <c r="L142" s="156">
        <f>(L68+'Input FD'!L91)*L$29</f>
        <v>0</v>
      </c>
      <c r="M142" s="156">
        <f>(M68+'Input FD'!M91)*M$29</f>
        <v>0</v>
      </c>
      <c r="N142" s="365">
        <f>(N68+'Input FD'!N91)*N$29</f>
        <v>0</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0</v>
      </c>
      <c r="K143" s="156">
        <f>IF('Input FD'!$O$151=1,0,SUM('Input FD'!K72:K77))</f>
        <v>0</v>
      </c>
      <c r="L143" s="156">
        <f>IF('Input FD'!$O$151=1,0,SUM('Input FD'!L72:L77))</f>
        <v>0</v>
      </c>
      <c r="M143" s="156">
        <f>IF('Input FD'!$O$151=1,0,SUM('Input FD'!M72:M77))</f>
        <v>0</v>
      </c>
      <c r="N143" s="365">
        <f>IF('Input FD'!$O$151=1,0,SUM('Input FD'!N72:N77))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159.29520105907599</v>
      </c>
      <c r="J148" s="156">
        <f>'Input FD'!J$54</f>
        <v>167.29741805573701</v>
      </c>
      <c r="K148" s="156">
        <f>'Input FD'!K$54</f>
        <v>173.90139666123301</v>
      </c>
      <c r="L148" s="156">
        <f>'Input FD'!L$54</f>
        <v>178.093108814045</v>
      </c>
      <c r="M148" s="156">
        <f>'Input FD'!M$54</f>
        <v>179.016630546567</v>
      </c>
      <c r="N148" s="365">
        <f>'Input FD'!N$54</f>
        <v>178.26714638049199</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-11.260034004682179</v>
      </c>
      <c r="Q149" s="161"/>
      <c r="R149" s="147" t="s">
        <v>242</v>
      </c>
    </row>
    <row r="150" spans="1:24" s="37" customFormat="1">
      <c r="A150" s="109"/>
      <c r="B150" s="109"/>
      <c r="C150" s="104"/>
      <c r="D150" s="104" t="s">
        <v>57</v>
      </c>
      <c r="E150" s="177" t="s">
        <v>386</v>
      </c>
      <c r="F150" s="131"/>
      <c r="G150" s="104"/>
      <c r="H150" s="104"/>
      <c r="I150" s="205"/>
      <c r="J150" s="156">
        <f>IF(J5=8,J148+$P$149,J148)</f>
        <v>167.29741805573701</v>
      </c>
      <c r="K150" s="156">
        <f>IF(K5=8,K148+$P$149,K148)</f>
        <v>173.90139666123301</v>
      </c>
      <c r="L150" s="156">
        <f>IF(L5=8,L148+$P$149,L148)</f>
        <v>178.093108814045</v>
      </c>
      <c r="M150" s="156">
        <f>IF(M5=8,M148+$P$149,M148)</f>
        <v>179.016630546567</v>
      </c>
      <c r="N150" s="365">
        <f>IF(N5=8,N148+$P$149,N148)</f>
        <v>167.00711237580981</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23.415497457523347</v>
      </c>
      <c r="L161" s="360">
        <f t="shared" si="16"/>
        <v>46.006877349715793</v>
      </c>
      <c r="M161" s="360">
        <f t="shared" si="16"/>
        <v>66.637522452890082</v>
      </c>
      <c r="N161" s="363">
        <f t="shared" si="16"/>
        <v>84.256451656331222</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23.415497457523347</v>
      </c>
      <c r="K162" s="360">
        <f t="shared" ref="K162:N162" si="17">K161+K138*K$26</f>
        <v>46.006877349715793</v>
      </c>
      <c r="L162" s="360">
        <f t="shared" si="17"/>
        <v>66.637522452890082</v>
      </c>
      <c r="M162" s="360">
        <f t="shared" si="17"/>
        <v>84.256451656331222</v>
      </c>
      <c r="N162" s="363">
        <f t="shared" si="17"/>
        <v>100.14088028182655</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11.707748728761674</v>
      </c>
      <c r="K163" s="360">
        <f t="shared" ref="K163:N163" si="18">(K162+K161)/2</f>
        <v>34.711187403619569</v>
      </c>
      <c r="L163" s="360">
        <f t="shared" si="18"/>
        <v>56.322199901302938</v>
      </c>
      <c r="M163" s="360">
        <f t="shared" si="18"/>
        <v>75.446987054610645</v>
      </c>
      <c r="N163" s="363">
        <f t="shared" si="18"/>
        <v>92.198665969078888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12.358463332965394</v>
      </c>
      <c r="L171" s="360">
        <f t="shared" si="22"/>
        <v>34.918090417688553</v>
      </c>
      <c r="M171" s="360">
        <f t="shared" si="22"/>
        <v>52.752923018758025</v>
      </c>
      <c r="N171" s="363">
        <f t="shared" si="22"/>
        <v>71.53363061277291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12.358463332965394</v>
      </c>
      <c r="K172" s="360">
        <f t="shared" ref="K172:N172" si="23">K171+K139*K$15</f>
        <v>34.918090417688553</v>
      </c>
      <c r="L172" s="360">
        <f t="shared" si="23"/>
        <v>52.752923018758025</v>
      </c>
      <c r="M172" s="360">
        <f t="shared" si="23"/>
        <v>71.53363061277291</v>
      </c>
      <c r="N172" s="363">
        <f t="shared" si="23"/>
        <v>88.880846277144357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6.1792316664826972</v>
      </c>
      <c r="K173" s="360">
        <f t="shared" ref="K173:N173" si="24">(K172+K171)/2</f>
        <v>23.638276875326973</v>
      </c>
      <c r="L173" s="360">
        <f t="shared" si="24"/>
        <v>43.835506718223286</v>
      </c>
      <c r="M173" s="360">
        <f t="shared" si="24"/>
        <v>62.143276815765468</v>
      </c>
      <c r="N173" s="363">
        <f t="shared" si="24"/>
        <v>80.207238444958634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-11.057034124557953</v>
      </c>
      <c r="K181" s="156">
        <f>(K$139*K$15)-(K$138*K$26)</f>
        <v>-3.1752807469285216E-2</v>
      </c>
      <c r="L181" s="156">
        <f>(L$139*L$15)-(L$138*L$26)</f>
        <v>-2.795812502104809</v>
      </c>
      <c r="M181" s="156">
        <f>(M$139*M$15)-(M$138*M$26)</f>
        <v>1.1617783905737475</v>
      </c>
      <c r="N181" s="365">
        <f>(N$139*N$15)-(N$138*N$26)</f>
        <v>1.4627870388761206</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-0.3040684384253437</v>
      </c>
      <c r="K184" s="156">
        <f>(K173-K163)*'Input FD'!$O$59</f>
        <v>-0.60901007905609272</v>
      </c>
      <c r="L184" s="156">
        <f>(L173-L163)*'Input FD'!$O$59</f>
        <v>-0.6867681250693809</v>
      </c>
      <c r="M184" s="156">
        <f>(M173-M163)*'Input FD'!$O$59</f>
        <v>-0.73170406313648473</v>
      </c>
      <c r="N184" s="365">
        <f>(N173-N163)*'Input FD'!$O$59</f>
        <v>-0.65952851382661404</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0.10094893003423044</v>
      </c>
      <c r="K187" s="156">
        <f>$P$130*K63/SUM($J$63:$N$63)</f>
        <v>9.5995032684723036E-2</v>
      </c>
      <c r="L187" s="156">
        <f>$P$130*L63/SUM($J$63:$N$63)</f>
        <v>8.6818144069835207E-2</v>
      </c>
      <c r="M187" s="156">
        <f>$P$130*M63/SUM($J$63:$N$63)</f>
        <v>7.3784279462090194E-2</v>
      </c>
      <c r="N187" s="365">
        <f>$P$130*N63/SUM($J$63:$N$63)</f>
        <v>6.6197649381262005E-2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-0.20311950839111326</v>
      </c>
      <c r="K190" s="156">
        <f t="shared" ref="K190:N191" si="28">K187+K184</f>
        <v>-0.51301504637136963</v>
      </c>
      <c r="L190" s="156">
        <f t="shared" si="28"/>
        <v>-0.59994998099954566</v>
      </c>
      <c r="M190" s="156">
        <f t="shared" si="28"/>
        <v>-0.65791978367439452</v>
      </c>
      <c r="N190" s="365">
        <f t="shared" si="28"/>
        <v>-0.59333086444535199</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-0.25162945401774256</v>
      </c>
      <c r="K193" s="156">
        <f>IF('Input FD'!$O$156=0,(K190/(1+'Input FD'!$O$60)^K$6),(K190/(1+'Input FD'!$O$59)^K$6))</f>
        <v>-0.60240349344680577</v>
      </c>
      <c r="L193" s="156">
        <f>IF('Input FD'!$O$156=0,(L190/(1+'Input FD'!$O$60)^L$6),(L190/(1+'Input FD'!$O$59)^L$6))</f>
        <v>-0.66775932760201928</v>
      </c>
      <c r="M193" s="156">
        <f>IF('Input FD'!$O$156=0,(M190/(1+'Input FD'!$O$60)^M$6),(M190/(1+'Input FD'!$O$59)^M$6))</f>
        <v>-0.69410537177648624</v>
      </c>
      <c r="N193" s="664">
        <f>IF('Input FD'!$O$156=0,(N190/(1+'Input FD'!$O$60)^N$6),(N190/(1+'Input FD'!$O$59)^N$6))</f>
        <v>-0.59333086444535199</v>
      </c>
      <c r="O193" s="109"/>
      <c r="P193" s="622">
        <f>SUM(J193:N193)</f>
        <v>-2.8092285112884059</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-0.29515770042806627</v>
      </c>
      <c r="K196" s="156">
        <f t="shared" ref="K196:N197" si="29">K193*$L$13/$G$13</f>
        <v>-0.70661056174709902</v>
      </c>
      <c r="L196" s="156">
        <f t="shared" si="29"/>
        <v>-0.78327200741971392</v>
      </c>
      <c r="M196" s="156">
        <f t="shared" si="29"/>
        <v>-0.81417553516556984</v>
      </c>
      <c r="N196" s="365">
        <f t="shared" si="29"/>
        <v>-0.69596849949981832</v>
      </c>
      <c r="O196" s="109"/>
      <c r="P196" s="622">
        <f>P193*$L$13/$G$13</f>
        <v>-3.2951843042602675</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-13.207856594282008</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-2.2912658349317145</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-2.7883114435847953</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0.49704560865308089</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-3.5084925478066373</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-3.0114469391535565</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-3.2951843042602675</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-3.2951843042602675</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-3.2951843042602675</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-3.2951843042602675</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-3.2951843042602675</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-3.2951843042602675</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-0.70645765152263018</v>
      </c>
      <c r="S47" s="616">
        <f t="shared" si="8"/>
        <v>-0.70645765152263018</v>
      </c>
      <c r="T47" s="616">
        <f t="shared" si="8"/>
        <v>-0.70645765152263018</v>
      </c>
      <c r="U47" s="616">
        <f t="shared" si="8"/>
        <v>-0.70645765152263018</v>
      </c>
      <c r="V47" s="623">
        <f t="shared" si="8"/>
        <v>-0.70645765152263018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-0.70645765152263018</v>
      </c>
      <c r="S52" s="616">
        <f t="shared" ref="S52:V52" si="9">S47*S51</f>
        <v>-0.68190893004114883</v>
      </c>
      <c r="T52" s="616">
        <f t="shared" si="9"/>
        <v>-0.65821325293547184</v>
      </c>
      <c r="U52" s="616">
        <f t="shared" si="9"/>
        <v>-0.63534097773694187</v>
      </c>
      <c r="V52" s="621">
        <f t="shared" si="9"/>
        <v>-0.61326349202407515</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-3.2951843042602675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-3.2951843042602675</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-3.2951843042602675</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-0.29515770042806627</v>
      </c>
      <c r="S94" s="616">
        <f>'Calc2 FD'!K196</f>
        <v>-0.70661056174709902</v>
      </c>
      <c r="T94" s="616">
        <f>'Calc2 FD'!L196</f>
        <v>-0.78327200741971392</v>
      </c>
      <c r="U94" s="616">
        <f>'Calc2 FD'!M196</f>
        <v>-0.81417553516556984</v>
      </c>
      <c r="V94" s="623">
        <f>'Calc2 FD'!N196</f>
        <v>-0.69596849949981832</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v>
      </c>
      <c r="S95" s="616">
        <f>'Calc2 FD'!K197</f>
        <v>0</v>
      </c>
      <c r="T95" s="616">
        <f>'Calc2 FD'!L197</f>
        <v>0</v>
      </c>
      <c r="U95" s="616">
        <f>'Calc2 FD'!M197</f>
        <v>0</v>
      </c>
      <c r="V95" s="623">
        <f>'Calc2 FD'!N197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-0.29515770042806627</v>
      </c>
      <c r="S99" s="616">
        <f t="shared" ref="S99:V99" si="23">S94*S98</f>
        <v>-0.68205652678291406</v>
      </c>
      <c r="T99" s="616">
        <f t="shared" si="23"/>
        <v>-0.72978191237059853</v>
      </c>
      <c r="U99" s="616">
        <f t="shared" si="23"/>
        <v>-0.732215270719622</v>
      </c>
      <c r="V99" s="621">
        <f t="shared" si="23"/>
        <v>-0.60415804319212218</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-3.0433694534933231</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-0.29515770042806627</v>
      </c>
      <c r="S106" s="616">
        <f>'Calc2 FD'!K196</f>
        <v>-0.70661056174709902</v>
      </c>
      <c r="T106" s="616">
        <f>'Calc2 FD'!L196</f>
        <v>-0.78327200741971392</v>
      </c>
      <c r="U106" s="616">
        <f>'Calc2 FD'!M196</f>
        <v>-0.81417553516556984</v>
      </c>
      <c r="V106" s="623">
        <f>'Calc2 FD'!N196</f>
        <v>-0.69596849949981832</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v>
      </c>
      <c r="S107" s="616">
        <f>'Calc2 FD'!K197</f>
        <v>0</v>
      </c>
      <c r="T107" s="616">
        <f>'Calc2 FD'!L197</f>
        <v>0</v>
      </c>
      <c r="U107" s="616">
        <f>'Calc2 FD'!M197</f>
        <v>0</v>
      </c>
      <c r="V107" s="623">
        <f>'Calc2 FD'!N197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-0.29515770042806627</v>
      </c>
      <c r="S111" s="616">
        <f t="shared" ref="S111:V111" si="25">S106*S110</f>
        <v>-0.68205652678291406</v>
      </c>
      <c r="T111" s="616">
        <f t="shared" si="25"/>
        <v>-0.72978191237059853</v>
      </c>
      <c r="U111" s="616">
        <f t="shared" si="25"/>
        <v>-0.732215270719622</v>
      </c>
      <c r="V111" s="621">
        <f t="shared" si="25"/>
        <v>-0.60415804319212218</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-3.0433694534933231</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-3.0433694534933231</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-3.2951843042602675</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1.082742123365239</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-0.3195796752890856</v>
      </c>
      <c r="S123" s="616">
        <f t="shared" si="27"/>
        <v>-0.76507702001835831</v>
      </c>
      <c r="T123" s="616">
        <f t="shared" si="27"/>
        <v>-0.84808159648617432</v>
      </c>
      <c r="U123" s="616">
        <f t="shared" si="27"/>
        <v>-0.88154214773719886</v>
      </c>
      <c r="V123" s="621">
        <f t="shared" si="27"/>
        <v>-0.75355441094375253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-0.3195796752890856</v>
      </c>
      <c r="S128" s="616">
        <f t="shared" ref="S128:V128" si="28">S123*S127</f>
        <v>-0.73849133206405237</v>
      </c>
      <c r="T128" s="616">
        <f t="shared" si="28"/>
        <v>-0.79016561739368663</v>
      </c>
      <c r="U128" s="616">
        <f t="shared" si="28"/>
        <v>-0.79280031697941677</v>
      </c>
      <c r="V128" s="621">
        <f t="shared" si="28"/>
        <v>-0.65414736253402606</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-3.2951843042602675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-3.2951843042602675</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-0.70645765152263018</v>
      </c>
      <c r="S138" s="616">
        <f>S47</f>
        <v>-0.70645765152263018</v>
      </c>
      <c r="T138" s="616">
        <f>T47</f>
        <v>-0.70645765152263018</v>
      </c>
      <c r="U138" s="616">
        <f>U47</f>
        <v>-0.70645765152263018</v>
      </c>
      <c r="V138" s="621">
        <f>V47</f>
        <v>-0.70645765152263018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-0.29515770042806627</v>
      </c>
      <c r="S141" s="616">
        <f>S94</f>
        <v>-0.70661056174709902</v>
      </c>
      <c r="T141" s="616">
        <f>T94</f>
        <v>-0.78327200741971392</v>
      </c>
      <c r="U141" s="616">
        <f>U94</f>
        <v>-0.81417553516556984</v>
      </c>
      <c r="V141" s="621">
        <f>V94</f>
        <v>-0.69596849949981832</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-0.3195796752890856</v>
      </c>
      <c r="S142" s="616">
        <f t="shared" si="31"/>
        <v>-0.76507702001835831</v>
      </c>
      <c r="T142" s="616">
        <f t="shared" si="31"/>
        <v>-0.84808159648617432</v>
      </c>
      <c r="U142" s="616">
        <f t="shared" si="31"/>
        <v>-0.88154214773719886</v>
      </c>
      <c r="V142" s="621">
        <f t="shared" si="31"/>
        <v>-0.75355441094375253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-0.70645765152263018</v>
      </c>
      <c r="S143" s="630">
        <f t="shared" ref="S143:V143" si="32">CHOOSE($P$135+1,S137,S138,S139,S140,S141,S142)</f>
        <v>-0.70645765152263018</v>
      </c>
      <c r="T143" s="630">
        <f t="shared" si="32"/>
        <v>-0.70645765152263018</v>
      </c>
      <c r="U143" s="630">
        <f t="shared" si="32"/>
        <v>-0.70645765152263018</v>
      </c>
      <c r="V143" s="631">
        <f t="shared" si="32"/>
        <v>-0.70645765152263018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-0.70645765152263018</v>
      </c>
      <c r="S156" s="627">
        <f t="shared" ref="S156:V156" si="36">S143</f>
        <v>-0.70645765152263018</v>
      </c>
      <c r="T156" s="627">
        <f t="shared" si="36"/>
        <v>-0.70645765152263018</v>
      </c>
      <c r="U156" s="627">
        <f t="shared" si="36"/>
        <v>-0.70645765152263018</v>
      </c>
      <c r="V156" s="628">
        <f t="shared" si="36"/>
        <v>-0.70645765152263018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4.797072</v>
      </c>
      <c r="K16" s="121">
        <f>'Input FD'!K10</f>
        <v>5.3863460999999999</v>
      </c>
      <c r="L16" s="121">
        <f>'Input FD'!L10</f>
        <v>6.6409127999999997</v>
      </c>
      <c r="M16" s="121">
        <f>'Input FD'!M10</f>
        <v>6.6940815999999996</v>
      </c>
      <c r="N16" s="121">
        <f>'Input FD'!N10</f>
        <v>5.0562753999999996</v>
      </c>
      <c r="O16" s="113"/>
      <c r="P16" s="113"/>
      <c r="Q16" s="113"/>
      <c r="R16" s="113"/>
      <c r="S16" s="113"/>
      <c r="T16" s="115"/>
      <c r="U16" s="122">
        <f t="shared" ref="U16:U34" si="0">SUM(J16:N16)</f>
        <v>28.574687900000001</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15.771167999999999</v>
      </c>
      <c r="K17" s="121">
        <f>'Input FD'!K11</f>
        <v>12.062123100000001</v>
      </c>
      <c r="L17" s="121">
        <f>'Input FD'!L11</f>
        <v>6.9655842000000003</v>
      </c>
      <c r="M17" s="121">
        <f>'Input FD'!M11</f>
        <v>5.3313135999999997</v>
      </c>
      <c r="N17" s="121">
        <f>'Input FD'!N11</f>
        <v>6.3674314000000001</v>
      </c>
      <c r="O17" s="113"/>
      <c r="P17" s="113"/>
      <c r="Q17" s="113"/>
      <c r="R17" s="113"/>
      <c r="S17" s="113"/>
      <c r="T17" s="115"/>
      <c r="U17" s="122">
        <f t="shared" si="0"/>
        <v>46.497620300000001</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1.707552</v>
      </c>
      <c r="K18" s="121">
        <f>'Input FD'!K12</f>
        <v>2.9192553000000001</v>
      </c>
      <c r="L18" s="121">
        <f>'Input FD'!L12</f>
        <v>6.3131687999999997</v>
      </c>
      <c r="M18" s="121">
        <f>'Input FD'!M12</f>
        <v>6.3626811999999999</v>
      </c>
      <c r="N18" s="121">
        <f>'Input FD'!N12</f>
        <v>2.7326155999999999</v>
      </c>
      <c r="O18" s="113"/>
      <c r="P18" s="113"/>
      <c r="Q18" s="113"/>
      <c r="R18" s="113"/>
      <c r="S18" s="113"/>
      <c r="T18" s="115"/>
      <c r="U18" s="122">
        <f t="shared" si="0"/>
        <v>20.035272899999999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7.7757120000000004</v>
      </c>
      <c r="K19" s="121">
        <f>'Input FD'!K13</f>
        <v>11.280742200000001</v>
      </c>
      <c r="L19" s="121">
        <f>'Input FD'!L13</f>
        <v>3.9769686000000002</v>
      </c>
      <c r="M19" s="121">
        <f>'Input FD'!M13</f>
        <v>2.3858763999999999</v>
      </c>
      <c r="N19" s="121">
        <f>'Input FD'!N13</f>
        <v>2.8012952000000002</v>
      </c>
      <c r="O19" s="113"/>
      <c r="P19" s="113"/>
      <c r="Q19" s="113"/>
      <c r="R19" s="113"/>
      <c r="S19" s="113"/>
      <c r="T19" s="115"/>
      <c r="U19" s="122">
        <f t="shared" si="0"/>
        <v>28.220594400000003</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-0.76100000000000001</v>
      </c>
      <c r="K20" s="121">
        <f>-'Input FD'!K14</f>
        <v>-0.75900000000000001</v>
      </c>
      <c r="L20" s="121">
        <f>-'Input FD'!L14</f>
        <v>-0.78600000000000003</v>
      </c>
      <c r="M20" s="121">
        <f>-'Input FD'!M14</f>
        <v>-0.84699999999999998</v>
      </c>
      <c r="N20" s="121">
        <f>-'Input FD'!N14</f>
        <v>-0.82399999999999995</v>
      </c>
      <c r="O20" s="113"/>
      <c r="P20" s="113"/>
      <c r="Q20" s="113"/>
      <c r="R20" s="113"/>
      <c r="S20" s="113"/>
      <c r="T20" s="115"/>
      <c r="U20" s="122">
        <f t="shared" si="0"/>
        <v>-3.9769999999999999</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29.290504000000002</v>
      </c>
      <c r="K24" s="121">
        <f>'Calc2 FD'!K55</f>
        <v>30.8894667</v>
      </c>
      <c r="L24" s="121">
        <f>'Calc2 FD'!L55</f>
        <v>23.110634399999999</v>
      </c>
      <c r="M24" s="121">
        <f>'Calc2 FD'!M55</f>
        <v>19.926952799999999</v>
      </c>
      <c r="N24" s="121">
        <f>'Calc2 FD'!N55</f>
        <v>16.133617599999997</v>
      </c>
      <c r="O24" s="113"/>
      <c r="P24" s="113"/>
      <c r="Q24" s="113"/>
      <c r="R24" s="113"/>
      <c r="S24" s="113"/>
      <c r="T24" s="115"/>
      <c r="U24" s="122">
        <f t="shared" si="0"/>
        <v>119.35117549999998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0</v>
      </c>
      <c r="K34" s="121">
        <f>'Calc2 FD'!K66</f>
        <v>0</v>
      </c>
      <c r="L34" s="121">
        <f>'Calc2 FD'!L66</f>
        <v>0</v>
      </c>
      <c r="M34" s="121">
        <f>'Calc2 FD'!M66</f>
        <v>0</v>
      </c>
      <c r="N34" s="121">
        <f>'Calc2 FD'!N66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5.1217274256155596</v>
      </c>
      <c r="K37" s="121">
        <f>'Input FD'!K30</f>
        <v>5.7219630018878203</v>
      </c>
      <c r="L37" s="121">
        <f>'Input FD'!L30</f>
        <v>7.39606188314362</v>
      </c>
      <c r="M37" s="121">
        <f>'Input FD'!M30</f>
        <v>7.3664776356110497</v>
      </c>
      <c r="N37" s="121">
        <f>'Input FD'!N30</f>
        <v>5.4982325681845099</v>
      </c>
      <c r="O37" s="113"/>
      <c r="P37" s="113"/>
      <c r="Q37" s="113"/>
      <c r="R37" s="113"/>
      <c r="S37" s="113"/>
      <c r="T37" s="115"/>
      <c r="U37" s="122">
        <f t="shared" ref="U37:U51" si="3">SUM(J37:N37)</f>
        <v>31.104462514442556</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13.8761113424824</v>
      </c>
      <c r="K38" s="121">
        <f>'Input FD'!K31</f>
        <v>9.7432356201238601</v>
      </c>
      <c r="L38" s="121">
        <f>'Input FD'!L31</f>
        <v>7.2795464827987502</v>
      </c>
      <c r="M38" s="121">
        <f>'Input FD'!M31</f>
        <v>5.49642397350451</v>
      </c>
      <c r="N38" s="121">
        <f>'Input FD'!N31</f>
        <v>6.4936037218966698</v>
      </c>
      <c r="O38" s="113"/>
      <c r="P38" s="113"/>
      <c r="Q38" s="113"/>
      <c r="R38" s="113"/>
      <c r="S38" s="113"/>
      <c r="T38" s="115"/>
      <c r="U38" s="122">
        <f t="shared" si="3"/>
        <v>42.88892114080619</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1.18561869610492</v>
      </c>
      <c r="K39" s="121">
        <f>'Input FD'!K32</f>
        <v>1.6386180195397699</v>
      </c>
      <c r="L39" s="121">
        <f>'Input FD'!L32</f>
        <v>2.5015015598287298</v>
      </c>
      <c r="M39" s="121">
        <f>'Input FD'!M32</f>
        <v>2.3256495793782199</v>
      </c>
      <c r="N39" s="121">
        <f>'Input FD'!N32</f>
        <v>1.3080532923734201</v>
      </c>
      <c r="O39" s="113"/>
      <c r="P39" s="113"/>
      <c r="Q39" s="113"/>
      <c r="R39" s="113"/>
      <c r="S39" s="113"/>
      <c r="T39" s="115"/>
      <c r="U39" s="122">
        <f t="shared" si="3"/>
        <v>8.9594411472250606</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2.8279990665602099</v>
      </c>
      <c r="K40" s="121">
        <f>'Input FD'!K33</f>
        <v>4.7783917290043201</v>
      </c>
      <c r="L40" s="121">
        <f>'Input FD'!L33</f>
        <v>2.6132132373085799</v>
      </c>
      <c r="M40" s="121">
        <f>'Input FD'!M33</f>
        <v>1.6306834375674799</v>
      </c>
      <c r="N40" s="121">
        <f>'Input FD'!N33</f>
        <v>1.78996159931696</v>
      </c>
      <c r="O40" s="113"/>
      <c r="P40" s="113"/>
      <c r="Q40" s="113"/>
      <c r="R40" s="113"/>
      <c r="S40" s="113"/>
      <c r="T40" s="115"/>
      <c r="U40" s="122">
        <f t="shared" si="3"/>
        <v>13.640249069757552</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23.011456530763091</v>
      </c>
      <c r="K43" s="121">
        <f>'Calc2 FD'!K56</f>
        <v>21.88220837055577</v>
      </c>
      <c r="L43" s="121">
        <f>'Calc2 FD'!L56</f>
        <v>19.790323163079677</v>
      </c>
      <c r="M43" s="121">
        <f>'Calc2 FD'!M56</f>
        <v>16.81923462606126</v>
      </c>
      <c r="N43" s="121">
        <f>'Calc2 FD'!N56</f>
        <v>15.089851181771561</v>
      </c>
      <c r="O43" s="113"/>
      <c r="P43" s="113"/>
      <c r="Q43" s="113"/>
      <c r="R43" s="113"/>
      <c r="S43" s="113"/>
      <c r="T43" s="115"/>
      <c r="U43" s="122">
        <f t="shared" si="3"/>
        <v>96.593073872231358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3"/>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3"/>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3"/>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3"/>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0</v>
      </c>
      <c r="K51" s="121">
        <f>'Calc2 FD'!K67</f>
        <v>0</v>
      </c>
      <c r="L51" s="121">
        <f>'Calc2 FD'!L67</f>
        <v>0</v>
      </c>
      <c r="M51" s="121">
        <f>'Calc2 FD'!M67</f>
        <v>0</v>
      </c>
      <c r="N51" s="121">
        <f>'Calc2 FD'!N67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5.4234074234383582</v>
      </c>
      <c r="K54" s="121">
        <f>'Calc2 FD'!K39</f>
        <v>6.0589980766788578</v>
      </c>
      <c r="L54" s="121">
        <f>'Calc2 FD'!L39</f>
        <v>7.8317047331798815</v>
      </c>
      <c r="M54" s="121">
        <f>'Calc2 FD'!M39</f>
        <v>7.8003779142471661</v>
      </c>
      <c r="N54" s="121">
        <f>'Calc2 FD'!N39</f>
        <v>5.8220894725764474</v>
      </c>
      <c r="O54" s="113"/>
      <c r="P54" s="113"/>
      <c r="Q54" s="113"/>
      <c r="R54" s="113"/>
      <c r="S54" s="113"/>
      <c r="T54" s="115"/>
      <c r="U54" s="122">
        <f>SUM(J54:N54)</f>
        <v>32.936577620120715</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14.69344207715848</v>
      </c>
      <c r="K55" s="121">
        <f>'Calc2 FD'!K40</f>
        <v>10.317131701739861</v>
      </c>
      <c r="L55" s="121">
        <f>'Calc2 FD'!L40</f>
        <v>7.7083263425191726</v>
      </c>
      <c r="M55" s="121">
        <f>'Calc2 FD'!M40</f>
        <v>5.8201743480494281</v>
      </c>
      <c r="N55" s="121">
        <f>'Calc2 FD'!N40</f>
        <v>6.8760899797334893</v>
      </c>
      <c r="O55" s="113"/>
      <c r="P55" s="113"/>
      <c r="Q55" s="113"/>
      <c r="R55" s="113"/>
      <c r="S55" s="113"/>
      <c r="T55" s="115"/>
      <c r="U55" s="122">
        <f>SUM(J55:N55)</f>
        <v>45.415164449200432</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1.255454010626097</v>
      </c>
      <c r="K56" s="121">
        <f>'Calc2 FD'!K41</f>
        <v>1.7351359010058542</v>
      </c>
      <c r="L56" s="121">
        <f>'Calc2 FD'!L41</f>
        <v>2.6488450091010538</v>
      </c>
      <c r="M56" s="121">
        <f>'Calc2 FD'!M41</f>
        <v>2.4626349949890654</v>
      </c>
      <c r="N56" s="121">
        <f>'Calc2 FD'!N41</f>
        <v>1.3851002496991294</v>
      </c>
      <c r="O56" s="113"/>
      <c r="P56" s="113"/>
      <c r="Q56" s="113"/>
      <c r="R56" s="113"/>
      <c r="S56" s="113"/>
      <c r="T56" s="115"/>
      <c r="U56" s="122">
        <f>SUM(J56:N56)</f>
        <v>9.4871701654212011</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2.9945738725477078</v>
      </c>
      <c r="K57" s="121">
        <f>'Calc2 FD'!K42</f>
        <v>5.059848567022061</v>
      </c>
      <c r="L57" s="121">
        <f>'Calc2 FD'!L42</f>
        <v>2.7671367280041061</v>
      </c>
      <c r="M57" s="121">
        <f>'Calc2 FD'!M42</f>
        <v>1.7267339562722908</v>
      </c>
      <c r="N57" s="121">
        <f>'Calc2 FD'!N42</f>
        <v>1.8953939205850003</v>
      </c>
      <c r="O57" s="113"/>
      <c r="P57" s="113"/>
      <c r="Q57" s="113"/>
      <c r="R57" s="113"/>
      <c r="S57" s="113"/>
      <c r="T57" s="115"/>
      <c r="U57" s="122">
        <f>SUM(J57:N57)</f>
        <v>14.443687044431167</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24.366877383770642</v>
      </c>
      <c r="K60" s="121">
        <f>'Calc2 FD'!K57</f>
        <v>23.171114246446635</v>
      </c>
      <c r="L60" s="121">
        <f>'Calc2 FD'!L57</f>
        <v>20.956012812804214</v>
      </c>
      <c r="M60" s="121">
        <f>'Calc2 FD'!M57</f>
        <v>17.809921213557953</v>
      </c>
      <c r="N60" s="121">
        <f>'Calc2 FD'!N57</f>
        <v>15.978673622594066</v>
      </c>
      <c r="O60" s="113"/>
      <c r="P60" s="113"/>
      <c r="Q60" s="113"/>
      <c r="R60" s="113"/>
      <c r="S60" s="113"/>
      <c r="T60" s="115"/>
      <c r="U60" s="122">
        <f>SUM(J60:N60)</f>
        <v>102.28259927917352</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0</v>
      </c>
      <c r="K62" s="121">
        <f>'Calc2 FD'!K46</f>
        <v>0</v>
      </c>
      <c r="L62" s="121">
        <f>'Calc2 FD'!L46</f>
        <v>0</v>
      </c>
      <c r="M62" s="121">
        <f>'Calc2 FD'!M46</f>
        <v>0</v>
      </c>
      <c r="N62" s="121">
        <f>'Calc2 FD'!N46</f>
        <v>0</v>
      </c>
      <c r="O62" s="113"/>
      <c r="P62" s="113"/>
      <c r="Q62" s="113"/>
      <c r="R62" s="113"/>
      <c r="S62" s="113"/>
      <c r="T62" s="115"/>
      <c r="U62" s="122">
        <f>SUM(J62:N62)</f>
        <v>0</v>
      </c>
    </row>
    <row r="63" spans="1:27" s="117" customFormat="1" ht="17.399999999999999">
      <c r="A63" s="110"/>
      <c r="B63" s="119" t="s">
        <v>159</v>
      </c>
      <c r="C63" s="119"/>
      <c r="D63" s="113"/>
      <c r="E63" s="113" t="str">
        <f>'Calc2 FD'!E47</f>
        <v>Sewerage: MNI</v>
      </c>
      <c r="F63" s="113"/>
      <c r="G63" s="120"/>
      <c r="H63" s="120"/>
      <c r="I63" s="120"/>
      <c r="J63" s="121">
        <f>'Calc2 FD'!J47</f>
        <v>0</v>
      </c>
      <c r="K63" s="121">
        <f>'Calc2 FD'!K47</f>
        <v>0</v>
      </c>
      <c r="L63" s="121">
        <f>'Calc2 FD'!L47</f>
        <v>0</v>
      </c>
      <c r="M63" s="121">
        <f>'Calc2 FD'!M47</f>
        <v>0</v>
      </c>
      <c r="N63" s="121">
        <f>'Calc2 FD'!N47</f>
        <v>0</v>
      </c>
      <c r="O63" s="113"/>
      <c r="P63" s="113"/>
      <c r="Q63" s="113"/>
      <c r="R63" s="113"/>
      <c r="S63" s="113"/>
      <c r="T63" s="115"/>
      <c r="U63" s="122">
        <f>SUM(J63:N63)</f>
        <v>0</v>
      </c>
    </row>
    <row r="64" spans="1:27" s="117" customFormat="1" ht="17.399999999999999">
      <c r="A64" s="110"/>
      <c r="B64" s="119" t="s">
        <v>160</v>
      </c>
      <c r="C64" s="119"/>
      <c r="D64" s="113"/>
      <c r="E64" s="113" t="str">
        <f>'Calc2 FD'!E48</f>
        <v>Sewerage: Infrastructure enhancements</v>
      </c>
      <c r="F64" s="113"/>
      <c r="G64" s="120"/>
      <c r="H64" s="120"/>
      <c r="I64" s="120"/>
      <c r="J64" s="121">
        <f>'Calc2 FD'!J48</f>
        <v>0</v>
      </c>
      <c r="K64" s="121">
        <f>'Calc2 FD'!K48</f>
        <v>0</v>
      </c>
      <c r="L64" s="121">
        <f>'Calc2 FD'!L48</f>
        <v>0</v>
      </c>
      <c r="M64" s="121">
        <f>'Calc2 FD'!M48</f>
        <v>0</v>
      </c>
      <c r="N64" s="121">
        <f>'Calc2 FD'!N48</f>
        <v>0</v>
      </c>
      <c r="O64" s="113"/>
      <c r="P64" s="113"/>
      <c r="Q64" s="113"/>
      <c r="R64" s="113"/>
      <c r="S64" s="113"/>
      <c r="T64" s="115"/>
      <c r="U64" s="122">
        <f>SUM(J64:N64)</f>
        <v>0</v>
      </c>
    </row>
    <row r="65" spans="1:21" s="117" customFormat="1" ht="17.399999999999999">
      <c r="A65" s="110"/>
      <c r="B65" s="119" t="s">
        <v>238</v>
      </c>
      <c r="C65" s="119"/>
      <c r="D65" s="113"/>
      <c r="E65" s="113" t="str">
        <f>'Calc2 FD'!E49</f>
        <v>Sewerage: Non-infrastructure enhancements</v>
      </c>
      <c r="F65" s="113"/>
      <c r="G65" s="120"/>
      <c r="H65" s="120"/>
      <c r="I65" s="120"/>
      <c r="J65" s="121">
        <f>'Calc2 FD'!J49</f>
        <v>0</v>
      </c>
      <c r="K65" s="121">
        <f>'Calc2 FD'!K49</f>
        <v>0</v>
      </c>
      <c r="L65" s="121">
        <f>'Calc2 FD'!L49</f>
        <v>0</v>
      </c>
      <c r="M65" s="121">
        <f>'Calc2 FD'!M49</f>
        <v>0</v>
      </c>
      <c r="N65" s="121">
        <f>'Calc2 FD'!N49</f>
        <v>0</v>
      </c>
      <c r="O65" s="113"/>
      <c r="P65" s="113"/>
      <c r="Q65" s="113"/>
      <c r="R65" s="113"/>
      <c r="S65" s="113"/>
      <c r="T65" s="115"/>
      <c r="U65" s="122">
        <f>SUM(J65:N65)</f>
        <v>0</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0</v>
      </c>
      <c r="K68" s="121">
        <f>'Calc2 FD'!K68</f>
        <v>0</v>
      </c>
      <c r="L68" s="121">
        <f>'Calc2 FD'!L68</f>
        <v>0</v>
      </c>
      <c r="M68" s="121">
        <f>'Calc2 FD'!M68</f>
        <v>0</v>
      </c>
      <c r="N68" s="121">
        <f>'Calc2 FD'!N68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123.56080070282465</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-0.56630025883308099</v>
      </c>
      <c r="K73" s="121">
        <f>'Calc2 FD'!K127</f>
        <v>-0.538510035100077</v>
      </c>
      <c r="L73" s="121">
        <f>'Calc2 FD'!L127</f>
        <v>-0.48702980250988398</v>
      </c>
      <c r="M73" s="121">
        <f>'Calc2 FD'!M127</f>
        <v>-0.41391282248385902</v>
      </c>
      <c r="N73" s="121">
        <f>'Calc2 FD'!N127</f>
        <v>-0.37135357418883502</v>
      </c>
      <c r="O73" s="113"/>
      <c r="P73" s="113"/>
      <c r="Q73" s="113"/>
      <c r="R73" s="113"/>
      <c r="S73" s="113"/>
      <c r="T73" s="115"/>
      <c r="U73" s="122">
        <f>SUM(J73:N73)</f>
        <v>-2.3771064931157362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v>
      </c>
      <c r="K76" s="121">
        <f>'Calc2 FD'!K128</f>
        <v>0</v>
      </c>
      <c r="L76" s="121">
        <f>'Calc2 FD'!L128</f>
        <v>0</v>
      </c>
      <c r="M76" s="121">
        <f>'Calc2 FD'!M128</f>
        <v>0</v>
      </c>
      <c r="N76" s="121">
        <f>'Calc2 FD'!N128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SES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29.290504000000002</v>
      </c>
      <c r="K16" s="121">
        <f>'Calc2 FD'!K55</f>
        <v>30.8894667</v>
      </c>
      <c r="L16" s="121">
        <f>'Calc2 FD'!L55</f>
        <v>23.110634399999999</v>
      </c>
      <c r="M16" s="121">
        <f>'Calc2 FD'!M55</f>
        <v>19.926952799999999</v>
      </c>
      <c r="N16" s="121">
        <f>'Calc2 FD'!N55</f>
        <v>16.133617599999997</v>
      </c>
      <c r="O16" s="113"/>
      <c r="P16" s="113"/>
      <c r="Q16" s="113"/>
      <c r="R16" s="113"/>
      <c r="S16" s="113"/>
      <c r="T16" s="115"/>
      <c r="U16" s="295">
        <f>SUM(J16:N16)</f>
        <v>119.35117549999998</v>
      </c>
    </row>
    <row r="17" spans="1:21" s="117" customFormat="1" ht="17.399999999999999">
      <c r="A17" s="110"/>
      <c r="B17" s="118" t="s">
        <v>131</v>
      </c>
      <c r="C17" s="119"/>
      <c r="D17" s="113"/>
      <c r="E17" s="124" t="str">
        <f>'Calc2 FD'!E56</f>
        <v>Water: Baseline capex (gross of adjustments)</v>
      </c>
      <c r="F17" s="124"/>
      <c r="G17" s="113"/>
      <c r="H17" s="120"/>
      <c r="I17" s="120"/>
      <c r="J17" s="121">
        <f>'Calc2 FD'!J56</f>
        <v>23.011456530763091</v>
      </c>
      <c r="K17" s="121">
        <f>'Calc2 FD'!K56</f>
        <v>21.88220837055577</v>
      </c>
      <c r="L17" s="121">
        <f>'Calc2 FD'!L56</f>
        <v>19.790323163079677</v>
      </c>
      <c r="M17" s="121">
        <f>'Calc2 FD'!M56</f>
        <v>16.81923462606126</v>
      </c>
      <c r="N17" s="121">
        <f>'Calc2 FD'!N56</f>
        <v>15.089851181771561</v>
      </c>
      <c r="O17" s="113"/>
      <c r="P17" s="113"/>
      <c r="Q17" s="113"/>
      <c r="R17" s="113"/>
      <c r="S17" s="113"/>
      <c r="T17" s="115"/>
      <c r="U17" s="295">
        <f t="shared" ref="U17:U18" si="0">SUM(J17:N17)</f>
        <v>96.593073872231358</v>
      </c>
    </row>
    <row r="18" spans="1:21" s="117" customFormat="1" ht="17.399999999999999">
      <c r="A18" s="110"/>
      <c r="B18" s="118" t="s">
        <v>132</v>
      </c>
      <c r="C18" s="119"/>
      <c r="D18" s="113"/>
      <c r="E18" s="124" t="str">
        <f>'Calc2 FD'!E57</f>
        <v>Water: Allowance capex (gross of adjustments)</v>
      </c>
      <c r="F18" s="124"/>
      <c r="G18" s="113"/>
      <c r="H18" s="286"/>
      <c r="I18" s="120"/>
      <c r="J18" s="121">
        <f>'Calc2 FD'!J57</f>
        <v>24.366877383770642</v>
      </c>
      <c r="K18" s="121">
        <f>'Calc2 FD'!K57</f>
        <v>23.171114246446635</v>
      </c>
      <c r="L18" s="121">
        <f>'Calc2 FD'!L57</f>
        <v>20.956012812804214</v>
      </c>
      <c r="M18" s="121">
        <f>'Calc2 FD'!M57</f>
        <v>17.809921213557953</v>
      </c>
      <c r="N18" s="121">
        <f>'Calc2 FD'!N57</f>
        <v>15.978673622594066</v>
      </c>
      <c r="O18" s="113"/>
      <c r="P18" s="113"/>
      <c r="Q18" s="113"/>
      <c r="R18" s="113"/>
      <c r="S18" s="113"/>
      <c r="T18" s="115"/>
      <c r="U18" s="295">
        <f t="shared" si="0"/>
        <v>102.28259927917352</v>
      </c>
    </row>
    <row r="19" spans="1:21" s="117" customFormat="1" ht="17.399999999999999">
      <c r="A19" s="110"/>
      <c r="B19" s="118" t="s">
        <v>133</v>
      </c>
      <c r="C19" s="119"/>
      <c r="D19" s="113"/>
      <c r="E19" s="124" t="str">
        <f>'Calc2 FD'!E94</f>
        <v>Water: CIS bid ratio</v>
      </c>
      <c r="F19" s="124"/>
      <c r="G19" s="301">
        <f>'Calc2 FD'!G94</f>
        <v>123.56080070282465</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29.290504000000002</v>
      </c>
      <c r="K24" s="121">
        <f>'Calc2 FD'!K62</f>
        <v>30.8894667</v>
      </c>
      <c r="L24" s="121">
        <f>'Calc2 FD'!L62</f>
        <v>23.110634399999999</v>
      </c>
      <c r="M24" s="121">
        <f>'Calc2 FD'!M62</f>
        <v>19.926952799999999</v>
      </c>
      <c r="N24" s="121">
        <f>'Calc2 FD'!N62</f>
        <v>16.133617599999997</v>
      </c>
      <c r="O24" s="113"/>
      <c r="P24" s="113"/>
      <c r="Q24" s="113"/>
      <c r="R24" s="113"/>
      <c r="S24" s="113"/>
      <c r="T24" s="115"/>
      <c r="U24" s="295">
        <f t="shared" ref="U24:U26" si="2">SUM(J24:N24)</f>
        <v>119.35117549999998</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23.011456530763091</v>
      </c>
      <c r="K25" s="121">
        <f>'Calc2 FD'!K63</f>
        <v>21.88220837055577</v>
      </c>
      <c r="L25" s="121">
        <f>'Calc2 FD'!L63</f>
        <v>19.790323163079677</v>
      </c>
      <c r="M25" s="121">
        <f>'Calc2 FD'!M63</f>
        <v>16.81923462606126</v>
      </c>
      <c r="N25" s="121">
        <f>'Calc2 FD'!N63</f>
        <v>15.089851181771561</v>
      </c>
      <c r="O25" s="113"/>
      <c r="P25" s="113"/>
      <c r="Q25" s="113"/>
      <c r="R25" s="113"/>
      <c r="S25" s="113"/>
      <c r="T25" s="115"/>
      <c r="U25" s="295">
        <f t="shared" si="2"/>
        <v>96.593073872231358</v>
      </c>
    </row>
    <row r="26" spans="1:21" s="117" customFormat="1" ht="17.399999999999999">
      <c r="A26" s="110"/>
      <c r="B26" s="118" t="s">
        <v>138</v>
      </c>
      <c r="C26" s="119"/>
      <c r="D26" s="113"/>
      <c r="E26" s="113" t="str">
        <f>'Calc2 FD'!E64</f>
        <v>Water: Allowance capex (net of adjustments)</v>
      </c>
      <c r="F26" s="113"/>
      <c r="G26" s="113"/>
      <c r="H26" s="120"/>
      <c r="I26" s="120"/>
      <c r="J26" s="121">
        <f>'Calc2 FD'!J64</f>
        <v>24.366877383770642</v>
      </c>
      <c r="K26" s="121">
        <f>'Calc2 FD'!K64</f>
        <v>23.171114246446631</v>
      </c>
      <c r="L26" s="121">
        <f>'Calc2 FD'!L64</f>
        <v>20.956012812804211</v>
      </c>
      <c r="M26" s="121">
        <f>'Calc2 FD'!M64</f>
        <v>17.809921213557949</v>
      </c>
      <c r="N26" s="121">
        <f>'Calc2 FD'!N64</f>
        <v>15.978673622594068</v>
      </c>
      <c r="O26" s="113"/>
      <c r="P26" s="113"/>
      <c r="Q26" s="113"/>
      <c r="R26" s="113"/>
      <c r="S26" s="113"/>
      <c r="T26" s="115"/>
      <c r="U26" s="295">
        <f t="shared" si="2"/>
        <v>102.2825992791735</v>
      </c>
    </row>
    <row r="27" spans="1:21" s="117" customFormat="1" ht="17.399999999999999">
      <c r="A27" s="110"/>
      <c r="B27" s="118" t="s">
        <v>139</v>
      </c>
      <c r="C27" s="119"/>
      <c r="D27" s="113"/>
      <c r="E27" s="113" t="str">
        <f>'Calc2 FD'!E106</f>
        <v>Water: Restated CIS bid ratio</v>
      </c>
      <c r="F27" s="113"/>
      <c r="G27" s="301">
        <f>'Calc2 FD'!G106</f>
        <v>123.56080070282465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26.026246752265429</v>
      </c>
      <c r="K30" s="121">
        <f>'Calc2 FD'!K79</f>
        <v>26.818435945490315</v>
      </c>
      <c r="L30" s="121">
        <f>'Calc2 FD'!L79</f>
        <v>20.105126296696909</v>
      </c>
      <c r="M30" s="121">
        <f>'Calc2 FD'!M79</f>
        <v>17.449264680711739</v>
      </c>
      <c r="N30" s="121">
        <f>'Calc2 FD'!N79</f>
        <v>14.128074215045938</v>
      </c>
      <c r="O30" s="113"/>
      <c r="P30" s="113"/>
      <c r="Q30" s="113"/>
      <c r="R30" s="113"/>
      <c r="S30" s="113"/>
      <c r="T30" s="115"/>
      <c r="U30" s="295">
        <f t="shared" ref="U30:U33" si="3">SUM(J30:N30)</f>
        <v>104.52714789021033</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20.446962804008766</v>
      </c>
      <c r="K31" s="121">
        <f>'Calc2 FD'!K80</f>
        <v>18.998275665653427</v>
      </c>
      <c r="L31" s="121">
        <f>'Calc2 FD'!L80</f>
        <v>17.216617240336909</v>
      </c>
      <c r="M31" s="121">
        <f>'Calc2 FD'!M80</f>
        <v>14.727955631888417</v>
      </c>
      <c r="N31" s="121">
        <f>'Calc2 FD'!N80</f>
        <v>13.214056678154272</v>
      </c>
      <c r="O31" s="113"/>
      <c r="P31" s="113"/>
      <c r="Q31" s="113"/>
      <c r="R31" s="113"/>
      <c r="S31" s="113"/>
      <c r="T31" s="115"/>
      <c r="U31" s="295">
        <f t="shared" si="3"/>
        <v>84.603868020041801</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21.651329843017059</v>
      </c>
      <c r="K32" s="121">
        <f>'Calc2 FD'!K81</f>
        <v>20.117312132292884</v>
      </c>
      <c r="L32" s="121">
        <f>'Calc2 FD'!L81</f>
        <v>18.230710459277887</v>
      </c>
      <c r="M32" s="121">
        <f>'Calc2 FD'!M81</f>
        <v>15.595461700395832</v>
      </c>
      <c r="N32" s="121">
        <f>'Calc2 FD'!N81</f>
        <v>13.992391067828827</v>
      </c>
      <c r="O32" s="113"/>
      <c r="P32" s="113"/>
      <c r="Q32" s="113"/>
      <c r="R32" s="113"/>
      <c r="S32" s="113"/>
      <c r="T32" s="115"/>
      <c r="U32" s="295">
        <f t="shared" si="3"/>
        <v>89.587205202812498</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12.358463332965394</v>
      </c>
      <c r="K33" s="121">
        <f>'Calc2 FD'!K82</f>
        <v>22.559627084723157</v>
      </c>
      <c r="L33" s="121">
        <f>'Calc2 FD'!L82</f>
        <v>17.834832601069476</v>
      </c>
      <c r="M33" s="121">
        <f>'Calc2 FD'!M82</f>
        <v>18.780707594014885</v>
      </c>
      <c r="N33" s="121">
        <f>'Calc2 FD'!N82</f>
        <v>17.347215664371451</v>
      </c>
      <c r="O33" s="113"/>
      <c r="P33" s="113"/>
      <c r="Q33" s="113"/>
      <c r="R33" s="113"/>
      <c r="S33" s="113"/>
      <c r="T33" s="115"/>
      <c r="U33" s="295">
        <f t="shared" si="3"/>
        <v>88.880846277144357</v>
      </c>
    </row>
    <row r="34" spans="1:21" s="117" customFormat="1" ht="17.399999999999999">
      <c r="A34" s="110"/>
      <c r="B34" s="118" t="s">
        <v>145</v>
      </c>
      <c r="C34" s="118"/>
      <c r="D34" s="113"/>
      <c r="E34" s="113" t="str">
        <f>'Calc2 FD'!E116</f>
        <v>Water: CIS outturn ratio</v>
      </c>
      <c r="F34" s="113"/>
      <c r="G34" s="301">
        <f>'Calc2 FD'!G116</f>
        <v>105.0552987200176</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-1.9533624574835953</v>
      </c>
    </row>
    <row r="38" spans="1:21" s="117" customFormat="1" ht="17.399999999999999">
      <c r="A38" s="110"/>
      <c r="B38" s="118" t="s">
        <v>152</v>
      </c>
      <c r="C38" s="119"/>
      <c r="D38" s="113"/>
      <c r="E38" s="113" t="str">
        <f>'Calc2 FD'!E127</f>
        <v>Water: Additional income (applied at FD)</v>
      </c>
      <c r="F38" s="113"/>
      <c r="G38" s="113"/>
      <c r="H38" s="113"/>
      <c r="I38" s="113"/>
      <c r="J38" s="121">
        <f>'Calc2 FD'!J127</f>
        <v>-0.56630025883308099</v>
      </c>
      <c r="K38" s="121">
        <f>'Calc2 FD'!K127</f>
        <v>-0.538510035100077</v>
      </c>
      <c r="L38" s="121">
        <f>'Calc2 FD'!L127</f>
        <v>-0.48702980250988398</v>
      </c>
      <c r="M38" s="121">
        <f>'Calc2 FD'!M127</f>
        <v>-0.41391282248385902</v>
      </c>
      <c r="N38" s="121">
        <f>'Calc2 FD'!N127</f>
        <v>-0.37135357418883502</v>
      </c>
      <c r="O38" s="113"/>
      <c r="P38" s="113"/>
      <c r="Q38" s="113"/>
      <c r="R38" s="113"/>
      <c r="S38" s="113"/>
      <c r="T38" s="115"/>
      <c r="U38" s="295">
        <f t="shared" ref="U38" si="4">SUM(J38:N38)</f>
        <v>-2.3771064931157362</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0.42374403563214086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0</v>
      </c>
      <c r="K45" s="121">
        <f>'Calc2 FD'!K66</f>
        <v>0</v>
      </c>
      <c r="L45" s="121">
        <f>'Calc2 FD'!L66</f>
        <v>0</v>
      </c>
      <c r="M45" s="121">
        <f>'Calc2 FD'!M66</f>
        <v>0</v>
      </c>
      <c r="N45" s="121">
        <f>'Calc2 FD'!N66</f>
        <v>0</v>
      </c>
      <c r="O45" s="113"/>
      <c r="P45" s="113"/>
      <c r="Q45" s="113"/>
      <c r="R45" s="113"/>
      <c r="S45" s="113"/>
      <c r="T45" s="115"/>
      <c r="U45" s="295">
        <f>SUM(J45:N45)</f>
        <v>0</v>
      </c>
    </row>
    <row r="46" spans="1:21" s="117" customFormat="1" ht="17.399999999999999">
      <c r="A46" s="110"/>
      <c r="B46" s="118" t="s">
        <v>327</v>
      </c>
      <c r="C46" s="119"/>
      <c r="D46" s="113"/>
      <c r="E46" s="124" t="str">
        <f>'Calc2 FD'!E67</f>
        <v>Sewerage: Baseline capex (gross of adjustments)</v>
      </c>
      <c r="F46" s="124"/>
      <c r="G46" s="113"/>
      <c r="H46" s="120"/>
      <c r="I46" s="120"/>
      <c r="J46" s="121">
        <f>'Calc2 FD'!J67</f>
        <v>0</v>
      </c>
      <c r="K46" s="121">
        <f>'Calc2 FD'!K67</f>
        <v>0</v>
      </c>
      <c r="L46" s="121">
        <f>'Calc2 FD'!L67</f>
        <v>0</v>
      </c>
      <c r="M46" s="121">
        <f>'Calc2 FD'!M67</f>
        <v>0</v>
      </c>
      <c r="N46" s="121">
        <f>'Calc2 FD'!N67</f>
        <v>0</v>
      </c>
      <c r="O46" s="113"/>
      <c r="P46" s="113"/>
      <c r="Q46" s="113"/>
      <c r="R46" s="113"/>
      <c r="S46" s="113"/>
      <c r="T46" s="115"/>
      <c r="U46" s="295">
        <f t="shared" ref="U46:U47" si="5">SUM(J46:N46)</f>
        <v>0</v>
      </c>
    </row>
    <row r="47" spans="1:21" s="117" customFormat="1" ht="17.399999999999999">
      <c r="A47" s="110"/>
      <c r="B47" s="118" t="s">
        <v>328</v>
      </c>
      <c r="C47" s="119"/>
      <c r="D47" s="113"/>
      <c r="E47" s="124" t="str">
        <f>'Calc2 FD'!E68</f>
        <v>Sewerage: Allowance capex (gross of adjustments)</v>
      </c>
      <c r="F47" s="124"/>
      <c r="G47" s="113"/>
      <c r="H47" s="286"/>
      <c r="I47" s="120"/>
      <c r="J47" s="121">
        <f>'Calc2 FD'!J68</f>
        <v>0</v>
      </c>
      <c r="K47" s="121">
        <f>'Calc2 FD'!K68</f>
        <v>0</v>
      </c>
      <c r="L47" s="121">
        <f>'Calc2 FD'!L68</f>
        <v>0</v>
      </c>
      <c r="M47" s="121">
        <f>'Calc2 FD'!M68</f>
        <v>0</v>
      </c>
      <c r="N47" s="121">
        <f>'Calc2 FD'!N68</f>
        <v>0</v>
      </c>
      <c r="O47" s="113"/>
      <c r="P47" s="113"/>
      <c r="Q47" s="113"/>
      <c r="R47" s="113"/>
      <c r="S47" s="113"/>
      <c r="T47" s="115"/>
      <c r="U47" s="295">
        <f t="shared" si="5"/>
        <v>0</v>
      </c>
    </row>
    <row r="48" spans="1:21" s="117" customFormat="1" ht="17.399999999999999">
      <c r="A48" s="110"/>
      <c r="B48" s="118" t="s">
        <v>329</v>
      </c>
      <c r="C48" s="119"/>
      <c r="D48" s="113"/>
      <c r="E48" s="124" t="str">
        <f>'Calc2 FD'!E99</f>
        <v>Sewerage: CIS bid ratio</v>
      </c>
      <c r="F48" s="124"/>
      <c r="G48" s="301">
        <f>'Calc2 FD'!G99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v>
      </c>
      <c r="L50" s="121">
        <f>'Calc2 FD'!L70</f>
        <v>0</v>
      </c>
      <c r="M50" s="121">
        <f>'Calc2 FD'!M70</f>
        <v>0</v>
      </c>
      <c r="N50" s="121">
        <f>'Calc2 FD'!N70</f>
        <v>0</v>
      </c>
      <c r="O50" s="113"/>
      <c r="P50" s="113"/>
      <c r="Q50" s="113"/>
      <c r="R50" s="113"/>
      <c r="S50" s="113"/>
      <c r="T50" s="115"/>
      <c r="U50" s="295">
        <f t="shared" ref="U50:U51" si="6">SUM(J50:N50)</f>
        <v>0</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v>
      </c>
      <c r="L51" s="121">
        <f>'Calc2 FD'!L71</f>
        <v>0</v>
      </c>
      <c r="M51" s="121">
        <f>'Calc2 FD'!M71</f>
        <v>0</v>
      </c>
      <c r="N51" s="121">
        <f>'Calc2 FD'!N71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0</v>
      </c>
      <c r="K53" s="121">
        <f>'Calc2 FD'!K73</f>
        <v>0</v>
      </c>
      <c r="L53" s="121">
        <f>'Calc2 FD'!L73</f>
        <v>0</v>
      </c>
      <c r="M53" s="121">
        <f>'Calc2 FD'!M73</f>
        <v>0</v>
      </c>
      <c r="N53" s="121">
        <f>'Calc2 FD'!N73</f>
        <v>0</v>
      </c>
      <c r="O53" s="113"/>
      <c r="P53" s="113"/>
      <c r="Q53" s="113"/>
      <c r="R53" s="113"/>
      <c r="S53" s="113"/>
      <c r="T53" s="115"/>
      <c r="U53" s="295">
        <f t="shared" ref="U53:U55" si="7">SUM(J53:N53)</f>
        <v>0</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0</v>
      </c>
      <c r="K54" s="121">
        <f>'Calc2 FD'!K74</f>
        <v>0</v>
      </c>
      <c r="L54" s="121">
        <f>'Calc2 FD'!L74</f>
        <v>0</v>
      </c>
      <c r="M54" s="121">
        <f>'Calc2 FD'!M74</f>
        <v>0</v>
      </c>
      <c r="N54" s="121">
        <f>'Calc2 FD'!N74</f>
        <v>0</v>
      </c>
      <c r="O54" s="113"/>
      <c r="P54" s="113"/>
      <c r="Q54" s="113"/>
      <c r="R54" s="113"/>
      <c r="S54" s="113"/>
      <c r="T54" s="115"/>
      <c r="U54" s="295">
        <f t="shared" si="7"/>
        <v>0</v>
      </c>
    </row>
    <row r="55" spans="1:21" s="117" customFormat="1" ht="17.399999999999999">
      <c r="A55" s="110"/>
      <c r="B55" s="118" t="s">
        <v>334</v>
      </c>
      <c r="C55" s="119"/>
      <c r="D55" s="113"/>
      <c r="E55" s="113" t="str">
        <f>'Calc2 FD'!E75</f>
        <v>Sewerage: Allowance capex (net of adjustments)</v>
      </c>
      <c r="F55" s="113"/>
      <c r="G55" s="113"/>
      <c r="H55" s="120"/>
      <c r="I55" s="120"/>
      <c r="J55" s="121">
        <f>'Calc2 FD'!J75</f>
        <v>0</v>
      </c>
      <c r="K55" s="121">
        <f>'Calc2 FD'!K75</f>
        <v>0</v>
      </c>
      <c r="L55" s="121">
        <f>'Calc2 FD'!L75</f>
        <v>0</v>
      </c>
      <c r="M55" s="121">
        <f>'Calc2 FD'!M75</f>
        <v>0</v>
      </c>
      <c r="N55" s="121">
        <f>'Calc2 FD'!N75</f>
        <v>0</v>
      </c>
      <c r="O55" s="113"/>
      <c r="P55" s="113"/>
      <c r="Q55" s="113"/>
      <c r="R55" s="113"/>
      <c r="S55" s="113"/>
      <c r="T55" s="115"/>
      <c r="U55" s="295">
        <f t="shared" si="7"/>
        <v>0</v>
      </c>
    </row>
    <row r="56" spans="1:21" s="117" customFormat="1" ht="17.399999999999999">
      <c r="A56" s="110"/>
      <c r="B56" s="118" t="s">
        <v>335</v>
      </c>
      <c r="C56" s="119"/>
      <c r="D56" s="113"/>
      <c r="E56" s="113" t="str">
        <f>'Calc2 FD'!E110</f>
        <v>Sewerage: Restated CIS bid ratio</v>
      </c>
      <c r="F56" s="113"/>
      <c r="G56" s="301">
        <f>'Calc2 FD'!G110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0</v>
      </c>
      <c r="K59" s="121">
        <f>'Calc2 FD'!K84</f>
        <v>0</v>
      </c>
      <c r="L59" s="121">
        <f>'Calc2 FD'!L84</f>
        <v>0</v>
      </c>
      <c r="M59" s="121">
        <f>'Calc2 FD'!M84</f>
        <v>0</v>
      </c>
      <c r="N59" s="121">
        <f>'Calc2 FD'!N84</f>
        <v>0</v>
      </c>
      <c r="O59" s="113"/>
      <c r="P59" s="113"/>
      <c r="Q59" s="113"/>
      <c r="R59" s="113"/>
      <c r="S59" s="113"/>
      <c r="T59" s="115"/>
      <c r="U59" s="295">
        <f t="shared" ref="U59:U62" si="8">SUM(J59:N59)</f>
        <v>0</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0</v>
      </c>
      <c r="K60" s="121">
        <f>'Calc2 FD'!K85</f>
        <v>0</v>
      </c>
      <c r="L60" s="121">
        <f>'Calc2 FD'!L85</f>
        <v>0</v>
      </c>
      <c r="M60" s="121">
        <f>'Calc2 FD'!M85</f>
        <v>0</v>
      </c>
      <c r="N60" s="121">
        <f>'Calc2 FD'!N85</f>
        <v>0</v>
      </c>
      <c r="O60" s="113"/>
      <c r="P60" s="113"/>
      <c r="Q60" s="113"/>
      <c r="R60" s="113"/>
      <c r="S60" s="113"/>
      <c r="T60" s="115"/>
      <c r="U60" s="295">
        <f t="shared" si="8"/>
        <v>0</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0</v>
      </c>
      <c r="K61" s="121">
        <f>'Calc2 FD'!K86</f>
        <v>0</v>
      </c>
      <c r="L61" s="121">
        <f>'Calc2 FD'!L86</f>
        <v>0</v>
      </c>
      <c r="M61" s="121">
        <f>'Calc2 FD'!M86</f>
        <v>0</v>
      </c>
      <c r="N61" s="121">
        <f>'Calc2 FD'!N86</f>
        <v>0</v>
      </c>
      <c r="O61" s="113"/>
      <c r="P61" s="113"/>
      <c r="Q61" s="113"/>
      <c r="R61" s="113"/>
      <c r="S61" s="113"/>
      <c r="T61" s="115"/>
      <c r="U61" s="295">
        <f t="shared" si="8"/>
        <v>0</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0</v>
      </c>
      <c r="K62" s="121">
        <f>'Calc2 FD'!K87</f>
        <v>0</v>
      </c>
      <c r="L62" s="121">
        <f>'Calc2 FD'!L87</f>
        <v>0</v>
      </c>
      <c r="M62" s="121">
        <f>'Calc2 FD'!M87</f>
        <v>0</v>
      </c>
      <c r="N62" s="121">
        <f>'Calc2 FD'!N87</f>
        <v>0</v>
      </c>
      <c r="O62" s="113"/>
      <c r="P62" s="113"/>
      <c r="Q62" s="113"/>
      <c r="R62" s="113"/>
      <c r="S62" s="113"/>
      <c r="T62" s="115"/>
      <c r="U62" s="295">
        <f t="shared" si="8"/>
        <v>0</v>
      </c>
    </row>
    <row r="63" spans="1:21" s="117" customFormat="1" ht="17.399999999999999">
      <c r="A63" s="110"/>
      <c r="B63" s="118" t="s">
        <v>340</v>
      </c>
      <c r="C63" s="118"/>
      <c r="D63" s="113"/>
      <c r="E63" s="113" t="str">
        <f>'Calc2 FD'!E119</f>
        <v>Sewerage: CIS outturn ratio</v>
      </c>
      <c r="F63" s="113"/>
      <c r="G63" s="301">
        <f>'Calc2 FD'!G119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0</v>
      </c>
    </row>
    <row r="67" spans="1:24" s="117" customFormat="1" ht="17.399999999999999">
      <c r="A67" s="110"/>
      <c r="B67" s="118" t="s">
        <v>342</v>
      </c>
      <c r="C67" s="119"/>
      <c r="D67" s="113"/>
      <c r="E67" s="113" t="str">
        <f>'Calc2 FD'!E128</f>
        <v>Sewerage: Additional income (applied at FD)</v>
      </c>
      <c r="F67" s="113"/>
      <c r="G67" s="113"/>
      <c r="H67" s="113"/>
      <c r="I67" s="113"/>
      <c r="J67" s="121">
        <f>'Calc2 FD'!J128</f>
        <v>0</v>
      </c>
      <c r="K67" s="121">
        <f>'Calc2 FD'!K128</f>
        <v>0</v>
      </c>
      <c r="L67" s="121">
        <f>'Calc2 FD'!L128</f>
        <v>0</v>
      </c>
      <c r="M67" s="121">
        <f>'Calc2 FD'!M128</f>
        <v>0</v>
      </c>
      <c r="N67" s="121">
        <f>'Calc2 FD'!N128</f>
        <v>0</v>
      </c>
      <c r="O67" s="113"/>
      <c r="P67" s="113"/>
      <c r="Q67" s="113"/>
      <c r="R67" s="113"/>
      <c r="S67" s="113"/>
      <c r="T67" s="115"/>
      <c r="U67" s="295">
        <f t="shared" ref="U67" si="9">SUM(J67:N67)</f>
        <v>0</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-11.260034004682179</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-2.8092285112884059</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-3.2951843042602675</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6640625" customWidth="1"/>
    <col min="2" max="2" width="12.33203125" customWidth="1"/>
    <col min="3" max="3" width="39.6640625" customWidth="1"/>
    <col min="4" max="4" width="3.44140625" customWidth="1"/>
    <col min="5" max="5" width="28.21875"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4.797072</v>
      </c>
      <c r="J4" s="566">
        <v>5.3863460999999999</v>
      </c>
      <c r="K4" s="566">
        <v>6.6409127999999997</v>
      </c>
      <c r="L4" s="566">
        <v>6.6940815999999996</v>
      </c>
      <c r="M4" s="566">
        <v>5.0562753999999996</v>
      </c>
      <c r="N4" s="566"/>
      <c r="O4" s="566"/>
    </row>
    <row r="5" spans="1:15">
      <c r="A5" t="s">
        <v>818</v>
      </c>
      <c r="B5" t="s">
        <v>452</v>
      </c>
      <c r="C5" t="s">
        <v>178</v>
      </c>
      <c r="D5" t="s">
        <v>497</v>
      </c>
      <c r="E5" t="s">
        <v>742</v>
      </c>
      <c r="F5" s="566"/>
      <c r="G5" s="566"/>
      <c r="H5" s="566"/>
      <c r="I5" s="566">
        <v>15.771167999999999</v>
      </c>
      <c r="J5" s="566">
        <v>12.062123100000001</v>
      </c>
      <c r="K5" s="566">
        <v>6.9655842000000003</v>
      </c>
      <c r="L5" s="566">
        <v>5.3313135999999997</v>
      </c>
      <c r="M5" s="566">
        <v>6.3674314000000001</v>
      </c>
      <c r="N5" s="566"/>
      <c r="O5" s="566"/>
    </row>
    <row r="6" spans="1:15">
      <c r="A6" t="s">
        <v>818</v>
      </c>
      <c r="B6" t="s">
        <v>453</v>
      </c>
      <c r="C6" t="s">
        <v>123</v>
      </c>
      <c r="D6" t="s">
        <v>497</v>
      </c>
      <c r="E6" t="s">
        <v>742</v>
      </c>
      <c r="F6" s="566"/>
      <c r="G6" s="566"/>
      <c r="H6" s="566"/>
      <c r="I6" s="566">
        <v>1.707552</v>
      </c>
      <c r="J6" s="566">
        <v>2.9192553000000001</v>
      </c>
      <c r="K6" s="566">
        <v>6.3131687999999997</v>
      </c>
      <c r="L6" s="566">
        <v>6.3626811999999999</v>
      </c>
      <c r="M6" s="566">
        <v>2.7326155999999999</v>
      </c>
      <c r="N6" s="566"/>
      <c r="O6" s="566"/>
    </row>
    <row r="7" spans="1:15">
      <c r="A7" t="s">
        <v>818</v>
      </c>
      <c r="B7" t="s">
        <v>454</v>
      </c>
      <c r="C7" t="s">
        <v>122</v>
      </c>
      <c r="D7" t="s">
        <v>497</v>
      </c>
      <c r="E7" t="s">
        <v>742</v>
      </c>
      <c r="F7" s="566"/>
      <c r="G7" s="566"/>
      <c r="H7" s="566"/>
      <c r="I7" s="566">
        <v>7.7757120000000004</v>
      </c>
      <c r="J7" s="566">
        <v>11.280742200000001</v>
      </c>
      <c r="K7" s="566">
        <v>3.9769686000000002</v>
      </c>
      <c r="L7" s="566">
        <v>2.3858763999999999</v>
      </c>
      <c r="M7" s="566">
        <v>2.8012952000000002</v>
      </c>
      <c r="N7" s="566"/>
      <c r="O7" s="566"/>
    </row>
    <row r="8" spans="1:15">
      <c r="A8" t="s">
        <v>818</v>
      </c>
      <c r="B8" t="s">
        <v>455</v>
      </c>
      <c r="C8" t="s">
        <v>190</v>
      </c>
      <c r="D8" t="s">
        <v>497</v>
      </c>
      <c r="E8" t="s">
        <v>742</v>
      </c>
      <c r="F8" s="566"/>
      <c r="G8" s="566"/>
      <c r="H8" s="566"/>
      <c r="I8" s="566">
        <v>0.76100000000000001</v>
      </c>
      <c r="J8" s="566">
        <v>0.75900000000000001</v>
      </c>
      <c r="K8" s="566">
        <v>0.78600000000000003</v>
      </c>
      <c r="L8" s="566">
        <v>0.84699999999999998</v>
      </c>
      <c r="M8" s="566">
        <v>0.82399999999999995</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8.3330000000000002</v>
      </c>
      <c r="G20" s="566">
        <v>5.2210233568712701</v>
      </c>
      <c r="H20" s="566">
        <v>5.9589999999999996</v>
      </c>
      <c r="I20" s="566">
        <v>5.1217274256155596</v>
      </c>
      <c r="J20" s="566">
        <v>5.7219630018878203</v>
      </c>
      <c r="K20" s="566">
        <v>7.39606188314362</v>
      </c>
      <c r="L20" s="566">
        <v>7.3664776356110497</v>
      </c>
      <c r="M20" s="566">
        <v>5.4982325681845099</v>
      </c>
      <c r="N20" s="566"/>
      <c r="O20" s="566"/>
    </row>
    <row r="21" spans="1:15">
      <c r="A21" t="s">
        <v>818</v>
      </c>
      <c r="B21" t="s">
        <v>529</v>
      </c>
      <c r="C21" t="s">
        <v>512</v>
      </c>
      <c r="D21" t="s">
        <v>497</v>
      </c>
      <c r="E21" t="s">
        <v>742</v>
      </c>
      <c r="F21" s="566">
        <v>9.2257300000000004</v>
      </c>
      <c r="G21" s="566">
        <v>8.6084730348413103</v>
      </c>
      <c r="H21" s="566">
        <v>10.528</v>
      </c>
      <c r="I21" s="566">
        <v>13.8761113424824</v>
      </c>
      <c r="J21" s="566">
        <v>9.7432356201238601</v>
      </c>
      <c r="K21" s="566">
        <v>7.2795464827987502</v>
      </c>
      <c r="L21" s="566">
        <v>5.49642397350451</v>
      </c>
      <c r="M21" s="566">
        <v>6.4936037218966698</v>
      </c>
      <c r="N21" s="566"/>
      <c r="O21" s="566"/>
    </row>
    <row r="22" spans="1:15">
      <c r="A22" t="s">
        <v>818</v>
      </c>
      <c r="B22" t="s">
        <v>1</v>
      </c>
      <c r="C22" t="s">
        <v>513</v>
      </c>
      <c r="D22" t="s">
        <v>497</v>
      </c>
      <c r="E22" t="s">
        <v>742</v>
      </c>
      <c r="F22" s="566">
        <v>1.5631412789310399</v>
      </c>
      <c r="G22" s="566">
        <v>1.8818710106963901</v>
      </c>
      <c r="H22" s="566">
        <v>1.5383671875</v>
      </c>
      <c r="I22" s="566">
        <v>1.18561869610492</v>
      </c>
      <c r="J22" s="566">
        <v>1.6386180195397699</v>
      </c>
      <c r="K22" s="566">
        <v>2.5015015598287298</v>
      </c>
      <c r="L22" s="566">
        <v>2.3256495793782199</v>
      </c>
      <c r="M22" s="566">
        <v>1.3080532923734201</v>
      </c>
      <c r="N22" s="566"/>
      <c r="O22" s="566"/>
    </row>
    <row r="23" spans="1:15">
      <c r="A23" t="s">
        <v>818</v>
      </c>
      <c r="B23" t="s">
        <v>5</v>
      </c>
      <c r="C23" t="s">
        <v>514</v>
      </c>
      <c r="D23" t="s">
        <v>497</v>
      </c>
      <c r="E23" t="s">
        <v>742</v>
      </c>
      <c r="F23" s="566">
        <v>1.69985872106895</v>
      </c>
      <c r="G23" s="566">
        <v>2.7700452615159099</v>
      </c>
      <c r="H23" s="566">
        <v>2.3886328124999898</v>
      </c>
      <c r="I23" s="566">
        <v>2.8279990665602099</v>
      </c>
      <c r="J23" s="566">
        <v>4.7783917290043201</v>
      </c>
      <c r="K23" s="566">
        <v>2.6132132373085799</v>
      </c>
      <c r="L23" s="566">
        <v>1.6306834375674799</v>
      </c>
      <c r="M23" s="566">
        <v>1.78996159931696</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123.560800702824</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-0.56630025883308099</v>
      </c>
      <c r="J34" s="566">
        <v>-0.538510035100077</v>
      </c>
      <c r="K34" s="566">
        <v>-0.48702980250988398</v>
      </c>
      <c r="L34" s="566">
        <v>-0.41391282248385902</v>
      </c>
      <c r="M34" s="566">
        <v>-0.37135357418883502</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160.752936437306</v>
      </c>
      <c r="G36" s="566">
        <v>161.75784517446999</v>
      </c>
      <c r="H36" s="566">
        <v>159.29520105907599</v>
      </c>
      <c r="I36" s="566">
        <v>167.29741805573701</v>
      </c>
      <c r="J36" s="566">
        <v>173.90139666123301</v>
      </c>
      <c r="K36" s="566">
        <v>178.093108814045</v>
      </c>
      <c r="L36" s="566">
        <v>179.016630546567</v>
      </c>
      <c r="M36" s="566">
        <v>178.26714638049199</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6.0999999999999999E-2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3.9180000000000001</v>
      </c>
      <c r="J40" s="566">
        <v>4.4240000000000004</v>
      </c>
      <c r="K40" s="566">
        <v>5.2480000000000002</v>
      </c>
      <c r="L40" s="566">
        <v>8.16</v>
      </c>
      <c r="M40" s="566">
        <v>6.8579999999999997</v>
      </c>
      <c r="N40" s="566"/>
      <c r="O40" s="566"/>
    </row>
    <row r="41" spans="1:15">
      <c r="A41" t="s">
        <v>818</v>
      </c>
      <c r="B41" t="s">
        <v>425</v>
      </c>
      <c r="C41" t="s">
        <v>65</v>
      </c>
      <c r="D41" t="s">
        <v>497</v>
      </c>
      <c r="E41" t="s">
        <v>742</v>
      </c>
      <c r="F41" s="566"/>
      <c r="G41" s="566"/>
      <c r="H41" s="566"/>
      <c r="I41" s="566">
        <v>5.907</v>
      </c>
      <c r="J41" s="566">
        <v>13.101000000000001</v>
      </c>
      <c r="K41" s="566">
        <v>10.221</v>
      </c>
      <c r="L41" s="566">
        <v>4.5599999999999996</v>
      </c>
      <c r="M41" s="566">
        <v>6.0750000000000002</v>
      </c>
      <c r="N41" s="566"/>
      <c r="O41" s="566"/>
    </row>
    <row r="42" spans="1:15">
      <c r="A42" t="s">
        <v>818</v>
      </c>
      <c r="B42" t="s">
        <v>426</v>
      </c>
      <c r="C42" t="s">
        <v>382</v>
      </c>
      <c r="D42" t="s">
        <v>497</v>
      </c>
      <c r="E42" t="s">
        <v>742</v>
      </c>
      <c r="F42" s="566"/>
      <c r="G42" s="566"/>
      <c r="H42" s="566"/>
      <c r="I42" s="566">
        <v>0.90500000000000003</v>
      </c>
      <c r="J42" s="566">
        <v>3.7890000000000001</v>
      </c>
      <c r="K42" s="566">
        <v>1.5269999999999999</v>
      </c>
      <c r="L42" s="566">
        <v>6.7919999999999998</v>
      </c>
      <c r="M42" s="566">
        <v>1.2290000000000001</v>
      </c>
      <c r="N42" s="566"/>
      <c r="O42" s="566"/>
    </row>
    <row r="43" spans="1:15">
      <c r="A43" t="s">
        <v>818</v>
      </c>
      <c r="B43" t="s">
        <v>427</v>
      </c>
      <c r="C43" t="s">
        <v>383</v>
      </c>
      <c r="D43" t="s">
        <v>497</v>
      </c>
      <c r="E43" t="s">
        <v>742</v>
      </c>
      <c r="F43" s="566"/>
      <c r="G43" s="566"/>
      <c r="H43" s="566"/>
      <c r="I43" s="566">
        <v>2.6880000000000002</v>
      </c>
      <c r="J43" s="566">
        <v>4.3550000000000004</v>
      </c>
      <c r="K43" s="566">
        <v>3.9239999999999999</v>
      </c>
      <c r="L43" s="566">
        <v>3.153</v>
      </c>
      <c r="M43" s="566">
        <v>6.2939999999999996</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2.75E-2</v>
      </c>
      <c r="M65" s="568">
        <v>2.75E-2</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4.797072</v>
      </c>
      <c r="K10" s="221">
        <f>INDEX('F_Inputs BYR'!$B$4:$N$90,MATCH($C10,'F_Inputs BYR'!$B$4:$B$90,0),MATCH(K$2,'F_Inputs BYR'!$B$2:$N$2,0))</f>
        <v>5.3863460999999999</v>
      </c>
      <c r="L10" s="221">
        <f>INDEX('F_Inputs BYR'!$B$4:$N$90,MATCH($C10,'F_Inputs BYR'!$B$4:$B$90,0),MATCH(L$2,'F_Inputs BYR'!$B$2:$N$2,0))</f>
        <v>6.6409127999999997</v>
      </c>
      <c r="M10" s="221">
        <f>INDEX('F_Inputs BYR'!$B$4:$N$90,MATCH($C10,'F_Inputs BYR'!$B$4:$B$90,0),MATCH(M$2,'F_Inputs BYR'!$B$2:$N$2,0))</f>
        <v>6.6940815999999996</v>
      </c>
      <c r="N10" s="395">
        <f>INDEX('F_Inputs BYR'!$B$4:$N$90,MATCH($C10,'F_Inputs BYR'!$B$4:$B$90,0),MATCH(N$2,'F_Inputs BYR'!$B$2:$N$2,0))</f>
        <v>5.0562753999999996</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15.771167999999999</v>
      </c>
      <c r="K11" s="221">
        <f>INDEX('F_Inputs BYR'!$B$4:$N$90,MATCH($C11,'F_Inputs BYR'!$B$4:$B$90,0),MATCH(K$2,'F_Inputs BYR'!$B$2:$N$2,0))</f>
        <v>12.062123100000001</v>
      </c>
      <c r="L11" s="221">
        <f>INDEX('F_Inputs BYR'!$B$4:$N$90,MATCH($C11,'F_Inputs BYR'!$B$4:$B$90,0),MATCH(L$2,'F_Inputs BYR'!$B$2:$N$2,0))</f>
        <v>6.9655842000000003</v>
      </c>
      <c r="M11" s="221">
        <f>INDEX('F_Inputs BYR'!$B$4:$N$90,MATCH($C11,'F_Inputs BYR'!$B$4:$B$90,0),MATCH(M$2,'F_Inputs BYR'!$B$2:$N$2,0))</f>
        <v>5.3313135999999997</v>
      </c>
      <c r="N11" s="395">
        <f>INDEX('F_Inputs BYR'!$B$4:$N$90,MATCH($C11,'F_Inputs BYR'!$B$4:$B$90,0),MATCH(N$2,'F_Inputs BYR'!$B$2:$N$2,0))</f>
        <v>6.3674314000000001</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1.707552</v>
      </c>
      <c r="K12" s="221">
        <f>INDEX('F_Inputs BYR'!$B$4:$N$90,MATCH($C12,'F_Inputs BYR'!$B$4:$B$90,0),MATCH(K$2,'F_Inputs BYR'!$B$2:$N$2,0))</f>
        <v>2.9192553000000001</v>
      </c>
      <c r="L12" s="221">
        <f>INDEX('F_Inputs BYR'!$B$4:$N$90,MATCH($C12,'F_Inputs BYR'!$B$4:$B$90,0),MATCH(L$2,'F_Inputs BYR'!$B$2:$N$2,0))</f>
        <v>6.3131687999999997</v>
      </c>
      <c r="M12" s="221">
        <f>INDEX('F_Inputs BYR'!$B$4:$N$90,MATCH($C12,'F_Inputs BYR'!$B$4:$B$90,0),MATCH(M$2,'F_Inputs BYR'!$B$2:$N$2,0))</f>
        <v>6.3626811999999999</v>
      </c>
      <c r="N12" s="395">
        <f>INDEX('F_Inputs BYR'!$B$4:$N$90,MATCH($C12,'F_Inputs BYR'!$B$4:$B$90,0),MATCH(N$2,'F_Inputs BYR'!$B$2:$N$2,0))</f>
        <v>2.7326155999999999</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7.7757120000000004</v>
      </c>
      <c r="K13" s="221">
        <f>INDEX('F_Inputs BYR'!$B$4:$N$90,MATCH($C13,'F_Inputs BYR'!$B$4:$B$90,0),MATCH(K$2,'F_Inputs BYR'!$B$2:$N$2,0))</f>
        <v>11.280742200000001</v>
      </c>
      <c r="L13" s="221">
        <f>INDEX('F_Inputs BYR'!$B$4:$N$90,MATCH($C13,'F_Inputs BYR'!$B$4:$B$90,0),MATCH(L$2,'F_Inputs BYR'!$B$2:$N$2,0))</f>
        <v>3.9769686000000002</v>
      </c>
      <c r="M13" s="221">
        <f>INDEX('F_Inputs BYR'!$B$4:$N$90,MATCH($C13,'F_Inputs BYR'!$B$4:$B$90,0),MATCH(M$2,'F_Inputs BYR'!$B$2:$N$2,0))</f>
        <v>2.3858763999999999</v>
      </c>
      <c r="N13" s="395">
        <f>INDEX('F_Inputs BYR'!$B$4:$N$90,MATCH($C13,'F_Inputs BYR'!$B$4:$B$90,0),MATCH(N$2,'F_Inputs BYR'!$B$2:$N$2,0))</f>
        <v>2.8012952000000002</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0.76100000000000001</v>
      </c>
      <c r="K14" s="221">
        <f>INDEX('F_Inputs BYR'!$B$4:$N$90,MATCH($C14,'F_Inputs BYR'!$B$4:$B$90,0),MATCH(K$2,'F_Inputs BYR'!$B$2:$N$2,0))</f>
        <v>0.75900000000000001</v>
      </c>
      <c r="L14" s="221">
        <f>INDEX('F_Inputs BYR'!$B$4:$N$90,MATCH($C14,'F_Inputs BYR'!$B$4:$B$90,0),MATCH(L$2,'F_Inputs BYR'!$B$2:$N$2,0))</f>
        <v>0.78600000000000003</v>
      </c>
      <c r="M14" s="221">
        <f>INDEX('F_Inputs BYR'!$B$4:$N$90,MATCH($C14,'F_Inputs BYR'!$B$4:$B$90,0),MATCH(M$2,'F_Inputs BYR'!$B$2:$N$2,0))</f>
        <v>0.84699999999999998</v>
      </c>
      <c r="N14" s="395">
        <f>INDEX('F_Inputs BYR'!$B$4:$N$90,MATCH($C14,'F_Inputs BYR'!$B$4:$B$90,0),MATCH(N$2,'F_Inputs BYR'!$B$2:$N$2,0))</f>
        <v>0.82399999999999995</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0</v>
      </c>
      <c r="K19" s="221">
        <f>INDEX('F_Inputs BYR'!$B$4:$N$90,MATCH($C19,'F_Inputs BYR'!$B$4:$B$90,0),MATCH(K$2,'F_Inputs BYR'!$B$2:$N$2,0))</f>
        <v>0</v>
      </c>
      <c r="L19" s="221">
        <f>INDEX('F_Inputs BYR'!$B$4:$N$90,MATCH($C19,'F_Inputs BYR'!$B$4:$B$90,0),MATCH(L$2,'F_Inputs BYR'!$B$2:$N$2,0))</f>
        <v>0</v>
      </c>
      <c r="M19" s="221">
        <f>INDEX('F_Inputs BYR'!$B$4:$N$90,MATCH($C19,'F_Inputs BYR'!$B$4:$B$90,0),MATCH(M$2,'F_Inputs BYR'!$B$2:$N$2,0))</f>
        <v>0</v>
      </c>
      <c r="N19" s="395">
        <f>INDEX('F_Inputs BYR'!$B$4:$N$90,MATCH($C19,'F_Inputs BYR'!$B$4:$B$90,0),MATCH(N$2,'F_Inputs BYR'!$B$2:$N$2,0))</f>
        <v>0</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0</v>
      </c>
      <c r="K20" s="221">
        <f>INDEX('F_Inputs BYR'!$B$4:$N$90,MATCH($C20,'F_Inputs BYR'!$B$4:$B$90,0),MATCH(K$2,'F_Inputs BYR'!$B$2:$N$2,0))</f>
        <v>0</v>
      </c>
      <c r="L20" s="221">
        <f>INDEX('F_Inputs BYR'!$B$4:$N$90,MATCH($C20,'F_Inputs BYR'!$B$4:$B$90,0),MATCH(L$2,'F_Inputs BYR'!$B$2:$N$2,0))</f>
        <v>0</v>
      </c>
      <c r="M20" s="221">
        <f>INDEX('F_Inputs BYR'!$B$4:$N$90,MATCH($C20,'F_Inputs BYR'!$B$4:$B$90,0),MATCH(M$2,'F_Inputs BYR'!$B$2:$N$2,0))</f>
        <v>0</v>
      </c>
      <c r="N20" s="395">
        <f>INDEX('F_Inputs BYR'!$B$4:$N$90,MATCH($C20,'F_Inputs BYR'!$B$4:$B$90,0),MATCH(N$2,'F_Inputs BYR'!$B$2:$N$2,0))</f>
        <v>0</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0</v>
      </c>
      <c r="K21" s="221">
        <f>INDEX('F_Inputs BYR'!$B$4:$N$90,MATCH($C21,'F_Inputs BYR'!$B$4:$B$90,0),MATCH(K$2,'F_Inputs BYR'!$B$2:$N$2,0))</f>
        <v>0</v>
      </c>
      <c r="L21" s="221">
        <f>INDEX('F_Inputs BYR'!$B$4:$N$90,MATCH($C21,'F_Inputs BYR'!$B$4:$B$90,0),MATCH(L$2,'F_Inputs BYR'!$B$2:$N$2,0))</f>
        <v>0</v>
      </c>
      <c r="M21" s="221">
        <f>INDEX('F_Inputs BYR'!$B$4:$N$90,MATCH($C21,'F_Inputs BYR'!$B$4:$B$90,0),MATCH(M$2,'F_Inputs BYR'!$B$2:$N$2,0))</f>
        <v>0</v>
      </c>
      <c r="N21" s="395">
        <f>INDEX('F_Inputs BYR'!$B$4:$N$90,MATCH($C21,'F_Inputs BYR'!$B$4:$B$90,0),MATCH(N$2,'F_Inputs BYR'!$B$2:$N$2,0))</f>
        <v>0</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0</v>
      </c>
      <c r="K22" s="221">
        <f>INDEX('F_Inputs BYR'!$B$4:$N$90,MATCH($C22,'F_Inputs BYR'!$B$4:$B$90,0),MATCH(K$2,'F_Inputs BYR'!$B$2:$N$2,0))</f>
        <v>0</v>
      </c>
      <c r="L22" s="221">
        <f>INDEX('F_Inputs BYR'!$B$4:$N$90,MATCH($C22,'F_Inputs BYR'!$B$4:$B$90,0),MATCH(L$2,'F_Inputs BYR'!$B$2:$N$2,0))</f>
        <v>0</v>
      </c>
      <c r="M22" s="221">
        <f>INDEX('F_Inputs BYR'!$B$4:$N$90,MATCH($C22,'F_Inputs BYR'!$B$4:$B$90,0),MATCH(M$2,'F_Inputs BYR'!$B$2:$N$2,0))</f>
        <v>0</v>
      </c>
      <c r="N22" s="395">
        <f>INDEX('F_Inputs BYR'!$B$4:$N$90,MATCH($C22,'F_Inputs BYR'!$B$4:$B$90,0),MATCH(N$2,'F_Inputs BYR'!$B$2:$N$2,0))</f>
        <v>0</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0</v>
      </c>
      <c r="K23" s="221">
        <f>INDEX('F_Inputs BYR'!$B$4:$N$90,MATCH($C23,'F_Inputs BYR'!$B$4:$B$90,0),MATCH(K$2,'F_Inputs BYR'!$B$2:$N$2,0))</f>
        <v>0</v>
      </c>
      <c r="L23" s="221">
        <f>INDEX('F_Inputs BYR'!$B$4:$N$90,MATCH($C23,'F_Inputs BYR'!$B$4:$B$90,0),MATCH(L$2,'F_Inputs BYR'!$B$2:$N$2,0))</f>
        <v>0</v>
      </c>
      <c r="M23" s="221">
        <f>INDEX('F_Inputs BYR'!$B$4:$N$90,MATCH($C23,'F_Inputs BYR'!$B$4:$B$90,0),MATCH(M$2,'F_Inputs BYR'!$B$2:$N$2,0))</f>
        <v>0</v>
      </c>
      <c r="N23" s="395">
        <f>INDEX('F_Inputs BYR'!$B$4:$N$90,MATCH($C23,'F_Inputs BYR'!$B$4:$B$90,0),MATCH(N$2,'F_Inputs BYR'!$B$2:$N$2,0))</f>
        <v>0</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5.1217274256155596</v>
      </c>
      <c r="K30" s="221">
        <f>INDEX('F_Inputs BYR'!$B$4:$N$90,MATCH($C30,'F_Inputs BYR'!$B$4:$B$90,0),MATCH(K$2,'F_Inputs BYR'!$B$2:$N$2,0))</f>
        <v>5.7219630018878203</v>
      </c>
      <c r="L30" s="221">
        <f>INDEX('F_Inputs BYR'!$B$4:$N$90,MATCH($C30,'F_Inputs BYR'!$B$4:$B$90,0),MATCH(L$2,'F_Inputs BYR'!$B$2:$N$2,0))</f>
        <v>7.39606188314362</v>
      </c>
      <c r="M30" s="221">
        <f>INDEX('F_Inputs BYR'!$B$4:$N$90,MATCH($C30,'F_Inputs BYR'!$B$4:$B$90,0),MATCH(M$2,'F_Inputs BYR'!$B$2:$N$2,0))</f>
        <v>7.3664776356110497</v>
      </c>
      <c r="N30" s="395">
        <f>INDEX('F_Inputs BYR'!$B$4:$N$90,MATCH($C30,'F_Inputs BYR'!$B$4:$B$90,0),MATCH(N$2,'F_Inputs BYR'!$B$2:$N$2,0))</f>
        <v>5.4982325681845099</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13.8761113424824</v>
      </c>
      <c r="K31" s="221">
        <f>INDEX('F_Inputs BYR'!$B$4:$N$90,MATCH($C31,'F_Inputs BYR'!$B$4:$B$90,0),MATCH(K$2,'F_Inputs BYR'!$B$2:$N$2,0))</f>
        <v>9.7432356201238601</v>
      </c>
      <c r="L31" s="221">
        <f>INDEX('F_Inputs BYR'!$B$4:$N$90,MATCH($C31,'F_Inputs BYR'!$B$4:$B$90,0),MATCH(L$2,'F_Inputs BYR'!$B$2:$N$2,0))</f>
        <v>7.2795464827987502</v>
      </c>
      <c r="M31" s="221">
        <f>INDEX('F_Inputs BYR'!$B$4:$N$90,MATCH($C31,'F_Inputs BYR'!$B$4:$B$90,0),MATCH(M$2,'F_Inputs BYR'!$B$2:$N$2,0))</f>
        <v>5.49642397350451</v>
      </c>
      <c r="N31" s="395">
        <f>INDEX('F_Inputs BYR'!$B$4:$N$90,MATCH($C31,'F_Inputs BYR'!$B$4:$B$90,0),MATCH(N$2,'F_Inputs BYR'!$B$2:$N$2,0))</f>
        <v>6.4936037218966698</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1.18561869610492</v>
      </c>
      <c r="K32" s="221">
        <f>INDEX('F_Inputs BYR'!$B$4:$N$90,MATCH($C32,'F_Inputs BYR'!$B$4:$B$90,0),MATCH(K$2,'F_Inputs BYR'!$B$2:$N$2,0))</f>
        <v>1.6386180195397699</v>
      </c>
      <c r="L32" s="221">
        <f>INDEX('F_Inputs BYR'!$B$4:$N$90,MATCH($C32,'F_Inputs BYR'!$B$4:$B$90,0),MATCH(L$2,'F_Inputs BYR'!$B$2:$N$2,0))</f>
        <v>2.5015015598287298</v>
      </c>
      <c r="M32" s="221">
        <f>INDEX('F_Inputs BYR'!$B$4:$N$90,MATCH($C32,'F_Inputs BYR'!$B$4:$B$90,0),MATCH(M$2,'F_Inputs BYR'!$B$2:$N$2,0))</f>
        <v>2.3256495793782199</v>
      </c>
      <c r="N32" s="395">
        <f>INDEX('F_Inputs BYR'!$B$4:$N$90,MATCH($C32,'F_Inputs BYR'!$B$4:$B$90,0),MATCH(N$2,'F_Inputs BYR'!$B$2:$N$2,0))</f>
        <v>1.3080532923734201</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2.8279990665602099</v>
      </c>
      <c r="K33" s="221">
        <f>INDEX('F_Inputs BYR'!$B$4:$N$90,MATCH($C33,'F_Inputs BYR'!$B$4:$B$90,0),MATCH(K$2,'F_Inputs BYR'!$B$2:$N$2,0))</f>
        <v>4.7783917290043201</v>
      </c>
      <c r="L33" s="221">
        <f>INDEX('F_Inputs BYR'!$B$4:$N$90,MATCH($C33,'F_Inputs BYR'!$B$4:$B$90,0),MATCH(L$2,'F_Inputs BYR'!$B$2:$N$2,0))</f>
        <v>2.6132132373085799</v>
      </c>
      <c r="M33" s="221">
        <f>INDEX('F_Inputs BYR'!$B$4:$N$90,MATCH($C33,'F_Inputs BYR'!$B$4:$B$90,0),MATCH(M$2,'F_Inputs BYR'!$B$2:$N$2,0))</f>
        <v>1.6306834375674799</v>
      </c>
      <c r="N33" s="395">
        <f>INDEX('F_Inputs BYR'!$B$4:$N$90,MATCH($C33,'F_Inputs BYR'!$B$4:$B$90,0),MATCH(N$2,'F_Inputs BYR'!$B$2:$N$2,0))</f>
        <v>1.78996159931696</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0</v>
      </c>
      <c r="K37" s="221">
        <f>INDEX('F_Inputs BYR'!$B$4:$N$90,MATCH($C37,'F_Inputs BYR'!$B$4:$B$90,0),MATCH(K$2,'F_Inputs BYR'!$B$2:$N$2,0))</f>
        <v>0</v>
      </c>
      <c r="L37" s="221">
        <f>INDEX('F_Inputs BYR'!$B$4:$N$90,MATCH($C37,'F_Inputs BYR'!$B$4:$B$90,0),MATCH(L$2,'F_Inputs BYR'!$B$2:$N$2,0))</f>
        <v>0</v>
      </c>
      <c r="M37" s="221">
        <f>INDEX('F_Inputs BYR'!$B$4:$N$90,MATCH($C37,'F_Inputs BYR'!$B$4:$B$90,0),MATCH(M$2,'F_Inputs BYR'!$B$2:$N$2,0))</f>
        <v>0</v>
      </c>
      <c r="N37" s="395">
        <f>INDEX('F_Inputs BYR'!$B$4:$N$90,MATCH($C37,'F_Inputs BYR'!$B$4:$B$90,0),MATCH(N$2,'F_Inputs BYR'!$B$2:$N$2,0))</f>
        <v>0</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0</v>
      </c>
      <c r="K38" s="221">
        <f>INDEX('F_Inputs BYR'!$B$4:$N$90,MATCH($C38,'F_Inputs BYR'!$B$4:$B$90,0),MATCH(K$2,'F_Inputs BYR'!$B$2:$N$2,0))</f>
        <v>0</v>
      </c>
      <c r="L38" s="221">
        <f>INDEX('F_Inputs BYR'!$B$4:$N$90,MATCH($C38,'F_Inputs BYR'!$B$4:$B$90,0),MATCH(L$2,'F_Inputs BYR'!$B$2:$N$2,0))</f>
        <v>0</v>
      </c>
      <c r="M38" s="221">
        <f>INDEX('F_Inputs BYR'!$B$4:$N$90,MATCH($C38,'F_Inputs BYR'!$B$4:$B$90,0),MATCH(M$2,'F_Inputs BYR'!$B$2:$N$2,0))</f>
        <v>0</v>
      </c>
      <c r="N38" s="395">
        <f>INDEX('F_Inputs BYR'!$B$4:$N$90,MATCH($C38,'F_Inputs BYR'!$B$4:$B$90,0),MATCH(N$2,'F_Inputs BYR'!$B$2:$N$2,0))</f>
        <v>0</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0</v>
      </c>
      <c r="K39" s="221">
        <f>INDEX('F_Inputs BYR'!$B$4:$N$90,MATCH($C39,'F_Inputs BYR'!$B$4:$B$90,0),MATCH(K$2,'F_Inputs BYR'!$B$2:$N$2,0))</f>
        <v>0</v>
      </c>
      <c r="L39" s="221">
        <f>INDEX('F_Inputs BYR'!$B$4:$N$90,MATCH($C39,'F_Inputs BYR'!$B$4:$B$90,0),MATCH(L$2,'F_Inputs BYR'!$B$2:$N$2,0))</f>
        <v>0</v>
      </c>
      <c r="M39" s="221">
        <f>INDEX('F_Inputs BYR'!$B$4:$N$90,MATCH($C39,'F_Inputs BYR'!$B$4:$B$90,0),MATCH(M$2,'F_Inputs BYR'!$B$2:$N$2,0))</f>
        <v>0</v>
      </c>
      <c r="N39" s="395">
        <f>INDEX('F_Inputs BYR'!$B$4:$N$90,MATCH($C39,'F_Inputs BYR'!$B$4:$B$90,0),MATCH(N$2,'F_Inputs BYR'!$B$2:$N$2,0))</f>
        <v>0</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0</v>
      </c>
      <c r="K40" s="221">
        <f>INDEX('F_Inputs BYR'!$B$4:$N$90,MATCH($C40,'F_Inputs BYR'!$B$4:$B$90,0),MATCH(K$2,'F_Inputs BYR'!$B$2:$N$2,0))</f>
        <v>0</v>
      </c>
      <c r="L40" s="221">
        <f>INDEX('F_Inputs BYR'!$B$4:$N$90,MATCH($C40,'F_Inputs BYR'!$B$4:$B$90,0),MATCH(L$2,'F_Inputs BYR'!$B$2:$N$2,0))</f>
        <v>0</v>
      </c>
      <c r="M40" s="221">
        <f>INDEX('F_Inputs BYR'!$B$4:$N$90,MATCH($C40,'F_Inputs BYR'!$B$4:$B$90,0),MATCH(M$2,'F_Inputs BYR'!$B$2:$N$2,0))</f>
        <v>0</v>
      </c>
      <c r="N40" s="395">
        <f>INDEX('F_Inputs BYR'!$B$4:$N$90,MATCH($C40,'F_Inputs BYR'!$B$4:$B$90,0),MATCH(N$2,'F_Inputs BYR'!$B$2:$N$2,0))</f>
        <v>0</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-0.56630025883308099</v>
      </c>
      <c r="K49" s="221">
        <f>IF(INDEX('F_Inputs BYR'!$B$4:$N$90,MATCH($C49,'F_Inputs BYR'!$B$4:$B$90,0),MATCH(K$2,'F_Inputs BYR'!$B$2:$N$2,0))="","",INDEX('F_Inputs BYR'!$B$4:$N$90,MATCH($C49,'F_Inputs BYR'!$B$4:$B$90,0),MATCH(K$2,'F_Inputs BYR'!$B$2:$N$2,0)))</f>
        <v>-0.538510035100077</v>
      </c>
      <c r="L49" s="221">
        <f>IF(INDEX('F_Inputs BYR'!$B$4:$N$90,MATCH($C49,'F_Inputs BYR'!$B$4:$B$90,0),MATCH(L$2,'F_Inputs BYR'!$B$2:$N$2,0))="","",INDEX('F_Inputs BYR'!$B$4:$N$90,MATCH($C49,'F_Inputs BYR'!$B$4:$B$90,0),MATCH(L$2,'F_Inputs BYR'!$B$2:$N$2,0)))</f>
        <v>-0.48702980250988398</v>
      </c>
      <c r="M49" s="221">
        <f>IF(INDEX('F_Inputs BYR'!$B$4:$N$90,MATCH($C49,'F_Inputs BYR'!$B$4:$B$90,0),MATCH(M$2,'F_Inputs BYR'!$B$2:$N$2,0))="","",INDEX('F_Inputs BYR'!$B$4:$N$90,MATCH($C49,'F_Inputs BYR'!$B$4:$B$90,0),MATCH(M$2,'F_Inputs BYR'!$B$2:$N$2,0)))</f>
        <v>-0.41391282248385902</v>
      </c>
      <c r="N49" s="395">
        <f>IF(INDEX('F_Inputs BYR'!$B$4:$N$90,MATCH($C49,'F_Inputs BYR'!$B$4:$B$90,0),MATCH(N$2,'F_Inputs BYR'!$B$2:$N$2,0))="","",INDEX('F_Inputs BYR'!$B$4:$N$90,MATCH($C49,'F_Inputs BYR'!$B$4:$B$90,0),MATCH(N$2,'F_Inputs BYR'!$B$2:$N$2,0)))</f>
        <v>-0.37135357418883502</v>
      </c>
      <c r="O49" s="217"/>
      <c r="P49" s="217"/>
      <c r="Q49" s="217"/>
      <c r="R49" s="222" t="s">
        <v>242</v>
      </c>
    </row>
    <row r="50" spans="1:18" s="138" customFormat="1">
      <c r="A50" s="432"/>
      <c r="B50" s="213"/>
      <c r="C50" s="154" t="s">
        <v>211</v>
      </c>
      <c r="D50" s="153" t="s">
        <v>57</v>
      </c>
      <c r="E50" s="216" t="s">
        <v>419</v>
      </c>
      <c r="F50" s="217"/>
      <c r="G50" s="223"/>
      <c r="H50" s="223"/>
      <c r="I50" s="223"/>
      <c r="J50" s="221" t="str">
        <f>IF(INDEX('F_Inputs BYR'!$B$4:$N$90,MATCH($C50,'F_Inputs BYR'!$B$4:$B$90,0),MATCH(J$2,'F_Inputs BYR'!$B$2:$N$2,0))="","",INDEX('F_Inputs BYR'!$B$4:$N$90,MATCH($C50,'F_Inputs BYR'!$B$4:$B$90,0),MATCH(J$2,'F_Inputs BYR'!$B$2:$N$2,0)))</f>
        <v/>
      </c>
      <c r="K50" s="221" t="str">
        <f>IF(INDEX('F_Inputs BYR'!$B$4:$N$90,MATCH($C50,'F_Inputs BYR'!$B$4:$B$90,0),MATCH(K$2,'F_Inputs BYR'!$B$2:$N$2,0))="","",INDEX('F_Inputs BYR'!$B$4:$N$90,MATCH($C50,'F_Inputs BYR'!$B$4:$B$90,0),MATCH(K$2,'F_Inputs BYR'!$B$2:$N$2,0)))</f>
        <v/>
      </c>
      <c r="L50" s="221" t="str">
        <f>IF(INDEX('F_Inputs BYR'!$B$4:$N$90,MATCH($C50,'F_Inputs BYR'!$B$4:$B$90,0),MATCH(L$2,'F_Inputs BYR'!$B$2:$N$2,0))="","",INDEX('F_Inputs BYR'!$B$4:$N$90,MATCH($C50,'F_Inputs BYR'!$B$4:$B$90,0),MATCH(L$2,'F_Inputs BYR'!$B$2:$N$2,0)))</f>
        <v/>
      </c>
      <c r="M50" s="221" t="str">
        <f>IF(INDEX('F_Inputs BYR'!$B$4:$N$90,MATCH($C50,'F_Inputs BYR'!$B$4:$B$90,0),MATCH(M$2,'F_Inputs BYR'!$B$2:$N$2,0))="","",INDEX('F_Inputs BYR'!$B$4:$N$90,MATCH($C50,'F_Inputs BYR'!$B$4:$B$90,0),MATCH(M$2,'F_Inputs BYR'!$B$2:$N$2,0)))</f>
        <v/>
      </c>
      <c r="N50" s="395" t="str">
        <f>IF(INDEX('F_Inputs BYR'!$B$4:$N$90,MATCH($C50,'F_Inputs BYR'!$B$4:$B$90,0),MATCH(N$2,'F_Inputs BYR'!$B$2:$N$2,0))="","",INDEX('F_Inputs BYR'!$B$4:$N$90,MATCH($C50,'F_Inputs BYR'!$B$4:$B$90,0),MATCH(N$2,'F_Inputs BYR'!$B$2:$N$2,0)))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159.29520105907599</v>
      </c>
      <c r="J54" s="221">
        <f>INDEX('F_Inputs BYR'!$B$4:$N$90,MATCH($C54,'F_Inputs BYR'!$B$4:$B$90,0),MATCH(J$2,'F_Inputs BYR'!$B$2:$N$2,0))</f>
        <v>167.29741805573701</v>
      </c>
      <c r="K54" s="221">
        <f>INDEX('F_Inputs BYR'!$B$4:$N$90,MATCH($C54,'F_Inputs BYR'!$B$4:$B$90,0),MATCH(K$2,'F_Inputs BYR'!$B$2:$N$2,0))</f>
        <v>173.90139666123301</v>
      </c>
      <c r="L54" s="221">
        <f>INDEX('F_Inputs BYR'!$B$4:$N$90,MATCH($C54,'F_Inputs BYR'!$B$4:$B$90,0),MATCH(L$2,'F_Inputs BYR'!$B$2:$N$2,0))</f>
        <v>178.093108814045</v>
      </c>
      <c r="M54" s="221">
        <f>INDEX('F_Inputs BYR'!$B$4:$N$90,MATCH($C54,'F_Inputs BYR'!$B$4:$B$90,0),MATCH(M$2,'F_Inputs BYR'!$B$2:$N$2,0))</f>
        <v>179.016630546567</v>
      </c>
      <c r="N54" s="395">
        <f>INDEX('F_Inputs BYR'!$B$4:$N$90,MATCH($C54,'F_Inputs BYR'!$B$4:$B$90,0),MATCH(N$2,'F_Inputs BYR'!$B$2:$N$2,0))</f>
        <v>178.26714638049199</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0</v>
      </c>
      <c r="J55" s="221">
        <f>INDEX('F_Inputs BYR'!$B$4:$N$90,MATCH($C55,'F_Inputs BYR'!$B$4:$B$90,0),MATCH(J$2,'F_Inputs BYR'!$B$2:$N$2,0))</f>
        <v>0</v>
      </c>
      <c r="K55" s="221">
        <f>INDEX('F_Inputs BYR'!$B$4:$N$90,MATCH($C55,'F_Inputs BYR'!$B$4:$B$90,0),MATCH(K$2,'F_Inputs BYR'!$B$2:$N$2,0))</f>
        <v>0</v>
      </c>
      <c r="L55" s="221">
        <f>INDEX('F_Inputs BYR'!$B$4:$N$90,MATCH($C55,'F_Inputs BYR'!$B$4:$B$90,0),MATCH(L$2,'F_Inputs BYR'!$B$2:$N$2,0))</f>
        <v>0</v>
      </c>
      <c r="M55" s="221">
        <f>INDEX('F_Inputs BYR'!$B$4:$N$90,MATCH($C55,'F_Inputs BYR'!$B$4:$B$90,0),MATCH(M$2,'F_Inputs BYR'!$B$2:$N$2,0))</f>
        <v>0</v>
      </c>
      <c r="N55" s="395">
        <f>INDEX('F_Inputs BYR'!$B$4:$N$90,MATCH($C55,'F_Inputs BYR'!$B$4:$B$90,0),MATCH(N$2,'F_Inputs BYR'!$B$2:$N$2,0))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3.9180000000000001</v>
      </c>
      <c r="K65" s="221">
        <f>INDEX('F_Inputs BYR'!$B$4:$N$90,MATCH($C65,'F_Inputs BYR'!$B$4:$B$90,0),MATCH(K$2,'F_Inputs BYR'!$B$2:$N$2,0))</f>
        <v>4.4240000000000004</v>
      </c>
      <c r="L65" s="221">
        <f>INDEX('F_Inputs BYR'!$B$4:$N$90,MATCH($C65,'F_Inputs BYR'!$B$4:$B$90,0),MATCH(L$2,'F_Inputs BYR'!$B$2:$N$2,0))</f>
        <v>5.2480000000000002</v>
      </c>
      <c r="M65" s="221">
        <f>INDEX('F_Inputs BYR'!$B$4:$N$90,MATCH($C65,'F_Inputs BYR'!$B$4:$B$90,0),MATCH(M$2,'F_Inputs BYR'!$B$2:$N$2,0))</f>
        <v>8.16</v>
      </c>
      <c r="N65" s="395">
        <f>INDEX('F_Inputs BYR'!$B$4:$N$90,MATCH($C65,'F_Inputs BYR'!$B$4:$B$90,0),MATCH(N$2,'F_Inputs BYR'!$B$2:$N$2,0))</f>
        <v>6.8579999999999997</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5.907</v>
      </c>
      <c r="K66" s="221">
        <f>INDEX('F_Inputs BYR'!$B$4:$N$90,MATCH($C66,'F_Inputs BYR'!$B$4:$B$90,0),MATCH(K$2,'F_Inputs BYR'!$B$2:$N$2,0))</f>
        <v>13.101000000000001</v>
      </c>
      <c r="L66" s="221">
        <f>INDEX('F_Inputs BYR'!$B$4:$N$90,MATCH($C66,'F_Inputs BYR'!$B$4:$B$90,0),MATCH(L$2,'F_Inputs BYR'!$B$2:$N$2,0))</f>
        <v>10.221</v>
      </c>
      <c r="M66" s="221">
        <f>INDEX('F_Inputs BYR'!$B$4:$N$90,MATCH($C66,'F_Inputs BYR'!$B$4:$B$90,0),MATCH(M$2,'F_Inputs BYR'!$B$2:$N$2,0))</f>
        <v>4.5599999999999996</v>
      </c>
      <c r="N66" s="395">
        <f>INDEX('F_Inputs BYR'!$B$4:$N$90,MATCH($C66,'F_Inputs BYR'!$B$4:$B$90,0),MATCH(N$2,'F_Inputs BYR'!$B$2:$N$2,0))</f>
        <v>6.0750000000000002</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0.90500000000000003</v>
      </c>
      <c r="K67" s="221">
        <f>INDEX('F_Inputs BYR'!$B$4:$N$90,MATCH($C67,'F_Inputs BYR'!$B$4:$B$90,0),MATCH(K$2,'F_Inputs BYR'!$B$2:$N$2,0))</f>
        <v>3.7890000000000001</v>
      </c>
      <c r="L67" s="221">
        <f>INDEX('F_Inputs BYR'!$B$4:$N$90,MATCH($C67,'F_Inputs BYR'!$B$4:$B$90,0),MATCH(L$2,'F_Inputs BYR'!$B$2:$N$2,0))</f>
        <v>1.5269999999999999</v>
      </c>
      <c r="M67" s="221">
        <f>INDEX('F_Inputs BYR'!$B$4:$N$90,MATCH($C67,'F_Inputs BYR'!$B$4:$B$90,0),MATCH(M$2,'F_Inputs BYR'!$B$2:$N$2,0))</f>
        <v>6.7919999999999998</v>
      </c>
      <c r="N67" s="395">
        <f>INDEX('F_Inputs BYR'!$B$4:$N$90,MATCH($C67,'F_Inputs BYR'!$B$4:$B$90,0),MATCH(N$2,'F_Inputs BYR'!$B$2:$N$2,0))</f>
        <v>1.2290000000000001</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2.6880000000000002</v>
      </c>
      <c r="K68" s="221">
        <f>INDEX('F_Inputs BYR'!$B$4:$N$90,MATCH($C68,'F_Inputs BYR'!$B$4:$B$90,0),MATCH(K$2,'F_Inputs BYR'!$B$2:$N$2,0))</f>
        <v>4.3550000000000004</v>
      </c>
      <c r="L68" s="221">
        <f>INDEX('F_Inputs BYR'!$B$4:$N$90,MATCH($C68,'F_Inputs BYR'!$B$4:$B$90,0),MATCH(L$2,'F_Inputs BYR'!$B$2:$N$2,0))</f>
        <v>3.9239999999999999</v>
      </c>
      <c r="M68" s="221">
        <f>INDEX('F_Inputs BYR'!$B$4:$N$90,MATCH($C68,'F_Inputs BYR'!$B$4:$B$90,0),MATCH(M$2,'F_Inputs BYR'!$B$2:$N$2,0))</f>
        <v>3.153</v>
      </c>
      <c r="N68" s="395">
        <f>INDEX('F_Inputs BYR'!$B$4:$N$90,MATCH($C68,'F_Inputs BYR'!$B$4:$B$90,0),MATCH(N$2,'F_Inputs BYR'!$B$2:$N$2,0))</f>
        <v>6.2939999999999996</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0</v>
      </c>
      <c r="K72" s="221">
        <f>INDEX('F_Inputs BYR'!$B$4:$N$90,MATCH($C72,'F_Inputs BYR'!$B$4:$B$90,0),MATCH(K$2,'F_Inputs BYR'!$B$2:$N$2,0))</f>
        <v>0</v>
      </c>
      <c r="L72" s="221">
        <f>INDEX('F_Inputs BYR'!$B$4:$N$90,MATCH($C72,'F_Inputs BYR'!$B$4:$B$90,0),MATCH(L$2,'F_Inputs BYR'!$B$2:$N$2,0))</f>
        <v>0</v>
      </c>
      <c r="M72" s="221">
        <f>INDEX('F_Inputs BYR'!$B$4:$N$90,MATCH($C72,'F_Inputs BYR'!$B$4:$B$90,0),MATCH(M$2,'F_Inputs BYR'!$B$2:$N$2,0))</f>
        <v>0</v>
      </c>
      <c r="N72" s="395">
        <f>INDEX('F_Inputs BYR'!$B$4:$N$90,MATCH($C72,'F_Inputs BYR'!$B$4:$B$90,0),MATCH(N$2,'F_Inputs BYR'!$B$2:$N$2,0))</f>
        <v>0</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0</v>
      </c>
      <c r="K73" s="221">
        <f>INDEX('F_Inputs BYR'!$B$4:$N$90,MATCH($C73,'F_Inputs BYR'!$B$4:$B$90,0),MATCH(K$2,'F_Inputs BYR'!$B$2:$N$2,0))</f>
        <v>0</v>
      </c>
      <c r="L73" s="221">
        <f>INDEX('F_Inputs BYR'!$B$4:$N$90,MATCH($C73,'F_Inputs BYR'!$B$4:$B$90,0),MATCH(L$2,'F_Inputs BYR'!$B$2:$N$2,0))</f>
        <v>0</v>
      </c>
      <c r="M73" s="221">
        <f>INDEX('F_Inputs BYR'!$B$4:$N$90,MATCH($C73,'F_Inputs BYR'!$B$4:$B$90,0),MATCH(M$2,'F_Inputs BYR'!$B$2:$N$2,0))</f>
        <v>0</v>
      </c>
      <c r="N73" s="395">
        <f>INDEX('F_Inputs BYR'!$B$4:$N$90,MATCH($C73,'F_Inputs BYR'!$B$4:$B$90,0),MATCH(N$2,'F_Inputs BYR'!$B$2:$N$2,0))</f>
        <v>0</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0</v>
      </c>
      <c r="K74" s="221">
        <f>INDEX('F_Inputs BYR'!$B$4:$N$90,MATCH($C74,'F_Inputs BYR'!$B$4:$B$90,0),MATCH(K$2,'F_Inputs BYR'!$B$2:$N$2,0))</f>
        <v>0</v>
      </c>
      <c r="L74" s="221">
        <f>INDEX('F_Inputs BYR'!$B$4:$N$90,MATCH($C74,'F_Inputs BYR'!$B$4:$B$90,0),MATCH(L$2,'F_Inputs BYR'!$B$2:$N$2,0))</f>
        <v>0</v>
      </c>
      <c r="M74" s="221">
        <f>INDEX('F_Inputs BYR'!$B$4:$N$90,MATCH($C74,'F_Inputs BYR'!$B$4:$B$90,0),MATCH(M$2,'F_Inputs BYR'!$B$2:$N$2,0))</f>
        <v>0</v>
      </c>
      <c r="N74" s="395">
        <f>INDEX('F_Inputs BYR'!$B$4:$N$90,MATCH($C74,'F_Inputs BYR'!$B$4:$B$90,0),MATCH(N$2,'F_Inputs BYR'!$B$2:$N$2,0))</f>
        <v>0</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0</v>
      </c>
      <c r="K75" s="221">
        <f>INDEX('F_Inputs BYR'!$B$4:$N$90,MATCH($C75,'F_Inputs BYR'!$B$4:$B$90,0),MATCH(K$2,'F_Inputs BYR'!$B$2:$N$2,0))</f>
        <v>0</v>
      </c>
      <c r="L75" s="221">
        <f>INDEX('F_Inputs BYR'!$B$4:$N$90,MATCH($C75,'F_Inputs BYR'!$B$4:$B$90,0),MATCH(L$2,'F_Inputs BYR'!$B$2:$N$2,0))</f>
        <v>0</v>
      </c>
      <c r="M75" s="221">
        <f>INDEX('F_Inputs BYR'!$B$4:$N$90,MATCH($C75,'F_Inputs BYR'!$B$4:$B$90,0),MATCH(M$2,'F_Inputs BYR'!$B$2:$N$2,0))</f>
        <v>0</v>
      </c>
      <c r="N75" s="395">
        <f>INDEX('F_Inputs BYR'!$B$4:$N$90,MATCH($C75,'F_Inputs BYR'!$B$4:$B$90,0),MATCH(N$2,'F_Inputs BYR'!$B$2:$N$2,0))</f>
        <v>0</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v>
      </c>
      <c r="L93" s="221">
        <f>INDEX('F_Inputs BYR'!$B$4:$N$90,MATCH($C93,'F_Inputs BYR'!$B$4:$B$90,0),MATCH(L$2,'F_Inputs BYR'!$B$2:$N$2,0))</f>
        <v>0</v>
      </c>
      <c r="M93" s="221">
        <f>INDEX('F_Inputs BYR'!$B$4:$N$90,MATCH($C93,'F_Inputs BYR'!$B$4:$B$90,0),MATCH(M$2,'F_Inputs BYR'!$B$2:$N$2,0))</f>
        <v>0</v>
      </c>
      <c r="N93" s="395">
        <f>INDEX('F_Inputs BYR'!$B$4:$N$90,MATCH($C93,'F_Inputs BYR'!$B$4:$B$90,0),MATCH(N$2,'F_Inputs BYR'!$B$2:$N$2,0))</f>
        <v>0</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v>
      </c>
      <c r="L94" s="221">
        <f>INDEX('F_Inputs BYR'!$B$4:$N$90,MATCH($C94,'F_Inputs BYR'!$B$4:$B$90,0),MATCH(L$2,'F_Inputs BYR'!$B$2:$N$2,0))</f>
        <v>0</v>
      </c>
      <c r="M94" s="221">
        <f>INDEX('F_Inputs BYR'!$B$4:$N$90,MATCH($C94,'F_Inputs BYR'!$B$4:$B$90,0),MATCH(M$2,'F_Inputs BYR'!$B$2:$N$2,0))</f>
        <v>0</v>
      </c>
      <c r="N94" s="395">
        <f>INDEX('F_Inputs BYR'!$B$4:$N$90,MATCH($C94,'F_Inputs BYR'!$B$4:$B$90,0),MATCH(N$2,'F_Inputs BYR'!$B$2:$N$2,0))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2.75E-2</v>
      </c>
      <c r="N107" s="416">
        <f>INDEX('F_Inputs BYR'!$B$4:$N$90,MATCH($C107,'F_Inputs BYR'!$B$4:$B$90,0),MATCH(N$2,'F_Inputs BYR'!$B$2:$N$2,0))</f>
        <v>2.75E-2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5.4234074234383582</v>
      </c>
      <c r="K39" s="156">
        <f>IF(OR(K$5&lt;4,K$5&gt;8),'Input BYR'!K30,'Input BYR'!K30*$G$95/100)</f>
        <v>6.0589980766788578</v>
      </c>
      <c r="L39" s="156">
        <f>IF(OR(L$5&lt;4,L$5&gt;8),'Input BYR'!L30,'Input BYR'!L30*$G$95/100)</f>
        <v>7.8317047331798815</v>
      </c>
      <c r="M39" s="156">
        <f>IF(OR(M$5&lt;4,M$5&gt;8),'Input BYR'!M30,'Input BYR'!M30*$G$95/100)</f>
        <v>7.8003779142471661</v>
      </c>
      <c r="N39" s="365">
        <f>IF(OR(N$5&lt;4,N$5&gt;8),'Input BYR'!N30,'Input BYR'!N30*$G$95/100)</f>
        <v>5.8220894725764474</v>
      </c>
      <c r="O39" s="157"/>
      <c r="P39" s="158"/>
      <c r="Q39" s="148"/>
      <c r="R39" s="147" t="s">
        <v>242</v>
      </c>
    </row>
    <row r="40" spans="1:23" s="37" customFormat="1">
      <c r="C40" s="131"/>
      <c r="D40" s="153" t="s">
        <v>57</v>
      </c>
      <c r="E40" s="154" t="s">
        <v>61</v>
      </c>
      <c r="F40" s="155"/>
      <c r="G40" s="148"/>
      <c r="H40" s="148"/>
      <c r="I40" s="148"/>
      <c r="J40" s="156">
        <f>IF(OR(J$5&lt;4,J$5&gt;8),'Input BYR'!J31,'Input BYR'!J31*$G$95/100)</f>
        <v>14.69344207715848</v>
      </c>
      <c r="K40" s="156">
        <f>IF(OR(K$5&lt;4,K$5&gt;8),'Input BYR'!K31,'Input BYR'!K31*$G$95/100)</f>
        <v>10.317131701739861</v>
      </c>
      <c r="L40" s="156">
        <f>IF(OR(L$5&lt;4,L$5&gt;8),'Input BYR'!L31,'Input BYR'!L31*$G$95/100)</f>
        <v>7.7083263425191726</v>
      </c>
      <c r="M40" s="156">
        <f>IF(OR(M$5&lt;4,M$5&gt;8),'Input BYR'!M31,'Input BYR'!M31*$G$95/100)</f>
        <v>5.8201743480494281</v>
      </c>
      <c r="N40" s="365">
        <f>IF(OR(N$5&lt;4,N$5&gt;8),'Input BYR'!N31,'Input BYR'!N31*$G$95/100)</f>
        <v>6.8760899797334893</v>
      </c>
      <c r="O40" s="157"/>
      <c r="P40" s="158"/>
      <c r="Q40" s="148"/>
      <c r="R40" s="147" t="s">
        <v>242</v>
      </c>
    </row>
    <row r="41" spans="1:23" s="37" customFormat="1">
      <c r="C41" s="131"/>
      <c r="D41" s="153" t="s">
        <v>57</v>
      </c>
      <c r="E41" s="154" t="s">
        <v>63</v>
      </c>
      <c r="F41" s="155"/>
      <c r="G41" s="148"/>
      <c r="H41" s="148"/>
      <c r="I41" s="148"/>
      <c r="J41" s="156">
        <f>IF(OR(J$5&lt;4,J$5&gt;8),'Input BYR'!J32,'Input BYR'!J32*$G$95/100)</f>
        <v>1.255454010626097</v>
      </c>
      <c r="K41" s="156">
        <f>IF(OR(K$5&lt;4,K$5&gt;8),'Input BYR'!K32,'Input BYR'!K32*$G$95/100)</f>
        <v>1.7351359010058542</v>
      </c>
      <c r="L41" s="156">
        <f>IF(OR(L$5&lt;4,L$5&gt;8),'Input BYR'!L32,'Input BYR'!L32*$G$95/100)</f>
        <v>2.6488450091010538</v>
      </c>
      <c r="M41" s="156">
        <f>IF(OR(M$5&lt;4,M$5&gt;8),'Input BYR'!M32,'Input BYR'!M32*$G$95/100)</f>
        <v>2.4626349949890654</v>
      </c>
      <c r="N41" s="365">
        <f>IF(OR(N$5&lt;4,N$5&gt;8),'Input BYR'!N32,'Input BYR'!N32*$G$95/100)</f>
        <v>1.3851002496991294</v>
      </c>
      <c r="O41" s="157"/>
      <c r="P41" s="158"/>
      <c r="Q41" s="148"/>
      <c r="R41" s="147" t="s">
        <v>242</v>
      </c>
    </row>
    <row r="42" spans="1:23" s="37" customFormat="1">
      <c r="C42" s="131"/>
      <c r="D42" s="153" t="s">
        <v>57</v>
      </c>
      <c r="E42" s="154" t="s">
        <v>62</v>
      </c>
      <c r="F42" s="155"/>
      <c r="G42" s="148"/>
      <c r="H42" s="148"/>
      <c r="I42" s="148"/>
      <c r="J42" s="156">
        <f>IF(OR(J$5&lt;4,J$5&gt;8),'Input BYR'!J33,'Input BYR'!J33*$G$95/100)</f>
        <v>2.9945738725477078</v>
      </c>
      <c r="K42" s="156">
        <f>IF(OR(K$5&lt;4,K$5&gt;8),'Input BYR'!K33,'Input BYR'!K33*$G$95/100)</f>
        <v>5.059848567022061</v>
      </c>
      <c r="L42" s="156">
        <f>IF(OR(L$5&lt;4,L$5&gt;8),'Input BYR'!L33,'Input BYR'!L33*$G$95/100)</f>
        <v>2.7671367280041061</v>
      </c>
      <c r="M42" s="156">
        <f>IF(OR(M$5&lt;4,M$5&gt;8),'Input BYR'!M33,'Input BYR'!M33*$G$95/100)</f>
        <v>1.7267339562722908</v>
      </c>
      <c r="N42" s="365">
        <f>IF(OR(N$5&lt;4,N$5&gt;8),'Input BYR'!N33,'Input BYR'!N33*$G$95/100)</f>
        <v>1.8953939205850003</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0</v>
      </c>
      <c r="K46" s="156">
        <f>IF('Input BYR'!$O$151=1,0,IF(OR(K$5&lt;4,K$5&gt;8),'Input BYR'!K37,'Input BYR'!K37*$G$100/100))</f>
        <v>0</v>
      </c>
      <c r="L46" s="156">
        <f>IF('Input BYR'!$O$151=1,0,IF(OR(L$5&lt;4,L$5&gt;8),'Input BYR'!L37,'Input BYR'!L37*$G$100/100))</f>
        <v>0</v>
      </c>
      <c r="M46" s="156">
        <f>IF('Input BYR'!$O$151=1,0,IF(OR(M$5&lt;4,M$5&gt;8),'Input BYR'!M37,'Input BYR'!M37*$G$100/100))</f>
        <v>0</v>
      </c>
      <c r="N46" s="365">
        <f>IF('Input BYR'!$O$151=1,0,IF(OR(N$5&lt;4,N$5&gt;8),'Input BYR'!N37,'Input BYR'!N37*$G$100/100))</f>
        <v>0</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0</v>
      </c>
      <c r="K47" s="156">
        <f>IF('Input BYR'!$O$151=1,0,IF(OR(K$5&lt;4,K$5&gt;8),'Input BYR'!K38,'Input BYR'!K38*$G$100/100))</f>
        <v>0</v>
      </c>
      <c r="L47" s="156">
        <f>IF('Input BYR'!$O$151=1,0,IF(OR(L$5&lt;4,L$5&gt;8),'Input BYR'!L38,'Input BYR'!L38*$G$100/100))</f>
        <v>0</v>
      </c>
      <c r="M47" s="156">
        <f>IF('Input BYR'!$O$151=1,0,IF(OR(M$5&lt;4,M$5&gt;8),'Input BYR'!M38,'Input BYR'!M38*$G$100/100))</f>
        <v>0</v>
      </c>
      <c r="N47" s="365">
        <f>IF('Input BYR'!$O$151=1,0,IF(OR(N$5&lt;4,N$5&gt;8),'Input BYR'!N38,'Input BYR'!N38*$G$100/100))</f>
        <v>0</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0</v>
      </c>
      <c r="K48" s="156">
        <f>IF('Input BYR'!$O$151=1,0,IF(OR(K$5&lt;4,K$5&gt;8),'Input BYR'!K39,'Input BYR'!K39*$G$100/100))</f>
        <v>0</v>
      </c>
      <c r="L48" s="156">
        <f>IF('Input BYR'!$O$151=1,0,IF(OR(L$5&lt;4,L$5&gt;8),'Input BYR'!L39,'Input BYR'!L39*$G$100/100))</f>
        <v>0</v>
      </c>
      <c r="M48" s="156">
        <f>IF('Input BYR'!$O$151=1,0,IF(OR(M$5&lt;4,M$5&gt;8),'Input BYR'!M39,'Input BYR'!M39*$G$100/100))</f>
        <v>0</v>
      </c>
      <c r="N48" s="365">
        <f>IF('Input BYR'!$O$151=1,0,IF(OR(N$5&lt;4,N$5&gt;8),'Input BYR'!N39,'Input BYR'!N39*$G$100/100))</f>
        <v>0</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0</v>
      </c>
      <c r="K49" s="156">
        <f>IF('Input BYR'!$O$151=1,0,IF(OR(K$5&lt;4,K$5&gt;8),'Input BYR'!K40,'Input BYR'!K40*$G$100/100))</f>
        <v>0</v>
      </c>
      <c r="L49" s="156">
        <f>IF('Input BYR'!$O$151=1,0,IF(OR(L$5&lt;4,L$5&gt;8),'Input BYR'!L40,'Input BYR'!L40*$G$100/100))</f>
        <v>0</v>
      </c>
      <c r="M49" s="156">
        <f>IF('Input BYR'!$O$151=1,0,IF(OR(M$5&lt;4,M$5&gt;8),'Input BYR'!M40,'Input BYR'!M40*$G$100/100))</f>
        <v>0</v>
      </c>
      <c r="N49" s="365">
        <f>IF('Input BYR'!$O$151=1,0,IF(OR(N$5&lt;4,N$5&gt;8),'Input BYR'!N40,'Input BYR'!N40*$G$100/100))</f>
        <v>0</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29.290504000000002</v>
      </c>
      <c r="K55" s="156">
        <f>SUM('Input BYR'!K10:K13)-'Input BYR'!K14-'Input BYR'!K17+'Input BYR'!K15+'Input BYR'!K16</f>
        <v>30.8894667</v>
      </c>
      <c r="L55" s="156">
        <f>SUM('Input BYR'!L10:L13)-'Input BYR'!L14-'Input BYR'!L17+'Input BYR'!L15+'Input BYR'!L16</f>
        <v>23.110634399999999</v>
      </c>
      <c r="M55" s="156">
        <f>SUM('Input BYR'!M10:M13)-'Input BYR'!M14-'Input BYR'!M17+'Input BYR'!M15+'Input BYR'!M16</f>
        <v>19.926952799999999</v>
      </c>
      <c r="N55" s="365">
        <f>SUM('Input BYR'!N10:N13)-'Input BYR'!N14-'Input BYR'!N17+'Input BYR'!N15+'Input BYR'!N16</f>
        <v>16.133617599999997</v>
      </c>
      <c r="O55" s="157"/>
      <c r="P55" s="158"/>
      <c r="Q55" s="148"/>
      <c r="R55" s="147" t="s">
        <v>242</v>
      </c>
    </row>
    <row r="56" spans="1:18" s="37" customFormat="1">
      <c r="C56" s="131"/>
      <c r="D56" s="153" t="s">
        <v>57</v>
      </c>
      <c r="E56" s="154" t="s">
        <v>114</v>
      </c>
      <c r="F56" s="155"/>
      <c r="G56" s="148"/>
      <c r="H56" s="148"/>
      <c r="I56" s="148"/>
      <c r="J56" s="156">
        <f>SUM('Input BYR'!J30:J35)</f>
        <v>23.011456530763091</v>
      </c>
      <c r="K56" s="156">
        <f>SUM('Input BYR'!K30:K35)</f>
        <v>21.88220837055577</v>
      </c>
      <c r="L56" s="156">
        <f>SUM('Input BYR'!L30:L35)</f>
        <v>19.790323163079677</v>
      </c>
      <c r="M56" s="156">
        <f>SUM('Input BYR'!M30:M35)</f>
        <v>16.81923462606126</v>
      </c>
      <c r="N56" s="365">
        <f>SUM('Input BYR'!N30:N35)</f>
        <v>15.089851181771561</v>
      </c>
      <c r="O56" s="157"/>
      <c r="P56" s="158"/>
      <c r="Q56" s="148"/>
      <c r="R56" s="147" t="s">
        <v>242</v>
      </c>
    </row>
    <row r="57" spans="1:18" s="37" customFormat="1">
      <c r="C57" s="131"/>
      <c r="D57" s="153" t="s">
        <v>57</v>
      </c>
      <c r="E57" s="154" t="s">
        <v>115</v>
      </c>
      <c r="F57" s="155"/>
      <c r="G57" s="148"/>
      <c r="H57" s="148"/>
      <c r="I57" s="148"/>
      <c r="J57" s="156">
        <f>SUM(J39:J44)</f>
        <v>24.366877383770642</v>
      </c>
      <c r="K57" s="156">
        <f t="shared" ref="K57:N57" si="7">SUM(K39:K44)</f>
        <v>23.171114246446635</v>
      </c>
      <c r="L57" s="156">
        <f t="shared" si="7"/>
        <v>20.956012812804214</v>
      </c>
      <c r="M57" s="156">
        <f t="shared" si="7"/>
        <v>17.809921213557953</v>
      </c>
      <c r="N57" s="365">
        <f t="shared" si="7"/>
        <v>15.978673622594066</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29.290504000000002</v>
      </c>
      <c r="K62" s="156">
        <f t="shared" ref="K62:N63" si="8">K55+K59</f>
        <v>30.8894667</v>
      </c>
      <c r="L62" s="156">
        <f t="shared" si="8"/>
        <v>23.110634399999999</v>
      </c>
      <c r="M62" s="156">
        <f t="shared" si="8"/>
        <v>19.926952799999999</v>
      </c>
      <c r="N62" s="365">
        <f t="shared" si="8"/>
        <v>16.133617599999997</v>
      </c>
      <c r="O62" s="157"/>
      <c r="P62" s="158"/>
      <c r="Q62" s="148"/>
      <c r="R62" s="147" t="s">
        <v>242</v>
      </c>
    </row>
    <row r="63" spans="1:18" s="37" customFormat="1">
      <c r="C63" s="131"/>
      <c r="D63" s="153" t="s">
        <v>57</v>
      </c>
      <c r="E63" s="154" t="s">
        <v>182</v>
      </c>
      <c r="F63" s="155"/>
      <c r="G63" s="148"/>
      <c r="H63" s="148"/>
      <c r="I63" s="148"/>
      <c r="J63" s="156">
        <f>J56+J60</f>
        <v>23.011456530763091</v>
      </c>
      <c r="K63" s="156">
        <f t="shared" si="8"/>
        <v>21.88220837055577</v>
      </c>
      <c r="L63" s="156">
        <f t="shared" si="8"/>
        <v>19.790323163079677</v>
      </c>
      <c r="M63" s="156">
        <f t="shared" si="8"/>
        <v>16.81923462606126</v>
      </c>
      <c r="N63" s="365">
        <f t="shared" si="8"/>
        <v>15.089851181771561</v>
      </c>
      <c r="O63" s="157"/>
      <c r="P63" s="158"/>
      <c r="Q63" s="148"/>
      <c r="R63" s="147" t="s">
        <v>242</v>
      </c>
    </row>
    <row r="64" spans="1:18" s="37" customFormat="1">
      <c r="C64" s="131"/>
      <c r="D64" s="153" t="s">
        <v>57</v>
      </c>
      <c r="E64" s="154" t="s">
        <v>250</v>
      </c>
      <c r="F64" s="155"/>
      <c r="G64" s="148"/>
      <c r="H64" s="148"/>
      <c r="I64" s="148"/>
      <c r="J64" s="156">
        <f>J63*$G$107/100</f>
        <v>24.366877383770642</v>
      </c>
      <c r="K64" s="156">
        <f t="shared" ref="K64:N64" si="9">K63*$G$107/100</f>
        <v>23.171114246446631</v>
      </c>
      <c r="L64" s="156">
        <f t="shared" si="9"/>
        <v>20.956012812804211</v>
      </c>
      <c r="M64" s="156">
        <f t="shared" si="9"/>
        <v>17.809921213557949</v>
      </c>
      <c r="N64" s="365">
        <f t="shared" si="9"/>
        <v>15.978673622594068</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0</v>
      </c>
      <c r="K66" s="156">
        <f>IF('Input BYR'!$O$151=1,0,SUM('Input BYR'!K19:K22)-'Input BYR'!K23-'Input BYR'!K26+'Input BYR'!K24+'Input BYR'!K25)</f>
        <v>0</v>
      </c>
      <c r="L66" s="156">
        <f>IF('Input BYR'!$O$151=1,0,SUM('Input BYR'!L19:L22)-'Input BYR'!L23-'Input BYR'!L26+'Input BYR'!L24+'Input BYR'!L25)</f>
        <v>0</v>
      </c>
      <c r="M66" s="156">
        <f>IF('Input BYR'!$O$151=1,0,SUM('Input BYR'!M19:M22)-'Input BYR'!M23-'Input BYR'!M26+'Input BYR'!M24+'Input BYR'!M25)</f>
        <v>0</v>
      </c>
      <c r="N66" s="365">
        <f>IF('Input BYR'!$O$151=1,0,SUM('Input BYR'!N19:N22)-'Input BYR'!N23-'Input BYR'!N26+'Input BYR'!N24+'Input BYR'!N25)</f>
        <v>0</v>
      </c>
      <c r="O66" s="157"/>
      <c r="P66" s="158"/>
      <c r="Q66" s="148"/>
      <c r="R66" s="147" t="s">
        <v>242</v>
      </c>
    </row>
    <row r="67" spans="1:18" s="37" customFormat="1">
      <c r="C67" s="131"/>
      <c r="D67" s="153" t="s">
        <v>57</v>
      </c>
      <c r="E67" s="154" t="s">
        <v>117</v>
      </c>
      <c r="F67" s="155"/>
      <c r="G67" s="148"/>
      <c r="H67" s="148"/>
      <c r="I67" s="148"/>
      <c r="J67" s="156">
        <f>IF('Input BYR'!$O$151=1,0,SUM('Input BYR'!J37:J42))</f>
        <v>0</v>
      </c>
      <c r="K67" s="156">
        <f>IF('Input BYR'!$O$151=1,0,SUM('Input BYR'!K37:K42))</f>
        <v>0</v>
      </c>
      <c r="L67" s="156">
        <f>IF('Input BYR'!$O$151=1,0,SUM('Input BYR'!L37:L42))</f>
        <v>0</v>
      </c>
      <c r="M67" s="156">
        <f>IF('Input BYR'!$O$151=1,0,SUM('Input BYR'!M37:M42))</f>
        <v>0</v>
      </c>
      <c r="N67" s="365">
        <f>IF('Input BYR'!$O$151=1,0,SUM('Input BYR'!N37:N42))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v>
      </c>
      <c r="L70" s="156">
        <f>'Input BYR'!L93+'Input BYR'!L90</f>
        <v>0</v>
      </c>
      <c r="M70" s="156">
        <f>'Input BYR'!M93+'Input BYR'!M90</f>
        <v>0</v>
      </c>
      <c r="N70" s="365">
        <f>'Input BYR'!N93+'Input BYR'!N90</f>
        <v>0</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v>
      </c>
      <c r="L71" s="156">
        <f>'Input BYR'!L94+'Input BYR'!L96+'Input BYR'!L91</f>
        <v>0</v>
      </c>
      <c r="M71" s="156">
        <f>'Input BYR'!M94+'Input BYR'!M96+'Input BYR'!M91</f>
        <v>0</v>
      </c>
      <c r="N71" s="365">
        <f>'Input BYR'!N94+'Input BYR'!N96+'Input BYR'!N91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26.026246752265429</v>
      </c>
      <c r="K79" s="156">
        <f t="shared" ref="K79:N81" si="13">K62*K$21</f>
        <v>26.818435945490315</v>
      </c>
      <c r="L79" s="156">
        <f t="shared" si="13"/>
        <v>20.082998708873113</v>
      </c>
      <c r="M79" s="156">
        <f t="shared" si="13"/>
        <v>17.561513722488105</v>
      </c>
      <c r="N79" s="365">
        <f t="shared" si="13"/>
        <v>14.351605850540754</v>
      </c>
      <c r="P79" s="136"/>
      <c r="Q79" s="131"/>
      <c r="R79" s="147" t="s">
        <v>242</v>
      </c>
    </row>
    <row r="80" spans="1:18" s="37" customFormat="1">
      <c r="C80" s="131"/>
      <c r="D80" s="153" t="s">
        <v>57</v>
      </c>
      <c r="E80" s="132" t="s">
        <v>317</v>
      </c>
      <c r="F80" s="161"/>
      <c r="G80" s="162"/>
      <c r="H80" s="162"/>
      <c r="I80" s="163"/>
      <c r="J80" s="156">
        <f>J63*J$21</f>
        <v>20.446962804008766</v>
      </c>
      <c r="K80" s="156">
        <f t="shared" si="13"/>
        <v>18.998275665653427</v>
      </c>
      <c r="L80" s="156">
        <f t="shared" si="13"/>
        <v>17.197668729176506</v>
      </c>
      <c r="M80" s="156">
        <f t="shared" si="13"/>
        <v>14.822698816615951</v>
      </c>
      <c r="N80" s="365">
        <f t="shared" si="13"/>
        <v>13.423126906398355</v>
      </c>
      <c r="P80" s="136"/>
      <c r="Q80" s="131"/>
      <c r="R80" s="147" t="s">
        <v>242</v>
      </c>
    </row>
    <row r="81" spans="1:18" s="37" customFormat="1">
      <c r="C81" s="131"/>
      <c r="D81" s="153" t="s">
        <v>57</v>
      </c>
      <c r="E81" s="132" t="s">
        <v>318</v>
      </c>
      <c r="F81" s="161"/>
      <c r="G81" s="162"/>
      <c r="H81" s="162"/>
      <c r="I81" s="163"/>
      <c r="J81" s="156">
        <f>J64*J$21</f>
        <v>21.651329843017059</v>
      </c>
      <c r="K81" s="156">
        <f t="shared" si="13"/>
        <v>20.117312132292884</v>
      </c>
      <c r="L81" s="156">
        <f t="shared" si="13"/>
        <v>18.210645842879824</v>
      </c>
      <c r="M81" s="156">
        <f t="shared" si="13"/>
        <v>15.695785448356656</v>
      </c>
      <c r="N81" s="365">
        <f t="shared" si="13"/>
        <v>14.213775951024292</v>
      </c>
      <c r="P81" s="136"/>
      <c r="Q81" s="131"/>
      <c r="R81" s="147" t="s">
        <v>242</v>
      </c>
    </row>
    <row r="82" spans="1:18" s="37" customFormat="1">
      <c r="C82" s="131"/>
      <c r="D82" s="153" t="s">
        <v>57</v>
      </c>
      <c r="E82" s="132" t="s">
        <v>110</v>
      </c>
      <c r="F82" s="164"/>
      <c r="G82" s="164"/>
      <c r="H82" s="164"/>
      <c r="I82" s="164"/>
      <c r="J82" s="156">
        <f>SUM('Input BYR'!J65:J70)*J$15</f>
        <v>12.358463332965394</v>
      </c>
      <c r="K82" s="156">
        <f>SUM('Input BYR'!K65:K70)*K$15</f>
        <v>22.559627084723157</v>
      </c>
      <c r="L82" s="156">
        <f>SUM('Input BYR'!L65:L70)*L$15</f>
        <v>17.834832601069476</v>
      </c>
      <c r="M82" s="156">
        <f>SUM('Input BYR'!M65:M70)*M$15</f>
        <v>18.780707594014885</v>
      </c>
      <c r="N82" s="365">
        <f>SUM('Input BYR'!N65:N70)*N$15</f>
        <v>16.624484935064938</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BYR'!$O$151=1,0,SUM('Input BYR'!J72:J77)*J$15)</f>
        <v>0</v>
      </c>
      <c r="K87" s="156">
        <f>IF('Input BYR'!$O$151=1,0,SUM('Input BYR'!K72:K77)*K$15)</f>
        <v>0</v>
      </c>
      <c r="L87" s="156">
        <f>IF('Input BYR'!$O$151=1,0,SUM('Input BYR'!L72:L77)*L$15)</f>
        <v>0</v>
      </c>
      <c r="M87" s="156">
        <f>IF('Input BYR'!$O$151=1,0,SUM('Input BYR'!M72:M77)*M$15)</f>
        <v>0</v>
      </c>
      <c r="N87" s="365">
        <f>IF('Input BYR'!$O$151=1,0,SUM('Input BYR'!N72:N77)*N$15)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123.56080070282465</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105.89020017570616</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0.18219599648587681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-2.460949214909629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123.56080070282465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105.89020017570616</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0.18219599648587681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103.85137404394359</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-2.0894832561717034</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-1.773735860778435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-0.56630025883308099</v>
      </c>
      <c r="K127" s="156">
        <f>IF('Input BYR'!K49&lt;&gt;"",'Input BYR'!K49,K56*$G$97/100)</f>
        <v>-0.538510035100077</v>
      </c>
      <c r="L127" s="156">
        <f>IF('Input BYR'!L49&lt;&gt;"",'Input BYR'!L49,L56*$G$97/100)</f>
        <v>-0.48702980250988398</v>
      </c>
      <c r="M127" s="156">
        <f>IF('Input BYR'!M49&lt;&gt;"",'Input BYR'!M49,M56*$G$97/100)</f>
        <v>-0.41391282248385902</v>
      </c>
      <c r="N127" s="365">
        <f>IF('Input BYR'!N49&lt;&gt;"",'Input BYR'!N49,N56*$G$97/100)</f>
        <v>-0.37135357418883502</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v>
      </c>
      <c r="K128" s="156">
        <f>IF('Input BYR'!K50&lt;&gt;"",'Input BYR'!K50,K67*$G$102/100)</f>
        <v>0</v>
      </c>
      <c r="L128" s="156">
        <f>IF('Input BYR'!L50&lt;&gt;"",'Input BYR'!L50,L67*$G$102/100)</f>
        <v>0</v>
      </c>
      <c r="M128" s="156">
        <f>IF('Input BYR'!M50&lt;&gt;"",'Input BYR'!M50,M67*$G$102/100)</f>
        <v>0</v>
      </c>
      <c r="N128" s="365">
        <f>IF('Input BYR'!N50&lt;&gt;"",'Input BYR'!N50,N67*$G$102/100)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0.60337063233730115</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24.385569402849253</v>
      </c>
      <c r="K138" s="156">
        <f>(K57+'Input BYR'!K83)*K$29</f>
        <v>24.232388990813519</v>
      </c>
      <c r="L138" s="156">
        <f>(L57+'Input BYR'!L83)*L$29</f>
        <v>22.726718101682362</v>
      </c>
      <c r="M138" s="156">
        <f>(M57+'Input BYR'!M83)*M$29</f>
        <v>19.894237244595743</v>
      </c>
      <c r="N138" s="365">
        <f>(N57+'Input BYR'!N83)*N$29</f>
        <v>18.384136891613799</v>
      </c>
      <c r="O138" s="104"/>
      <c r="P138" s="136"/>
      <c r="Q138" s="104"/>
      <c r="R138" s="147" t="s">
        <v>87</v>
      </c>
      <c r="S138" s="147"/>
    </row>
    <row r="139" spans="1:19" s="37" customFormat="1">
      <c r="C139" s="131"/>
      <c r="D139" s="104" t="s">
        <v>57</v>
      </c>
      <c r="E139" s="104" t="s">
        <v>110</v>
      </c>
      <c r="F139" s="104"/>
      <c r="G139" s="104"/>
      <c r="H139" s="104"/>
      <c r="I139" s="104"/>
      <c r="J139" s="156">
        <f>SUM('Input BYR'!J65:J70)</f>
        <v>13.417999999999999</v>
      </c>
      <c r="K139" s="156">
        <f>SUM('Input BYR'!K65:K70)</f>
        <v>25.669000000000004</v>
      </c>
      <c r="L139" s="156">
        <f>SUM('Input BYR'!L65:L70)</f>
        <v>20.92</v>
      </c>
      <c r="M139" s="156">
        <f>SUM('Input BYR'!M65:M70)</f>
        <v>22.664999999999999</v>
      </c>
      <c r="N139" s="365">
        <f>SUM('Input BYR'!N65:N70)</f>
        <v>20.456</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-11.057034124557953</v>
      </c>
      <c r="K140" s="672">
        <f>(K$139*K$15)-(K$138*K$26)</f>
        <v>-3.1752807469285216E-2</v>
      </c>
      <c r="L140" s="672">
        <f>(L$139*L$15)-(L$138*L$26)</f>
        <v>-2.795812502104809</v>
      </c>
      <c r="M140" s="672">
        <f>(M$139*M$15)-(M$138*M$26)</f>
        <v>1.1617783905737475</v>
      </c>
      <c r="N140" s="673">
        <f>(N$139*N$15)-(N$138*N$26)</f>
        <v>0.74005630956960822</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0</v>
      </c>
      <c r="K142" s="156">
        <f>(K68+'Input BYR'!K91)*K$29</f>
        <v>0</v>
      </c>
      <c r="L142" s="156">
        <f>(L68+'Input BYR'!L91)*L$29</f>
        <v>0</v>
      </c>
      <c r="M142" s="156">
        <f>(M68+'Input BYR'!M91)*M$29</f>
        <v>0</v>
      </c>
      <c r="N142" s="365">
        <f>(N68+'Input BYR'!N91)*N$29</f>
        <v>0</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0</v>
      </c>
      <c r="K143" s="156">
        <f>IF('Input BYR'!$O$151=1,0,SUM('Input BYR'!K72:K77))</f>
        <v>0</v>
      </c>
      <c r="L143" s="156">
        <f>IF('Input BYR'!$O$151=1,0,SUM('Input BYR'!L72:L77))</f>
        <v>0</v>
      </c>
      <c r="M143" s="156">
        <f>IF('Input BYR'!$O$151=1,0,SUM('Input BYR'!M72:M77))</f>
        <v>0</v>
      </c>
      <c r="N143" s="365">
        <f>IF('Input BYR'!$O$151=1,0,SUM('Input BYR'!N72:N77))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159.29520105907599</v>
      </c>
      <c r="J148" s="156">
        <f>'Input BYR'!J$54</f>
        <v>167.29741805573701</v>
      </c>
      <c r="K148" s="156">
        <f>'Input BYR'!K$54</f>
        <v>173.90139666123301</v>
      </c>
      <c r="L148" s="156">
        <f>'Input BYR'!L$54</f>
        <v>178.093108814045</v>
      </c>
      <c r="M148" s="156">
        <f>'Input BYR'!M$54</f>
        <v>179.016630546567</v>
      </c>
      <c r="N148" s="365">
        <f>'Input BYR'!N$54</f>
        <v>178.26714638049199</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-11.982764733988692</v>
      </c>
      <c r="Q149" s="161"/>
      <c r="R149" s="147" t="s">
        <v>242</v>
      </c>
    </row>
    <row r="150" spans="1:24" s="37" customFormat="1">
      <c r="A150" s="109"/>
      <c r="B150" s="109"/>
      <c r="C150" s="104"/>
      <c r="D150" s="104" t="s">
        <v>57</v>
      </c>
      <c r="E150" s="177" t="s">
        <v>386</v>
      </c>
      <c r="F150" s="131"/>
      <c r="G150" s="104"/>
      <c r="H150" s="104"/>
      <c r="I150" s="205"/>
      <c r="J150" s="156">
        <f>IF(J5=8,J148+$P$149,J148)</f>
        <v>167.29741805573701</v>
      </c>
      <c r="K150" s="156">
        <f>IF(K5=8,K148+$P$149,K148)</f>
        <v>173.90139666123301</v>
      </c>
      <c r="L150" s="156">
        <f>IF(L5=8,L148+$P$149,L148)</f>
        <v>178.093108814045</v>
      </c>
      <c r="M150" s="156">
        <f>IF(M5=8,M148+$P$149,M148)</f>
        <v>179.016630546567</v>
      </c>
      <c r="N150" s="365">
        <f>IF(N5=8,N148+$P$149,N148)</f>
        <v>166.28438164650331</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0</v>
      </c>
      <c r="J152" s="156">
        <f>'Input BYR'!J$55</f>
        <v>0</v>
      </c>
      <c r="K152" s="156">
        <f>'Input BYR'!K$55</f>
        <v>0</v>
      </c>
      <c r="L152" s="156">
        <f>'Input BYR'!L$55</f>
        <v>0</v>
      </c>
      <c r="M152" s="156">
        <f>'Input BYR'!M$55</f>
        <v>0</v>
      </c>
      <c r="N152" s="365">
        <f>'Input BYR'!N$55</f>
        <v>0</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23.415497457523347</v>
      </c>
      <c r="L161" s="360">
        <f t="shared" si="16"/>
        <v>46.006877349715793</v>
      </c>
      <c r="M161" s="360">
        <f t="shared" si="16"/>
        <v>66.637522452890082</v>
      </c>
      <c r="N161" s="363">
        <f t="shared" si="16"/>
        <v>84.256451656331222</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23.415497457523347</v>
      </c>
      <c r="K162" s="360">
        <f t="shared" ref="K162:N162" si="17">K161+K138*K$26</f>
        <v>46.006877349715793</v>
      </c>
      <c r="L162" s="360">
        <f t="shared" si="17"/>
        <v>66.637522452890082</v>
      </c>
      <c r="M162" s="360">
        <f t="shared" si="17"/>
        <v>84.256451656331222</v>
      </c>
      <c r="N162" s="363">
        <f t="shared" si="17"/>
        <v>100.14088028182655</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11.707748728761674</v>
      </c>
      <c r="K163" s="360">
        <f t="shared" ref="K163:N163" si="18">(K162+K161)/2</f>
        <v>34.711187403619569</v>
      </c>
      <c r="L163" s="360">
        <f t="shared" si="18"/>
        <v>56.322199901302938</v>
      </c>
      <c r="M163" s="360">
        <f t="shared" si="18"/>
        <v>75.446987054610645</v>
      </c>
      <c r="N163" s="363">
        <f t="shared" si="18"/>
        <v>92.198665969078888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12.358463332965394</v>
      </c>
      <c r="L171" s="360">
        <f t="shared" si="22"/>
        <v>34.918090417688553</v>
      </c>
      <c r="M171" s="360">
        <f t="shared" si="22"/>
        <v>52.752923018758025</v>
      </c>
      <c r="N171" s="363">
        <f t="shared" si="22"/>
        <v>71.53363061277291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12.358463332965394</v>
      </c>
      <c r="K172" s="360">
        <f t="shared" ref="K172:N172" si="23">K171+K139*K$15</f>
        <v>34.918090417688553</v>
      </c>
      <c r="L172" s="360">
        <f t="shared" si="23"/>
        <v>52.752923018758025</v>
      </c>
      <c r="M172" s="360">
        <f t="shared" si="23"/>
        <v>71.53363061277291</v>
      </c>
      <c r="N172" s="363">
        <f t="shared" si="23"/>
        <v>88.158115547837852</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6.1792316664826972</v>
      </c>
      <c r="K173" s="360">
        <f t="shared" ref="K173:N173" si="24">(K172+K171)/2</f>
        <v>23.638276875326973</v>
      </c>
      <c r="L173" s="360">
        <f t="shared" si="24"/>
        <v>43.835506718223286</v>
      </c>
      <c r="M173" s="360">
        <f t="shared" si="24"/>
        <v>62.143276815765468</v>
      </c>
      <c r="N173" s="363">
        <f t="shared" si="24"/>
        <v>79.845873080305381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-11.057034124557953</v>
      </c>
      <c r="K181" s="156">
        <f>(K$139*K$15)-(K$138*K$26)</f>
        <v>-3.1752807469285216E-2</v>
      </c>
      <c r="L181" s="156">
        <f>(L$139*L$15)-(L$138*L$26)</f>
        <v>-2.795812502104809</v>
      </c>
      <c r="M181" s="156">
        <f>(M$139*M$15)-(M$138*M$26)</f>
        <v>1.1617783905737475</v>
      </c>
      <c r="N181" s="365">
        <f>(N$139*N$15)-(N$138*N$26)</f>
        <v>0.74005630956960822</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-0.3040684384253437</v>
      </c>
      <c r="K184" s="156">
        <f>(K173-K163)*'Input BYR'!$O$59</f>
        <v>-0.60901007905609272</v>
      </c>
      <c r="L184" s="156">
        <f>(L173-L163)*'Input BYR'!$O$59</f>
        <v>-0.6867681250693809</v>
      </c>
      <c r="M184" s="156">
        <f>(M173-M163)*'Input BYR'!$O$59</f>
        <v>-0.73170406313648473</v>
      </c>
      <c r="N184" s="365">
        <f>(N173-N163)*'Input BYR'!$O$59</f>
        <v>-0.67940360888254292</v>
      </c>
      <c r="O184" s="157"/>
      <c r="P184" s="158"/>
      <c r="Q184" s="148"/>
      <c r="R184" s="147" t="s">
        <v>242</v>
      </c>
    </row>
    <row r="185" spans="1:24" s="37" customFormat="1">
      <c r="C185" s="131"/>
      <c r="D185" s="153" t="s">
        <v>57</v>
      </c>
      <c r="E185" s="154" t="s">
        <v>249</v>
      </c>
      <c r="F185" s="155"/>
      <c r="G185" s="148"/>
      <c r="H185" s="148"/>
      <c r="I185" s="148"/>
      <c r="J185" s="156">
        <f>(J177-J167)*'Input BYR'!$O$59</f>
        <v>0</v>
      </c>
      <c r="K185" s="156">
        <f>(K177-K167)*'Input BYR'!$O$59</f>
        <v>0</v>
      </c>
      <c r="L185" s="156">
        <f>(L177-L167)*'Input BYR'!$O$59</f>
        <v>0</v>
      </c>
      <c r="M185" s="156">
        <f>(M177-M167)*'Input BYR'!$O$59</f>
        <v>0</v>
      </c>
      <c r="N185" s="365">
        <f>(N177-N167)*'Input BYR'!$O$59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0.14374153882228144</v>
      </c>
      <c r="K187" s="156">
        <f>$P$130*K63/SUM($J$63:$N$63)</f>
        <v>0.13668766685014308</v>
      </c>
      <c r="L187" s="156">
        <f>$P$130*L63/SUM($J$63:$N$63)</f>
        <v>0.12362066266637055</v>
      </c>
      <c r="M187" s="156">
        <f>$P$130*M63/SUM($J$63:$N$63)</f>
        <v>0.10506169671315775</v>
      </c>
      <c r="N187" s="365">
        <f>$P$130*N63/SUM($J$63:$N$63)</f>
        <v>9.425906728534833E-2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-0.16032689960306226</v>
      </c>
      <c r="K190" s="156">
        <f t="shared" ref="K190:N191" si="28">K187+K184</f>
        <v>-0.47232241220594962</v>
      </c>
      <c r="L190" s="156">
        <f t="shared" si="28"/>
        <v>-0.56314746240301039</v>
      </c>
      <c r="M190" s="156">
        <f t="shared" si="28"/>
        <v>-0.62664236642332694</v>
      </c>
      <c r="N190" s="365">
        <f t="shared" si="28"/>
        <v>-0.58514454159719453</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-0.19861691538655302</v>
      </c>
      <c r="K193" s="156">
        <f>IF('Input BYR'!$O$156=0,(K190/(1+'Input BYR'!$O$60)^K$6),(K190/(1+'Input BYR'!$O$59)^K$6))</f>
        <v>-0.554620518752031</v>
      </c>
      <c r="L193" s="156">
        <f>IF('Input BYR'!$O$156=0,(L190/(1+'Input BYR'!$O$60)^L$6),(L190/(1+'Input BYR'!$O$59)^L$6))</f>
        <v>-0.62679720434111053</v>
      </c>
      <c r="M193" s="156">
        <f>IF('Input BYR'!$O$156=0,(M190/(1+'Input BYR'!$O$60)^M$6),(M190/(1+'Input BYR'!$O$59)^M$6))</f>
        <v>-0.66110769657660995</v>
      </c>
      <c r="N193" s="664">
        <f>IF('Input BYR'!$O$156=0,(N190/(1+'Input BYR'!$O$60)^N$6),(N190/(1+'Input BYR'!$O$59)^N$6))</f>
        <v>-0.58514454159719453</v>
      </c>
      <c r="O193" s="109"/>
      <c r="P193" s="622">
        <f>SUM(J193:N193)</f>
        <v>-2.6262868766534995</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v>
      </c>
      <c r="K194" s="156">
        <f>IF('Input BYR'!$O$156=0,(K191/(1+'Input BYR'!$O$60)^K$6),(K191/(1+'Input BYR'!$O$59)^K$6))</f>
        <v>0</v>
      </c>
      <c r="L194" s="156">
        <f>IF('Input BYR'!$O$156=0,(L191/(1+'Input BYR'!$O$60)^L$6),(L191/(1+'Input BYR'!$O$59)^L$6))</f>
        <v>0</v>
      </c>
      <c r="M194" s="156">
        <f>IF('Input BYR'!$O$156=0,(M191/(1+'Input BYR'!$O$60)^M$6),(M191/(1+'Input BYR'!$O$59)^M$6))</f>
        <v>0</v>
      </c>
      <c r="N194" s="664">
        <f>IF('Input BYR'!$O$156=0,(N191/(1+'Input BYR'!$O$60)^N$6),(N191/(1+'Input BYR'!$O$59)^N$6))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-0.23297476140244391</v>
      </c>
      <c r="K196" s="156">
        <f t="shared" ref="K196:N197" si="29">K193*$L$13/$G$13</f>
        <v>-0.65056182537966345</v>
      </c>
      <c r="L196" s="156">
        <f t="shared" si="29"/>
        <v>-0.73522403086809618</v>
      </c>
      <c r="M196" s="156">
        <f t="shared" si="29"/>
        <v>-0.77546974068897823</v>
      </c>
      <c r="N196" s="365">
        <f t="shared" si="29"/>
        <v>-0.68636606151712676</v>
      </c>
      <c r="O196" s="109"/>
      <c r="P196" s="622">
        <f>P193*$L$13/$G$13</f>
        <v>-3.0805964198563092</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-14.055609258704862</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-2.0805664419446104</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-2.7883114435847953</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0.70774500164018506</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-3.5318057460782657</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-2.8240607444380812</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-3.0805964198563092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-3.0805964198563092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-3.0805964198563092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-3.0805964198563092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-3.0805964198563092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-3.0805964198563092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-0.66045195385490529</v>
      </c>
      <c r="S47" s="616">
        <f t="shared" si="8"/>
        <v>-0.66045195385490529</v>
      </c>
      <c r="T47" s="616">
        <f t="shared" si="8"/>
        <v>-0.66045195385490529</v>
      </c>
      <c r="U47" s="616">
        <f t="shared" si="8"/>
        <v>-0.66045195385490529</v>
      </c>
      <c r="V47" s="623">
        <f t="shared" si="8"/>
        <v>-0.66045195385490529</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-0.66045195385490529</v>
      </c>
      <c r="S52" s="616">
        <f t="shared" ref="S52:V52" si="9">S47*S51</f>
        <v>-0.6375018859603333</v>
      </c>
      <c r="T52" s="616">
        <f t="shared" si="9"/>
        <v>-0.61534931077252242</v>
      </c>
      <c r="U52" s="616">
        <f t="shared" si="9"/>
        <v>-0.59396651618969354</v>
      </c>
      <c r="V52" s="621">
        <f t="shared" si="9"/>
        <v>-0.57332675307885472</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-3.0805964198563092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-3.0805964198563092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-3.0805964198563092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-0.23297476140244391</v>
      </c>
      <c r="S94" s="616">
        <f>'Calc2 BYR'!K196</f>
        <v>-0.65056182537966345</v>
      </c>
      <c r="T94" s="616">
        <f>'Calc2 BYR'!L196</f>
        <v>-0.73522403086809618</v>
      </c>
      <c r="U94" s="616">
        <f>'Calc2 BYR'!M196</f>
        <v>-0.77546974068897823</v>
      </c>
      <c r="V94" s="623">
        <f>'Calc2 BYR'!N196</f>
        <v>-0.68636606151712676</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v>
      </c>
      <c r="S95" s="616">
        <f>'Calc2 BYR'!K197</f>
        <v>0</v>
      </c>
      <c r="T95" s="616">
        <f>'Calc2 BYR'!L197</f>
        <v>0</v>
      </c>
      <c r="U95" s="616">
        <f>'Calc2 BYR'!M197</f>
        <v>0</v>
      </c>
      <c r="V95" s="623">
        <f>'Calc2 BYR'!N197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-0.23297476140244391</v>
      </c>
      <c r="S99" s="616">
        <f t="shared" ref="S99:V99" si="23">S94*S98</f>
        <v>-0.62795542990315001</v>
      </c>
      <c r="T99" s="616">
        <f t="shared" si="23"/>
        <v>-0.68501515972117299</v>
      </c>
      <c r="U99" s="616">
        <f t="shared" si="23"/>
        <v>-0.69740585609463923</v>
      </c>
      <c r="V99" s="621">
        <f t="shared" si="23"/>
        <v>-0.59582233526041828</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-2.8391735423818241</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-0.23297476140244391</v>
      </c>
      <c r="S106" s="616">
        <f>'Calc2 BYR'!K196</f>
        <v>-0.65056182537966345</v>
      </c>
      <c r="T106" s="616">
        <f>'Calc2 BYR'!L196</f>
        <v>-0.73522403086809618</v>
      </c>
      <c r="U106" s="616">
        <f>'Calc2 BYR'!M196</f>
        <v>-0.77546974068897823</v>
      </c>
      <c r="V106" s="623">
        <f>'Calc2 BYR'!N196</f>
        <v>-0.68636606151712676</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v>
      </c>
      <c r="S107" s="616">
        <f>'Calc2 BYR'!K197</f>
        <v>0</v>
      </c>
      <c r="T107" s="616">
        <f>'Calc2 BYR'!L197</f>
        <v>0</v>
      </c>
      <c r="U107" s="616">
        <f>'Calc2 BYR'!M197</f>
        <v>0</v>
      </c>
      <c r="V107" s="623">
        <f>'Calc2 BYR'!N197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-0.23297476140244391</v>
      </c>
      <c r="S111" s="616">
        <f t="shared" ref="S111:V111" si="25">S106*S110</f>
        <v>-0.62795542990315001</v>
      </c>
      <c r="T111" s="616">
        <f t="shared" si="25"/>
        <v>-0.68501515972117299</v>
      </c>
      <c r="U111" s="616">
        <f t="shared" si="25"/>
        <v>-0.69740585609463923</v>
      </c>
      <c r="V111" s="621">
        <f t="shared" si="25"/>
        <v>-0.59582233526041828</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-2.8391735423818241</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-2.8391735423818241</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-3.0805964198563092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1.085032800521222</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-0.25278525781525724</v>
      </c>
      <c r="S123" s="616">
        <f t="shared" si="27"/>
        <v>-0.70588091930389441</v>
      </c>
      <c r="T123" s="616">
        <f t="shared" si="27"/>
        <v>-0.79774218922331175</v>
      </c>
      <c r="U123" s="616">
        <f t="shared" si="27"/>
        <v>-0.84141010445922781</v>
      </c>
      <c r="V123" s="621">
        <f t="shared" si="27"/>
        <v>-0.74472968991064936</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-0.25278525781525724</v>
      </c>
      <c r="S128" s="616">
        <f t="shared" ref="S128:V128" si="28">S123*S127</f>
        <v>-0.6813522387103228</v>
      </c>
      <c r="T128" s="616">
        <f t="shared" si="28"/>
        <v>-0.74326391715175655</v>
      </c>
      <c r="U128" s="616">
        <f t="shared" si="28"/>
        <v>-0.75670822913826674</v>
      </c>
      <c r="V128" s="621">
        <f t="shared" si="28"/>
        <v>-0.64648677704070612</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-3.0805964198563096</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-3.0805964198563092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-0.66045195385490529</v>
      </c>
      <c r="S138" s="616">
        <f>S47</f>
        <v>-0.66045195385490529</v>
      </c>
      <c r="T138" s="616">
        <f>T47</f>
        <v>-0.66045195385490529</v>
      </c>
      <c r="U138" s="616">
        <f>U47</f>
        <v>-0.66045195385490529</v>
      </c>
      <c r="V138" s="621">
        <f>V47</f>
        <v>-0.66045195385490529</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-0.23297476140244391</v>
      </c>
      <c r="S141" s="616">
        <f>S94</f>
        <v>-0.65056182537966345</v>
      </c>
      <c r="T141" s="616">
        <f>T94</f>
        <v>-0.73522403086809618</v>
      </c>
      <c r="U141" s="616">
        <f>U94</f>
        <v>-0.77546974068897823</v>
      </c>
      <c r="V141" s="621">
        <f>V94</f>
        <v>-0.68636606151712676</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-0.25278525781525724</v>
      </c>
      <c r="S142" s="616">
        <f t="shared" si="31"/>
        <v>-0.70588091930389441</v>
      </c>
      <c r="T142" s="616">
        <f t="shared" si="31"/>
        <v>-0.79774218922331175</v>
      </c>
      <c r="U142" s="616">
        <f t="shared" si="31"/>
        <v>-0.84141010445922781</v>
      </c>
      <c r="V142" s="621">
        <f t="shared" si="31"/>
        <v>-0.74472968991064936</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-0.66045195385490529</v>
      </c>
      <c r="S143" s="630">
        <f t="shared" ref="S143:V143" si="32">CHOOSE($P$135+1,S137,S138,S139,S140,S141,S142)</f>
        <v>-0.66045195385490529</v>
      </c>
      <c r="T143" s="630">
        <f t="shared" si="32"/>
        <v>-0.66045195385490529</v>
      </c>
      <c r="U143" s="630">
        <f t="shared" si="32"/>
        <v>-0.66045195385490529</v>
      </c>
      <c r="V143" s="631">
        <f t="shared" si="32"/>
        <v>-0.66045195385490529</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-0.66045195385490529</v>
      </c>
      <c r="S156" s="627">
        <f t="shared" ref="S156:V156" si="36">S143</f>
        <v>-0.66045195385490529</v>
      </c>
      <c r="T156" s="627">
        <f t="shared" si="36"/>
        <v>-0.66045195385490529</v>
      </c>
      <c r="U156" s="627">
        <f t="shared" si="36"/>
        <v>-0.66045195385490529</v>
      </c>
      <c r="V156" s="628">
        <f t="shared" si="36"/>
        <v>-0.66045195385490529</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SES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4.797072</v>
      </c>
      <c r="K16" s="121">
        <f>'Input BYR'!K10</f>
        <v>5.3863460999999999</v>
      </c>
      <c r="L16" s="121">
        <f>'Input BYR'!L10</f>
        <v>6.6409127999999997</v>
      </c>
      <c r="M16" s="121">
        <f>'Input BYR'!M10</f>
        <v>6.6940815999999996</v>
      </c>
      <c r="N16" s="121">
        <f>'Input BYR'!N10</f>
        <v>5.0562753999999996</v>
      </c>
      <c r="O16" s="113"/>
      <c r="P16" s="113"/>
      <c r="Q16" s="113"/>
      <c r="R16" s="113"/>
      <c r="S16" s="113"/>
      <c r="T16" s="115"/>
      <c r="U16" s="122">
        <f t="shared" ref="U16:U34" si="0">SUM(J16:N16)</f>
        <v>28.574687900000001</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15.771167999999999</v>
      </c>
      <c r="K17" s="121">
        <f>'Input BYR'!K11</f>
        <v>12.062123100000001</v>
      </c>
      <c r="L17" s="121">
        <f>'Input BYR'!L11</f>
        <v>6.9655842000000003</v>
      </c>
      <c r="M17" s="121">
        <f>'Input BYR'!M11</f>
        <v>5.3313135999999997</v>
      </c>
      <c r="N17" s="121">
        <f>'Input BYR'!N11</f>
        <v>6.3674314000000001</v>
      </c>
      <c r="O17" s="113"/>
      <c r="P17" s="113"/>
      <c r="Q17" s="113"/>
      <c r="R17" s="113"/>
      <c r="S17" s="113"/>
      <c r="T17" s="115"/>
      <c r="U17" s="122">
        <f t="shared" si="0"/>
        <v>46.497620300000001</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1.707552</v>
      </c>
      <c r="K18" s="121">
        <f>'Input BYR'!K12</f>
        <v>2.9192553000000001</v>
      </c>
      <c r="L18" s="121">
        <f>'Input BYR'!L12</f>
        <v>6.3131687999999997</v>
      </c>
      <c r="M18" s="121">
        <f>'Input BYR'!M12</f>
        <v>6.3626811999999999</v>
      </c>
      <c r="N18" s="121">
        <f>'Input BYR'!N12</f>
        <v>2.7326155999999999</v>
      </c>
      <c r="O18" s="113"/>
      <c r="P18" s="113"/>
      <c r="Q18" s="113"/>
      <c r="R18" s="113"/>
      <c r="S18" s="113"/>
      <c r="T18" s="115"/>
      <c r="U18" s="122">
        <f t="shared" si="0"/>
        <v>20.035272899999999</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7.7757120000000004</v>
      </c>
      <c r="K19" s="121">
        <f>'Input BYR'!K13</f>
        <v>11.280742200000001</v>
      </c>
      <c r="L19" s="121">
        <f>'Input BYR'!L13</f>
        <v>3.9769686000000002</v>
      </c>
      <c r="M19" s="121">
        <f>'Input BYR'!M13</f>
        <v>2.3858763999999999</v>
      </c>
      <c r="N19" s="121">
        <f>'Input BYR'!N13</f>
        <v>2.8012952000000002</v>
      </c>
      <c r="O19" s="113"/>
      <c r="P19" s="113"/>
      <c r="Q19" s="113"/>
      <c r="R19" s="113"/>
      <c r="S19" s="113"/>
      <c r="T19" s="115"/>
      <c r="U19" s="122">
        <f t="shared" si="0"/>
        <v>28.220594400000003</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-0.76100000000000001</v>
      </c>
      <c r="K20" s="121">
        <f>-'Input BYR'!K14</f>
        <v>-0.75900000000000001</v>
      </c>
      <c r="L20" s="121">
        <f>-'Input BYR'!L14</f>
        <v>-0.78600000000000003</v>
      </c>
      <c r="M20" s="121">
        <f>-'Input BYR'!M14</f>
        <v>-0.84699999999999998</v>
      </c>
      <c r="N20" s="121">
        <f>-'Input BYR'!N14</f>
        <v>-0.82399999999999995</v>
      </c>
      <c r="O20" s="113"/>
      <c r="P20" s="113"/>
      <c r="Q20" s="113"/>
      <c r="R20" s="113"/>
      <c r="S20" s="113"/>
      <c r="T20" s="115"/>
      <c r="U20" s="122">
        <f t="shared" si="0"/>
        <v>-3.9769999999999999</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29.290504000000002</v>
      </c>
      <c r="K24" s="121">
        <f>'Calc2 BYR'!K55</f>
        <v>30.8894667</v>
      </c>
      <c r="L24" s="121">
        <f>'Calc2 BYR'!L55</f>
        <v>23.110634399999999</v>
      </c>
      <c r="M24" s="121">
        <f>'Calc2 BYR'!M55</f>
        <v>19.926952799999999</v>
      </c>
      <c r="N24" s="121">
        <f>'Calc2 BYR'!N55</f>
        <v>16.133617599999997</v>
      </c>
      <c r="O24" s="113"/>
      <c r="P24" s="113"/>
      <c r="Q24" s="113"/>
      <c r="R24" s="113"/>
      <c r="S24" s="113"/>
      <c r="T24" s="115"/>
      <c r="U24" s="122">
        <f t="shared" si="0"/>
        <v>119.35117549999998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0</v>
      </c>
      <c r="K26" s="121">
        <f>'Input BYR'!K19</f>
        <v>0</v>
      </c>
      <c r="L26" s="121">
        <f>'Input BYR'!L19</f>
        <v>0</v>
      </c>
      <c r="M26" s="121">
        <f>'Input BYR'!M19</f>
        <v>0</v>
      </c>
      <c r="N26" s="121">
        <f>'Input BYR'!N19</f>
        <v>0</v>
      </c>
      <c r="O26" s="113"/>
      <c r="P26" s="113"/>
      <c r="Q26" s="113"/>
      <c r="R26" s="113"/>
      <c r="S26" s="113"/>
      <c r="T26" s="115"/>
      <c r="U26" s="122">
        <f t="shared" si="0"/>
        <v>0</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0</v>
      </c>
      <c r="K27" s="121">
        <f>'Input BYR'!K20</f>
        <v>0</v>
      </c>
      <c r="L27" s="121">
        <f>'Input BYR'!L20</f>
        <v>0</v>
      </c>
      <c r="M27" s="121">
        <f>'Input BYR'!M20</f>
        <v>0</v>
      </c>
      <c r="N27" s="121">
        <f>'Input BYR'!N20</f>
        <v>0</v>
      </c>
      <c r="O27" s="113"/>
      <c r="P27" s="113"/>
      <c r="Q27" s="113"/>
      <c r="R27" s="113"/>
      <c r="S27" s="113"/>
      <c r="T27" s="115"/>
      <c r="U27" s="122">
        <f t="shared" si="0"/>
        <v>0</v>
      </c>
    </row>
    <row r="28" spans="1:27" s="117" customFormat="1" ht="17.399999999999999">
      <c r="A28" s="110"/>
      <c r="B28" s="118" t="s">
        <v>141</v>
      </c>
      <c r="C28" s="119"/>
      <c r="D28" s="113"/>
      <c r="E28" s="113" t="str">
        <f>'Input BYR'!E21</f>
        <v>Sewerage: FBP infrastructure expenditure</v>
      </c>
      <c r="F28" s="113"/>
      <c r="G28" s="120"/>
      <c r="H28" s="120"/>
      <c r="I28" s="120"/>
      <c r="J28" s="121">
        <f>'Input BYR'!J21</f>
        <v>0</v>
      </c>
      <c r="K28" s="121">
        <f>'Input BYR'!K21</f>
        <v>0</v>
      </c>
      <c r="L28" s="121">
        <f>'Input BYR'!L21</f>
        <v>0</v>
      </c>
      <c r="M28" s="121">
        <f>'Input BYR'!M21</f>
        <v>0</v>
      </c>
      <c r="N28" s="121">
        <f>'Input BYR'!N21</f>
        <v>0</v>
      </c>
      <c r="O28" s="113"/>
      <c r="P28" s="113"/>
      <c r="Q28" s="113"/>
      <c r="R28" s="113"/>
      <c r="S28" s="113"/>
      <c r="T28" s="115"/>
      <c r="U28" s="122">
        <f t="shared" si="0"/>
        <v>0</v>
      </c>
    </row>
    <row r="29" spans="1:27" s="117" customFormat="1" ht="17.399999999999999">
      <c r="A29" s="110"/>
      <c r="B29" s="118" t="s">
        <v>212</v>
      </c>
      <c r="C29" s="118"/>
      <c r="D29" s="113"/>
      <c r="E29" s="113" t="str">
        <f>'Input BYR'!E22</f>
        <v>Sewerage: FBP non-infrastructure expenditure</v>
      </c>
      <c r="F29" s="113"/>
      <c r="G29" s="120"/>
      <c r="H29" s="120"/>
      <c r="I29" s="120"/>
      <c r="J29" s="121">
        <f>'Input BYR'!J22</f>
        <v>0</v>
      </c>
      <c r="K29" s="121">
        <f>'Input BYR'!K22</f>
        <v>0</v>
      </c>
      <c r="L29" s="121">
        <f>'Input BYR'!L22</f>
        <v>0</v>
      </c>
      <c r="M29" s="121">
        <f>'Input BYR'!M22</f>
        <v>0</v>
      </c>
      <c r="N29" s="121">
        <f>'Input BYR'!N22</f>
        <v>0</v>
      </c>
      <c r="O29" s="113"/>
      <c r="P29" s="113"/>
      <c r="Q29" s="113"/>
      <c r="R29" s="113"/>
      <c r="S29" s="113"/>
      <c r="T29" s="115"/>
      <c r="U29" s="122">
        <f t="shared" si="0"/>
        <v>0</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0</v>
      </c>
      <c r="K30" s="121">
        <f>-'Input BYR'!K23</f>
        <v>0</v>
      </c>
      <c r="L30" s="121">
        <f>-'Input BYR'!L23</f>
        <v>0</v>
      </c>
      <c r="M30" s="121">
        <f>-'Input BYR'!M23</f>
        <v>0</v>
      </c>
      <c r="N30" s="121">
        <f>-'Input BYR'!N23</f>
        <v>0</v>
      </c>
      <c r="O30" s="113"/>
      <c r="P30" s="113"/>
      <c r="Q30" s="113"/>
      <c r="R30" s="113"/>
      <c r="S30" s="113"/>
      <c r="T30" s="115"/>
      <c r="U30" s="122">
        <f t="shared" si="0"/>
        <v>0</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0</v>
      </c>
      <c r="K34" s="121">
        <f>'Calc2 BYR'!K66</f>
        <v>0</v>
      </c>
      <c r="L34" s="121">
        <f>'Calc2 BYR'!L66</f>
        <v>0</v>
      </c>
      <c r="M34" s="121">
        <f>'Calc2 BYR'!M66</f>
        <v>0</v>
      </c>
      <c r="N34" s="121">
        <f>'Calc2 BYR'!N66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5.1217274256155596</v>
      </c>
      <c r="K37" s="121">
        <f>'Input BYR'!K30</f>
        <v>5.7219630018878203</v>
      </c>
      <c r="L37" s="121">
        <f>'Input BYR'!L30</f>
        <v>7.39606188314362</v>
      </c>
      <c r="M37" s="121">
        <f>'Input BYR'!M30</f>
        <v>7.3664776356110497</v>
      </c>
      <c r="N37" s="121">
        <f>'Input BYR'!N30</f>
        <v>5.4982325681845099</v>
      </c>
      <c r="O37" s="113"/>
      <c r="P37" s="113"/>
      <c r="Q37" s="113"/>
      <c r="R37" s="113"/>
      <c r="S37" s="113"/>
      <c r="T37" s="115"/>
      <c r="U37" s="122">
        <f t="shared" ref="U37:U51" si="3">SUM(J37:N37)</f>
        <v>31.104462514442556</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13.8761113424824</v>
      </c>
      <c r="K38" s="121">
        <f>'Input BYR'!K31</f>
        <v>9.7432356201238601</v>
      </c>
      <c r="L38" s="121">
        <f>'Input BYR'!L31</f>
        <v>7.2795464827987502</v>
      </c>
      <c r="M38" s="121">
        <f>'Input BYR'!M31</f>
        <v>5.49642397350451</v>
      </c>
      <c r="N38" s="121">
        <f>'Input BYR'!N31</f>
        <v>6.4936037218966698</v>
      </c>
      <c r="O38" s="113"/>
      <c r="P38" s="113"/>
      <c r="Q38" s="113"/>
      <c r="R38" s="113"/>
      <c r="S38" s="113"/>
      <c r="T38" s="115"/>
      <c r="U38" s="122">
        <f t="shared" si="3"/>
        <v>42.88892114080619</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1.18561869610492</v>
      </c>
      <c r="K39" s="121">
        <f>'Input BYR'!K32</f>
        <v>1.6386180195397699</v>
      </c>
      <c r="L39" s="121">
        <f>'Input BYR'!L32</f>
        <v>2.5015015598287298</v>
      </c>
      <c r="M39" s="121">
        <f>'Input BYR'!M32</f>
        <v>2.3256495793782199</v>
      </c>
      <c r="N39" s="121">
        <f>'Input BYR'!N32</f>
        <v>1.3080532923734201</v>
      </c>
      <c r="O39" s="113"/>
      <c r="P39" s="113"/>
      <c r="Q39" s="113"/>
      <c r="R39" s="113"/>
      <c r="S39" s="113"/>
      <c r="T39" s="115"/>
      <c r="U39" s="122">
        <f t="shared" si="3"/>
        <v>8.9594411472250606</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2.8279990665602099</v>
      </c>
      <c r="K40" s="121">
        <f>'Input BYR'!K33</f>
        <v>4.7783917290043201</v>
      </c>
      <c r="L40" s="121">
        <f>'Input BYR'!L33</f>
        <v>2.6132132373085799</v>
      </c>
      <c r="M40" s="121">
        <f>'Input BYR'!M33</f>
        <v>1.6306834375674799</v>
      </c>
      <c r="N40" s="121">
        <f>'Input BYR'!N33</f>
        <v>1.78996159931696</v>
      </c>
      <c r="O40" s="113"/>
      <c r="P40" s="113"/>
      <c r="Q40" s="113"/>
      <c r="R40" s="113"/>
      <c r="S40" s="113"/>
      <c r="T40" s="115"/>
      <c r="U40" s="122">
        <f t="shared" si="3"/>
        <v>13.640249069757552</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23.011456530763091</v>
      </c>
      <c r="K43" s="121">
        <f>'Calc2 BYR'!K56</f>
        <v>21.88220837055577</v>
      </c>
      <c r="L43" s="121">
        <f>'Calc2 BYR'!L56</f>
        <v>19.790323163079677</v>
      </c>
      <c r="M43" s="121">
        <f>'Calc2 BYR'!M56</f>
        <v>16.81923462606126</v>
      </c>
      <c r="N43" s="121">
        <f>'Calc2 BYR'!N56</f>
        <v>15.089851181771561</v>
      </c>
      <c r="O43" s="113"/>
      <c r="P43" s="113"/>
      <c r="Q43" s="113"/>
      <c r="R43" s="113"/>
      <c r="S43" s="113"/>
      <c r="T43" s="115"/>
      <c r="U43" s="122">
        <f t="shared" si="3"/>
        <v>96.593073872231358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0</v>
      </c>
      <c r="K45" s="121">
        <f>'Input BYR'!K37</f>
        <v>0</v>
      </c>
      <c r="L45" s="121">
        <f>'Input BYR'!L37</f>
        <v>0</v>
      </c>
      <c r="M45" s="121">
        <f>'Input BYR'!M37</f>
        <v>0</v>
      </c>
      <c r="N45" s="121">
        <f>'Input BYR'!N37</f>
        <v>0</v>
      </c>
      <c r="O45" s="113"/>
      <c r="P45" s="113"/>
      <c r="Q45" s="113"/>
      <c r="R45" s="113"/>
      <c r="S45" s="113"/>
      <c r="T45" s="115"/>
      <c r="U45" s="122">
        <f t="shared" si="3"/>
        <v>0</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0</v>
      </c>
      <c r="K46" s="121">
        <f>'Input BYR'!K38</f>
        <v>0</v>
      </c>
      <c r="L46" s="121">
        <f>'Input BYR'!L38</f>
        <v>0</v>
      </c>
      <c r="M46" s="121">
        <f>'Input BYR'!M38</f>
        <v>0</v>
      </c>
      <c r="N46" s="121">
        <f>'Input BYR'!N38</f>
        <v>0</v>
      </c>
      <c r="O46" s="113"/>
      <c r="P46" s="113"/>
      <c r="Q46" s="113"/>
      <c r="R46" s="113"/>
      <c r="S46" s="113"/>
      <c r="T46" s="115"/>
      <c r="U46" s="122">
        <f t="shared" si="3"/>
        <v>0</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0</v>
      </c>
      <c r="K47" s="121">
        <f>'Input BYR'!K39</f>
        <v>0</v>
      </c>
      <c r="L47" s="121">
        <f>'Input BYR'!L39</f>
        <v>0</v>
      </c>
      <c r="M47" s="121">
        <f>'Input BYR'!M39</f>
        <v>0</v>
      </c>
      <c r="N47" s="121">
        <f>'Input BYR'!N39</f>
        <v>0</v>
      </c>
      <c r="O47" s="113"/>
      <c r="P47" s="113"/>
      <c r="Q47" s="113"/>
      <c r="R47" s="113"/>
      <c r="S47" s="113"/>
      <c r="T47" s="115"/>
      <c r="U47" s="122">
        <f t="shared" si="3"/>
        <v>0</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0</v>
      </c>
      <c r="K48" s="121">
        <f>'Input BYR'!K40</f>
        <v>0</v>
      </c>
      <c r="L48" s="121">
        <f>'Input BYR'!L40</f>
        <v>0</v>
      </c>
      <c r="M48" s="121">
        <f>'Input BYR'!M40</f>
        <v>0</v>
      </c>
      <c r="N48" s="121">
        <f>'Input BYR'!N40</f>
        <v>0</v>
      </c>
      <c r="O48" s="113"/>
      <c r="P48" s="113"/>
      <c r="Q48" s="113"/>
      <c r="R48" s="113"/>
      <c r="S48" s="113"/>
      <c r="T48" s="115"/>
      <c r="U48" s="122">
        <f t="shared" si="3"/>
        <v>0</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0</v>
      </c>
      <c r="K51" s="121">
        <f>'Calc2 BYR'!K67</f>
        <v>0</v>
      </c>
      <c r="L51" s="121">
        <f>'Calc2 BYR'!L67</f>
        <v>0</v>
      </c>
      <c r="M51" s="121">
        <f>'Calc2 BYR'!M67</f>
        <v>0</v>
      </c>
      <c r="N51" s="121">
        <f>'Calc2 BYR'!N67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5.4234074234383582</v>
      </c>
      <c r="K54" s="121">
        <f>'Calc2 BYR'!K39</f>
        <v>6.0589980766788578</v>
      </c>
      <c r="L54" s="121">
        <f>'Calc2 BYR'!L39</f>
        <v>7.8317047331798815</v>
      </c>
      <c r="M54" s="121">
        <f>'Calc2 BYR'!M39</f>
        <v>7.8003779142471661</v>
      </c>
      <c r="N54" s="121">
        <f>'Calc2 BYR'!N39</f>
        <v>5.8220894725764474</v>
      </c>
      <c r="O54" s="113"/>
      <c r="P54" s="113"/>
      <c r="Q54" s="113"/>
      <c r="R54" s="113"/>
      <c r="S54" s="113"/>
      <c r="T54" s="115"/>
      <c r="U54" s="122">
        <f>SUM(J54:N54)</f>
        <v>32.936577620120715</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14.69344207715848</v>
      </c>
      <c r="K55" s="121">
        <f>'Calc2 BYR'!K40</f>
        <v>10.317131701739861</v>
      </c>
      <c r="L55" s="121">
        <f>'Calc2 BYR'!L40</f>
        <v>7.7083263425191726</v>
      </c>
      <c r="M55" s="121">
        <f>'Calc2 BYR'!M40</f>
        <v>5.8201743480494281</v>
      </c>
      <c r="N55" s="121">
        <f>'Calc2 BYR'!N40</f>
        <v>6.8760899797334893</v>
      </c>
      <c r="O55" s="113"/>
      <c r="P55" s="113"/>
      <c r="Q55" s="113"/>
      <c r="R55" s="113"/>
      <c r="S55" s="113"/>
      <c r="T55" s="115"/>
      <c r="U55" s="122">
        <f>SUM(J55:N55)</f>
        <v>45.415164449200432</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1.255454010626097</v>
      </c>
      <c r="K56" s="121">
        <f>'Calc2 BYR'!K41</f>
        <v>1.7351359010058542</v>
      </c>
      <c r="L56" s="121">
        <f>'Calc2 BYR'!L41</f>
        <v>2.6488450091010538</v>
      </c>
      <c r="M56" s="121">
        <f>'Calc2 BYR'!M41</f>
        <v>2.4626349949890654</v>
      </c>
      <c r="N56" s="121">
        <f>'Calc2 BYR'!N41</f>
        <v>1.3851002496991294</v>
      </c>
      <c r="O56" s="113"/>
      <c r="P56" s="113"/>
      <c r="Q56" s="113"/>
      <c r="R56" s="113"/>
      <c r="S56" s="113"/>
      <c r="T56" s="115"/>
      <c r="U56" s="122">
        <f>SUM(J56:N56)</f>
        <v>9.4871701654212011</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2.9945738725477078</v>
      </c>
      <c r="K57" s="121">
        <f>'Calc2 BYR'!K42</f>
        <v>5.059848567022061</v>
      </c>
      <c r="L57" s="121">
        <f>'Calc2 BYR'!L42</f>
        <v>2.7671367280041061</v>
      </c>
      <c r="M57" s="121">
        <f>'Calc2 BYR'!M42</f>
        <v>1.7267339562722908</v>
      </c>
      <c r="N57" s="121">
        <f>'Calc2 BYR'!N42</f>
        <v>1.8953939205850003</v>
      </c>
      <c r="O57" s="113"/>
      <c r="P57" s="113"/>
      <c r="Q57" s="113"/>
      <c r="R57" s="113"/>
      <c r="S57" s="113"/>
      <c r="T57" s="115"/>
      <c r="U57" s="122">
        <f>SUM(J57:N57)</f>
        <v>14.443687044431167</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24.366877383770642</v>
      </c>
      <c r="K60" s="121">
        <f>'Calc2 BYR'!K57</f>
        <v>23.171114246446635</v>
      </c>
      <c r="L60" s="121">
        <f>'Calc2 BYR'!L57</f>
        <v>20.956012812804214</v>
      </c>
      <c r="M60" s="121">
        <f>'Calc2 BYR'!M57</f>
        <v>17.809921213557953</v>
      </c>
      <c r="N60" s="121">
        <f>'Calc2 BYR'!N57</f>
        <v>15.978673622594066</v>
      </c>
      <c r="O60" s="113"/>
      <c r="P60" s="113"/>
      <c r="Q60" s="113"/>
      <c r="R60" s="113"/>
      <c r="S60" s="113"/>
      <c r="T60" s="115"/>
      <c r="U60" s="122">
        <f>SUM(J60:N60)</f>
        <v>102.28259927917352</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0</v>
      </c>
      <c r="K62" s="121">
        <f>'Calc2 BYR'!K46</f>
        <v>0</v>
      </c>
      <c r="L62" s="121">
        <f>'Calc2 BYR'!L46</f>
        <v>0</v>
      </c>
      <c r="M62" s="121">
        <f>'Calc2 BYR'!M46</f>
        <v>0</v>
      </c>
      <c r="N62" s="121">
        <f>'Calc2 BYR'!N46</f>
        <v>0</v>
      </c>
      <c r="O62" s="113"/>
      <c r="P62" s="113"/>
      <c r="Q62" s="113"/>
      <c r="R62" s="113"/>
      <c r="S62" s="113"/>
      <c r="T62" s="115"/>
      <c r="U62" s="122">
        <f>SUM(J62:N62)</f>
        <v>0</v>
      </c>
    </row>
    <row r="63" spans="1:27" s="117" customFormat="1" ht="17.399999999999999">
      <c r="A63" s="110"/>
      <c r="B63" s="119" t="s">
        <v>159</v>
      </c>
      <c r="C63" s="119"/>
      <c r="D63" s="113"/>
      <c r="E63" s="113" t="str">
        <f>'Calc2 BYR'!E47</f>
        <v>Sewerage: MNI</v>
      </c>
      <c r="F63" s="113"/>
      <c r="G63" s="120"/>
      <c r="H63" s="120"/>
      <c r="I63" s="120"/>
      <c r="J63" s="121">
        <f>'Calc2 BYR'!J47</f>
        <v>0</v>
      </c>
      <c r="K63" s="121">
        <f>'Calc2 BYR'!K47</f>
        <v>0</v>
      </c>
      <c r="L63" s="121">
        <f>'Calc2 BYR'!L47</f>
        <v>0</v>
      </c>
      <c r="M63" s="121">
        <f>'Calc2 BYR'!M47</f>
        <v>0</v>
      </c>
      <c r="N63" s="121">
        <f>'Calc2 BYR'!N47</f>
        <v>0</v>
      </c>
      <c r="O63" s="113"/>
      <c r="P63" s="113"/>
      <c r="Q63" s="113"/>
      <c r="R63" s="113"/>
      <c r="S63" s="113"/>
      <c r="T63" s="115"/>
      <c r="U63" s="122">
        <f>SUM(J63:N63)</f>
        <v>0</v>
      </c>
    </row>
    <row r="64" spans="1:27" s="117" customFormat="1" ht="17.399999999999999">
      <c r="A64" s="110"/>
      <c r="B64" s="119" t="s">
        <v>160</v>
      </c>
      <c r="C64" s="119"/>
      <c r="D64" s="113"/>
      <c r="E64" s="113" t="str">
        <f>'Calc2 BYR'!E48</f>
        <v>Sewerage: Infrastructure enhancements</v>
      </c>
      <c r="F64" s="113"/>
      <c r="G64" s="120"/>
      <c r="H64" s="120"/>
      <c r="I64" s="120"/>
      <c r="J64" s="121">
        <f>'Calc2 BYR'!J48</f>
        <v>0</v>
      </c>
      <c r="K64" s="121">
        <f>'Calc2 BYR'!K48</f>
        <v>0</v>
      </c>
      <c r="L64" s="121">
        <f>'Calc2 BYR'!L48</f>
        <v>0</v>
      </c>
      <c r="M64" s="121">
        <f>'Calc2 BYR'!M48</f>
        <v>0</v>
      </c>
      <c r="N64" s="121">
        <f>'Calc2 BYR'!N48</f>
        <v>0</v>
      </c>
      <c r="O64" s="113"/>
      <c r="P64" s="113"/>
      <c r="Q64" s="113"/>
      <c r="R64" s="113"/>
      <c r="S64" s="113"/>
      <c r="T64" s="115"/>
      <c r="U64" s="122">
        <f>SUM(J64:N64)</f>
        <v>0</v>
      </c>
    </row>
    <row r="65" spans="1:21" s="117" customFormat="1" ht="17.399999999999999">
      <c r="A65" s="110"/>
      <c r="B65" s="119" t="s">
        <v>238</v>
      </c>
      <c r="C65" s="119"/>
      <c r="D65" s="113"/>
      <c r="E65" s="113" t="str">
        <f>'Calc2 BYR'!E49</f>
        <v>Sewerage: Non-infrastructure enhancements</v>
      </c>
      <c r="F65" s="113"/>
      <c r="G65" s="120"/>
      <c r="H65" s="120"/>
      <c r="I65" s="120"/>
      <c r="J65" s="121">
        <f>'Calc2 BYR'!J49</f>
        <v>0</v>
      </c>
      <c r="K65" s="121">
        <f>'Calc2 BYR'!K49</f>
        <v>0</v>
      </c>
      <c r="L65" s="121">
        <f>'Calc2 BYR'!L49</f>
        <v>0</v>
      </c>
      <c r="M65" s="121">
        <f>'Calc2 BYR'!M49</f>
        <v>0</v>
      </c>
      <c r="N65" s="121">
        <f>'Calc2 BYR'!N49</f>
        <v>0</v>
      </c>
      <c r="O65" s="113"/>
      <c r="P65" s="113"/>
      <c r="Q65" s="113"/>
      <c r="R65" s="113"/>
      <c r="S65" s="113"/>
      <c r="T65" s="115"/>
      <c r="U65" s="122">
        <f>SUM(J65:N65)</f>
        <v>0</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0</v>
      </c>
      <c r="K68" s="121">
        <f>'Calc2 BYR'!K68</f>
        <v>0</v>
      </c>
      <c r="L68" s="121">
        <f>'Calc2 BYR'!L68</f>
        <v>0</v>
      </c>
      <c r="M68" s="121">
        <f>'Calc2 BYR'!M68</f>
        <v>0</v>
      </c>
      <c r="N68" s="121">
        <f>'Calc2 BYR'!N68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123.56080070282465</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-0.56630025883308099</v>
      </c>
      <c r="K73" s="121">
        <f>'Calc2 BYR'!K127</f>
        <v>-0.538510035100077</v>
      </c>
      <c r="L73" s="121">
        <f>'Calc2 BYR'!L127</f>
        <v>-0.48702980250988398</v>
      </c>
      <c r="M73" s="121">
        <f>'Calc2 BYR'!M127</f>
        <v>-0.41391282248385902</v>
      </c>
      <c r="N73" s="121">
        <f>'Calc2 BYR'!N127</f>
        <v>-0.37135357418883502</v>
      </c>
      <c r="O73" s="113"/>
      <c r="P73" s="113"/>
      <c r="Q73" s="113"/>
      <c r="R73" s="113"/>
      <c r="S73" s="113"/>
      <c r="T73" s="115"/>
      <c r="U73" s="122">
        <f>SUM(J73:N73)</f>
        <v>-2.3771064931157362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v>
      </c>
      <c r="K76" s="121">
        <f>'Calc2 BYR'!K128</f>
        <v>0</v>
      </c>
      <c r="L76" s="121">
        <f>'Calc2 BYR'!L128</f>
        <v>0</v>
      </c>
      <c r="M76" s="121">
        <f>'Calc2 BYR'!M128</f>
        <v>0</v>
      </c>
      <c r="N76" s="121">
        <f>'Calc2 BYR'!N128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SES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29.290504000000002</v>
      </c>
      <c r="K16" s="121">
        <f>'Calc2 BYR'!K55</f>
        <v>30.8894667</v>
      </c>
      <c r="L16" s="121">
        <f>'Calc2 BYR'!L55</f>
        <v>23.110634399999999</v>
      </c>
      <c r="M16" s="121">
        <f>'Calc2 BYR'!M55</f>
        <v>19.926952799999999</v>
      </c>
      <c r="N16" s="121">
        <f>'Calc2 BYR'!N55</f>
        <v>16.133617599999997</v>
      </c>
      <c r="O16" s="113"/>
      <c r="P16" s="113"/>
      <c r="Q16" s="113"/>
      <c r="R16" s="113"/>
      <c r="S16" s="113"/>
      <c r="T16" s="115"/>
      <c r="U16" s="295">
        <f>SUM(J16:N16)</f>
        <v>119.35117549999998</v>
      </c>
    </row>
    <row r="17" spans="1:21" s="117" customFormat="1" ht="17.399999999999999">
      <c r="A17" s="110"/>
      <c r="B17" s="118" t="s">
        <v>131</v>
      </c>
      <c r="C17" s="119"/>
      <c r="D17" s="113"/>
      <c r="E17" s="124" t="str">
        <f>'Calc2 BYR'!E56</f>
        <v>Water: Baseline capex (gross of adjustments)</v>
      </c>
      <c r="F17" s="124"/>
      <c r="G17" s="113"/>
      <c r="H17" s="120"/>
      <c r="I17" s="120"/>
      <c r="J17" s="121">
        <f>'Calc2 BYR'!J56</f>
        <v>23.011456530763091</v>
      </c>
      <c r="K17" s="121">
        <f>'Calc2 BYR'!K56</f>
        <v>21.88220837055577</v>
      </c>
      <c r="L17" s="121">
        <f>'Calc2 BYR'!L56</f>
        <v>19.790323163079677</v>
      </c>
      <c r="M17" s="121">
        <f>'Calc2 BYR'!M56</f>
        <v>16.81923462606126</v>
      </c>
      <c r="N17" s="121">
        <f>'Calc2 BYR'!N56</f>
        <v>15.089851181771561</v>
      </c>
      <c r="O17" s="113"/>
      <c r="P17" s="113"/>
      <c r="Q17" s="113"/>
      <c r="R17" s="113"/>
      <c r="S17" s="113"/>
      <c r="T17" s="115"/>
      <c r="U17" s="295">
        <f t="shared" ref="U17:U18" si="0">SUM(J17:N17)</f>
        <v>96.593073872231358</v>
      </c>
    </row>
    <row r="18" spans="1:21" s="117" customFormat="1" ht="17.399999999999999">
      <c r="A18" s="110"/>
      <c r="B18" s="118" t="s">
        <v>132</v>
      </c>
      <c r="C18" s="119"/>
      <c r="D18" s="113"/>
      <c r="E18" s="124" t="str">
        <f>'Calc2 BYR'!E57</f>
        <v>Water: Allowance capex (gross of adjustments)</v>
      </c>
      <c r="F18" s="124"/>
      <c r="G18" s="113"/>
      <c r="H18" s="286"/>
      <c r="I18" s="120"/>
      <c r="J18" s="121">
        <f>'Calc2 BYR'!J57</f>
        <v>24.366877383770642</v>
      </c>
      <c r="K18" s="121">
        <f>'Calc2 BYR'!K57</f>
        <v>23.171114246446635</v>
      </c>
      <c r="L18" s="121">
        <f>'Calc2 BYR'!L57</f>
        <v>20.956012812804214</v>
      </c>
      <c r="M18" s="121">
        <f>'Calc2 BYR'!M57</f>
        <v>17.809921213557953</v>
      </c>
      <c r="N18" s="121">
        <f>'Calc2 BYR'!N57</f>
        <v>15.978673622594066</v>
      </c>
      <c r="O18" s="113"/>
      <c r="P18" s="113"/>
      <c r="Q18" s="113"/>
      <c r="R18" s="113"/>
      <c r="S18" s="113"/>
      <c r="T18" s="115"/>
      <c r="U18" s="295">
        <f t="shared" si="0"/>
        <v>102.28259927917352</v>
      </c>
    </row>
    <row r="19" spans="1:21" s="117" customFormat="1" ht="17.399999999999999">
      <c r="A19" s="110"/>
      <c r="B19" s="118" t="s">
        <v>133</v>
      </c>
      <c r="C19" s="119"/>
      <c r="D19" s="113"/>
      <c r="E19" s="124" t="str">
        <f>'Calc2 BYR'!E94</f>
        <v>Water: CIS bid ratio</v>
      </c>
      <c r="F19" s="124"/>
      <c r="G19" s="301">
        <f>'Calc2 BYR'!G94</f>
        <v>123.56080070282465</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29.290504000000002</v>
      </c>
      <c r="K24" s="121">
        <f>'Calc2 BYR'!K62</f>
        <v>30.8894667</v>
      </c>
      <c r="L24" s="121">
        <f>'Calc2 BYR'!L62</f>
        <v>23.110634399999999</v>
      </c>
      <c r="M24" s="121">
        <f>'Calc2 BYR'!M62</f>
        <v>19.926952799999999</v>
      </c>
      <c r="N24" s="121">
        <f>'Calc2 BYR'!N62</f>
        <v>16.133617599999997</v>
      </c>
      <c r="O24" s="113"/>
      <c r="P24" s="113"/>
      <c r="Q24" s="113"/>
      <c r="R24" s="113"/>
      <c r="S24" s="113"/>
      <c r="T24" s="115"/>
      <c r="U24" s="295">
        <f t="shared" ref="U24:U26" si="2">SUM(J24:N24)</f>
        <v>119.35117549999998</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23.011456530763091</v>
      </c>
      <c r="K25" s="121">
        <f>'Calc2 BYR'!K63</f>
        <v>21.88220837055577</v>
      </c>
      <c r="L25" s="121">
        <f>'Calc2 BYR'!L63</f>
        <v>19.790323163079677</v>
      </c>
      <c r="M25" s="121">
        <f>'Calc2 BYR'!M63</f>
        <v>16.81923462606126</v>
      </c>
      <c r="N25" s="121">
        <f>'Calc2 BYR'!N63</f>
        <v>15.089851181771561</v>
      </c>
      <c r="O25" s="113"/>
      <c r="P25" s="113"/>
      <c r="Q25" s="113"/>
      <c r="R25" s="113"/>
      <c r="S25" s="113"/>
      <c r="T25" s="115"/>
      <c r="U25" s="295">
        <f t="shared" si="2"/>
        <v>96.593073872231358</v>
      </c>
    </row>
    <row r="26" spans="1:21" s="117" customFormat="1" ht="17.399999999999999">
      <c r="A26" s="110"/>
      <c r="B26" s="118" t="s">
        <v>138</v>
      </c>
      <c r="C26" s="119"/>
      <c r="D26" s="113"/>
      <c r="E26" s="113" t="str">
        <f>'Calc2 BYR'!E64</f>
        <v>Water: Allowance capex (net of adjustments)</v>
      </c>
      <c r="F26" s="113"/>
      <c r="G26" s="113"/>
      <c r="H26" s="120"/>
      <c r="I26" s="120"/>
      <c r="J26" s="121">
        <f>'Calc2 BYR'!J64</f>
        <v>24.366877383770642</v>
      </c>
      <c r="K26" s="121">
        <f>'Calc2 BYR'!K64</f>
        <v>23.171114246446631</v>
      </c>
      <c r="L26" s="121">
        <f>'Calc2 BYR'!L64</f>
        <v>20.956012812804211</v>
      </c>
      <c r="M26" s="121">
        <f>'Calc2 BYR'!M64</f>
        <v>17.809921213557949</v>
      </c>
      <c r="N26" s="121">
        <f>'Calc2 BYR'!N64</f>
        <v>15.978673622594068</v>
      </c>
      <c r="O26" s="113"/>
      <c r="P26" s="113"/>
      <c r="Q26" s="113"/>
      <c r="R26" s="113"/>
      <c r="S26" s="113"/>
      <c r="T26" s="115"/>
      <c r="U26" s="295">
        <f t="shared" si="2"/>
        <v>102.2825992791735</v>
      </c>
    </row>
    <row r="27" spans="1:21" s="117" customFormat="1" ht="17.399999999999999">
      <c r="A27" s="110"/>
      <c r="B27" s="118" t="s">
        <v>139</v>
      </c>
      <c r="C27" s="119"/>
      <c r="D27" s="113"/>
      <c r="E27" s="113" t="str">
        <f>'Calc2 BYR'!E106</f>
        <v>Water: Restated CIS bid ratio</v>
      </c>
      <c r="F27" s="113"/>
      <c r="G27" s="301">
        <f>'Calc2 BYR'!G106</f>
        <v>123.56080070282465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26.026246752265429</v>
      </c>
      <c r="K30" s="121">
        <f>'Calc2 BYR'!K79</f>
        <v>26.818435945490315</v>
      </c>
      <c r="L30" s="121">
        <f>'Calc2 BYR'!L79</f>
        <v>20.082998708873113</v>
      </c>
      <c r="M30" s="121">
        <f>'Calc2 BYR'!M79</f>
        <v>17.561513722488105</v>
      </c>
      <c r="N30" s="121">
        <f>'Calc2 BYR'!N79</f>
        <v>14.351605850540754</v>
      </c>
      <c r="O30" s="113"/>
      <c r="P30" s="113"/>
      <c r="Q30" s="113"/>
      <c r="R30" s="113"/>
      <c r="S30" s="113"/>
      <c r="T30" s="115"/>
      <c r="U30" s="295">
        <f t="shared" ref="U30:U33" si="3">SUM(J30:N30)</f>
        <v>104.84080097965771</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20.446962804008766</v>
      </c>
      <c r="K31" s="121">
        <f>'Calc2 BYR'!K80</f>
        <v>18.998275665653427</v>
      </c>
      <c r="L31" s="121">
        <f>'Calc2 BYR'!L80</f>
        <v>17.197668729176506</v>
      </c>
      <c r="M31" s="121">
        <f>'Calc2 BYR'!M80</f>
        <v>14.822698816615951</v>
      </c>
      <c r="N31" s="121">
        <f>'Calc2 BYR'!N80</f>
        <v>13.423126906398355</v>
      </c>
      <c r="O31" s="113"/>
      <c r="P31" s="113"/>
      <c r="Q31" s="113"/>
      <c r="R31" s="113"/>
      <c r="S31" s="113"/>
      <c r="T31" s="115"/>
      <c r="U31" s="295">
        <f t="shared" si="3"/>
        <v>84.888732921853006</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21.651329843017059</v>
      </c>
      <c r="K32" s="121">
        <f>'Calc2 BYR'!K81</f>
        <v>20.117312132292884</v>
      </c>
      <c r="L32" s="121">
        <f>'Calc2 BYR'!L81</f>
        <v>18.210645842879824</v>
      </c>
      <c r="M32" s="121">
        <f>'Calc2 BYR'!M81</f>
        <v>15.695785448356656</v>
      </c>
      <c r="N32" s="121">
        <f>'Calc2 BYR'!N81</f>
        <v>14.213775951024292</v>
      </c>
      <c r="O32" s="113"/>
      <c r="P32" s="113"/>
      <c r="Q32" s="113"/>
      <c r="R32" s="113"/>
      <c r="S32" s="113"/>
      <c r="T32" s="115"/>
      <c r="U32" s="295">
        <f t="shared" si="3"/>
        <v>89.888849217570723</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12.358463332965394</v>
      </c>
      <c r="K33" s="121">
        <f>'Calc2 BYR'!K82</f>
        <v>22.559627084723157</v>
      </c>
      <c r="L33" s="121">
        <f>'Calc2 BYR'!L82</f>
        <v>17.834832601069476</v>
      </c>
      <c r="M33" s="121">
        <f>'Calc2 BYR'!M82</f>
        <v>18.780707594014885</v>
      </c>
      <c r="N33" s="121">
        <f>'Calc2 BYR'!N82</f>
        <v>16.624484935064938</v>
      </c>
      <c r="O33" s="113"/>
      <c r="P33" s="113"/>
      <c r="Q33" s="113"/>
      <c r="R33" s="113"/>
      <c r="S33" s="113"/>
      <c r="T33" s="115"/>
      <c r="U33" s="295">
        <f t="shared" si="3"/>
        <v>88.158115547837852</v>
      </c>
    </row>
    <row r="34" spans="1:21" s="117" customFormat="1" ht="17.399999999999999">
      <c r="A34" s="110"/>
      <c r="B34" s="118" t="s">
        <v>145</v>
      </c>
      <c r="C34" s="118"/>
      <c r="D34" s="113"/>
      <c r="E34" s="113" t="str">
        <f>'Calc2 BYR'!E116</f>
        <v>Water: CIS outturn ratio</v>
      </c>
      <c r="F34" s="113"/>
      <c r="G34" s="301">
        <f>'Calc2 BYR'!G116</f>
        <v>103.85137404394359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-1.773735860778435</v>
      </c>
    </row>
    <row r="38" spans="1:21" s="117" customFormat="1" ht="17.399999999999999">
      <c r="A38" s="110"/>
      <c r="B38" s="118" t="s">
        <v>152</v>
      </c>
      <c r="C38" s="119"/>
      <c r="D38" s="113"/>
      <c r="E38" s="113" t="str">
        <f>'Calc2 BYR'!E127</f>
        <v>Water: Additional income (applied at FD)</v>
      </c>
      <c r="F38" s="113"/>
      <c r="G38" s="113"/>
      <c r="H38" s="113"/>
      <c r="I38" s="113"/>
      <c r="J38" s="121">
        <f>'Calc2 BYR'!J127</f>
        <v>-0.56630025883308099</v>
      </c>
      <c r="K38" s="121">
        <f>'Calc2 BYR'!K127</f>
        <v>-0.538510035100077</v>
      </c>
      <c r="L38" s="121">
        <f>'Calc2 BYR'!L127</f>
        <v>-0.48702980250988398</v>
      </c>
      <c r="M38" s="121">
        <f>'Calc2 BYR'!M127</f>
        <v>-0.41391282248385902</v>
      </c>
      <c r="N38" s="121">
        <f>'Calc2 BYR'!N127</f>
        <v>-0.37135357418883502</v>
      </c>
      <c r="O38" s="113"/>
      <c r="P38" s="113"/>
      <c r="Q38" s="113"/>
      <c r="R38" s="113"/>
      <c r="S38" s="113"/>
      <c r="T38" s="115"/>
      <c r="U38" s="295">
        <f t="shared" ref="U38" si="4">SUM(J38:N38)</f>
        <v>-2.3771064931157362</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0.60337063233730115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0</v>
      </c>
      <c r="K45" s="121">
        <f>'Calc2 BYR'!K66</f>
        <v>0</v>
      </c>
      <c r="L45" s="121">
        <f>'Calc2 BYR'!L66</f>
        <v>0</v>
      </c>
      <c r="M45" s="121">
        <f>'Calc2 BYR'!M66</f>
        <v>0</v>
      </c>
      <c r="N45" s="121">
        <f>'Calc2 BYR'!N66</f>
        <v>0</v>
      </c>
      <c r="O45" s="113"/>
      <c r="P45" s="113"/>
      <c r="Q45" s="113"/>
      <c r="R45" s="113"/>
      <c r="S45" s="113"/>
      <c r="T45" s="115"/>
      <c r="U45" s="295">
        <f>SUM(J45:N45)</f>
        <v>0</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0</v>
      </c>
      <c r="K46" s="121">
        <f>'Calc2 BYR'!K67</f>
        <v>0</v>
      </c>
      <c r="L46" s="121">
        <f>'Calc2 BYR'!L67</f>
        <v>0</v>
      </c>
      <c r="M46" s="121">
        <f>'Calc2 BYR'!M67</f>
        <v>0</v>
      </c>
      <c r="N46" s="121">
        <f>'Calc2 BYR'!N67</f>
        <v>0</v>
      </c>
      <c r="O46" s="113"/>
      <c r="P46" s="113"/>
      <c r="Q46" s="113"/>
      <c r="R46" s="113"/>
      <c r="S46" s="113"/>
      <c r="T46" s="115"/>
      <c r="U46" s="295">
        <f t="shared" ref="U46:U47" si="5">SUM(J46:N46)</f>
        <v>0</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0</v>
      </c>
      <c r="K47" s="121">
        <f>'Calc2 BYR'!K68</f>
        <v>0</v>
      </c>
      <c r="L47" s="121">
        <f>'Calc2 BYR'!L68</f>
        <v>0</v>
      </c>
      <c r="M47" s="121">
        <f>'Calc2 BYR'!M68</f>
        <v>0</v>
      </c>
      <c r="N47" s="121">
        <f>'Calc2 BYR'!N68</f>
        <v>0</v>
      </c>
      <c r="O47" s="113"/>
      <c r="P47" s="113"/>
      <c r="Q47" s="113"/>
      <c r="R47" s="113"/>
      <c r="S47" s="113"/>
      <c r="T47" s="115"/>
      <c r="U47" s="295">
        <f t="shared" si="5"/>
        <v>0</v>
      </c>
    </row>
    <row r="48" spans="1:21" s="117" customFormat="1" ht="17.399999999999999">
      <c r="A48" s="110"/>
      <c r="B48" s="118" t="s">
        <v>329</v>
      </c>
      <c r="C48" s="119"/>
      <c r="D48" s="113"/>
      <c r="E48" s="124" t="str">
        <f>'Calc2 BYR'!E99</f>
        <v>Sewerage: CIS bid ratio</v>
      </c>
      <c r="F48" s="124"/>
      <c r="G48" s="301">
        <f>'Calc2 BYR'!G99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v>
      </c>
      <c r="L50" s="121">
        <f>'Calc2 BYR'!L70</f>
        <v>0</v>
      </c>
      <c r="M50" s="121">
        <f>'Calc2 BYR'!M70</f>
        <v>0</v>
      </c>
      <c r="N50" s="121">
        <f>'Calc2 BYR'!N70</f>
        <v>0</v>
      </c>
      <c r="O50" s="113"/>
      <c r="P50" s="113"/>
      <c r="Q50" s="113"/>
      <c r="R50" s="113"/>
      <c r="S50" s="113"/>
      <c r="T50" s="115"/>
      <c r="U50" s="295">
        <f t="shared" ref="U50:U51" si="6">SUM(J50:N50)</f>
        <v>0</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v>
      </c>
      <c r="L51" s="121">
        <f>'Calc2 BYR'!L71</f>
        <v>0</v>
      </c>
      <c r="M51" s="121">
        <f>'Calc2 BYR'!M71</f>
        <v>0</v>
      </c>
      <c r="N51" s="121">
        <f>'Calc2 BYR'!N71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0</v>
      </c>
      <c r="K53" s="121">
        <f>'Calc2 BYR'!K73</f>
        <v>0</v>
      </c>
      <c r="L53" s="121">
        <f>'Calc2 BYR'!L73</f>
        <v>0</v>
      </c>
      <c r="M53" s="121">
        <f>'Calc2 BYR'!M73</f>
        <v>0</v>
      </c>
      <c r="N53" s="121">
        <f>'Calc2 BYR'!N73</f>
        <v>0</v>
      </c>
      <c r="O53" s="113"/>
      <c r="P53" s="113"/>
      <c r="Q53" s="113"/>
      <c r="R53" s="113"/>
      <c r="S53" s="113"/>
      <c r="T53" s="115"/>
      <c r="U53" s="295">
        <f t="shared" ref="U53:U55" si="7">SUM(J53:N53)</f>
        <v>0</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0</v>
      </c>
      <c r="K54" s="121">
        <f>'Calc2 BYR'!K74</f>
        <v>0</v>
      </c>
      <c r="L54" s="121">
        <f>'Calc2 BYR'!L74</f>
        <v>0</v>
      </c>
      <c r="M54" s="121">
        <f>'Calc2 BYR'!M74</f>
        <v>0</v>
      </c>
      <c r="N54" s="121">
        <f>'Calc2 BYR'!N74</f>
        <v>0</v>
      </c>
      <c r="O54" s="113"/>
      <c r="P54" s="113"/>
      <c r="Q54" s="113"/>
      <c r="R54" s="113"/>
      <c r="S54" s="113"/>
      <c r="T54" s="115"/>
      <c r="U54" s="295">
        <f t="shared" si="7"/>
        <v>0</v>
      </c>
    </row>
    <row r="55" spans="1:21" s="117" customFormat="1" ht="17.399999999999999">
      <c r="A55" s="110"/>
      <c r="B55" s="118" t="s">
        <v>334</v>
      </c>
      <c r="C55" s="119"/>
      <c r="D55" s="113"/>
      <c r="E55" s="113" t="str">
        <f>'Calc2 BYR'!E75</f>
        <v>Sewerage: Allowance capex (net of adjustments)</v>
      </c>
      <c r="F55" s="113"/>
      <c r="G55" s="113"/>
      <c r="H55" s="120"/>
      <c r="I55" s="120"/>
      <c r="J55" s="121">
        <f>'Calc2 BYR'!J75</f>
        <v>0</v>
      </c>
      <c r="K55" s="121">
        <f>'Calc2 BYR'!K75</f>
        <v>0</v>
      </c>
      <c r="L55" s="121">
        <f>'Calc2 BYR'!L75</f>
        <v>0</v>
      </c>
      <c r="M55" s="121">
        <f>'Calc2 BYR'!M75</f>
        <v>0</v>
      </c>
      <c r="N55" s="121">
        <f>'Calc2 BYR'!N75</f>
        <v>0</v>
      </c>
      <c r="O55" s="113"/>
      <c r="P55" s="113"/>
      <c r="Q55" s="113"/>
      <c r="R55" s="113"/>
      <c r="S55" s="113"/>
      <c r="T55" s="115"/>
      <c r="U55" s="295">
        <f t="shared" si="7"/>
        <v>0</v>
      </c>
    </row>
    <row r="56" spans="1:21" s="117" customFormat="1" ht="17.399999999999999">
      <c r="A56" s="110"/>
      <c r="B56" s="118" t="s">
        <v>335</v>
      </c>
      <c r="C56" s="119"/>
      <c r="D56" s="113"/>
      <c r="E56" s="113" t="str">
        <f>'Calc2 BYR'!E110</f>
        <v>Sewerage: Restated CIS bid ratio</v>
      </c>
      <c r="F56" s="113"/>
      <c r="G56" s="301">
        <f>'Calc2 BYR'!G110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0</v>
      </c>
      <c r="K59" s="121">
        <f>'Calc2 BYR'!K84</f>
        <v>0</v>
      </c>
      <c r="L59" s="121">
        <f>'Calc2 BYR'!L84</f>
        <v>0</v>
      </c>
      <c r="M59" s="121">
        <f>'Calc2 BYR'!M84</f>
        <v>0</v>
      </c>
      <c r="N59" s="121">
        <f>'Calc2 BYR'!N84</f>
        <v>0</v>
      </c>
      <c r="O59" s="113"/>
      <c r="P59" s="113"/>
      <c r="Q59" s="113"/>
      <c r="R59" s="113"/>
      <c r="S59" s="113"/>
      <c r="T59" s="115"/>
      <c r="U59" s="295">
        <f t="shared" ref="U59:U62" si="8">SUM(J59:N59)</f>
        <v>0</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0</v>
      </c>
      <c r="K60" s="121">
        <f>'Calc2 BYR'!K85</f>
        <v>0</v>
      </c>
      <c r="L60" s="121">
        <f>'Calc2 BYR'!L85</f>
        <v>0</v>
      </c>
      <c r="M60" s="121">
        <f>'Calc2 BYR'!M85</f>
        <v>0</v>
      </c>
      <c r="N60" s="121">
        <f>'Calc2 BYR'!N85</f>
        <v>0</v>
      </c>
      <c r="O60" s="113"/>
      <c r="P60" s="113"/>
      <c r="Q60" s="113"/>
      <c r="R60" s="113"/>
      <c r="S60" s="113"/>
      <c r="T60" s="115"/>
      <c r="U60" s="295">
        <f t="shared" si="8"/>
        <v>0</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0</v>
      </c>
      <c r="K61" s="121">
        <f>'Calc2 BYR'!K86</f>
        <v>0</v>
      </c>
      <c r="L61" s="121">
        <f>'Calc2 BYR'!L86</f>
        <v>0</v>
      </c>
      <c r="M61" s="121">
        <f>'Calc2 BYR'!M86</f>
        <v>0</v>
      </c>
      <c r="N61" s="121">
        <f>'Calc2 BYR'!N86</f>
        <v>0</v>
      </c>
      <c r="O61" s="113"/>
      <c r="P61" s="113"/>
      <c r="Q61" s="113"/>
      <c r="R61" s="113"/>
      <c r="S61" s="113"/>
      <c r="T61" s="115"/>
      <c r="U61" s="295">
        <f t="shared" si="8"/>
        <v>0</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0</v>
      </c>
      <c r="K62" s="121">
        <f>'Calc2 BYR'!K87</f>
        <v>0</v>
      </c>
      <c r="L62" s="121">
        <f>'Calc2 BYR'!L87</f>
        <v>0</v>
      </c>
      <c r="M62" s="121">
        <f>'Calc2 BYR'!M87</f>
        <v>0</v>
      </c>
      <c r="N62" s="121">
        <f>'Calc2 BYR'!N87</f>
        <v>0</v>
      </c>
      <c r="O62" s="113"/>
      <c r="P62" s="113"/>
      <c r="Q62" s="113"/>
      <c r="R62" s="113"/>
      <c r="S62" s="113"/>
      <c r="T62" s="115"/>
      <c r="U62" s="295">
        <f t="shared" si="8"/>
        <v>0</v>
      </c>
    </row>
    <row r="63" spans="1:21" s="117" customFormat="1" ht="17.399999999999999">
      <c r="A63" s="110"/>
      <c r="B63" s="118" t="s">
        <v>340</v>
      </c>
      <c r="C63" s="118"/>
      <c r="D63" s="113"/>
      <c r="E63" s="113" t="str">
        <f>'Calc2 BYR'!E119</f>
        <v>Sewerage: CIS outturn ratio</v>
      </c>
      <c r="F63" s="113"/>
      <c r="G63" s="301">
        <f>'Calc2 BYR'!G119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0</v>
      </c>
    </row>
    <row r="67" spans="1:24" s="117" customFormat="1" ht="17.399999999999999">
      <c r="A67" s="110"/>
      <c r="B67" s="118" t="s">
        <v>342</v>
      </c>
      <c r="C67" s="119"/>
      <c r="D67" s="113"/>
      <c r="E67" s="113" t="str">
        <f>'Calc2 BYR'!E128</f>
        <v>Sewerage: Additional income (applied at FD)</v>
      </c>
      <c r="F67" s="113"/>
      <c r="G67" s="113"/>
      <c r="H67" s="113"/>
      <c r="I67" s="113"/>
      <c r="J67" s="121">
        <f>'Calc2 BYR'!J128</f>
        <v>0</v>
      </c>
      <c r="K67" s="121">
        <f>'Calc2 BYR'!K128</f>
        <v>0</v>
      </c>
      <c r="L67" s="121">
        <f>'Calc2 BYR'!L128</f>
        <v>0</v>
      </c>
      <c r="M67" s="121">
        <f>'Calc2 BYR'!M128</f>
        <v>0</v>
      </c>
      <c r="N67" s="121">
        <f>'Calc2 BYR'!N128</f>
        <v>0</v>
      </c>
      <c r="O67" s="113"/>
      <c r="P67" s="113"/>
      <c r="Q67" s="113"/>
      <c r="R67" s="113"/>
      <c r="S67" s="113"/>
      <c r="T67" s="115"/>
      <c r="U67" s="295">
        <f t="shared" ref="U67" si="9">SUM(J67:N67)</f>
        <v>0</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SES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-11.982764733988692</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-2.6262868766534995</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-3.0805964198563092</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-5.5623765977691919</v>
      </c>
      <c r="G4" s="571"/>
      <c r="H4" s="571"/>
      <c r="I4" s="571"/>
      <c r="J4" s="571"/>
      <c r="K4" s="571"/>
      <c r="L4" s="571"/>
      <c r="M4" s="571"/>
      <c r="O4" s="552">
        <f>VLOOKUP($B4,'Calc2 FD'!$C$1:$P$216,14,FALSE)</f>
        <v>-11.260034004682179</v>
      </c>
      <c r="P4" s="571"/>
      <c r="Q4" s="571"/>
      <c r="R4" s="571"/>
      <c r="S4" s="571"/>
      <c r="T4" s="571"/>
      <c r="U4" s="571"/>
      <c r="V4" s="571"/>
      <c r="X4" s="690">
        <f>O4-F4</f>
        <v>-5.6976574069129873</v>
      </c>
      <c r="Y4" s="691"/>
      <c r="Z4" s="691"/>
      <c r="AA4" s="691"/>
      <c r="AB4" s="691"/>
      <c r="AC4" s="691"/>
      <c r="AD4" s="691"/>
      <c r="AE4" s="691"/>
      <c r="AG4" s="550" t="s">
        <v>711</v>
      </c>
      <c r="AH4" s="696">
        <f>VLOOKUP($AG4,'Calc2 BYR'!$C$1:$P$216,14,FALSE)</f>
        <v>-11.982764733988692</v>
      </c>
      <c r="AI4" s="571"/>
      <c r="AJ4" s="571"/>
      <c r="AK4" s="571"/>
      <c r="AL4" s="571"/>
      <c r="AM4" s="571"/>
      <c r="AN4" s="571"/>
      <c r="AO4" s="571"/>
      <c r="AQ4" s="690">
        <f>AH4-O4</f>
        <v>-0.72273072930651239</v>
      </c>
      <c r="AR4" s="691"/>
      <c r="AS4" s="691"/>
      <c r="AT4" s="691"/>
      <c r="AU4" s="691"/>
      <c r="AV4" s="691"/>
      <c r="AW4" s="691"/>
      <c r="AX4" s="691"/>
    </row>
    <row r="5" spans="1:50" s="547" customFormat="1">
      <c r="A5"/>
      <c r="B5" s="550" t="s">
        <v>483</v>
      </c>
      <c r="C5" s="551" t="s">
        <v>503</v>
      </c>
      <c r="D5" s="547" t="s">
        <v>497</v>
      </c>
      <c r="E5" s="547" t="s">
        <v>505</v>
      </c>
      <c r="F5" s="687">
        <f>VLOOKUP($B5,Calc!$C$1:$P$216,14,FALSE)</f>
        <v>0</v>
      </c>
      <c r="G5" s="566"/>
      <c r="H5" s="566"/>
      <c r="I5" s="566"/>
      <c r="J5" s="566"/>
      <c r="K5" s="566"/>
      <c r="L5" s="571"/>
      <c r="M5" s="571"/>
      <c r="O5" s="552">
        <f>VLOOKUP($B5,'Calc2 FD'!$C$1:$P$216,14,FALSE)</f>
        <v>0</v>
      </c>
      <c r="P5" s="566"/>
      <c r="Q5" s="566"/>
      <c r="R5" s="566"/>
      <c r="S5" s="566"/>
      <c r="T5" s="566"/>
      <c r="U5" s="571"/>
      <c r="V5" s="571"/>
      <c r="X5" s="690">
        <f>O5-F5</f>
        <v>0</v>
      </c>
      <c r="Y5" s="692"/>
      <c r="Z5" s="692"/>
      <c r="AA5" s="692"/>
      <c r="AB5" s="692"/>
      <c r="AC5" s="692"/>
      <c r="AD5" s="691"/>
      <c r="AE5" s="691"/>
      <c r="AG5" s="550" t="s">
        <v>712</v>
      </c>
      <c r="AH5" s="696">
        <f>VLOOKUP($AG5,'Calc2 BYR'!$C$1:$P$216,14,FALSE)</f>
        <v>0</v>
      </c>
      <c r="AI5" s="566"/>
      <c r="AJ5" s="566"/>
      <c r="AK5" s="566"/>
      <c r="AL5" s="566"/>
      <c r="AM5" s="566"/>
      <c r="AN5" s="571"/>
      <c r="AO5" s="571"/>
      <c r="AQ5" s="690">
        <f>AH5-O5</f>
        <v>0</v>
      </c>
      <c r="AR5" s="692"/>
      <c r="AS5" s="692"/>
      <c r="AT5" s="692"/>
      <c r="AU5" s="692"/>
      <c r="AV5" s="692"/>
      <c r="AW5" s="691"/>
      <c r="AX5" s="691"/>
    </row>
    <row r="6" spans="1:50" s="547" customFormat="1">
      <c r="B6" s="553" t="s">
        <v>484</v>
      </c>
      <c r="C6" s="547" t="s">
        <v>411</v>
      </c>
      <c r="D6" s="547" t="s">
        <v>497</v>
      </c>
      <c r="E6" s="547" t="s">
        <v>505</v>
      </c>
      <c r="F6" s="571"/>
      <c r="G6" s="687">
        <f>VLOOKUP($B6,Profiling!$C$1:$V$159,16,FALSE)</f>
        <v>-0.70645765152263018</v>
      </c>
      <c r="H6" s="687">
        <f>VLOOKUP($B6,Profiling!$C$1:$V$159,17,FALSE)</f>
        <v>-0.70645765152263018</v>
      </c>
      <c r="I6" s="687">
        <f>VLOOKUP($B6,Profiling!$C$1:$V$159,18,FALSE)</f>
        <v>-0.70645765152263018</v>
      </c>
      <c r="J6" s="687">
        <f>VLOOKUP($B6,Profiling!$C$1:$V$159,19,FALSE)</f>
        <v>-0.70645765152263018</v>
      </c>
      <c r="K6" s="687">
        <f>VLOOKUP($B6,Profiling!$C$1:$V$159,20,FALSE)</f>
        <v>-0.70645765152263018</v>
      </c>
      <c r="L6" s="571"/>
      <c r="M6" s="571"/>
      <c r="O6" s="571"/>
      <c r="P6" s="633">
        <f>VLOOKUP($B6,'Profiling2 FD'!$C$1:$V$159,16,FALSE)</f>
        <v>-0.70645765152263018</v>
      </c>
      <c r="Q6" s="552">
        <f>VLOOKUP($B6,'Profiling2 FD'!$C$1:$V$159,17,FALSE)</f>
        <v>-0.70645765152263018</v>
      </c>
      <c r="R6" s="552">
        <f>VLOOKUP($B6,'Profiling2 FD'!$C$1:$V$159,18,FALSE)</f>
        <v>-0.70645765152263018</v>
      </c>
      <c r="S6" s="552">
        <f>VLOOKUP($B6,'Profiling2 FD'!$C$1:$V$159,19,FALSE)</f>
        <v>-0.70645765152263018</v>
      </c>
      <c r="T6" s="552">
        <f>VLOOKUP($B6,'Profiling2 FD'!$C$1:$V$159,20,FALSE)</f>
        <v>-0.70645765152263018</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-0.66045195385490529</v>
      </c>
      <c r="AJ6" s="696">
        <f>VLOOKUP($AG6,'Profiling2 BYR'!$C$1:$V$159,17,FALSE)</f>
        <v>-0.66045195385490529</v>
      </c>
      <c r="AK6" s="696">
        <f>VLOOKUP($AG6,'Profiling2 BYR'!$C$1:$V$159,18,FALSE)</f>
        <v>-0.66045195385490529</v>
      </c>
      <c r="AL6" s="696">
        <f>VLOOKUP($AG6,'Profiling2 BYR'!$C$1:$V$159,19,FALSE)</f>
        <v>-0.66045195385490529</v>
      </c>
      <c r="AM6" s="696">
        <f>VLOOKUP($AG6,'Profiling2 BYR'!$C$1:$V$159,20,FALSE)</f>
        <v>-0.66045195385490529</v>
      </c>
      <c r="AN6" s="571"/>
      <c r="AO6" s="571"/>
      <c r="AQ6" s="691"/>
      <c r="AR6" s="690">
        <f>AI6-P6</f>
        <v>4.6005697667724887E-2</v>
      </c>
      <c r="AS6" s="690">
        <f t="shared" ref="AS6:AS7" si="1">AJ6-Q6</f>
        <v>4.6005697667724887E-2</v>
      </c>
      <c r="AT6" s="690">
        <f t="shared" ref="AT6:AT7" si="2">AK6-R6</f>
        <v>4.6005697667724887E-2</v>
      </c>
      <c r="AU6" s="690">
        <f t="shared" ref="AU6:AU7" si="3">AL6-S6</f>
        <v>4.6005697667724887E-2</v>
      </c>
      <c r="AV6" s="690">
        <f t="shared" ref="AV6:AV7" si="4">AM6-T6</f>
        <v>4.6005697667724887E-2</v>
      </c>
      <c r="AW6" s="691"/>
      <c r="AX6" s="691"/>
    </row>
    <row r="7" spans="1:50" s="547" customFormat="1">
      <c r="B7" s="553" t="s">
        <v>498</v>
      </c>
      <c r="C7" s="547" t="s">
        <v>412</v>
      </c>
      <c r="D7" s="547" t="s">
        <v>497</v>
      </c>
      <c r="E7" s="547" t="s">
        <v>505</v>
      </c>
      <c r="F7" s="571"/>
      <c r="G7" s="687">
        <f>VLOOKUP($B7,Profiling!$C$1:$V$159,16,FALSE)</f>
        <v>0</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0</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0</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123.56080070282465</v>
      </c>
      <c r="M9" s="570"/>
      <c r="O9" s="570"/>
      <c r="P9" s="570"/>
      <c r="Q9" s="570"/>
      <c r="R9" s="570"/>
      <c r="S9" s="570"/>
      <c r="T9" s="570"/>
      <c r="U9" s="663">
        <f>VLOOKUP($B9,'Calc2 FD'!$C$1:$P$216,5,FALSE)</f>
        <v>123.56080070282465</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123.56080070282465</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123.56080070282465</v>
      </c>
      <c r="M10" s="570"/>
      <c r="O10" s="570"/>
      <c r="P10" s="570"/>
      <c r="Q10" s="570"/>
      <c r="R10" s="570"/>
      <c r="S10" s="570"/>
      <c r="T10" s="570"/>
      <c r="U10" s="663">
        <f>VLOOKUP($B10,'Calc2 FD'!$C$1:$P$216,5,FALSE)</f>
        <v>123.56080070282465</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123.56080070282465</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105.0552987200176</v>
      </c>
      <c r="M11" s="570"/>
      <c r="O11" s="570"/>
      <c r="P11" s="570"/>
      <c r="Q11" s="570"/>
      <c r="R11" s="570"/>
      <c r="S11" s="570"/>
      <c r="T11" s="570"/>
      <c r="U11" s="663">
        <f>VLOOKUP($B11,'Calc2 FD'!$C$1:$P$216,5,FALSE)</f>
        <v>105.0552987200176</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103.85137404394359</v>
      </c>
      <c r="AO11" s="570"/>
      <c r="AQ11" s="695"/>
      <c r="AR11" s="695"/>
      <c r="AS11" s="695"/>
      <c r="AT11" s="695"/>
      <c r="AU11" s="695"/>
      <c r="AV11" s="695"/>
      <c r="AW11" s="690">
        <f t="shared" si="6"/>
        <v>-1.2039246760740099</v>
      </c>
      <c r="AX11" s="695"/>
    </row>
    <row r="12" spans="1:50">
      <c r="B12" s="654" t="s">
        <v>586</v>
      </c>
      <c r="C12" t="s">
        <v>83</v>
      </c>
      <c r="D12" s="547" t="s">
        <v>55</v>
      </c>
      <c r="E12" s="657" t="s">
        <v>505</v>
      </c>
      <c r="F12" s="570"/>
      <c r="G12" s="570"/>
      <c r="H12" s="570"/>
      <c r="I12" s="570"/>
      <c r="J12" s="570"/>
      <c r="K12" s="570"/>
      <c r="L12" s="689">
        <f>VLOOKUP($B12,Calc!$C$1:$P$216,5,FALSE)</f>
        <v>-2.308833512222944</v>
      </c>
      <c r="M12" s="570"/>
      <c r="O12" s="570"/>
      <c r="P12" s="570"/>
      <c r="Q12" s="570"/>
      <c r="R12" s="570"/>
      <c r="S12" s="570"/>
      <c r="T12" s="570"/>
      <c r="U12" s="663">
        <f>VLOOKUP($B12,'Calc2 FD'!$C$1:$P$216,5,FALSE)</f>
        <v>-2.308833512222944</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-2.0894832561717034</v>
      </c>
      <c r="AO12" s="570"/>
      <c r="AQ12" s="695"/>
      <c r="AR12" s="695"/>
      <c r="AS12" s="695"/>
      <c r="AT12" s="695"/>
      <c r="AU12" s="695"/>
      <c r="AV12" s="695"/>
      <c r="AW12" s="690">
        <f t="shared" si="6"/>
        <v>0.21935025605124059</v>
      </c>
      <c r="AX12" s="695"/>
    </row>
    <row r="13" spans="1:50">
      <c r="B13" s="654" t="s">
        <v>587</v>
      </c>
      <c r="C13" t="s">
        <v>176</v>
      </c>
      <c r="D13" s="547" t="s">
        <v>55</v>
      </c>
      <c r="E13" s="657" t="s">
        <v>505</v>
      </c>
      <c r="F13" s="570"/>
      <c r="G13" s="570"/>
      <c r="H13" s="570"/>
      <c r="I13" s="570"/>
      <c r="J13" s="570"/>
      <c r="K13" s="570"/>
      <c r="L13" s="689">
        <f>VLOOKUP($B13,Calc!$C$1:$P$216,5,FALSE)</f>
        <v>0</v>
      </c>
      <c r="M13" s="570"/>
      <c r="O13" s="570"/>
      <c r="P13" s="570"/>
      <c r="Q13" s="570"/>
      <c r="R13" s="570"/>
      <c r="S13" s="570"/>
      <c r="T13" s="570"/>
      <c r="U13" s="663">
        <f>VLOOKUP($B13,'Calc2 FD'!$C$1:$P$216,5,FALSE)</f>
        <v>0</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0</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0</v>
      </c>
      <c r="M14" s="570"/>
      <c r="O14" s="570"/>
      <c r="P14" s="570"/>
      <c r="Q14" s="570"/>
      <c r="R14" s="570"/>
      <c r="S14" s="570"/>
      <c r="T14" s="570"/>
      <c r="U14" s="663">
        <f>VLOOKUP($B14,'Calc2 FD'!$C$1:$P$216,5,FALSE)</f>
        <v>0</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0</v>
      </c>
      <c r="AO14" s="570"/>
      <c r="AQ14" s="695"/>
      <c r="AR14" s="695"/>
      <c r="AS14" s="695"/>
      <c r="AT14" s="695"/>
      <c r="AU14" s="695"/>
      <c r="AV14" s="695"/>
      <c r="AW14" s="690">
        <f t="shared" si="6"/>
        <v>0</v>
      </c>
      <c r="AX14" s="695"/>
    </row>
    <row r="15" spans="1:50">
      <c r="B15" s="654" t="s">
        <v>589</v>
      </c>
      <c r="C15" t="s">
        <v>305</v>
      </c>
      <c r="D15" s="547" t="s">
        <v>55</v>
      </c>
      <c r="E15" s="657" t="s">
        <v>505</v>
      </c>
      <c r="F15" s="570"/>
      <c r="G15" s="570"/>
      <c r="H15" s="570"/>
      <c r="I15" s="570"/>
      <c r="J15" s="570"/>
      <c r="K15" s="570"/>
      <c r="L15" s="689">
        <f>VLOOKUP($B15,Calc!$C$1:$P$216,5,FALSE)</f>
        <v>0</v>
      </c>
      <c r="M15" s="570"/>
      <c r="O15" s="570"/>
      <c r="P15" s="570"/>
      <c r="Q15" s="570"/>
      <c r="R15" s="570"/>
      <c r="S15" s="570"/>
      <c r="T15" s="570"/>
      <c r="U15" s="663">
        <f>VLOOKUP($B15,'Calc2 FD'!$C$1:$P$216,5,FALSE)</f>
        <v>0</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0</v>
      </c>
      <c r="AO15" s="570"/>
      <c r="AQ15" s="695"/>
      <c r="AR15" s="695"/>
      <c r="AS15" s="695"/>
      <c r="AT15" s="695"/>
      <c r="AU15" s="695"/>
      <c r="AV15" s="695"/>
      <c r="AW15" s="690">
        <f t="shared" si="6"/>
        <v>0</v>
      </c>
      <c r="AX15" s="695"/>
    </row>
    <row r="16" spans="1:50">
      <c r="B16" s="22" t="s">
        <v>590</v>
      </c>
      <c r="C16" t="s">
        <v>84</v>
      </c>
      <c r="D16" s="547" t="s">
        <v>55</v>
      </c>
      <c r="E16" s="657" t="s">
        <v>505</v>
      </c>
      <c r="F16" s="570"/>
      <c r="G16" s="570"/>
      <c r="H16" s="570"/>
      <c r="I16" s="570"/>
      <c r="J16" s="570"/>
      <c r="K16" s="570"/>
      <c r="L16" s="689">
        <f>VLOOKUP($B16,Calc!$C$1:$P$216,5,FALSE)</f>
        <v>0</v>
      </c>
      <c r="M16" s="570"/>
      <c r="O16" s="570"/>
      <c r="P16" s="570"/>
      <c r="Q16" s="570"/>
      <c r="R16" s="570"/>
      <c r="S16" s="570"/>
      <c r="T16" s="570"/>
      <c r="U16" s="663">
        <f>VLOOKUP($B16,'Calc2 FD'!$C$1:$P$216,5,FALSE)</f>
        <v>0</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v>
      </c>
      <c r="AO16" s="570"/>
      <c r="AQ16" s="695"/>
      <c r="AR16" s="695"/>
      <c r="AS16" s="695"/>
      <c r="AT16" s="695"/>
      <c r="AU16" s="695"/>
      <c r="AV16" s="695"/>
      <c r="AW16" s="690">
        <f t="shared" si="6"/>
        <v>0</v>
      </c>
      <c r="AX16" s="695"/>
    </row>
    <row r="17" spans="2:50">
      <c r="B17" s="22" t="s">
        <v>591</v>
      </c>
      <c r="C17" t="s">
        <v>605</v>
      </c>
      <c r="D17" s="547" t="s">
        <v>497</v>
      </c>
      <c r="E17" s="547" t="s">
        <v>505</v>
      </c>
      <c r="F17" s="566"/>
      <c r="G17" s="566"/>
      <c r="H17" s="566"/>
      <c r="I17" s="566"/>
      <c r="J17" s="566"/>
      <c r="K17" s="566"/>
      <c r="L17" s="687">
        <f>VLOOKUP($B17,Calc!$C$1:$P$216,14,FALSE)</f>
        <v>-6.5245870835004984</v>
      </c>
      <c r="M17" s="566"/>
      <c r="O17" s="566"/>
      <c r="P17" s="566"/>
      <c r="Q17" s="566"/>
      <c r="R17" s="566"/>
      <c r="S17" s="566"/>
      <c r="T17" s="566"/>
      <c r="U17" s="552">
        <f>VLOOKUP($B17,'Calc2 FD'!$C$1:$P$216,14,FALSE)</f>
        <v>-13.207856594282008</v>
      </c>
      <c r="V17" s="566"/>
      <c r="X17" s="692"/>
      <c r="Y17" s="692"/>
      <c r="Z17" s="692"/>
      <c r="AA17" s="692"/>
      <c r="AB17" s="692"/>
      <c r="AC17" s="692"/>
      <c r="AD17" s="690">
        <f t="shared" si="5"/>
        <v>-6.6832695107815097</v>
      </c>
      <c r="AE17" s="692"/>
      <c r="AG17" s="22" t="s">
        <v>724</v>
      </c>
      <c r="AH17" s="566"/>
      <c r="AI17" s="566"/>
      <c r="AJ17" s="566"/>
      <c r="AK17" s="566"/>
      <c r="AL17" s="566"/>
      <c r="AM17" s="566"/>
      <c r="AN17" s="696">
        <f>VLOOKUP($AG17,'Calc2 BYR'!$C$1:$P$216,14,FALSE)</f>
        <v>-14.055609258704862</v>
      </c>
      <c r="AO17" s="566"/>
      <c r="AQ17" s="692"/>
      <c r="AR17" s="692"/>
      <c r="AS17" s="692"/>
      <c r="AT17" s="692"/>
      <c r="AU17" s="692"/>
      <c r="AV17" s="692"/>
      <c r="AW17" s="690">
        <f t="shared" si="6"/>
        <v>-0.84775266442285435</v>
      </c>
      <c r="AX17" s="692"/>
    </row>
    <row r="18" spans="2:50">
      <c r="B18" s="22" t="s">
        <v>592</v>
      </c>
      <c r="C18" t="s">
        <v>323</v>
      </c>
      <c r="D18" s="547" t="s">
        <v>497</v>
      </c>
      <c r="E18" s="547" t="s">
        <v>505</v>
      </c>
      <c r="F18" s="566"/>
      <c r="G18" s="566"/>
      <c r="H18" s="566"/>
      <c r="I18" s="566"/>
      <c r="J18" s="566"/>
      <c r="K18" s="566"/>
      <c r="L18" s="687">
        <f>VLOOKUP($B18,Calc!$C$1:$P$216,14,FALSE)</f>
        <v>-2.2912658349317145</v>
      </c>
      <c r="M18" s="566"/>
      <c r="O18" s="566"/>
      <c r="P18" s="566"/>
      <c r="Q18" s="566"/>
      <c r="R18" s="566"/>
      <c r="S18" s="566"/>
      <c r="T18" s="566"/>
      <c r="U18" s="552">
        <f>VLOOKUP($B18,'Calc2 FD'!$C$1:$P$216,14,FALSE)</f>
        <v>-2.2912658349317145</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-2.0805664419446104</v>
      </c>
      <c r="AO18" s="566"/>
      <c r="AQ18" s="692"/>
      <c r="AR18" s="692"/>
      <c r="AS18" s="692"/>
      <c r="AT18" s="692"/>
      <c r="AU18" s="692"/>
      <c r="AV18" s="692"/>
      <c r="AW18" s="690">
        <f t="shared" si="6"/>
        <v>0.21069939298710416</v>
      </c>
      <c r="AX18" s="692"/>
    </row>
    <row r="19" spans="2:50">
      <c r="B19" s="22" t="s">
        <v>593</v>
      </c>
      <c r="C19" t="s">
        <v>72</v>
      </c>
      <c r="D19" s="547" t="s">
        <v>497</v>
      </c>
      <c r="E19" s="547" t="s">
        <v>505</v>
      </c>
      <c r="F19" s="566"/>
      <c r="G19" s="566"/>
      <c r="H19" s="566"/>
      <c r="I19" s="566"/>
      <c r="J19" s="566"/>
      <c r="K19" s="566"/>
      <c r="L19" s="687">
        <f>VLOOKUP($B19,Calc!$C$1:$P$216,14,FALSE)</f>
        <v>-2.7883114435847953</v>
      </c>
      <c r="M19" s="566"/>
      <c r="O19" s="566"/>
      <c r="P19" s="566"/>
      <c r="Q19" s="566"/>
      <c r="R19" s="566"/>
      <c r="S19" s="566"/>
      <c r="T19" s="566"/>
      <c r="U19" s="552">
        <f>VLOOKUP($B19,'Calc2 FD'!$C$1:$P$216,14,FALSE)</f>
        <v>-2.7883114435847953</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-2.7883114435847953</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0.49704560865308089</v>
      </c>
      <c r="M20" s="566"/>
      <c r="O20" s="566"/>
      <c r="P20" s="566"/>
      <c r="Q20" s="566"/>
      <c r="R20" s="566"/>
      <c r="S20" s="566"/>
      <c r="T20" s="566"/>
      <c r="U20" s="552">
        <f>VLOOKUP($B20,'Calc2 FD'!$C$1:$P$216,14,FALSE)</f>
        <v>0.49704560865308089</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0.70774500164018506</v>
      </c>
      <c r="AO20" s="566"/>
      <c r="AQ20" s="692"/>
      <c r="AR20" s="692"/>
      <c r="AS20" s="692"/>
      <c r="AT20" s="692"/>
      <c r="AU20" s="692"/>
      <c r="AV20" s="692"/>
      <c r="AW20" s="690">
        <f t="shared" si="6"/>
        <v>0.21069939298710416</v>
      </c>
      <c r="AX20" s="692"/>
    </row>
    <row r="21" spans="2:50">
      <c r="B21" s="22" t="s">
        <v>595</v>
      </c>
      <c r="C21" t="s">
        <v>248</v>
      </c>
      <c r="D21" s="547" t="s">
        <v>497</v>
      </c>
      <c r="E21" s="547" t="s">
        <v>505</v>
      </c>
      <c r="F21" s="566"/>
      <c r="G21" s="566"/>
      <c r="H21" s="566"/>
      <c r="I21" s="566"/>
      <c r="J21" s="566"/>
      <c r="K21" s="566"/>
      <c r="L21" s="687">
        <f>VLOOKUP($B21,Calc!$C$1:$P$216,14,FALSE)</f>
        <v>-3.5084925478066373</v>
      </c>
      <c r="M21" s="566"/>
      <c r="O21" s="566"/>
      <c r="P21" s="566"/>
      <c r="Q21" s="566"/>
      <c r="R21" s="566"/>
      <c r="S21" s="566"/>
      <c r="T21" s="566"/>
      <c r="U21" s="552">
        <f>VLOOKUP($B21,'Calc2 FD'!$C$1:$P$216,14,FALSE)</f>
        <v>-3.5084925478066373</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-3.5318057460782657</v>
      </c>
      <c r="AO21" s="566"/>
      <c r="AQ21" s="692"/>
      <c r="AR21" s="692"/>
      <c r="AS21" s="692"/>
      <c r="AT21" s="692"/>
      <c r="AU21" s="692"/>
      <c r="AV21" s="692"/>
      <c r="AW21" s="690">
        <f t="shared" si="6"/>
        <v>-2.3313198271628366E-2</v>
      </c>
      <c r="AX21" s="692"/>
    </row>
    <row r="22" spans="2:50">
      <c r="B22" s="22" t="s">
        <v>596</v>
      </c>
      <c r="C22" t="s">
        <v>606</v>
      </c>
      <c r="D22" s="547" t="s">
        <v>497</v>
      </c>
      <c r="E22" s="547" t="s">
        <v>505</v>
      </c>
      <c r="F22" s="566"/>
      <c r="G22" s="566"/>
      <c r="H22" s="566"/>
      <c r="I22" s="566"/>
      <c r="J22" s="566"/>
      <c r="K22" s="566"/>
      <c r="L22" s="687">
        <f>VLOOKUP($B22,Calc!$C$1:$P$216,14,FALSE)</f>
        <v>-3.0114469391535565</v>
      </c>
      <c r="M22" s="566"/>
      <c r="O22" s="566"/>
      <c r="P22" s="566"/>
      <c r="Q22" s="566"/>
      <c r="R22" s="566"/>
      <c r="S22" s="566"/>
      <c r="T22" s="566"/>
      <c r="U22" s="552">
        <f>VLOOKUP($B22,'Calc2 FD'!$C$1:$P$216,14,FALSE)</f>
        <v>-3.0114469391535565</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-2.8240607444380812</v>
      </c>
      <c r="AO22" s="566"/>
      <c r="AQ22" s="692"/>
      <c r="AR22" s="692"/>
      <c r="AS22" s="692"/>
      <c r="AT22" s="692"/>
      <c r="AU22" s="692"/>
      <c r="AV22" s="692"/>
      <c r="AW22" s="690">
        <f t="shared" si="6"/>
        <v>0.18738619471547535</v>
      </c>
      <c r="AX22" s="692"/>
    </row>
    <row r="23" spans="2:50">
      <c r="B23" s="22" t="s">
        <v>597</v>
      </c>
      <c r="C23" t="s">
        <v>610</v>
      </c>
      <c r="D23" s="547" t="s">
        <v>497</v>
      </c>
      <c r="E23" s="547" t="s">
        <v>505</v>
      </c>
      <c r="F23" s="566"/>
      <c r="G23" s="566"/>
      <c r="H23" s="566"/>
      <c r="I23" s="566"/>
      <c r="J23" s="566"/>
      <c r="K23" s="566"/>
      <c r="L23" s="687">
        <f>VLOOKUP($B23,Calc!$C$1:$P$216,14,FALSE)</f>
        <v>-3.2951843042602675</v>
      </c>
      <c r="M23" s="566"/>
      <c r="O23" s="566"/>
      <c r="P23" s="566"/>
      <c r="Q23" s="566"/>
      <c r="R23" s="566"/>
      <c r="S23" s="566"/>
      <c r="T23" s="566"/>
      <c r="U23" s="552">
        <f>VLOOKUP($B23,'Calc2 FD'!$C$1:$P$216,14,FALSE)</f>
        <v>-3.2951843042602675</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-3.0805964198563092</v>
      </c>
      <c r="AO23" s="566"/>
      <c r="AQ23" s="692"/>
      <c r="AR23" s="692"/>
      <c r="AS23" s="692"/>
      <c r="AT23" s="692"/>
      <c r="AU23" s="692"/>
      <c r="AV23" s="692"/>
      <c r="AW23" s="690">
        <f t="shared" si="6"/>
        <v>0.21458788440395837</v>
      </c>
      <c r="AX23" s="692"/>
    </row>
    <row r="24" spans="2:50">
      <c r="B24" s="22" t="s">
        <v>598</v>
      </c>
      <c r="C24" t="s">
        <v>607</v>
      </c>
      <c r="D24" s="547" t="s">
        <v>497</v>
      </c>
      <c r="E24" s="547" t="s">
        <v>505</v>
      </c>
      <c r="F24" s="566"/>
      <c r="G24" s="566"/>
      <c r="H24" s="566"/>
      <c r="I24" s="566"/>
      <c r="J24" s="566"/>
      <c r="K24" s="566"/>
      <c r="L24" s="687">
        <f>VLOOKUP($B24,Calc!$C$1:$P$216,14,FALSE)</f>
        <v>0</v>
      </c>
      <c r="M24" s="566"/>
      <c r="O24" s="566"/>
      <c r="P24" s="566"/>
      <c r="Q24" s="566"/>
      <c r="R24" s="566"/>
      <c r="S24" s="566"/>
      <c r="T24" s="566"/>
      <c r="U24" s="552">
        <f>VLOOKUP($B24,'Calc2 FD'!$C$1:$P$216,14,FALSE)</f>
        <v>0</v>
      </c>
      <c r="V24" s="566"/>
      <c r="X24" s="692"/>
      <c r="Y24" s="692"/>
      <c r="Z24" s="692"/>
      <c r="AA24" s="692"/>
      <c r="AB24" s="692"/>
      <c r="AC24" s="692"/>
      <c r="AD24" s="690">
        <f t="shared" si="5"/>
        <v>0</v>
      </c>
      <c r="AE24" s="692"/>
      <c r="AG24" s="22" t="s">
        <v>731</v>
      </c>
      <c r="AH24" s="566"/>
      <c r="AI24" s="566"/>
      <c r="AJ24" s="566"/>
      <c r="AK24" s="566"/>
      <c r="AL24" s="566"/>
      <c r="AM24" s="566"/>
      <c r="AN24" s="696">
        <f>VLOOKUP($AG24,'Calc2 BYR'!$C$1:$P$216,14,FALSE)</f>
        <v>0</v>
      </c>
      <c r="AO24" s="566"/>
      <c r="AQ24" s="692"/>
      <c r="AR24" s="692"/>
      <c r="AS24" s="692"/>
      <c r="AT24" s="692"/>
      <c r="AU24" s="692"/>
      <c r="AV24" s="692"/>
      <c r="AW24" s="690">
        <f t="shared" si="6"/>
        <v>0</v>
      </c>
      <c r="AX24" s="692"/>
    </row>
    <row r="25" spans="2:50">
      <c r="B25" s="22" t="s">
        <v>599</v>
      </c>
      <c r="C25" t="s">
        <v>324</v>
      </c>
      <c r="D25" s="547" t="s">
        <v>497</v>
      </c>
      <c r="E25" s="547" t="s">
        <v>505</v>
      </c>
      <c r="F25" s="566"/>
      <c r="G25" s="566"/>
      <c r="H25" s="566"/>
      <c r="I25" s="566"/>
      <c r="J25" s="566"/>
      <c r="K25" s="566"/>
      <c r="L25" s="687">
        <f>VLOOKUP($B25,Calc!$C$1:$P$216,14,FALSE)</f>
        <v>0</v>
      </c>
      <c r="M25" s="566"/>
      <c r="O25" s="566"/>
      <c r="P25" s="566"/>
      <c r="Q25" s="566"/>
      <c r="R25" s="566"/>
      <c r="S25" s="566"/>
      <c r="T25" s="566"/>
      <c r="U25" s="552">
        <f>VLOOKUP($B25,'Calc2 FD'!$C$1:$P$216,14,FALSE)</f>
        <v>0</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0</v>
      </c>
      <c r="AO25" s="566"/>
      <c r="AQ25" s="692"/>
      <c r="AR25" s="692"/>
      <c r="AS25" s="692"/>
      <c r="AT25" s="692"/>
      <c r="AU25" s="692"/>
      <c r="AV25" s="692"/>
      <c r="AW25" s="690">
        <f t="shared" si="6"/>
        <v>0</v>
      </c>
      <c r="AX25" s="692"/>
    </row>
    <row r="26" spans="2:50">
      <c r="B26" s="22" t="s">
        <v>600</v>
      </c>
      <c r="C26" t="s">
        <v>73</v>
      </c>
      <c r="D26" s="547" t="s">
        <v>497</v>
      </c>
      <c r="E26" s="547" t="s">
        <v>505</v>
      </c>
      <c r="F26" s="566"/>
      <c r="G26" s="566"/>
      <c r="H26" s="566"/>
      <c r="I26" s="566"/>
      <c r="J26" s="566"/>
      <c r="K26" s="566"/>
      <c r="L26" s="687">
        <f>VLOOKUP($B26,Calc!$C$1:$P$216,14,FALSE)</f>
        <v>0</v>
      </c>
      <c r="M26" s="566"/>
      <c r="O26" s="566"/>
      <c r="P26" s="566"/>
      <c r="Q26" s="566"/>
      <c r="R26" s="566"/>
      <c r="S26" s="566"/>
      <c r="T26" s="566"/>
      <c r="U26" s="552">
        <f>VLOOKUP($B26,'Calc2 FD'!$C$1:$P$216,14,FALSE)</f>
        <v>0</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0</v>
      </c>
      <c r="M27" s="566"/>
      <c r="O27" s="566"/>
      <c r="P27" s="566"/>
      <c r="Q27" s="566"/>
      <c r="R27" s="566"/>
      <c r="S27" s="566"/>
      <c r="T27" s="566"/>
      <c r="U27" s="552">
        <f>VLOOKUP($B27,'Calc2 FD'!$C$1:$P$216,14,FALSE)</f>
        <v>0</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0</v>
      </c>
      <c r="AO27" s="566"/>
      <c r="AQ27" s="692"/>
      <c r="AR27" s="692"/>
      <c r="AS27" s="692"/>
      <c r="AT27" s="692"/>
      <c r="AU27" s="692"/>
      <c r="AV27" s="692"/>
      <c r="AW27" s="690">
        <f t="shared" si="6"/>
        <v>0</v>
      </c>
      <c r="AX27" s="692"/>
    </row>
    <row r="28" spans="2:50">
      <c r="B28" s="22" t="s">
        <v>602</v>
      </c>
      <c r="C28" t="s">
        <v>249</v>
      </c>
      <c r="D28" s="547" t="s">
        <v>497</v>
      </c>
      <c r="E28" s="547" t="s">
        <v>505</v>
      </c>
      <c r="F28" s="566"/>
      <c r="G28" s="566"/>
      <c r="H28" s="566"/>
      <c r="I28" s="566"/>
      <c r="J28" s="566"/>
      <c r="K28" s="566"/>
      <c r="L28" s="687">
        <f>VLOOKUP($B28,Calc!$C$1:$P$216,14,FALSE)</f>
        <v>0</v>
      </c>
      <c r="M28" s="566"/>
      <c r="O28" s="566"/>
      <c r="P28" s="566"/>
      <c r="Q28" s="566"/>
      <c r="R28" s="566"/>
      <c r="S28" s="566"/>
      <c r="T28" s="566"/>
      <c r="U28" s="552">
        <f>VLOOKUP($B28,'Calc2 FD'!$C$1:$P$216,14,FALSE)</f>
        <v>0</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0</v>
      </c>
      <c r="AO28" s="566"/>
      <c r="AQ28" s="692"/>
      <c r="AR28" s="692"/>
      <c r="AS28" s="692"/>
      <c r="AT28" s="692"/>
      <c r="AU28" s="692"/>
      <c r="AV28" s="692"/>
      <c r="AW28" s="690">
        <f t="shared" si="6"/>
        <v>0</v>
      </c>
      <c r="AX28" s="692"/>
    </row>
    <row r="29" spans="2:50">
      <c r="B29" s="22" t="s">
        <v>603</v>
      </c>
      <c r="C29" t="s">
        <v>608</v>
      </c>
      <c r="D29" s="547" t="s">
        <v>497</v>
      </c>
      <c r="E29" s="547" t="s">
        <v>505</v>
      </c>
      <c r="F29" s="566"/>
      <c r="G29" s="566"/>
      <c r="H29" s="566"/>
      <c r="I29" s="566"/>
      <c r="J29" s="566"/>
      <c r="K29" s="566"/>
      <c r="L29" s="687">
        <f>VLOOKUP($B29,Calc!$C$1:$P$216,14,FALSE)</f>
        <v>0</v>
      </c>
      <c r="M29" s="566"/>
      <c r="O29" s="566"/>
      <c r="P29" s="566"/>
      <c r="Q29" s="566"/>
      <c r="R29" s="566"/>
      <c r="S29" s="566"/>
      <c r="T29" s="566"/>
      <c r="U29" s="552">
        <f>VLOOKUP($B29,'Calc2 FD'!$C$1:$P$216,14,FALSE)</f>
        <v>0</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0</v>
      </c>
      <c r="AO29" s="566"/>
      <c r="AQ29" s="692"/>
      <c r="AR29" s="692"/>
      <c r="AS29" s="692"/>
      <c r="AT29" s="692"/>
      <c r="AU29" s="692"/>
      <c r="AV29" s="692"/>
      <c r="AW29" s="690">
        <f t="shared" si="6"/>
        <v>0</v>
      </c>
      <c r="AX29" s="692"/>
    </row>
    <row r="30" spans="2:50">
      <c r="B30" s="22" t="s">
        <v>611</v>
      </c>
      <c r="C30" t="s">
        <v>609</v>
      </c>
      <c r="D30" s="547" t="s">
        <v>497</v>
      </c>
      <c r="E30" s="547" t="s">
        <v>505</v>
      </c>
      <c r="F30" s="566"/>
      <c r="G30" s="566"/>
      <c r="H30" s="566"/>
      <c r="I30" s="566"/>
      <c r="J30" s="566"/>
      <c r="K30" s="566"/>
      <c r="L30" s="687">
        <f>VLOOKUP($B30,Calc!$C$1:$P$216,14,FALSE)</f>
        <v>0</v>
      </c>
      <c r="M30" s="566"/>
      <c r="O30" s="566"/>
      <c r="P30" s="566"/>
      <c r="Q30" s="566"/>
      <c r="R30" s="566"/>
      <c r="S30" s="566"/>
      <c r="T30" s="566"/>
      <c r="U30" s="552">
        <f>VLOOKUP($B30,'Calc2 FD'!$C$1:$P$216,14,FALSE)</f>
        <v>0</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0</v>
      </c>
      <c r="AO30" s="566"/>
      <c r="AQ30" s="692"/>
      <c r="AR30" s="692"/>
      <c r="AS30" s="692"/>
      <c r="AT30" s="692"/>
      <c r="AU30" s="692"/>
      <c r="AV30" s="692"/>
      <c r="AW30" s="690">
        <f>AN30-U30</f>
        <v>0</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9" customWidth="1"/>
    <col min="2" max="2" width="12" customWidth="1"/>
    <col min="3" max="3" width="24.88671875" customWidth="1"/>
    <col min="4" max="4" width="2.6640625" customWidth="1"/>
    <col min="5" max="5" width="28.21875"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-11.260034004682179</v>
      </c>
      <c r="G4" s="686"/>
      <c r="H4" s="571"/>
      <c r="I4" s="571"/>
      <c r="J4" s="571"/>
      <c r="K4" s="571"/>
      <c r="L4" s="571"/>
      <c r="M4" s="571"/>
    </row>
    <row r="5" spans="1:13" s="547" customFormat="1">
      <c r="A5"/>
      <c r="B5" s="550" t="s">
        <v>483</v>
      </c>
      <c r="C5" s="547" t="s">
        <v>503</v>
      </c>
      <c r="D5" s="547" t="s">
        <v>497</v>
      </c>
      <c r="E5" t="s">
        <v>742</v>
      </c>
      <c r="F5" s="552">
        <f>VLOOKUP($B5,'Calc2 FD'!$C$1:$P$216,14,FALSE)</f>
        <v>0</v>
      </c>
      <c r="G5" s="686"/>
      <c r="H5" s="566"/>
      <c r="I5" s="566"/>
      <c r="J5" s="566"/>
      <c r="K5" s="566"/>
      <c r="L5" s="571"/>
      <c r="M5" s="571"/>
    </row>
    <row r="6" spans="1:13" s="547" customFormat="1">
      <c r="B6" s="553" t="s">
        <v>484</v>
      </c>
      <c r="C6" s="547" t="s">
        <v>411</v>
      </c>
      <c r="D6" s="547" t="s">
        <v>497</v>
      </c>
      <c r="E6" t="s">
        <v>742</v>
      </c>
      <c r="F6" s="571"/>
      <c r="G6" s="633">
        <f>VLOOKUP($B6,'Profiling2 FD'!$C$1:$V$159,16,FALSE)</f>
        <v>-0.70645765152263018</v>
      </c>
      <c r="H6" s="552">
        <f>VLOOKUP($B6,'Profiling2 FD'!$C$1:$V$159,17,FALSE)</f>
        <v>-0.70645765152263018</v>
      </c>
      <c r="I6" s="552">
        <f>VLOOKUP($B6,'Profiling2 FD'!$C$1:$V$159,18,FALSE)</f>
        <v>-0.70645765152263018</v>
      </c>
      <c r="J6" s="552">
        <f>VLOOKUP($B6,'Profiling2 FD'!$C$1:$V$159,19,FALSE)</f>
        <v>-0.70645765152263018</v>
      </c>
      <c r="K6" s="552">
        <f>VLOOKUP($B6,'Profiling2 FD'!$C$1:$V$159,20,FALSE)</f>
        <v>-0.70645765152263018</v>
      </c>
      <c r="L6" s="686"/>
      <c r="M6" s="571"/>
    </row>
    <row r="7" spans="1:13" s="547" customFormat="1">
      <c r="B7" s="553" t="s">
        <v>498</v>
      </c>
      <c r="C7" s="547" t="s">
        <v>412</v>
      </c>
      <c r="D7" s="547" t="s">
        <v>497</v>
      </c>
      <c r="E7" t="s">
        <v>742</v>
      </c>
      <c r="F7" s="571"/>
      <c r="G7" s="552">
        <f>VLOOKUP($B7,'Profiling2 FD'!$C$1:$V$159,16,FALSE)</f>
        <v>0</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123.56080070282465</v>
      </c>
      <c r="M9" s="703"/>
    </row>
    <row r="10" spans="1:13">
      <c r="B10" s="654" t="s">
        <v>584</v>
      </c>
      <c r="C10" t="s">
        <v>312</v>
      </c>
      <c r="D10" s="547" t="s">
        <v>55</v>
      </c>
      <c r="E10" t="s">
        <v>742</v>
      </c>
      <c r="F10" s="570"/>
      <c r="G10" s="570"/>
      <c r="H10" s="570"/>
      <c r="I10" s="570"/>
      <c r="J10" s="570"/>
      <c r="K10" s="570"/>
      <c r="L10" s="663">
        <f>VLOOKUP($B10,'Calc2 FD'!$C$1:$P$216,5,FALSE)</f>
        <v>123.56080070282465</v>
      </c>
      <c r="M10" s="703"/>
    </row>
    <row r="11" spans="1:13">
      <c r="B11" s="654" t="s">
        <v>585</v>
      </c>
      <c r="C11" t="s">
        <v>304</v>
      </c>
      <c r="D11" s="547" t="s">
        <v>55</v>
      </c>
      <c r="E11" t="s">
        <v>742</v>
      </c>
      <c r="F11" s="570"/>
      <c r="G11" s="570"/>
      <c r="H11" s="570"/>
      <c r="I11" s="570"/>
      <c r="J11" s="570"/>
      <c r="K11" s="570"/>
      <c r="L11" s="663">
        <f>VLOOKUP($B11,'Calc2 FD'!$C$1:$P$216,5,FALSE)</f>
        <v>105.0552987200176</v>
      </c>
      <c r="M11" s="703"/>
    </row>
    <row r="12" spans="1:13">
      <c r="B12" s="654" t="s">
        <v>586</v>
      </c>
      <c r="C12" t="s">
        <v>83</v>
      </c>
      <c r="D12" s="547" t="s">
        <v>55</v>
      </c>
      <c r="E12" t="s">
        <v>742</v>
      </c>
      <c r="F12" s="570"/>
      <c r="G12" s="570"/>
      <c r="H12" s="570"/>
      <c r="I12" s="570"/>
      <c r="J12" s="570"/>
      <c r="K12" s="570"/>
      <c r="L12" s="663">
        <f>VLOOKUP($B12,'Calc2 FD'!$C$1:$P$216,5,FALSE)</f>
        <v>-2.308833512222944</v>
      </c>
      <c r="M12" s="703"/>
    </row>
    <row r="13" spans="1:13">
      <c r="B13" s="654" t="s">
        <v>587</v>
      </c>
      <c r="C13" t="s">
        <v>176</v>
      </c>
      <c r="D13" s="547" t="s">
        <v>55</v>
      </c>
      <c r="E13" t="s">
        <v>742</v>
      </c>
      <c r="F13" s="570"/>
      <c r="G13" s="570"/>
      <c r="H13" s="570"/>
      <c r="I13" s="570"/>
      <c r="J13" s="570"/>
      <c r="K13" s="570"/>
      <c r="L13" s="663">
        <f>VLOOKUP($B13,'Calc2 FD'!$C$1:$P$216,5,FALSE)</f>
        <v>0</v>
      </c>
      <c r="M13" s="703"/>
    </row>
    <row r="14" spans="1:13">
      <c r="B14" s="654" t="s">
        <v>588</v>
      </c>
      <c r="C14" t="s">
        <v>313</v>
      </c>
      <c r="D14" s="547" t="s">
        <v>55</v>
      </c>
      <c r="E14" t="s">
        <v>742</v>
      </c>
      <c r="F14" s="570"/>
      <c r="G14" s="570"/>
      <c r="H14" s="570"/>
      <c r="I14" s="570"/>
      <c r="J14" s="570"/>
      <c r="K14" s="570"/>
      <c r="L14" s="663">
        <f>VLOOKUP($B14,'Calc2 FD'!$C$1:$P$216,5,FALSE)</f>
        <v>0</v>
      </c>
      <c r="M14" s="703"/>
    </row>
    <row r="15" spans="1:13">
      <c r="B15" s="654" t="s">
        <v>589</v>
      </c>
      <c r="C15" t="s">
        <v>305</v>
      </c>
      <c r="D15" s="547" t="s">
        <v>55</v>
      </c>
      <c r="E15" t="s">
        <v>742</v>
      </c>
      <c r="F15" s="570"/>
      <c r="G15" s="570"/>
      <c r="H15" s="570"/>
      <c r="I15" s="570"/>
      <c r="J15" s="570"/>
      <c r="K15" s="570"/>
      <c r="L15" s="663">
        <f>VLOOKUP($B15,'Calc2 FD'!$C$1:$P$216,5,FALSE)</f>
        <v>0</v>
      </c>
      <c r="M15" s="703"/>
    </row>
    <row r="16" spans="1:13">
      <c r="B16" s="22" t="s">
        <v>590</v>
      </c>
      <c r="C16" t="s">
        <v>84</v>
      </c>
      <c r="D16" s="547" t="s">
        <v>55</v>
      </c>
      <c r="E16" t="s">
        <v>742</v>
      </c>
      <c r="F16" s="570"/>
      <c r="G16" s="570"/>
      <c r="H16" s="570"/>
      <c r="I16" s="570"/>
      <c r="J16" s="570"/>
      <c r="K16" s="570"/>
      <c r="L16" s="663">
        <f>VLOOKUP($B16,'Calc2 FD'!$C$1:$P$216,5,FALSE)</f>
        <v>0</v>
      </c>
      <c r="M16" s="703"/>
    </row>
    <row r="17" spans="1:13">
      <c r="B17" s="22" t="s">
        <v>591</v>
      </c>
      <c r="C17" t="s">
        <v>605</v>
      </c>
      <c r="D17" s="547" t="s">
        <v>497</v>
      </c>
      <c r="E17" t="s">
        <v>742</v>
      </c>
      <c r="F17" s="566"/>
      <c r="G17" s="566"/>
      <c r="H17" s="566"/>
      <c r="I17" s="566"/>
      <c r="J17" s="566"/>
      <c r="K17" s="566"/>
      <c r="L17" s="552">
        <f>VLOOKUP($B17,'Calc2 FD'!$C$1:$P$216,14,FALSE)</f>
        <v>-13.207856594282008</v>
      </c>
      <c r="M17" s="686"/>
    </row>
    <row r="18" spans="1:13">
      <c r="B18" s="22" t="s">
        <v>592</v>
      </c>
      <c r="C18" t="s">
        <v>323</v>
      </c>
      <c r="D18" s="547" t="s">
        <v>497</v>
      </c>
      <c r="E18" t="s">
        <v>742</v>
      </c>
      <c r="F18" s="566"/>
      <c r="G18" s="566"/>
      <c r="H18" s="566"/>
      <c r="I18" s="566"/>
      <c r="J18" s="566"/>
      <c r="K18" s="566"/>
      <c r="L18" s="552">
        <f>VLOOKUP($B18,'Calc2 FD'!$C$1:$P$216,14,FALSE)</f>
        <v>-2.2912658349317145</v>
      </c>
      <c r="M18" s="686"/>
    </row>
    <row r="19" spans="1:13">
      <c r="B19" s="22" t="s">
        <v>593</v>
      </c>
      <c r="C19" t="s">
        <v>72</v>
      </c>
      <c r="D19" s="547" t="s">
        <v>497</v>
      </c>
      <c r="E19" t="s">
        <v>742</v>
      </c>
      <c r="F19" s="566"/>
      <c r="G19" s="566"/>
      <c r="H19" s="566"/>
      <c r="I19" s="566"/>
      <c r="J19" s="566"/>
      <c r="K19" s="566"/>
      <c r="L19" s="552">
        <f>VLOOKUP($B19,'Calc2 FD'!$C$1:$P$216,14,FALSE)</f>
        <v>-2.7883114435847953</v>
      </c>
      <c r="M19" s="686"/>
    </row>
    <row r="20" spans="1:13">
      <c r="B20" s="22" t="s">
        <v>594</v>
      </c>
      <c r="C20" t="s">
        <v>244</v>
      </c>
      <c r="D20" s="547" t="s">
        <v>497</v>
      </c>
      <c r="E20" t="s">
        <v>742</v>
      </c>
      <c r="F20" s="566"/>
      <c r="G20" s="566"/>
      <c r="H20" s="566"/>
      <c r="I20" s="566"/>
      <c r="J20" s="566"/>
      <c r="K20" s="566"/>
      <c r="L20" s="552">
        <f>VLOOKUP($B20,'Calc2 FD'!$C$1:$P$216,14,FALSE)</f>
        <v>0.49704560865308089</v>
      </c>
      <c r="M20" s="686"/>
    </row>
    <row r="21" spans="1:13">
      <c r="B21" s="22" t="s">
        <v>595</v>
      </c>
      <c r="C21" t="s">
        <v>248</v>
      </c>
      <c r="D21" s="547" t="s">
        <v>497</v>
      </c>
      <c r="E21" t="s">
        <v>742</v>
      </c>
      <c r="F21" s="566"/>
      <c r="G21" s="566"/>
      <c r="H21" s="566"/>
      <c r="I21" s="566"/>
      <c r="J21" s="566"/>
      <c r="K21" s="566"/>
      <c r="L21" s="552">
        <f>VLOOKUP($B21,'Calc2 FD'!$C$1:$P$216,14,FALSE)</f>
        <v>-3.5084925478066373</v>
      </c>
      <c r="M21" s="686"/>
    </row>
    <row r="22" spans="1:13">
      <c r="B22" s="22" t="s">
        <v>596</v>
      </c>
      <c r="C22" t="s">
        <v>606</v>
      </c>
      <c r="D22" s="547" t="s">
        <v>497</v>
      </c>
      <c r="E22" t="s">
        <v>742</v>
      </c>
      <c r="F22" s="566"/>
      <c r="G22" s="566"/>
      <c r="H22" s="566"/>
      <c r="I22" s="566"/>
      <c r="J22" s="566"/>
      <c r="K22" s="566"/>
      <c r="L22" s="552">
        <f>VLOOKUP($B22,'Calc2 FD'!$C$1:$P$216,14,FALSE)</f>
        <v>-3.0114469391535565</v>
      </c>
      <c r="M22" s="686"/>
    </row>
    <row r="23" spans="1:13">
      <c r="B23" s="22" t="s">
        <v>597</v>
      </c>
      <c r="C23" t="s">
        <v>610</v>
      </c>
      <c r="D23" s="547" t="s">
        <v>497</v>
      </c>
      <c r="E23" t="s">
        <v>742</v>
      </c>
      <c r="F23" s="566"/>
      <c r="G23" s="566"/>
      <c r="H23" s="566"/>
      <c r="I23" s="566"/>
      <c r="J23" s="566"/>
      <c r="K23" s="566"/>
      <c r="L23" s="552">
        <f>VLOOKUP($B23,'Calc2 FD'!$C$1:$P$216,14,FALSE)</f>
        <v>-3.2951843042602675</v>
      </c>
      <c r="M23" s="686"/>
    </row>
    <row r="24" spans="1:13">
      <c r="B24" s="22" t="s">
        <v>598</v>
      </c>
      <c r="C24" t="s">
        <v>607</v>
      </c>
      <c r="D24" s="547" t="s">
        <v>497</v>
      </c>
      <c r="E24" t="s">
        <v>742</v>
      </c>
      <c r="F24" s="566"/>
      <c r="G24" s="566"/>
      <c r="H24" s="566"/>
      <c r="I24" s="566"/>
      <c r="J24" s="566"/>
      <c r="K24" s="566"/>
      <c r="L24" s="552">
        <f>VLOOKUP($B24,'Calc2 FD'!$C$1:$P$216,14,FALSE)</f>
        <v>0</v>
      </c>
      <c r="M24" s="686"/>
    </row>
    <row r="25" spans="1:13">
      <c r="B25" s="22" t="s">
        <v>599</v>
      </c>
      <c r="C25" t="s">
        <v>324</v>
      </c>
      <c r="D25" s="547" t="s">
        <v>497</v>
      </c>
      <c r="E25" t="s">
        <v>742</v>
      </c>
      <c r="F25" s="566"/>
      <c r="G25" s="566"/>
      <c r="H25" s="566"/>
      <c r="I25" s="566"/>
      <c r="J25" s="566"/>
      <c r="K25" s="566"/>
      <c r="L25" s="552">
        <f>VLOOKUP($B25,'Calc2 FD'!$C$1:$P$216,14,FALSE)</f>
        <v>0</v>
      </c>
      <c r="M25" s="686"/>
    </row>
    <row r="26" spans="1:13">
      <c r="B26" s="22" t="s">
        <v>600</v>
      </c>
      <c r="C26" t="s">
        <v>73</v>
      </c>
      <c r="D26" s="547" t="s">
        <v>497</v>
      </c>
      <c r="E26" t="s">
        <v>742</v>
      </c>
      <c r="F26" s="566"/>
      <c r="G26" s="566"/>
      <c r="H26" s="566"/>
      <c r="I26" s="566"/>
      <c r="J26" s="566"/>
      <c r="K26" s="566"/>
      <c r="L26" s="552">
        <f>VLOOKUP($B26,'Calc2 FD'!$C$1:$P$216,14,FALSE)</f>
        <v>0</v>
      </c>
      <c r="M26" s="686"/>
    </row>
    <row r="27" spans="1:13">
      <c r="B27" s="22" t="s">
        <v>601</v>
      </c>
      <c r="C27" t="s">
        <v>245</v>
      </c>
      <c r="D27" s="547" t="s">
        <v>497</v>
      </c>
      <c r="E27" t="s">
        <v>742</v>
      </c>
      <c r="F27" s="566"/>
      <c r="G27" s="566"/>
      <c r="H27" s="566"/>
      <c r="I27" s="566"/>
      <c r="J27" s="566"/>
      <c r="K27" s="566"/>
      <c r="L27" s="552">
        <f>VLOOKUP($B27,'Calc2 FD'!$C$1:$P$216,14,FALSE)</f>
        <v>0</v>
      </c>
      <c r="M27" s="686"/>
    </row>
    <row r="28" spans="1:13">
      <c r="B28" s="22" t="s">
        <v>602</v>
      </c>
      <c r="C28" t="s">
        <v>249</v>
      </c>
      <c r="D28" s="547" t="s">
        <v>497</v>
      </c>
      <c r="E28" t="s">
        <v>742</v>
      </c>
      <c r="F28" s="566"/>
      <c r="G28" s="566"/>
      <c r="H28" s="566"/>
      <c r="I28" s="566"/>
      <c r="J28" s="566"/>
      <c r="K28" s="566"/>
      <c r="L28" s="552">
        <f>VLOOKUP($B28,'Calc2 FD'!$C$1:$P$216,14,FALSE)</f>
        <v>0</v>
      </c>
      <c r="M28" s="686"/>
    </row>
    <row r="29" spans="1:13">
      <c r="B29" s="22" t="s">
        <v>603</v>
      </c>
      <c r="C29" t="s">
        <v>608</v>
      </c>
      <c r="D29" s="547" t="s">
        <v>497</v>
      </c>
      <c r="E29" t="s">
        <v>742</v>
      </c>
      <c r="F29" s="566"/>
      <c r="G29" s="566"/>
      <c r="H29" s="566"/>
      <c r="I29" s="566"/>
      <c r="J29" s="566"/>
      <c r="K29" s="566"/>
      <c r="L29" s="552">
        <f>VLOOKUP($B29,'Calc2 FD'!$C$1:$P$216,14,FALSE)</f>
        <v>0</v>
      </c>
      <c r="M29" s="686"/>
    </row>
    <row r="30" spans="1:13">
      <c r="B30" s="22" t="s">
        <v>611</v>
      </c>
      <c r="C30" t="s">
        <v>609</v>
      </c>
      <c r="D30" s="547" t="s">
        <v>497</v>
      </c>
      <c r="E30" t="s">
        <v>742</v>
      </c>
      <c r="F30" s="566"/>
      <c r="G30" s="566"/>
      <c r="H30" s="566"/>
      <c r="I30" s="566"/>
      <c r="J30" s="566"/>
      <c r="K30" s="566"/>
      <c r="L30" s="552">
        <f>VLOOKUP($B30,'Calc2 FD'!$C$1:$P$216,14,FALSE)</f>
        <v>0</v>
      </c>
      <c r="M30" s="686"/>
    </row>
    <row r="31" spans="1:13" s="547" customFormat="1">
      <c r="A31"/>
      <c r="B31" s="550" t="s">
        <v>711</v>
      </c>
      <c r="C31" s="547" t="s">
        <v>502</v>
      </c>
      <c r="D31" s="547" t="s">
        <v>497</v>
      </c>
      <c r="E31" t="s">
        <v>742</v>
      </c>
      <c r="F31" s="552">
        <f>VLOOKUP($B31,'Calc2 BYR'!$C$1:$P$216,14,FALSE)</f>
        <v>-11.982764733988692</v>
      </c>
      <c r="G31" s="686"/>
      <c r="H31" s="571"/>
      <c r="I31" s="571"/>
      <c r="J31" s="571"/>
      <c r="K31" s="571"/>
      <c r="L31" s="571"/>
      <c r="M31" s="571"/>
    </row>
    <row r="32" spans="1:13" s="547" customFormat="1">
      <c r="A32"/>
      <c r="B32" s="550" t="s">
        <v>712</v>
      </c>
      <c r="C32" s="547" t="s">
        <v>503</v>
      </c>
      <c r="D32" s="547" t="s">
        <v>497</v>
      </c>
      <c r="E32" t="s">
        <v>742</v>
      </c>
      <c r="F32" s="552">
        <f>VLOOKUP($B32,'Calc2 BYR'!$C$1:$P$216,14,FALSE)</f>
        <v>0</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-0.66045195385490529</v>
      </c>
      <c r="H33" s="552">
        <f>VLOOKUP($B33,'Profiling2 BYR'!$C$1:$V$159,17,FALSE)</f>
        <v>-0.66045195385490529</v>
      </c>
      <c r="I33" s="552">
        <f>VLOOKUP($B33,'Profiling2 BYR'!$C$1:$V$159,18,FALSE)</f>
        <v>-0.66045195385490529</v>
      </c>
      <c r="J33" s="552">
        <f>VLOOKUP($B33,'Profiling2 BYR'!$C$1:$V$159,19,FALSE)</f>
        <v>-0.66045195385490529</v>
      </c>
      <c r="K33" s="552">
        <f>VLOOKUP($B33,'Profiling2 BYR'!$C$1:$V$159,20,FALSE)</f>
        <v>-0.66045195385490529</v>
      </c>
      <c r="L33" s="686"/>
      <c r="M33" s="571"/>
    </row>
    <row r="34" spans="1:13" s="547" customFormat="1">
      <c r="B34" s="553" t="s">
        <v>714</v>
      </c>
      <c r="C34" s="547" t="s">
        <v>412</v>
      </c>
      <c r="D34" s="547" t="s">
        <v>497</v>
      </c>
      <c r="E34" t="s">
        <v>742</v>
      </c>
      <c r="F34" s="571"/>
      <c r="G34" s="552">
        <f>VLOOKUP($B34,'Profiling2 BYR'!$C$1:$V$159,16,FALSE)</f>
        <v>0</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BYR'!$C$1:$P$216,5,FALSE)</f>
        <v>123.56080070282465</v>
      </c>
      <c r="M36" s="703"/>
    </row>
    <row r="37" spans="1:13">
      <c r="B37" s="654" t="s">
        <v>717</v>
      </c>
      <c r="C37" t="s">
        <v>312</v>
      </c>
      <c r="D37" s="547" t="s">
        <v>55</v>
      </c>
      <c r="E37" t="s">
        <v>742</v>
      </c>
      <c r="F37" s="570"/>
      <c r="G37" s="570"/>
      <c r="H37" s="570"/>
      <c r="I37" s="570"/>
      <c r="J37" s="570"/>
      <c r="K37" s="570"/>
      <c r="L37" s="663">
        <f>VLOOKUP($B37,'Calc2 BYR'!$C$1:$P$216,5,FALSE)</f>
        <v>123.56080070282465</v>
      </c>
      <c r="M37" s="703"/>
    </row>
    <row r="38" spans="1:13">
      <c r="B38" s="654" t="s">
        <v>718</v>
      </c>
      <c r="C38" t="s">
        <v>304</v>
      </c>
      <c r="D38" s="547" t="s">
        <v>55</v>
      </c>
      <c r="E38" t="s">
        <v>742</v>
      </c>
      <c r="F38" s="570"/>
      <c r="G38" s="570"/>
      <c r="H38" s="570"/>
      <c r="I38" s="570"/>
      <c r="J38" s="570"/>
      <c r="K38" s="570"/>
      <c r="L38" s="663">
        <f>VLOOKUP($B38,'Calc2 BYR'!$C$1:$P$216,5,FALSE)</f>
        <v>103.85137404394359</v>
      </c>
      <c r="M38" s="703"/>
    </row>
    <row r="39" spans="1:13">
      <c r="B39" s="654" t="s">
        <v>719</v>
      </c>
      <c r="C39" t="s">
        <v>83</v>
      </c>
      <c r="D39" s="547" t="s">
        <v>55</v>
      </c>
      <c r="E39" t="s">
        <v>742</v>
      </c>
      <c r="F39" s="570"/>
      <c r="G39" s="570"/>
      <c r="H39" s="570"/>
      <c r="I39" s="570"/>
      <c r="J39" s="570"/>
      <c r="K39" s="570"/>
      <c r="L39" s="663">
        <f>VLOOKUP($B39,'Calc2 BYR'!$C$1:$P$216,5,FALSE)</f>
        <v>-2.0894832561717034</v>
      </c>
      <c r="M39" s="703"/>
    </row>
    <row r="40" spans="1:13">
      <c r="B40" s="654" t="s">
        <v>720</v>
      </c>
      <c r="C40" t="s">
        <v>176</v>
      </c>
      <c r="D40" s="547" t="s">
        <v>55</v>
      </c>
      <c r="E40" t="s">
        <v>742</v>
      </c>
      <c r="F40" s="570"/>
      <c r="G40" s="570"/>
      <c r="H40" s="570"/>
      <c r="I40" s="570"/>
      <c r="J40" s="570"/>
      <c r="K40" s="570"/>
      <c r="L40" s="663">
        <f>VLOOKUP($B40,'Calc2 BYR'!$C$1:$P$216,5,FALSE)</f>
        <v>0</v>
      </c>
      <c r="M40" s="703"/>
    </row>
    <row r="41" spans="1:13">
      <c r="B41" s="654" t="s">
        <v>721</v>
      </c>
      <c r="C41" t="s">
        <v>313</v>
      </c>
      <c r="D41" s="547" t="s">
        <v>55</v>
      </c>
      <c r="E41" t="s">
        <v>742</v>
      </c>
      <c r="F41" s="570"/>
      <c r="G41" s="570"/>
      <c r="H41" s="570"/>
      <c r="I41" s="570"/>
      <c r="J41" s="570"/>
      <c r="K41" s="570"/>
      <c r="L41" s="663">
        <f>VLOOKUP($B41,'Calc2 BYR'!$C$1:$P$216,5,FALSE)</f>
        <v>0</v>
      </c>
      <c r="M41" s="703"/>
    </row>
    <row r="42" spans="1:13">
      <c r="B42" s="654" t="s">
        <v>722</v>
      </c>
      <c r="C42" t="s">
        <v>305</v>
      </c>
      <c r="D42" s="547" t="s">
        <v>55</v>
      </c>
      <c r="E42" t="s">
        <v>742</v>
      </c>
      <c r="F42" s="570"/>
      <c r="G42" s="570"/>
      <c r="H42" s="570"/>
      <c r="I42" s="570"/>
      <c r="J42" s="570"/>
      <c r="K42" s="570"/>
      <c r="L42" s="663">
        <f>VLOOKUP($B42,'Calc2 BYR'!$C$1:$P$216,5,FALSE)</f>
        <v>0</v>
      </c>
      <c r="M42" s="703"/>
    </row>
    <row r="43" spans="1:13">
      <c r="B43" s="22" t="s">
        <v>723</v>
      </c>
      <c r="C43" t="s">
        <v>84</v>
      </c>
      <c r="D43" s="547" t="s">
        <v>55</v>
      </c>
      <c r="E43" t="s">
        <v>742</v>
      </c>
      <c r="F43" s="570"/>
      <c r="G43" s="570"/>
      <c r="H43" s="570"/>
      <c r="I43" s="570"/>
      <c r="J43" s="570"/>
      <c r="K43" s="570"/>
      <c r="L43" s="663">
        <f>VLOOKUP($B43,'Calc2 BYR'!$C$1:$P$216,5,FALSE)</f>
        <v>0</v>
      </c>
      <c r="M43" s="703"/>
    </row>
    <row r="44" spans="1:13">
      <c r="B44" s="22" t="s">
        <v>724</v>
      </c>
      <c r="C44" t="s">
        <v>605</v>
      </c>
      <c r="D44" s="547" t="s">
        <v>497</v>
      </c>
      <c r="E44" t="s">
        <v>742</v>
      </c>
      <c r="F44" s="566"/>
      <c r="G44" s="566"/>
      <c r="H44" s="566"/>
      <c r="I44" s="566"/>
      <c r="J44" s="566"/>
      <c r="K44" s="566"/>
      <c r="L44" s="552">
        <f>VLOOKUP($B44,'Calc2 BYR'!$C$1:$P$216,14,FALSE)</f>
        <v>-14.055609258704862</v>
      </c>
      <c r="M44" s="686"/>
    </row>
    <row r="45" spans="1:13">
      <c r="B45" s="22" t="s">
        <v>725</v>
      </c>
      <c r="C45" t="s">
        <v>323</v>
      </c>
      <c r="D45" s="547" t="s">
        <v>497</v>
      </c>
      <c r="E45" t="s">
        <v>742</v>
      </c>
      <c r="F45" s="566"/>
      <c r="G45" s="566"/>
      <c r="H45" s="566"/>
      <c r="I45" s="566"/>
      <c r="J45" s="566"/>
      <c r="K45" s="566"/>
      <c r="L45" s="552">
        <f>VLOOKUP($B45,'Calc2 BYR'!$C$1:$P$216,14,FALSE)</f>
        <v>-2.0805664419446104</v>
      </c>
      <c r="M45" s="686"/>
    </row>
    <row r="46" spans="1:13">
      <c r="B46" s="22" t="s">
        <v>726</v>
      </c>
      <c r="C46" t="s">
        <v>72</v>
      </c>
      <c r="D46" s="547" t="s">
        <v>497</v>
      </c>
      <c r="E46" t="s">
        <v>742</v>
      </c>
      <c r="F46" s="566"/>
      <c r="G46" s="566"/>
      <c r="H46" s="566"/>
      <c r="I46" s="566"/>
      <c r="J46" s="566"/>
      <c r="K46" s="566"/>
      <c r="L46" s="552">
        <f>VLOOKUP($B46,'Calc2 BYR'!$C$1:$P$216,14,FALSE)</f>
        <v>-2.7883114435847953</v>
      </c>
      <c r="M46" s="686"/>
    </row>
    <row r="47" spans="1:13">
      <c r="B47" s="22" t="s">
        <v>727</v>
      </c>
      <c r="C47" t="s">
        <v>244</v>
      </c>
      <c r="D47" s="547" t="s">
        <v>497</v>
      </c>
      <c r="E47" t="s">
        <v>742</v>
      </c>
      <c r="F47" s="566"/>
      <c r="G47" s="566"/>
      <c r="H47" s="566"/>
      <c r="I47" s="566"/>
      <c r="J47" s="566"/>
      <c r="K47" s="566"/>
      <c r="L47" s="552">
        <f>VLOOKUP($B47,'Calc2 BYR'!$C$1:$P$216,14,FALSE)</f>
        <v>0.70774500164018506</v>
      </c>
      <c r="M47" s="686"/>
    </row>
    <row r="48" spans="1:13">
      <c r="B48" s="22" t="s">
        <v>728</v>
      </c>
      <c r="C48" t="s">
        <v>248</v>
      </c>
      <c r="D48" s="547" t="s">
        <v>497</v>
      </c>
      <c r="E48" t="s">
        <v>742</v>
      </c>
      <c r="F48" s="566"/>
      <c r="G48" s="566"/>
      <c r="H48" s="566"/>
      <c r="I48" s="566"/>
      <c r="J48" s="566"/>
      <c r="K48" s="566"/>
      <c r="L48" s="552">
        <f>VLOOKUP($B48,'Calc2 BYR'!$C$1:$P$216,14,FALSE)</f>
        <v>-3.5318057460782657</v>
      </c>
      <c r="M48" s="686"/>
    </row>
    <row r="49" spans="2:13">
      <c r="B49" s="22" t="s">
        <v>729</v>
      </c>
      <c r="C49" t="s">
        <v>606</v>
      </c>
      <c r="D49" s="547" t="s">
        <v>497</v>
      </c>
      <c r="E49" t="s">
        <v>742</v>
      </c>
      <c r="F49" s="566"/>
      <c r="G49" s="566"/>
      <c r="H49" s="566"/>
      <c r="I49" s="566"/>
      <c r="J49" s="566"/>
      <c r="K49" s="566"/>
      <c r="L49" s="552">
        <f>VLOOKUP($B49,'Calc2 BYR'!$C$1:$P$216,14,FALSE)</f>
        <v>-2.8240607444380812</v>
      </c>
      <c r="M49" s="686"/>
    </row>
    <row r="50" spans="2:13">
      <c r="B50" s="22" t="s">
        <v>730</v>
      </c>
      <c r="C50" t="s">
        <v>610</v>
      </c>
      <c r="D50" s="547" t="s">
        <v>497</v>
      </c>
      <c r="E50" t="s">
        <v>742</v>
      </c>
      <c r="F50" s="566"/>
      <c r="G50" s="566"/>
      <c r="H50" s="566"/>
      <c r="I50" s="566"/>
      <c r="J50" s="566"/>
      <c r="K50" s="566"/>
      <c r="L50" s="552">
        <f>VLOOKUP($B50,'Calc2 BYR'!$C$1:$P$216,14,FALSE)</f>
        <v>-3.0805964198563092</v>
      </c>
      <c r="M50" s="686"/>
    </row>
    <row r="51" spans="2:13">
      <c r="B51" s="22" t="s">
        <v>731</v>
      </c>
      <c r="C51" t="s">
        <v>607</v>
      </c>
      <c r="D51" s="547" t="s">
        <v>497</v>
      </c>
      <c r="E51" t="s">
        <v>742</v>
      </c>
      <c r="F51" s="566"/>
      <c r="G51" s="566"/>
      <c r="H51" s="566"/>
      <c r="I51" s="566"/>
      <c r="J51" s="566"/>
      <c r="K51" s="566"/>
      <c r="L51" s="552">
        <f>VLOOKUP($B51,'Calc2 BYR'!$C$1:$P$216,14,FALSE)</f>
        <v>0</v>
      </c>
      <c r="M51" s="686"/>
    </row>
    <row r="52" spans="2:13">
      <c r="B52" s="22" t="s">
        <v>732</v>
      </c>
      <c r="C52" t="s">
        <v>324</v>
      </c>
      <c r="D52" s="547" t="s">
        <v>497</v>
      </c>
      <c r="E52" t="s">
        <v>742</v>
      </c>
      <c r="F52" s="566"/>
      <c r="G52" s="566"/>
      <c r="H52" s="566"/>
      <c r="I52" s="566"/>
      <c r="J52" s="566"/>
      <c r="K52" s="566"/>
      <c r="L52" s="552">
        <f>VLOOKUP($B52,'Calc2 BYR'!$C$1:$P$216,14,FALSE)</f>
        <v>0</v>
      </c>
      <c r="M52" s="686"/>
    </row>
    <row r="53" spans="2:13">
      <c r="B53" s="22" t="s">
        <v>733</v>
      </c>
      <c r="C53" t="s">
        <v>73</v>
      </c>
      <c r="D53" s="547" t="s">
        <v>497</v>
      </c>
      <c r="E53" t="s">
        <v>742</v>
      </c>
      <c r="F53" s="566"/>
      <c r="G53" s="566"/>
      <c r="H53" s="566"/>
      <c r="I53" s="566"/>
      <c r="J53" s="566"/>
      <c r="K53" s="566"/>
      <c r="L53" s="552">
        <f>VLOOKUP($B53,'Calc2 BYR'!$C$1:$P$216,14,FALSE)</f>
        <v>0</v>
      </c>
      <c r="M53" s="686"/>
    </row>
    <row r="54" spans="2:13">
      <c r="B54" s="22" t="s">
        <v>734</v>
      </c>
      <c r="C54" t="s">
        <v>245</v>
      </c>
      <c r="D54" s="547" t="s">
        <v>497</v>
      </c>
      <c r="E54" t="s">
        <v>742</v>
      </c>
      <c r="F54" s="566"/>
      <c r="G54" s="566"/>
      <c r="H54" s="566"/>
      <c r="I54" s="566"/>
      <c r="J54" s="566"/>
      <c r="K54" s="566"/>
      <c r="L54" s="552">
        <f>VLOOKUP($B54,'Calc2 BYR'!$C$1:$P$216,14,FALSE)</f>
        <v>0</v>
      </c>
      <c r="M54" s="686"/>
    </row>
    <row r="55" spans="2:13">
      <c r="B55" s="22" t="s">
        <v>735</v>
      </c>
      <c r="C55" t="s">
        <v>249</v>
      </c>
      <c r="D55" s="547" t="s">
        <v>497</v>
      </c>
      <c r="E55" t="s">
        <v>742</v>
      </c>
      <c r="F55" s="566"/>
      <c r="G55" s="566"/>
      <c r="H55" s="566"/>
      <c r="I55" s="566"/>
      <c r="J55" s="566"/>
      <c r="K55" s="566"/>
      <c r="L55" s="552">
        <f>VLOOKUP($B55,'Calc2 BYR'!$C$1:$P$216,14,FALSE)</f>
        <v>0</v>
      </c>
      <c r="M55" s="686"/>
    </row>
    <row r="56" spans="2:13">
      <c r="B56" s="22" t="s">
        <v>736</v>
      </c>
      <c r="C56" t="s">
        <v>608</v>
      </c>
      <c r="D56" s="547" t="s">
        <v>497</v>
      </c>
      <c r="E56" t="s">
        <v>742</v>
      </c>
      <c r="F56" s="566"/>
      <c r="G56" s="566"/>
      <c r="H56" s="566"/>
      <c r="I56" s="566"/>
      <c r="J56" s="566"/>
      <c r="K56" s="566"/>
      <c r="L56" s="552">
        <f>VLOOKUP($B56,'Calc2 BYR'!$C$1:$P$216,14,FALSE)</f>
        <v>0</v>
      </c>
      <c r="M56" s="686"/>
    </row>
    <row r="57" spans="2:13">
      <c r="B57" s="22" t="s">
        <v>737</v>
      </c>
      <c r="C57" t="s">
        <v>609</v>
      </c>
      <c r="D57" s="547" t="s">
        <v>497</v>
      </c>
      <c r="E57" t="s">
        <v>742</v>
      </c>
      <c r="F57" s="566"/>
      <c r="G57" s="566"/>
      <c r="H57" s="566"/>
      <c r="I57" s="566"/>
      <c r="J57" s="566"/>
      <c r="K57" s="566"/>
      <c r="L57" s="552">
        <f>VLOOKUP($B57,'Calc2 BYR'!$C$1:$P$216,14,FALSE)</f>
        <v>0</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777</v>
      </c>
      <c r="B1" t="s">
        <v>778</v>
      </c>
    </row>
    <row r="2" spans="1:2">
      <c r="A2" t="s">
        <v>779</v>
      </c>
      <c r="B2" t="s">
        <v>819</v>
      </c>
    </row>
    <row r="3" spans="1:2">
      <c r="A3" t="s">
        <v>775</v>
      </c>
      <c r="B3" t="s">
        <v>776</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820</v>
      </c>
    </row>
    <row r="22" spans="1:2">
      <c r="A22" t="s">
        <v>813</v>
      </c>
      <c r="B22" t="s">
        <v>799</v>
      </c>
    </row>
    <row r="23" spans="1:2">
      <c r="A23" t="s">
        <v>814</v>
      </c>
      <c r="B23" t="s">
        <v>821</v>
      </c>
    </row>
    <row r="24" spans="1:2">
      <c r="A24" t="s">
        <v>815</v>
      </c>
      <c r="B24" t="s">
        <v>822</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6640625" customWidth="1"/>
    <col min="2" max="2" width="12.33203125" customWidth="1"/>
    <col min="3" max="3" width="39.6640625" customWidth="1"/>
    <col min="4" max="4" width="3.44140625" customWidth="1"/>
    <col min="5" max="5" width="28.21875"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4.797072</v>
      </c>
      <c r="J4" s="566">
        <v>5.3863460999999999</v>
      </c>
      <c r="K4" s="566">
        <v>6.6409127999999997</v>
      </c>
      <c r="L4" s="566">
        <v>6.6940815999999996</v>
      </c>
      <c r="M4" s="566">
        <v>5.0562753999999996</v>
      </c>
      <c r="N4" s="566"/>
      <c r="O4" s="566"/>
    </row>
    <row r="5" spans="1:15">
      <c r="A5" t="s">
        <v>818</v>
      </c>
      <c r="B5" t="s">
        <v>452</v>
      </c>
      <c r="C5" t="s">
        <v>178</v>
      </c>
      <c r="D5" t="s">
        <v>497</v>
      </c>
      <c r="E5" t="s">
        <v>742</v>
      </c>
      <c r="F5" s="566"/>
      <c r="G5" s="566"/>
      <c r="H5" s="566"/>
      <c r="I5" s="566">
        <v>15.771167999999999</v>
      </c>
      <c r="J5" s="566">
        <v>12.062123100000001</v>
      </c>
      <c r="K5" s="566">
        <v>6.9655842000000003</v>
      </c>
      <c r="L5" s="566">
        <v>5.3313135999999997</v>
      </c>
      <c r="M5" s="566">
        <v>6.3674314000000001</v>
      </c>
      <c r="N5" s="566"/>
      <c r="O5" s="566"/>
    </row>
    <row r="6" spans="1:15">
      <c r="A6" t="s">
        <v>818</v>
      </c>
      <c r="B6" t="s">
        <v>453</v>
      </c>
      <c r="C6" t="s">
        <v>123</v>
      </c>
      <c r="D6" t="s">
        <v>497</v>
      </c>
      <c r="E6" t="s">
        <v>742</v>
      </c>
      <c r="F6" s="566"/>
      <c r="G6" s="566"/>
      <c r="H6" s="566"/>
      <c r="I6" s="566">
        <v>1.707552</v>
      </c>
      <c r="J6" s="566">
        <v>2.9192553000000001</v>
      </c>
      <c r="K6" s="566">
        <v>6.3131687999999997</v>
      </c>
      <c r="L6" s="566">
        <v>6.3626811999999999</v>
      </c>
      <c r="M6" s="566">
        <v>2.7326155999999999</v>
      </c>
      <c r="N6" s="566"/>
      <c r="O6" s="566"/>
    </row>
    <row r="7" spans="1:15">
      <c r="A7" t="s">
        <v>818</v>
      </c>
      <c r="B7" t="s">
        <v>454</v>
      </c>
      <c r="C7" t="s">
        <v>122</v>
      </c>
      <c r="D7" t="s">
        <v>497</v>
      </c>
      <c r="E7" t="s">
        <v>742</v>
      </c>
      <c r="F7" s="566"/>
      <c r="G7" s="566"/>
      <c r="H7" s="566"/>
      <c r="I7" s="566">
        <v>7.7757120000000004</v>
      </c>
      <c r="J7" s="566">
        <v>11.280742200000001</v>
      </c>
      <c r="K7" s="566">
        <v>3.9769686000000002</v>
      </c>
      <c r="L7" s="566">
        <v>2.3858763999999999</v>
      </c>
      <c r="M7" s="566">
        <v>2.8012952000000002</v>
      </c>
      <c r="N7" s="566"/>
      <c r="O7" s="566"/>
    </row>
    <row r="8" spans="1:15">
      <c r="A8" t="s">
        <v>818</v>
      </c>
      <c r="B8" t="s">
        <v>455</v>
      </c>
      <c r="C8" t="s">
        <v>190</v>
      </c>
      <c r="D8" t="s">
        <v>497</v>
      </c>
      <c r="E8" t="s">
        <v>742</v>
      </c>
      <c r="F8" s="566"/>
      <c r="G8" s="566"/>
      <c r="H8" s="566"/>
      <c r="I8" s="566">
        <v>0.76100000000000001</v>
      </c>
      <c r="J8" s="566">
        <v>0.75900000000000001</v>
      </c>
      <c r="K8" s="566">
        <v>0.78600000000000003</v>
      </c>
      <c r="L8" s="566">
        <v>0.84699999999999998</v>
      </c>
      <c r="M8" s="566">
        <v>0.82399999999999995</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8.3330000000000002</v>
      </c>
      <c r="G20" s="566">
        <v>5.2210233568712701</v>
      </c>
      <c r="H20" s="566">
        <v>5.9589999999999996</v>
      </c>
      <c r="I20" s="566">
        <v>5.1217274256155596</v>
      </c>
      <c r="J20" s="566">
        <v>5.7219630018878203</v>
      </c>
      <c r="K20" s="566">
        <v>7.39606188314362</v>
      </c>
      <c r="L20" s="566">
        <v>7.3664776356110497</v>
      </c>
      <c r="M20" s="566">
        <v>5.4982325681845099</v>
      </c>
      <c r="N20" s="566"/>
      <c r="O20" s="566"/>
    </row>
    <row r="21" spans="1:15">
      <c r="A21" t="s">
        <v>818</v>
      </c>
      <c r="B21" t="s">
        <v>529</v>
      </c>
      <c r="C21" t="s">
        <v>512</v>
      </c>
      <c r="D21" t="s">
        <v>497</v>
      </c>
      <c r="E21" t="s">
        <v>742</v>
      </c>
      <c r="F21" s="566">
        <v>9.2257300000000004</v>
      </c>
      <c r="G21" s="566">
        <v>8.6084730348413103</v>
      </c>
      <c r="H21" s="566">
        <v>10.528</v>
      </c>
      <c r="I21" s="566">
        <v>13.8761113424824</v>
      </c>
      <c r="J21" s="566">
        <v>9.7432356201238601</v>
      </c>
      <c r="K21" s="566">
        <v>7.2795464827987502</v>
      </c>
      <c r="L21" s="566">
        <v>5.49642397350451</v>
      </c>
      <c r="M21" s="566">
        <v>6.4936037218966698</v>
      </c>
      <c r="N21" s="566"/>
      <c r="O21" s="566"/>
    </row>
    <row r="22" spans="1:15">
      <c r="A22" t="s">
        <v>818</v>
      </c>
      <c r="B22" t="s">
        <v>1</v>
      </c>
      <c r="C22" t="s">
        <v>513</v>
      </c>
      <c r="D22" t="s">
        <v>497</v>
      </c>
      <c r="E22" t="s">
        <v>742</v>
      </c>
      <c r="F22" s="566">
        <v>1.5631412789310399</v>
      </c>
      <c r="G22" s="566">
        <v>1.8818710106963901</v>
      </c>
      <c r="H22" s="566">
        <v>1.5383671875</v>
      </c>
      <c r="I22" s="566">
        <v>1.18561869610492</v>
      </c>
      <c r="J22" s="566">
        <v>1.6386180195397699</v>
      </c>
      <c r="K22" s="566">
        <v>2.5015015598287298</v>
      </c>
      <c r="L22" s="566">
        <v>2.3256495793782199</v>
      </c>
      <c r="M22" s="566">
        <v>1.3080532923734201</v>
      </c>
      <c r="N22" s="566"/>
      <c r="O22" s="566"/>
    </row>
    <row r="23" spans="1:15">
      <c r="A23" t="s">
        <v>818</v>
      </c>
      <c r="B23" t="s">
        <v>5</v>
      </c>
      <c r="C23" t="s">
        <v>514</v>
      </c>
      <c r="D23" t="s">
        <v>497</v>
      </c>
      <c r="E23" t="s">
        <v>742</v>
      </c>
      <c r="F23" s="566">
        <v>1.69985872106895</v>
      </c>
      <c r="G23" s="566">
        <v>2.7700452615159099</v>
      </c>
      <c r="H23" s="566">
        <v>2.3886328124999898</v>
      </c>
      <c r="I23" s="566">
        <v>2.8279990665602099</v>
      </c>
      <c r="J23" s="566">
        <v>4.7783917290043201</v>
      </c>
      <c r="K23" s="566">
        <v>2.6132132373085799</v>
      </c>
      <c r="L23" s="566">
        <v>1.6306834375674799</v>
      </c>
      <c r="M23" s="566">
        <v>1.78996159931696</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123.560800702824</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-0.56630025883308099</v>
      </c>
      <c r="J34" s="566">
        <v>-0.538510035100077</v>
      </c>
      <c r="K34" s="566">
        <v>-0.48702980250988398</v>
      </c>
      <c r="L34" s="566">
        <v>-0.41391282248385902</v>
      </c>
      <c r="M34" s="566">
        <v>-0.37135357418883502</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160.752936437306</v>
      </c>
      <c r="G36" s="566">
        <v>161.75784517446999</v>
      </c>
      <c r="H36" s="566">
        <v>159.29520105907599</v>
      </c>
      <c r="I36" s="566">
        <v>167.29741805573701</v>
      </c>
      <c r="J36" s="566">
        <v>173.90139666123301</v>
      </c>
      <c r="K36" s="566">
        <v>178.093108814045</v>
      </c>
      <c r="L36" s="566">
        <v>179.016630546567</v>
      </c>
      <c r="M36" s="566">
        <v>178.26714638049199</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6.0999999999999999E-2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3.9180000000000001</v>
      </c>
      <c r="J40" s="566">
        <v>4.4240000000000004</v>
      </c>
      <c r="K40" s="566">
        <v>5.2480000000000002</v>
      </c>
      <c r="L40" s="566">
        <v>8.16</v>
      </c>
      <c r="M40" s="566">
        <v>6.8579999999999997</v>
      </c>
      <c r="N40" s="566"/>
      <c r="O40" s="566"/>
    </row>
    <row r="41" spans="1:15">
      <c r="A41" t="s">
        <v>818</v>
      </c>
      <c r="B41" t="s">
        <v>425</v>
      </c>
      <c r="C41" t="s">
        <v>65</v>
      </c>
      <c r="D41" t="s">
        <v>497</v>
      </c>
      <c r="E41" t="s">
        <v>742</v>
      </c>
      <c r="F41" s="566"/>
      <c r="G41" s="566"/>
      <c r="H41" s="566"/>
      <c r="I41" s="566">
        <v>5.907</v>
      </c>
      <c r="J41" s="566">
        <v>13.101000000000001</v>
      </c>
      <c r="K41" s="566">
        <v>10.221</v>
      </c>
      <c r="L41" s="566">
        <v>4.5599999999999996</v>
      </c>
      <c r="M41" s="566">
        <v>6.0750000000000002</v>
      </c>
      <c r="N41" s="566"/>
      <c r="O41" s="566"/>
    </row>
    <row r="42" spans="1:15">
      <c r="A42" t="s">
        <v>818</v>
      </c>
      <c r="B42" t="s">
        <v>426</v>
      </c>
      <c r="C42" t="s">
        <v>382</v>
      </c>
      <c r="D42" t="s">
        <v>497</v>
      </c>
      <c r="E42" t="s">
        <v>742</v>
      </c>
      <c r="F42" s="566"/>
      <c r="G42" s="566"/>
      <c r="H42" s="566"/>
      <c r="I42" s="566">
        <v>0.90500000000000003</v>
      </c>
      <c r="J42" s="566">
        <v>3.7890000000000001</v>
      </c>
      <c r="K42" s="566">
        <v>1.5269999999999999</v>
      </c>
      <c r="L42" s="566">
        <v>6.7919999999999998</v>
      </c>
      <c r="M42" s="566">
        <v>1.2290000000000001</v>
      </c>
      <c r="N42" s="566"/>
      <c r="O42" s="566"/>
    </row>
    <row r="43" spans="1:15">
      <c r="A43" t="s">
        <v>818</v>
      </c>
      <c r="B43" t="s">
        <v>427</v>
      </c>
      <c r="C43" t="s">
        <v>383</v>
      </c>
      <c r="D43" t="s">
        <v>497</v>
      </c>
      <c r="E43" t="s">
        <v>742</v>
      </c>
      <c r="F43" s="566"/>
      <c r="G43" s="566"/>
      <c r="H43" s="566"/>
      <c r="I43" s="566">
        <v>2.6880000000000002</v>
      </c>
      <c r="J43" s="566">
        <v>4.3550000000000004</v>
      </c>
      <c r="K43" s="566">
        <v>3.9239999999999999</v>
      </c>
      <c r="L43" s="566">
        <v>3.153</v>
      </c>
      <c r="M43" s="566">
        <v>6.2939999999999996</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2.75E-2</v>
      </c>
      <c r="M65" s="568">
        <v>2.75E-2</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4.797072</v>
      </c>
      <c r="J4" s="566">
        <v>5.3863460999999999</v>
      </c>
      <c r="K4" s="566">
        <v>6.6409127999999997</v>
      </c>
      <c r="L4" s="566">
        <v>6.6940815999999996</v>
      </c>
      <c r="M4" s="566">
        <v>5.0562753999999996</v>
      </c>
      <c r="N4" s="566"/>
      <c r="O4" s="566"/>
    </row>
    <row r="5" spans="1:15">
      <c r="B5" t="s">
        <v>452</v>
      </c>
      <c r="C5" t="s">
        <v>178</v>
      </c>
      <c r="D5" t="s">
        <v>497</v>
      </c>
      <c r="E5" t="s">
        <v>742</v>
      </c>
      <c r="F5" s="566"/>
      <c r="G5" s="566"/>
      <c r="H5" s="566"/>
      <c r="I5" s="566">
        <v>15.771167999999999</v>
      </c>
      <c r="J5" s="566">
        <v>12.062123100000001</v>
      </c>
      <c r="K5" s="566">
        <v>6.9655842000000003</v>
      </c>
      <c r="L5" s="566">
        <v>5.3313135999999997</v>
      </c>
      <c r="M5" s="566">
        <v>6.3674314000000001</v>
      </c>
      <c r="N5" s="566"/>
      <c r="O5" s="566"/>
    </row>
    <row r="6" spans="1:15">
      <c r="B6" t="s">
        <v>453</v>
      </c>
      <c r="C6" t="s">
        <v>123</v>
      </c>
      <c r="D6" t="s">
        <v>497</v>
      </c>
      <c r="E6" t="s">
        <v>742</v>
      </c>
      <c r="F6" s="566"/>
      <c r="G6" s="566"/>
      <c r="H6" s="566"/>
      <c r="I6" s="566">
        <v>1.707552</v>
      </c>
      <c r="J6" s="566">
        <v>2.9192553000000001</v>
      </c>
      <c r="K6" s="566">
        <v>6.3131687999999997</v>
      </c>
      <c r="L6" s="566">
        <v>6.3626811999999999</v>
      </c>
      <c r="M6" s="566">
        <v>2.7326155999999999</v>
      </c>
      <c r="N6" s="566"/>
      <c r="O6" s="566"/>
    </row>
    <row r="7" spans="1:15">
      <c r="B7" t="s">
        <v>454</v>
      </c>
      <c r="C7" t="s">
        <v>122</v>
      </c>
      <c r="D7" t="s">
        <v>497</v>
      </c>
      <c r="E7" t="s">
        <v>742</v>
      </c>
      <c r="F7" s="566"/>
      <c r="G7" s="566"/>
      <c r="H7" s="566"/>
      <c r="I7" s="566">
        <v>7.7757120000000004</v>
      </c>
      <c r="J7" s="566">
        <v>11.280742200000001</v>
      </c>
      <c r="K7" s="566">
        <v>3.9769686000000002</v>
      </c>
      <c r="L7" s="566">
        <v>2.3858763999999999</v>
      </c>
      <c r="M7" s="566">
        <v>2.8012952000000002</v>
      </c>
      <c r="N7" s="566"/>
      <c r="O7" s="566"/>
    </row>
    <row r="8" spans="1:15">
      <c r="B8" t="s">
        <v>455</v>
      </c>
      <c r="C8" t="s">
        <v>190</v>
      </c>
      <c r="D8" t="s">
        <v>497</v>
      </c>
      <c r="E8" t="s">
        <v>742</v>
      </c>
      <c r="F8" s="566"/>
      <c r="G8" s="566"/>
      <c r="H8" s="566"/>
      <c r="I8" s="566">
        <v>0.76100000000000001</v>
      </c>
      <c r="J8" s="566">
        <v>0.75900000000000001</v>
      </c>
      <c r="K8" s="566">
        <v>0.78600000000000003</v>
      </c>
      <c r="L8" s="566">
        <v>0.84699999999999998</v>
      </c>
      <c r="M8" s="566">
        <v>0.82399999999999995</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c r="J12" s="566"/>
      <c r="K12" s="566"/>
      <c r="L12" s="566"/>
      <c r="M12" s="566"/>
      <c r="N12" s="566"/>
      <c r="O12" s="566"/>
    </row>
    <row r="13" spans="1:15">
      <c r="B13" t="s">
        <v>445</v>
      </c>
      <c r="C13" t="s">
        <v>180</v>
      </c>
      <c r="D13" t="s">
        <v>497</v>
      </c>
      <c r="E13" t="s">
        <v>742</v>
      </c>
      <c r="F13" s="566"/>
      <c r="G13" s="566"/>
      <c r="H13" s="566"/>
      <c r="I13" s="566"/>
      <c r="J13" s="566"/>
      <c r="K13" s="566"/>
      <c r="L13" s="566"/>
      <c r="M13" s="566"/>
      <c r="N13" s="566"/>
      <c r="O13" s="566"/>
    </row>
    <row r="14" spans="1:15">
      <c r="B14" t="s">
        <v>446</v>
      </c>
      <c r="C14" t="s">
        <v>124</v>
      </c>
      <c r="D14" t="s">
        <v>497</v>
      </c>
      <c r="E14" t="s">
        <v>742</v>
      </c>
      <c r="F14" s="566"/>
      <c r="G14" s="566"/>
      <c r="H14" s="566"/>
      <c r="I14" s="566"/>
      <c r="J14" s="566"/>
      <c r="K14" s="566"/>
      <c r="L14" s="566"/>
      <c r="M14" s="566"/>
      <c r="N14" s="566"/>
      <c r="O14" s="566"/>
    </row>
    <row r="15" spans="1:15">
      <c r="B15" t="s">
        <v>447</v>
      </c>
      <c r="C15" t="s">
        <v>125</v>
      </c>
      <c r="D15" t="s">
        <v>497</v>
      </c>
      <c r="E15" t="s">
        <v>742</v>
      </c>
      <c r="F15" s="566"/>
      <c r="G15" s="566"/>
      <c r="H15" s="566"/>
      <c r="I15" s="566"/>
      <c r="J15" s="566"/>
      <c r="K15" s="566"/>
      <c r="L15" s="566"/>
      <c r="M15" s="566"/>
      <c r="N15" s="566"/>
      <c r="O15" s="566"/>
    </row>
    <row r="16" spans="1:15">
      <c r="B16" t="s">
        <v>448</v>
      </c>
      <c r="C16" t="s">
        <v>191</v>
      </c>
      <c r="D16" t="s">
        <v>497</v>
      </c>
      <c r="E16" t="s">
        <v>742</v>
      </c>
      <c r="F16" s="566"/>
      <c r="G16" s="566"/>
      <c r="H16" s="566"/>
      <c r="I16" s="566"/>
      <c r="J16" s="566"/>
      <c r="K16" s="566"/>
      <c r="L16" s="566"/>
      <c r="M16" s="566"/>
      <c r="N16" s="566"/>
      <c r="O16" s="566"/>
    </row>
    <row r="17" spans="2:15">
      <c r="B17" t="s">
        <v>449</v>
      </c>
      <c r="C17" t="s">
        <v>222</v>
      </c>
      <c r="D17" t="s">
        <v>497</v>
      </c>
      <c r="E17" t="s">
        <v>742</v>
      </c>
      <c r="F17" s="566"/>
      <c r="G17" s="566"/>
      <c r="H17" s="566"/>
      <c r="I17" s="566"/>
      <c r="J17" s="566"/>
      <c r="K17" s="566"/>
      <c r="L17" s="566"/>
      <c r="M17" s="566"/>
      <c r="N17" s="566"/>
      <c r="O17" s="566"/>
    </row>
    <row r="18" spans="2:15">
      <c r="B18" t="s">
        <v>450</v>
      </c>
      <c r="C18" t="s">
        <v>223</v>
      </c>
      <c r="D18" t="s">
        <v>497</v>
      </c>
      <c r="E18" t="s">
        <v>742</v>
      </c>
      <c r="F18" s="566"/>
      <c r="G18" s="566"/>
      <c r="H18" s="566"/>
      <c r="I18" s="566"/>
      <c r="J18" s="566"/>
      <c r="K18" s="566"/>
      <c r="L18" s="566"/>
      <c r="M18" s="566"/>
      <c r="N18" s="566"/>
      <c r="O18" s="566"/>
    </row>
    <row r="19" spans="2:15">
      <c r="B19" t="s">
        <v>443</v>
      </c>
      <c r="C19" t="s">
        <v>417</v>
      </c>
      <c r="D19" t="s">
        <v>497</v>
      </c>
      <c r="E19" t="s">
        <v>742</v>
      </c>
      <c r="F19" s="566"/>
      <c r="G19" s="566"/>
      <c r="H19" s="566"/>
      <c r="I19" s="566"/>
      <c r="J19" s="566"/>
      <c r="K19" s="566"/>
      <c r="L19" s="566"/>
      <c r="M19" s="566"/>
      <c r="N19" s="566"/>
      <c r="O19" s="566"/>
    </row>
    <row r="20" spans="2:15">
      <c r="B20" t="s">
        <v>528</v>
      </c>
      <c r="C20" t="s">
        <v>511</v>
      </c>
      <c r="D20" t="s">
        <v>497</v>
      </c>
      <c r="E20" t="s">
        <v>742</v>
      </c>
      <c r="F20" s="566">
        <v>8.3330000000000002</v>
      </c>
      <c r="G20" s="566">
        <v>5.2210233568712701</v>
      </c>
      <c r="H20" s="566">
        <v>5.9589999999999996</v>
      </c>
      <c r="I20" s="566">
        <v>5.1217274256155596</v>
      </c>
      <c r="J20" s="566">
        <v>5.7219630018878203</v>
      </c>
      <c r="K20" s="566">
        <v>7.39606188314362</v>
      </c>
      <c r="L20" s="566">
        <v>7.3664776356110497</v>
      </c>
      <c r="M20" s="566">
        <v>5.4982325681845099</v>
      </c>
      <c r="N20" s="566"/>
      <c r="O20" s="566"/>
    </row>
    <row r="21" spans="2:15">
      <c r="B21" t="s">
        <v>529</v>
      </c>
      <c r="C21" t="s">
        <v>512</v>
      </c>
      <c r="D21" t="s">
        <v>497</v>
      </c>
      <c r="E21" t="s">
        <v>742</v>
      </c>
      <c r="F21" s="566">
        <v>9.2257300000000004</v>
      </c>
      <c r="G21" s="566">
        <v>8.6084730348413103</v>
      </c>
      <c r="H21" s="566">
        <v>10.528</v>
      </c>
      <c r="I21" s="566">
        <v>13.8761113424824</v>
      </c>
      <c r="J21" s="566">
        <v>9.7432356201238601</v>
      </c>
      <c r="K21" s="566">
        <v>7.2795464827987502</v>
      </c>
      <c r="L21" s="566">
        <v>5.49642397350451</v>
      </c>
      <c r="M21" s="566">
        <v>6.4936037218966698</v>
      </c>
      <c r="N21" s="566"/>
      <c r="O21" s="566"/>
    </row>
    <row r="22" spans="2:15">
      <c r="B22" t="s">
        <v>1</v>
      </c>
      <c r="C22" t="s">
        <v>513</v>
      </c>
      <c r="D22" t="s">
        <v>497</v>
      </c>
      <c r="E22" t="s">
        <v>742</v>
      </c>
      <c r="F22" s="566">
        <v>1.5631412789310399</v>
      </c>
      <c r="G22" s="566">
        <v>1.8818710106963901</v>
      </c>
      <c r="H22" s="566">
        <v>1.5383671875</v>
      </c>
      <c r="I22" s="566">
        <v>1.18561869610492</v>
      </c>
      <c r="J22" s="566">
        <v>1.6386180195397699</v>
      </c>
      <c r="K22" s="566">
        <v>2.5015015598287298</v>
      </c>
      <c r="L22" s="566">
        <v>2.3256495793782199</v>
      </c>
      <c r="M22" s="566">
        <v>1.3080532923734201</v>
      </c>
      <c r="N22" s="566"/>
      <c r="O22" s="566"/>
    </row>
    <row r="23" spans="2:15">
      <c r="B23" t="s">
        <v>5</v>
      </c>
      <c r="C23" t="s">
        <v>514</v>
      </c>
      <c r="D23" t="s">
        <v>497</v>
      </c>
      <c r="E23" t="s">
        <v>742</v>
      </c>
      <c r="F23" s="566">
        <v>1.69985872106895</v>
      </c>
      <c r="G23" s="566">
        <v>2.7700452615159099</v>
      </c>
      <c r="H23" s="566">
        <v>2.3886328124999898</v>
      </c>
      <c r="I23" s="566">
        <v>2.8279990665602099</v>
      </c>
      <c r="J23" s="566">
        <v>4.7783917290043201</v>
      </c>
      <c r="K23" s="566">
        <v>2.6132132373085799</v>
      </c>
      <c r="L23" s="566">
        <v>1.6306834375674799</v>
      </c>
      <c r="M23" s="566">
        <v>1.78996159931696</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0</v>
      </c>
      <c r="G26" s="566">
        <v>0</v>
      </c>
      <c r="H26" s="566">
        <v>0</v>
      </c>
      <c r="I26" s="566">
        <v>0</v>
      </c>
      <c r="J26" s="566">
        <v>0</v>
      </c>
      <c r="K26" s="566">
        <v>0</v>
      </c>
      <c r="L26" s="566">
        <v>0</v>
      </c>
      <c r="M26" s="566">
        <v>0</v>
      </c>
      <c r="N26" s="566"/>
      <c r="O26" s="566"/>
    </row>
    <row r="27" spans="2:15">
      <c r="B27" t="s">
        <v>531</v>
      </c>
      <c r="C27" t="s">
        <v>512</v>
      </c>
      <c r="D27" t="s">
        <v>497</v>
      </c>
      <c r="E27" t="s">
        <v>742</v>
      </c>
      <c r="F27" s="566">
        <v>0</v>
      </c>
      <c r="G27" s="566">
        <v>0</v>
      </c>
      <c r="H27" s="566">
        <v>0</v>
      </c>
      <c r="I27" s="566">
        <v>0</v>
      </c>
      <c r="J27" s="566">
        <v>0</v>
      </c>
      <c r="K27" s="566">
        <v>0</v>
      </c>
      <c r="L27" s="566">
        <v>0</v>
      </c>
      <c r="M27" s="566">
        <v>0</v>
      </c>
      <c r="N27" s="566"/>
      <c r="O27" s="566"/>
    </row>
    <row r="28" spans="2:15">
      <c r="B28" t="s">
        <v>6</v>
      </c>
      <c r="C28" t="s">
        <v>516</v>
      </c>
      <c r="D28" t="s">
        <v>497</v>
      </c>
      <c r="E28" t="s">
        <v>742</v>
      </c>
      <c r="F28" s="566">
        <v>0</v>
      </c>
      <c r="G28" s="566">
        <v>0</v>
      </c>
      <c r="H28" s="566">
        <v>0</v>
      </c>
      <c r="I28" s="566">
        <v>0</v>
      </c>
      <c r="J28" s="566">
        <v>0</v>
      </c>
      <c r="K28" s="566">
        <v>0</v>
      </c>
      <c r="L28" s="566">
        <v>0</v>
      </c>
      <c r="M28" s="566">
        <v>0</v>
      </c>
      <c r="N28" s="566"/>
      <c r="O28" s="566"/>
    </row>
    <row r="29" spans="2:15">
      <c r="B29" t="s">
        <v>9</v>
      </c>
      <c r="C29" t="s">
        <v>517</v>
      </c>
      <c r="D29" t="s">
        <v>497</v>
      </c>
      <c r="E29" t="s">
        <v>742</v>
      </c>
      <c r="F29" s="566">
        <v>0</v>
      </c>
      <c r="G29" s="566">
        <v>0</v>
      </c>
      <c r="H29" s="566">
        <v>0</v>
      </c>
      <c r="I29" s="566">
        <v>0</v>
      </c>
      <c r="J29" s="566">
        <v>0</v>
      </c>
      <c r="K29" s="566">
        <v>0</v>
      </c>
      <c r="L29" s="566">
        <v>0</v>
      </c>
      <c r="M29" s="566">
        <v>0</v>
      </c>
      <c r="N29" s="566"/>
      <c r="O29" s="566"/>
    </row>
    <row r="30" spans="2:15">
      <c r="B30" t="s">
        <v>439</v>
      </c>
      <c r="C30" t="s">
        <v>226</v>
      </c>
      <c r="D30" t="s">
        <v>497</v>
      </c>
      <c r="E30" t="s">
        <v>742</v>
      </c>
      <c r="F30" s="566"/>
      <c r="G30" s="566"/>
      <c r="H30" s="566"/>
      <c r="I30" s="566"/>
      <c r="J30" s="566"/>
      <c r="K30" s="566"/>
      <c r="L30" s="566"/>
      <c r="M30" s="566"/>
      <c r="N30" s="566"/>
      <c r="O30" s="566"/>
    </row>
    <row r="31" spans="2:15">
      <c r="B31" t="s">
        <v>440</v>
      </c>
      <c r="C31" t="s">
        <v>227</v>
      </c>
      <c r="D31" t="s">
        <v>497</v>
      </c>
      <c r="E31" t="s">
        <v>742</v>
      </c>
      <c r="F31" s="566"/>
      <c r="G31" s="566"/>
      <c r="H31" s="566"/>
      <c r="I31" s="566"/>
      <c r="J31" s="566"/>
      <c r="K31" s="566"/>
      <c r="L31" s="566"/>
      <c r="M31" s="566"/>
      <c r="N31" s="566"/>
      <c r="O31" s="566"/>
    </row>
    <row r="32" spans="2:15">
      <c r="B32" t="s">
        <v>68</v>
      </c>
      <c r="C32" t="s">
        <v>55</v>
      </c>
      <c r="D32" t="s">
        <v>518</v>
      </c>
      <c r="E32" t="s">
        <v>742</v>
      </c>
      <c r="F32" s="567">
        <v>123.560800702824</v>
      </c>
      <c r="G32" s="567"/>
      <c r="H32" s="567"/>
      <c r="I32" s="567"/>
      <c r="J32" s="567"/>
      <c r="K32" s="567"/>
      <c r="L32" s="567"/>
      <c r="M32" s="567"/>
      <c r="N32" s="567"/>
      <c r="O32" s="567"/>
    </row>
    <row r="33" spans="2:15">
      <c r="B33" t="s">
        <v>69</v>
      </c>
      <c r="C33" t="s">
        <v>55</v>
      </c>
      <c r="D33" t="s">
        <v>518</v>
      </c>
      <c r="E33" t="s">
        <v>742</v>
      </c>
      <c r="F33" s="567"/>
      <c r="G33" s="567"/>
      <c r="H33" s="567"/>
      <c r="I33" s="567"/>
      <c r="J33" s="567"/>
      <c r="K33" s="567"/>
      <c r="L33" s="567"/>
      <c r="M33" s="567"/>
      <c r="N33" s="567"/>
      <c r="O33" s="567"/>
    </row>
    <row r="34" spans="2:15">
      <c r="B34" t="s">
        <v>210</v>
      </c>
      <c r="C34" t="s">
        <v>519</v>
      </c>
      <c r="D34" t="s">
        <v>497</v>
      </c>
      <c r="E34" t="s">
        <v>742</v>
      </c>
      <c r="F34" s="566"/>
      <c r="G34" s="566"/>
      <c r="H34" s="566"/>
      <c r="I34" s="566">
        <v>-0.56630025883308099</v>
      </c>
      <c r="J34" s="566">
        <v>-0.538510035100077</v>
      </c>
      <c r="K34" s="566">
        <v>-0.48702980250988398</v>
      </c>
      <c r="L34" s="566">
        <v>-0.41391282248385902</v>
      </c>
      <c r="M34" s="566">
        <v>-0.37135357418883502</v>
      </c>
      <c r="N34" s="566"/>
      <c r="O34" s="566"/>
    </row>
    <row r="35" spans="2:15">
      <c r="B35" t="s">
        <v>211</v>
      </c>
      <c r="C35" t="s">
        <v>520</v>
      </c>
      <c r="D35" t="s">
        <v>497</v>
      </c>
      <c r="E35" t="s">
        <v>742</v>
      </c>
      <c r="F35" s="566"/>
      <c r="G35" s="566"/>
      <c r="H35" s="566"/>
      <c r="I35" s="566"/>
      <c r="J35" s="566"/>
      <c r="K35" s="566"/>
      <c r="L35" s="566"/>
      <c r="M35" s="566"/>
      <c r="N35" s="566"/>
      <c r="O35" s="566"/>
    </row>
    <row r="36" spans="2:15">
      <c r="B36" t="s">
        <v>66</v>
      </c>
      <c r="C36" t="s">
        <v>196</v>
      </c>
      <c r="D36" t="s">
        <v>497</v>
      </c>
      <c r="E36" t="s">
        <v>742</v>
      </c>
      <c r="F36" s="566">
        <v>160.752936437306</v>
      </c>
      <c r="G36" s="566">
        <v>161.75784517446999</v>
      </c>
      <c r="H36" s="566">
        <v>159.29520105907599</v>
      </c>
      <c r="I36" s="566">
        <v>167.29741805573701</v>
      </c>
      <c r="J36" s="566">
        <v>173.90139666123301</v>
      </c>
      <c r="K36" s="566">
        <v>178.093108814045</v>
      </c>
      <c r="L36" s="566">
        <v>179.016630546567</v>
      </c>
      <c r="M36" s="566">
        <v>178.26714638049199</v>
      </c>
      <c r="N36" s="566"/>
      <c r="O36" s="566"/>
    </row>
    <row r="37" spans="2:15">
      <c r="B37" t="s">
        <v>67</v>
      </c>
      <c r="C37" t="s">
        <v>197</v>
      </c>
      <c r="D37" t="s">
        <v>497</v>
      </c>
      <c r="E37" t="s">
        <v>742</v>
      </c>
      <c r="F37" s="566">
        <v>0</v>
      </c>
      <c r="G37" s="566">
        <v>0</v>
      </c>
      <c r="H37" s="566">
        <v>0</v>
      </c>
      <c r="I37" s="566">
        <v>0</v>
      </c>
      <c r="J37" s="566">
        <v>0</v>
      </c>
      <c r="K37" s="566">
        <v>0</v>
      </c>
      <c r="L37" s="566">
        <v>0</v>
      </c>
      <c r="M37" s="566">
        <v>0</v>
      </c>
      <c r="N37" s="566"/>
      <c r="O37" s="566"/>
    </row>
    <row r="38" spans="2:15">
      <c r="B38" t="s">
        <v>243</v>
      </c>
      <c r="C38" t="s">
        <v>521</v>
      </c>
      <c r="D38" t="s">
        <v>522</v>
      </c>
      <c r="E38" t="s">
        <v>742</v>
      </c>
      <c r="F38" s="568">
        <v>6.0999999999999999E-2</v>
      </c>
      <c r="G38" s="568">
        <v>5.5E-2</v>
      </c>
      <c r="H38" s="568">
        <v>5.5E-2</v>
      </c>
      <c r="I38" s="568">
        <v>5.5E-2</v>
      </c>
      <c r="J38" s="568">
        <v>5.5E-2</v>
      </c>
      <c r="K38" s="568">
        <v>5.5E-2</v>
      </c>
      <c r="L38" s="568">
        <v>5.5E-2</v>
      </c>
      <c r="M38" s="568">
        <v>5.5E-2</v>
      </c>
      <c r="N38" s="568">
        <v>5.5E-2</v>
      </c>
      <c r="O38" s="568"/>
    </row>
    <row r="39" spans="2:15">
      <c r="B39" t="s">
        <v>533</v>
      </c>
      <c r="C39" t="s">
        <v>504</v>
      </c>
      <c r="D39" t="s">
        <v>499</v>
      </c>
      <c r="E39" t="s">
        <v>742</v>
      </c>
      <c r="F39" s="570"/>
      <c r="G39" s="570"/>
      <c r="H39" s="570"/>
      <c r="I39" s="570"/>
      <c r="J39" s="570"/>
      <c r="K39" s="570"/>
      <c r="L39" s="570"/>
      <c r="M39" s="570"/>
      <c r="N39" s="570">
        <v>6.7799999999999999E-2</v>
      </c>
      <c r="O39" s="570"/>
    </row>
    <row r="40" spans="2:15">
      <c r="B40" t="s">
        <v>424</v>
      </c>
      <c r="C40" t="s">
        <v>8</v>
      </c>
      <c r="D40" t="s">
        <v>497</v>
      </c>
      <c r="E40" t="s">
        <v>742</v>
      </c>
      <c r="F40" s="566"/>
      <c r="G40" s="566"/>
      <c r="H40" s="566"/>
      <c r="I40" s="566">
        <v>3.9180000000000001</v>
      </c>
      <c r="J40" s="566">
        <v>4.4240000000000004</v>
      </c>
      <c r="K40" s="566">
        <v>5.2480000000000002</v>
      </c>
      <c r="L40" s="566">
        <v>8.16</v>
      </c>
      <c r="M40" s="566">
        <v>6.7610000000000001</v>
      </c>
      <c r="N40" s="566"/>
      <c r="O40" s="566"/>
    </row>
    <row r="41" spans="2:15">
      <c r="B41" t="s">
        <v>425</v>
      </c>
      <c r="C41" t="s">
        <v>65</v>
      </c>
      <c r="D41" t="s">
        <v>497</v>
      </c>
      <c r="E41" t="s">
        <v>742</v>
      </c>
      <c r="F41" s="566"/>
      <c r="G41" s="566"/>
      <c r="H41" s="566"/>
      <c r="I41" s="566">
        <v>5.907</v>
      </c>
      <c r="J41" s="566">
        <v>13.101000000000001</v>
      </c>
      <c r="K41" s="566">
        <v>10.221</v>
      </c>
      <c r="L41" s="566">
        <v>4.5599999999999996</v>
      </c>
      <c r="M41" s="566">
        <v>6.9130000000000003</v>
      </c>
      <c r="N41" s="566"/>
      <c r="O41" s="566"/>
    </row>
    <row r="42" spans="2:15">
      <c r="B42" t="s">
        <v>426</v>
      </c>
      <c r="C42" t="s">
        <v>382</v>
      </c>
      <c r="D42" t="s">
        <v>497</v>
      </c>
      <c r="E42" t="s">
        <v>742</v>
      </c>
      <c r="F42" s="566"/>
      <c r="G42" s="566"/>
      <c r="H42" s="566"/>
      <c r="I42" s="566">
        <v>0.90500000000000003</v>
      </c>
      <c r="J42" s="566">
        <v>3.7890000000000001</v>
      </c>
      <c r="K42" s="566">
        <v>1.5269999999999999</v>
      </c>
      <c r="L42" s="566">
        <v>6.7919999999999998</v>
      </c>
      <c r="M42" s="566">
        <v>1.9450000000000001</v>
      </c>
      <c r="N42" s="566"/>
      <c r="O42" s="566"/>
    </row>
    <row r="43" spans="2:15">
      <c r="B43" t="s">
        <v>427</v>
      </c>
      <c r="C43" t="s">
        <v>383</v>
      </c>
      <c r="D43" t="s">
        <v>497</v>
      </c>
      <c r="E43" t="s">
        <v>742</v>
      </c>
      <c r="F43" s="566"/>
      <c r="G43" s="566"/>
      <c r="H43" s="566"/>
      <c r="I43" s="566">
        <v>2.6880000000000002</v>
      </c>
      <c r="J43" s="566">
        <v>4.3550000000000004</v>
      </c>
      <c r="K43" s="566">
        <v>3.9239999999999999</v>
      </c>
      <c r="L43" s="566">
        <v>3.153</v>
      </c>
      <c r="M43" s="566">
        <v>5.891</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c r="J46" s="566"/>
      <c r="K46" s="566"/>
      <c r="L46" s="566"/>
      <c r="M46" s="566"/>
      <c r="N46" s="566"/>
      <c r="O46" s="566"/>
    </row>
    <row r="47" spans="2:15">
      <c r="B47" t="s">
        <v>431</v>
      </c>
      <c r="C47" t="s">
        <v>64</v>
      </c>
      <c r="D47" t="s">
        <v>497</v>
      </c>
      <c r="E47" t="s">
        <v>742</v>
      </c>
      <c r="F47" s="566"/>
      <c r="G47" s="566"/>
      <c r="H47" s="566"/>
      <c r="I47" s="566"/>
      <c r="J47" s="566"/>
      <c r="K47" s="566"/>
      <c r="L47" s="566"/>
      <c r="M47" s="566"/>
      <c r="N47" s="566"/>
      <c r="O47" s="566"/>
    </row>
    <row r="48" spans="2:15">
      <c r="B48" t="s">
        <v>432</v>
      </c>
      <c r="C48" t="s">
        <v>384</v>
      </c>
      <c r="D48" t="s">
        <v>497</v>
      </c>
      <c r="E48" t="s">
        <v>742</v>
      </c>
      <c r="F48" s="566"/>
      <c r="G48" s="566"/>
      <c r="H48" s="566"/>
      <c r="I48" s="566"/>
      <c r="J48" s="566"/>
      <c r="K48" s="566"/>
      <c r="L48" s="566"/>
      <c r="M48" s="566"/>
      <c r="N48" s="566"/>
      <c r="O48" s="566"/>
    </row>
    <row r="49" spans="2:15">
      <c r="B49" t="s">
        <v>433</v>
      </c>
      <c r="C49" t="s">
        <v>385</v>
      </c>
      <c r="D49" t="s">
        <v>497</v>
      </c>
      <c r="E49" t="s">
        <v>742</v>
      </c>
      <c r="F49" s="566"/>
      <c r="G49" s="566"/>
      <c r="H49" s="566"/>
      <c r="I49" s="566"/>
      <c r="J49" s="566"/>
      <c r="K49" s="566"/>
      <c r="L49" s="566"/>
      <c r="M49" s="566"/>
      <c r="N49" s="566"/>
      <c r="O49" s="566"/>
    </row>
    <row r="50" spans="2:15">
      <c r="B50" t="s">
        <v>434</v>
      </c>
      <c r="C50" t="s">
        <v>232</v>
      </c>
      <c r="D50" t="s">
        <v>497</v>
      </c>
      <c r="E50" t="s">
        <v>742</v>
      </c>
      <c r="F50" s="566"/>
      <c r="G50" s="566"/>
      <c r="H50" s="566"/>
      <c r="I50" s="566"/>
      <c r="J50" s="566"/>
      <c r="K50" s="566"/>
      <c r="L50" s="566"/>
      <c r="M50" s="566"/>
      <c r="N50" s="566"/>
      <c r="O50" s="566"/>
    </row>
    <row r="51" spans="2:15">
      <c r="B51" t="s">
        <v>435</v>
      </c>
      <c r="C51" t="s">
        <v>233</v>
      </c>
      <c r="D51" t="s">
        <v>497</v>
      </c>
      <c r="E51" t="s">
        <v>742</v>
      </c>
      <c r="F51" s="566"/>
      <c r="G51" s="566"/>
      <c r="H51" s="566"/>
      <c r="I51" s="566"/>
      <c r="J51" s="566"/>
      <c r="K51" s="566"/>
      <c r="L51" s="566"/>
      <c r="M51" s="566"/>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v>
      </c>
      <c r="K59" s="566">
        <v>0</v>
      </c>
      <c r="L59" s="566">
        <v>0</v>
      </c>
      <c r="M59" s="566">
        <v>0</v>
      </c>
      <c r="N59" s="566"/>
      <c r="O59" s="566"/>
    </row>
    <row r="60" spans="2:15">
      <c r="B60" t="s">
        <v>480</v>
      </c>
      <c r="C60" t="s">
        <v>254</v>
      </c>
      <c r="D60" t="s">
        <v>497</v>
      </c>
      <c r="E60" t="s">
        <v>742</v>
      </c>
      <c r="F60" s="566"/>
      <c r="G60" s="566"/>
      <c r="H60" s="566">
        <v>0</v>
      </c>
      <c r="I60" s="566">
        <v>0</v>
      </c>
      <c r="J60" s="566">
        <v>0</v>
      </c>
      <c r="K60" s="566">
        <v>0</v>
      </c>
      <c r="L60" s="566">
        <v>0</v>
      </c>
      <c r="M60" s="566">
        <v>0</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258.64708416666701</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117.618375</v>
      </c>
      <c r="M64" s="569">
        <v>120.85288031250001</v>
      </c>
      <c r="N64" s="569"/>
      <c r="O64" s="569"/>
    </row>
    <row r="65" spans="2:15">
      <c r="B65" t="s">
        <v>534</v>
      </c>
      <c r="C65" t="s">
        <v>559</v>
      </c>
      <c r="D65" t="s">
        <v>522</v>
      </c>
      <c r="E65" t="s">
        <v>742</v>
      </c>
      <c r="F65" s="568"/>
      <c r="G65" s="568"/>
      <c r="H65" s="568"/>
      <c r="I65" s="568"/>
      <c r="J65" s="568"/>
      <c r="K65" s="568"/>
      <c r="L65" s="568">
        <v>2.75E-2</v>
      </c>
      <c r="M65" s="568">
        <v>2.75E-2</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1</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4.797072</v>
      </c>
      <c r="K10" s="221">
        <f>INDEX('F_Inputs FD'!$B$4:$O$90,MATCH($C10,'F_Inputs FD'!$B$4:$B$90,0),MATCH(K$2,'F_Inputs FD'!$B$2:$N$2,0))</f>
        <v>5.3863460999999999</v>
      </c>
      <c r="L10" s="221">
        <f>INDEX('F_Inputs FD'!$B$4:$O$90,MATCH($C10,'F_Inputs FD'!$B$4:$B$90,0),MATCH(L$2,'F_Inputs FD'!$B$2:$N$2,0))</f>
        <v>6.6409127999999997</v>
      </c>
      <c r="M10" s="221">
        <f>INDEX('F_Inputs FD'!$B$4:$O$90,MATCH($C10,'F_Inputs FD'!$B$4:$B$90,0),MATCH(M$2,'F_Inputs FD'!$B$2:$N$2,0))</f>
        <v>6.6940815999999996</v>
      </c>
      <c r="N10" s="395">
        <f>INDEX('F_Inputs FD'!$B$4:$O$90,MATCH($C10,'F_Inputs FD'!$B$4:$B$90,0),MATCH(N$2,'F_Inputs FD'!$B$2:$N$2,0))</f>
        <v>5.0562753999999996</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15.771167999999999</v>
      </c>
      <c r="K11" s="221">
        <f>INDEX('F_Inputs FD'!$B$4:$O$90,MATCH($C11,'F_Inputs FD'!$B$4:$B$90,0),MATCH(K$2,'F_Inputs FD'!$B$2:$N$2,0))</f>
        <v>12.062123100000001</v>
      </c>
      <c r="L11" s="221">
        <f>INDEX('F_Inputs FD'!$B$4:$O$90,MATCH($C11,'F_Inputs FD'!$B$4:$B$90,0),MATCH(L$2,'F_Inputs FD'!$B$2:$N$2,0))</f>
        <v>6.9655842000000003</v>
      </c>
      <c r="M11" s="221">
        <f>INDEX('F_Inputs FD'!$B$4:$O$90,MATCH($C11,'F_Inputs FD'!$B$4:$B$90,0),MATCH(M$2,'F_Inputs FD'!$B$2:$N$2,0))</f>
        <v>5.3313135999999997</v>
      </c>
      <c r="N11" s="395">
        <f>INDEX('F_Inputs FD'!$B$4:$O$90,MATCH($C11,'F_Inputs FD'!$B$4:$B$90,0),MATCH(N$2,'F_Inputs FD'!$B$2:$N$2,0))</f>
        <v>6.3674314000000001</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1.707552</v>
      </c>
      <c r="K12" s="221">
        <f>INDEX('F_Inputs FD'!$B$4:$O$90,MATCH($C12,'F_Inputs FD'!$B$4:$B$90,0),MATCH(K$2,'F_Inputs FD'!$B$2:$N$2,0))</f>
        <v>2.9192553000000001</v>
      </c>
      <c r="L12" s="221">
        <f>INDEX('F_Inputs FD'!$B$4:$O$90,MATCH($C12,'F_Inputs FD'!$B$4:$B$90,0),MATCH(L$2,'F_Inputs FD'!$B$2:$N$2,0))</f>
        <v>6.3131687999999997</v>
      </c>
      <c r="M12" s="221">
        <f>INDEX('F_Inputs FD'!$B$4:$O$90,MATCH($C12,'F_Inputs FD'!$B$4:$B$90,0),MATCH(M$2,'F_Inputs FD'!$B$2:$N$2,0))</f>
        <v>6.3626811999999999</v>
      </c>
      <c r="N12" s="395">
        <f>INDEX('F_Inputs FD'!$B$4:$O$90,MATCH($C12,'F_Inputs FD'!$B$4:$B$90,0),MATCH(N$2,'F_Inputs FD'!$B$2:$N$2,0))</f>
        <v>2.7326155999999999</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7.7757120000000004</v>
      </c>
      <c r="K13" s="221">
        <f>INDEX('F_Inputs FD'!$B$4:$O$90,MATCH($C13,'F_Inputs FD'!$B$4:$B$90,0),MATCH(K$2,'F_Inputs FD'!$B$2:$N$2,0))</f>
        <v>11.280742200000001</v>
      </c>
      <c r="L13" s="221">
        <f>INDEX('F_Inputs FD'!$B$4:$O$90,MATCH($C13,'F_Inputs FD'!$B$4:$B$90,0),MATCH(L$2,'F_Inputs FD'!$B$2:$N$2,0))</f>
        <v>3.9769686000000002</v>
      </c>
      <c r="M13" s="221">
        <f>INDEX('F_Inputs FD'!$B$4:$O$90,MATCH($C13,'F_Inputs FD'!$B$4:$B$90,0),MATCH(M$2,'F_Inputs FD'!$B$2:$N$2,0))</f>
        <v>2.3858763999999999</v>
      </c>
      <c r="N13" s="395">
        <f>INDEX('F_Inputs FD'!$B$4:$O$90,MATCH($C13,'F_Inputs FD'!$B$4:$B$90,0),MATCH(N$2,'F_Inputs FD'!$B$2:$N$2,0))</f>
        <v>2.8012952000000002</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0.76100000000000001</v>
      </c>
      <c r="K14" s="221">
        <f>INDEX('F_Inputs FD'!$B$4:$O$90,MATCH($C14,'F_Inputs FD'!$B$4:$B$90,0),MATCH(K$2,'F_Inputs FD'!$B$2:$N$2,0))</f>
        <v>0.75900000000000001</v>
      </c>
      <c r="L14" s="221">
        <f>INDEX('F_Inputs FD'!$B$4:$O$90,MATCH($C14,'F_Inputs FD'!$B$4:$B$90,0),MATCH(L$2,'F_Inputs FD'!$B$2:$N$2,0))</f>
        <v>0.78600000000000003</v>
      </c>
      <c r="M14" s="221">
        <f>INDEX('F_Inputs FD'!$B$4:$O$90,MATCH($C14,'F_Inputs FD'!$B$4:$B$90,0),MATCH(M$2,'F_Inputs FD'!$B$2:$N$2,0))</f>
        <v>0.84699999999999998</v>
      </c>
      <c r="N14" s="395">
        <f>INDEX('F_Inputs FD'!$B$4:$O$90,MATCH($C14,'F_Inputs FD'!$B$4:$B$90,0),MATCH(N$2,'F_Inputs FD'!$B$2:$N$2,0))</f>
        <v>0.82399999999999995</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0</v>
      </c>
      <c r="K19" s="221">
        <f>INDEX('F_Inputs FD'!$B$4:$O$90,MATCH($C19,'F_Inputs FD'!$B$4:$B$90,0),MATCH(K$2,'F_Inputs FD'!$B$2:$N$2,0))</f>
        <v>0</v>
      </c>
      <c r="L19" s="221">
        <f>INDEX('F_Inputs FD'!$B$4:$O$90,MATCH($C19,'F_Inputs FD'!$B$4:$B$90,0),MATCH(L$2,'F_Inputs FD'!$B$2:$N$2,0))</f>
        <v>0</v>
      </c>
      <c r="M19" s="221">
        <f>INDEX('F_Inputs FD'!$B$4:$O$90,MATCH($C19,'F_Inputs FD'!$B$4:$B$90,0),MATCH(M$2,'F_Inputs FD'!$B$2:$N$2,0))</f>
        <v>0</v>
      </c>
      <c r="N19" s="395">
        <f>INDEX('F_Inputs FD'!$B$4:$O$90,MATCH($C19,'F_Inputs FD'!$B$4:$B$90,0),MATCH(N$2,'F_Inputs FD'!$B$2:$N$2,0))</f>
        <v>0</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0</v>
      </c>
      <c r="K20" s="221">
        <f>INDEX('F_Inputs FD'!$B$4:$O$90,MATCH($C20,'F_Inputs FD'!$B$4:$B$90,0),MATCH(K$2,'F_Inputs FD'!$B$2:$N$2,0))</f>
        <v>0</v>
      </c>
      <c r="L20" s="221">
        <f>INDEX('F_Inputs FD'!$B$4:$O$90,MATCH($C20,'F_Inputs FD'!$B$4:$B$90,0),MATCH(L$2,'F_Inputs FD'!$B$2:$N$2,0))</f>
        <v>0</v>
      </c>
      <c r="M20" s="221">
        <f>INDEX('F_Inputs FD'!$B$4:$O$90,MATCH($C20,'F_Inputs FD'!$B$4:$B$90,0),MATCH(M$2,'F_Inputs FD'!$B$2:$N$2,0))</f>
        <v>0</v>
      </c>
      <c r="N20" s="395">
        <f>INDEX('F_Inputs FD'!$B$4:$O$90,MATCH($C20,'F_Inputs FD'!$B$4:$B$90,0),MATCH(N$2,'F_Inputs FD'!$B$2:$N$2,0))</f>
        <v>0</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0</v>
      </c>
      <c r="K21" s="221">
        <f>INDEX('F_Inputs FD'!$B$4:$O$90,MATCH($C21,'F_Inputs FD'!$B$4:$B$90,0),MATCH(K$2,'F_Inputs FD'!$B$2:$N$2,0))</f>
        <v>0</v>
      </c>
      <c r="L21" s="221">
        <f>INDEX('F_Inputs FD'!$B$4:$O$90,MATCH($C21,'F_Inputs FD'!$B$4:$B$90,0),MATCH(L$2,'F_Inputs FD'!$B$2:$N$2,0))</f>
        <v>0</v>
      </c>
      <c r="M21" s="221">
        <f>INDEX('F_Inputs FD'!$B$4:$O$90,MATCH($C21,'F_Inputs FD'!$B$4:$B$90,0),MATCH(M$2,'F_Inputs FD'!$B$2:$N$2,0))</f>
        <v>0</v>
      </c>
      <c r="N21" s="395">
        <f>INDEX('F_Inputs FD'!$B$4:$O$90,MATCH($C21,'F_Inputs FD'!$B$4:$B$90,0),MATCH(N$2,'F_Inputs FD'!$B$2:$N$2,0))</f>
        <v>0</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0</v>
      </c>
      <c r="K22" s="221">
        <f>INDEX('F_Inputs FD'!$B$4:$O$90,MATCH($C22,'F_Inputs FD'!$B$4:$B$90,0),MATCH(K$2,'F_Inputs FD'!$B$2:$N$2,0))</f>
        <v>0</v>
      </c>
      <c r="L22" s="221">
        <f>INDEX('F_Inputs FD'!$B$4:$O$90,MATCH($C22,'F_Inputs FD'!$B$4:$B$90,0),MATCH(L$2,'F_Inputs FD'!$B$2:$N$2,0))</f>
        <v>0</v>
      </c>
      <c r="M22" s="221">
        <f>INDEX('F_Inputs FD'!$B$4:$O$90,MATCH($C22,'F_Inputs FD'!$B$4:$B$90,0),MATCH(M$2,'F_Inputs FD'!$B$2:$N$2,0))</f>
        <v>0</v>
      </c>
      <c r="N22" s="395">
        <f>INDEX('F_Inputs FD'!$B$4:$O$90,MATCH($C22,'F_Inputs FD'!$B$4:$B$90,0),MATCH(N$2,'F_Inputs FD'!$B$2:$N$2,0))</f>
        <v>0</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0</v>
      </c>
      <c r="K23" s="221">
        <f>INDEX('F_Inputs FD'!$B$4:$O$90,MATCH($C23,'F_Inputs FD'!$B$4:$B$90,0),MATCH(K$2,'F_Inputs FD'!$B$2:$N$2,0))</f>
        <v>0</v>
      </c>
      <c r="L23" s="221">
        <f>INDEX('F_Inputs FD'!$B$4:$O$90,MATCH($C23,'F_Inputs FD'!$B$4:$B$90,0),MATCH(L$2,'F_Inputs FD'!$B$2:$N$2,0))</f>
        <v>0</v>
      </c>
      <c r="M23" s="221">
        <f>INDEX('F_Inputs FD'!$B$4:$O$90,MATCH($C23,'F_Inputs FD'!$B$4:$B$90,0),MATCH(M$2,'F_Inputs FD'!$B$2:$N$2,0))</f>
        <v>0</v>
      </c>
      <c r="N23" s="395">
        <f>INDEX('F_Inputs FD'!$B$4:$O$90,MATCH($C23,'F_Inputs FD'!$B$4:$B$90,0),MATCH(N$2,'F_Inputs FD'!$B$2:$N$2,0))</f>
        <v>0</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5.1217274256155596</v>
      </c>
      <c r="K30" s="221">
        <f>INDEX('F_Inputs FD'!$B$4:$O$90,MATCH($C30,'F_Inputs FD'!$B$4:$B$90,0),MATCH(K$2,'F_Inputs FD'!$B$2:$N$2,0))</f>
        <v>5.7219630018878203</v>
      </c>
      <c r="L30" s="221">
        <f>INDEX('F_Inputs FD'!$B$4:$O$90,MATCH($C30,'F_Inputs FD'!$B$4:$B$90,0),MATCH(L$2,'F_Inputs FD'!$B$2:$N$2,0))</f>
        <v>7.39606188314362</v>
      </c>
      <c r="M30" s="221">
        <f>INDEX('F_Inputs FD'!$B$4:$O$90,MATCH($C30,'F_Inputs FD'!$B$4:$B$90,0),MATCH(M$2,'F_Inputs FD'!$B$2:$N$2,0))</f>
        <v>7.3664776356110497</v>
      </c>
      <c r="N30" s="395">
        <f>INDEX('F_Inputs FD'!$B$4:$O$90,MATCH($C30,'F_Inputs FD'!$B$4:$B$90,0),MATCH(N$2,'F_Inputs FD'!$B$2:$N$2,0))</f>
        <v>5.4982325681845099</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13.8761113424824</v>
      </c>
      <c r="K31" s="221">
        <f>INDEX('F_Inputs FD'!$B$4:$O$90,MATCH($C31,'F_Inputs FD'!$B$4:$B$90,0),MATCH(K$2,'F_Inputs FD'!$B$2:$N$2,0))</f>
        <v>9.7432356201238601</v>
      </c>
      <c r="L31" s="221">
        <f>INDEX('F_Inputs FD'!$B$4:$O$90,MATCH($C31,'F_Inputs FD'!$B$4:$B$90,0),MATCH(L$2,'F_Inputs FD'!$B$2:$N$2,0))</f>
        <v>7.2795464827987502</v>
      </c>
      <c r="M31" s="221">
        <f>INDEX('F_Inputs FD'!$B$4:$O$90,MATCH($C31,'F_Inputs FD'!$B$4:$B$90,0),MATCH(M$2,'F_Inputs FD'!$B$2:$N$2,0))</f>
        <v>5.49642397350451</v>
      </c>
      <c r="N31" s="395">
        <f>INDEX('F_Inputs FD'!$B$4:$O$90,MATCH($C31,'F_Inputs FD'!$B$4:$B$90,0),MATCH(N$2,'F_Inputs FD'!$B$2:$N$2,0))</f>
        <v>6.4936037218966698</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1.18561869610492</v>
      </c>
      <c r="K32" s="221">
        <f>INDEX('F_Inputs FD'!$B$4:$O$90,MATCH($C32,'F_Inputs FD'!$B$4:$B$90,0),MATCH(K$2,'F_Inputs FD'!$B$2:$N$2,0))</f>
        <v>1.6386180195397699</v>
      </c>
      <c r="L32" s="221">
        <f>INDEX('F_Inputs FD'!$B$4:$O$90,MATCH($C32,'F_Inputs FD'!$B$4:$B$90,0),MATCH(L$2,'F_Inputs FD'!$B$2:$N$2,0))</f>
        <v>2.5015015598287298</v>
      </c>
      <c r="M32" s="221">
        <f>INDEX('F_Inputs FD'!$B$4:$O$90,MATCH($C32,'F_Inputs FD'!$B$4:$B$90,0),MATCH(M$2,'F_Inputs FD'!$B$2:$N$2,0))</f>
        <v>2.3256495793782199</v>
      </c>
      <c r="N32" s="395">
        <f>INDEX('F_Inputs FD'!$B$4:$O$90,MATCH($C32,'F_Inputs FD'!$B$4:$B$90,0),MATCH(N$2,'F_Inputs FD'!$B$2:$N$2,0))</f>
        <v>1.3080532923734201</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2.8279990665602099</v>
      </c>
      <c r="K33" s="221">
        <f>INDEX('F_Inputs FD'!$B$4:$O$90,MATCH($C33,'F_Inputs FD'!$B$4:$B$90,0),MATCH(K$2,'F_Inputs FD'!$B$2:$N$2,0))</f>
        <v>4.7783917290043201</v>
      </c>
      <c r="L33" s="221">
        <f>INDEX('F_Inputs FD'!$B$4:$O$90,MATCH($C33,'F_Inputs FD'!$B$4:$B$90,0),MATCH(L$2,'F_Inputs FD'!$B$2:$N$2,0))</f>
        <v>2.6132132373085799</v>
      </c>
      <c r="M33" s="221">
        <f>INDEX('F_Inputs FD'!$B$4:$O$90,MATCH($C33,'F_Inputs FD'!$B$4:$B$90,0),MATCH(M$2,'F_Inputs FD'!$B$2:$N$2,0))</f>
        <v>1.6306834375674799</v>
      </c>
      <c r="N33" s="395">
        <f>INDEX('F_Inputs FD'!$B$4:$O$90,MATCH($C33,'F_Inputs FD'!$B$4:$B$90,0),MATCH(N$2,'F_Inputs FD'!$B$2:$N$2,0))</f>
        <v>1.78996159931696</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0</v>
      </c>
      <c r="K37" s="221">
        <f>INDEX('F_Inputs FD'!$B$4:$O$90,MATCH($C37,'F_Inputs FD'!$B$4:$B$90,0),MATCH(K$2,'F_Inputs FD'!$B$2:$N$2,0))</f>
        <v>0</v>
      </c>
      <c r="L37" s="221">
        <f>INDEX('F_Inputs FD'!$B$4:$O$90,MATCH($C37,'F_Inputs FD'!$B$4:$B$90,0),MATCH(L$2,'F_Inputs FD'!$B$2:$N$2,0))</f>
        <v>0</v>
      </c>
      <c r="M37" s="221">
        <f>INDEX('F_Inputs FD'!$B$4:$O$90,MATCH($C37,'F_Inputs FD'!$B$4:$B$90,0),MATCH(M$2,'F_Inputs FD'!$B$2:$N$2,0))</f>
        <v>0</v>
      </c>
      <c r="N37" s="395">
        <f>INDEX('F_Inputs FD'!$B$4:$O$90,MATCH($C37,'F_Inputs FD'!$B$4:$B$90,0),MATCH(N$2,'F_Inputs FD'!$B$2:$N$2,0))</f>
        <v>0</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0</v>
      </c>
      <c r="K38" s="221">
        <f>INDEX('F_Inputs FD'!$B$4:$O$90,MATCH($C38,'F_Inputs FD'!$B$4:$B$90,0),MATCH(K$2,'F_Inputs FD'!$B$2:$N$2,0))</f>
        <v>0</v>
      </c>
      <c r="L38" s="221">
        <f>INDEX('F_Inputs FD'!$B$4:$O$90,MATCH($C38,'F_Inputs FD'!$B$4:$B$90,0),MATCH(L$2,'F_Inputs FD'!$B$2:$N$2,0))</f>
        <v>0</v>
      </c>
      <c r="M38" s="221">
        <f>INDEX('F_Inputs FD'!$B$4:$O$90,MATCH($C38,'F_Inputs FD'!$B$4:$B$90,0),MATCH(M$2,'F_Inputs FD'!$B$2:$N$2,0))</f>
        <v>0</v>
      </c>
      <c r="N38" s="395">
        <f>INDEX('F_Inputs FD'!$B$4:$O$90,MATCH($C38,'F_Inputs FD'!$B$4:$B$90,0),MATCH(N$2,'F_Inputs FD'!$B$2:$N$2,0))</f>
        <v>0</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0</v>
      </c>
      <c r="K39" s="221">
        <f>INDEX('F_Inputs FD'!$B$4:$O$90,MATCH($C39,'F_Inputs FD'!$B$4:$B$90,0),MATCH(K$2,'F_Inputs FD'!$B$2:$N$2,0))</f>
        <v>0</v>
      </c>
      <c r="L39" s="221">
        <f>INDEX('F_Inputs FD'!$B$4:$O$90,MATCH($C39,'F_Inputs FD'!$B$4:$B$90,0),MATCH(L$2,'F_Inputs FD'!$B$2:$N$2,0))</f>
        <v>0</v>
      </c>
      <c r="M39" s="221">
        <f>INDEX('F_Inputs FD'!$B$4:$O$90,MATCH($C39,'F_Inputs FD'!$B$4:$B$90,0),MATCH(M$2,'F_Inputs FD'!$B$2:$N$2,0))</f>
        <v>0</v>
      </c>
      <c r="N39" s="395">
        <f>INDEX('F_Inputs FD'!$B$4:$O$90,MATCH($C39,'F_Inputs FD'!$B$4:$B$90,0),MATCH(N$2,'F_Inputs FD'!$B$2:$N$2,0))</f>
        <v>0</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0</v>
      </c>
      <c r="K40" s="221">
        <f>INDEX('F_Inputs FD'!$B$4:$O$90,MATCH($C40,'F_Inputs FD'!$B$4:$B$90,0),MATCH(K$2,'F_Inputs FD'!$B$2:$N$2,0))</f>
        <v>0</v>
      </c>
      <c r="L40" s="221">
        <f>INDEX('F_Inputs FD'!$B$4:$O$90,MATCH($C40,'F_Inputs FD'!$B$4:$B$90,0),MATCH(L$2,'F_Inputs FD'!$B$2:$N$2,0))</f>
        <v>0</v>
      </c>
      <c r="M40" s="221">
        <f>INDEX('F_Inputs FD'!$B$4:$O$90,MATCH($C40,'F_Inputs FD'!$B$4:$B$90,0),MATCH(M$2,'F_Inputs FD'!$B$2:$N$2,0))</f>
        <v>0</v>
      </c>
      <c r="N40" s="395">
        <f>INDEX('F_Inputs FD'!$B$4:$O$90,MATCH($C40,'F_Inputs FD'!$B$4:$B$90,0),MATCH(N$2,'F_Inputs FD'!$B$2:$N$2,0))</f>
        <v>0</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-0.56630025883308099</v>
      </c>
      <c r="K49" s="221">
        <f>IF(INDEX('F_Inputs FD'!$B$4:$O$90,MATCH($C49,'F_Inputs FD'!$B$4:$B$90,0),MATCH(K$2,'F_Inputs FD'!$B$2:$N$2,0))="","",INDEX('F_Inputs FD'!$B$4:$O$90,MATCH($C49,'F_Inputs FD'!$B$4:$B$90,0),MATCH(K$2,'F_Inputs FD'!$B$2:$N$2,0)))</f>
        <v>-0.538510035100077</v>
      </c>
      <c r="L49" s="221">
        <f>IF(INDEX('F_Inputs FD'!$B$4:$O$90,MATCH($C49,'F_Inputs FD'!$B$4:$B$90,0),MATCH(L$2,'F_Inputs FD'!$B$2:$N$2,0))="","",INDEX('F_Inputs FD'!$B$4:$O$90,MATCH($C49,'F_Inputs FD'!$B$4:$B$90,0),MATCH(L$2,'F_Inputs FD'!$B$2:$N$2,0)))</f>
        <v>-0.48702980250988398</v>
      </c>
      <c r="M49" s="221">
        <f>IF(INDEX('F_Inputs FD'!$B$4:$O$90,MATCH($C49,'F_Inputs FD'!$B$4:$B$90,0),MATCH(M$2,'F_Inputs FD'!$B$2:$N$2,0))="","",INDEX('F_Inputs FD'!$B$4:$O$90,MATCH($C49,'F_Inputs FD'!$B$4:$B$90,0),MATCH(M$2,'F_Inputs FD'!$B$2:$N$2,0)))</f>
        <v>-0.41391282248385902</v>
      </c>
      <c r="N49" s="395">
        <f>IF(INDEX('F_Inputs FD'!$B$4:$O$90,MATCH($C49,'F_Inputs FD'!$B$4:$B$90,0),MATCH(N$2,'F_Inputs FD'!$B$2:$N$2,0))="","",INDEX('F_Inputs FD'!$B$4:$O$90,MATCH($C49,'F_Inputs FD'!$B$4:$B$90,0),MATCH(N$2,'F_Inputs FD'!$B$2:$N$2,0)))</f>
        <v>-0.37135357418883502</v>
      </c>
      <c r="O49" s="217"/>
      <c r="P49" s="217"/>
      <c r="Q49" s="217"/>
      <c r="R49" s="222" t="s">
        <v>242</v>
      </c>
    </row>
    <row r="50" spans="1:18" s="138" customFormat="1">
      <c r="A50" s="432"/>
      <c r="B50" s="213"/>
      <c r="C50" s="154" t="s">
        <v>211</v>
      </c>
      <c r="D50" s="153" t="s">
        <v>57</v>
      </c>
      <c r="E50" s="216" t="s">
        <v>419</v>
      </c>
      <c r="F50" s="217"/>
      <c r="G50" s="223"/>
      <c r="H50" s="223"/>
      <c r="I50" s="223"/>
      <c r="J50" s="221" t="str">
        <f>IF(INDEX('F_Inputs FD'!$B$4:$O$90,MATCH($C50,'F_Inputs FD'!$B$4:$B$90,0),MATCH(J$2,'F_Inputs FD'!$B$2:$N$2,0))="","",INDEX('F_Inputs FD'!$B$4:$O$90,MATCH($C50,'F_Inputs FD'!$B$4:$B$90,0),MATCH(J$2,'F_Inputs FD'!$B$2:$N$2,0)))</f>
        <v/>
      </c>
      <c r="K50" s="221" t="str">
        <f>IF(INDEX('F_Inputs FD'!$B$4:$O$90,MATCH($C50,'F_Inputs FD'!$B$4:$B$90,0),MATCH(K$2,'F_Inputs FD'!$B$2:$N$2,0))="","",INDEX('F_Inputs FD'!$B$4:$O$90,MATCH($C50,'F_Inputs FD'!$B$4:$B$90,0),MATCH(K$2,'F_Inputs FD'!$B$2:$N$2,0)))</f>
        <v/>
      </c>
      <c r="L50" s="221" t="str">
        <f>IF(INDEX('F_Inputs FD'!$B$4:$O$90,MATCH($C50,'F_Inputs FD'!$B$4:$B$90,0),MATCH(L$2,'F_Inputs FD'!$B$2:$N$2,0))="","",INDEX('F_Inputs FD'!$B$4:$O$90,MATCH($C50,'F_Inputs FD'!$B$4:$B$90,0),MATCH(L$2,'F_Inputs FD'!$B$2:$N$2,0)))</f>
        <v/>
      </c>
      <c r="M50" s="221" t="str">
        <f>IF(INDEX('F_Inputs FD'!$B$4:$O$90,MATCH($C50,'F_Inputs FD'!$B$4:$B$90,0),MATCH(M$2,'F_Inputs FD'!$B$2:$N$2,0))="","",INDEX('F_Inputs FD'!$B$4:$O$90,MATCH($C50,'F_Inputs FD'!$B$4:$B$90,0),MATCH(M$2,'F_Inputs FD'!$B$2:$N$2,0)))</f>
        <v/>
      </c>
      <c r="N50" s="395" t="str">
        <f>IF(INDEX('F_Inputs FD'!$B$4:$O$90,MATCH($C50,'F_Inputs FD'!$B$4:$B$90,0),MATCH(N$2,'F_Inputs FD'!$B$2:$N$2,0))="","",INDEX('F_Inputs FD'!$B$4:$O$90,MATCH($C50,'F_Inputs FD'!$B$4:$B$90,0),MATCH(N$2,'F_Inputs FD'!$B$2:$N$2,0)))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159.29520105907599</v>
      </c>
      <c r="J54" s="221">
        <f>INDEX('F_Inputs FD'!$B$4:$O$90,MATCH($C54,'F_Inputs FD'!$B$4:$B$90,0),MATCH(J$2,'F_Inputs FD'!$B$2:$N$2,0))</f>
        <v>167.29741805573701</v>
      </c>
      <c r="K54" s="221">
        <f>INDEX('F_Inputs FD'!$B$4:$O$90,MATCH($C54,'F_Inputs FD'!$B$4:$B$90,0),MATCH(K$2,'F_Inputs FD'!$B$2:$N$2,0))</f>
        <v>173.90139666123301</v>
      </c>
      <c r="L54" s="221">
        <f>INDEX('F_Inputs FD'!$B$4:$O$90,MATCH($C54,'F_Inputs FD'!$B$4:$B$90,0),MATCH(L$2,'F_Inputs FD'!$B$2:$N$2,0))</f>
        <v>178.093108814045</v>
      </c>
      <c r="M54" s="221">
        <f>INDEX('F_Inputs FD'!$B$4:$O$90,MATCH($C54,'F_Inputs FD'!$B$4:$B$90,0),MATCH(M$2,'F_Inputs FD'!$B$2:$N$2,0))</f>
        <v>179.016630546567</v>
      </c>
      <c r="N54" s="395">
        <f>INDEX('F_Inputs FD'!$B$4:$O$90,MATCH($C54,'F_Inputs FD'!$B$4:$B$90,0),MATCH(N$2,'F_Inputs FD'!$B$2:$N$2,0))</f>
        <v>178.26714638049199</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0</v>
      </c>
      <c r="J55" s="221">
        <f>INDEX('F_Inputs FD'!$B$4:$O$90,MATCH($C55,'F_Inputs FD'!$B$4:$B$90,0),MATCH(J$2,'F_Inputs FD'!$B$2:$N$2,0))</f>
        <v>0</v>
      </c>
      <c r="K55" s="221">
        <f>INDEX('F_Inputs FD'!$B$4:$O$90,MATCH($C55,'F_Inputs FD'!$B$4:$B$90,0),MATCH(K$2,'F_Inputs FD'!$B$2:$N$2,0))</f>
        <v>0</v>
      </c>
      <c r="L55" s="221">
        <f>INDEX('F_Inputs FD'!$B$4:$O$90,MATCH($C55,'F_Inputs FD'!$B$4:$B$90,0),MATCH(L$2,'F_Inputs FD'!$B$2:$N$2,0))</f>
        <v>0</v>
      </c>
      <c r="M55" s="221">
        <f>INDEX('F_Inputs FD'!$B$4:$O$90,MATCH($C55,'F_Inputs FD'!$B$4:$B$90,0),MATCH(M$2,'F_Inputs FD'!$B$2:$N$2,0))</f>
        <v>0</v>
      </c>
      <c r="N55" s="395">
        <f>INDEX('F_Inputs FD'!$B$4:$O$90,MATCH($C55,'F_Inputs FD'!$B$4:$B$90,0),MATCH(N$2,'F_Inputs FD'!$B$2:$N$2,0))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3.9180000000000001</v>
      </c>
      <c r="K65" s="221">
        <f>INDEX('F_Inputs FD'!$B$4:$O$90,MATCH($C65,'F_Inputs FD'!$B$4:$B$90,0),MATCH(K$2,'F_Inputs FD'!$B$2:$N$2,0))</f>
        <v>4.4240000000000004</v>
      </c>
      <c r="L65" s="221">
        <f>INDEX('F_Inputs FD'!$B$4:$O$90,MATCH($C65,'F_Inputs FD'!$B$4:$B$90,0),MATCH(L$2,'F_Inputs FD'!$B$2:$N$2,0))</f>
        <v>5.2480000000000002</v>
      </c>
      <c r="M65" s="221">
        <f>INDEX('F_Inputs FD'!$B$4:$O$90,MATCH($C65,'F_Inputs FD'!$B$4:$B$90,0),MATCH(M$2,'F_Inputs FD'!$B$2:$N$2,0))</f>
        <v>8.16</v>
      </c>
      <c r="N65" s="395">
        <f>INDEX('F_Inputs FD'!$B$4:$O$90,MATCH($C65,'F_Inputs FD'!$B$4:$B$90,0),MATCH(N$2,'F_Inputs FD'!$B$2:$N$2,0))</f>
        <v>6.7610000000000001</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5.907</v>
      </c>
      <c r="K66" s="221">
        <f>INDEX('F_Inputs FD'!$B$4:$O$90,MATCH($C66,'F_Inputs FD'!$B$4:$B$90,0),MATCH(K$2,'F_Inputs FD'!$B$2:$N$2,0))</f>
        <v>13.101000000000001</v>
      </c>
      <c r="L66" s="221">
        <f>INDEX('F_Inputs FD'!$B$4:$O$90,MATCH($C66,'F_Inputs FD'!$B$4:$B$90,0),MATCH(L$2,'F_Inputs FD'!$B$2:$N$2,0))</f>
        <v>10.221</v>
      </c>
      <c r="M66" s="221">
        <f>INDEX('F_Inputs FD'!$B$4:$O$90,MATCH($C66,'F_Inputs FD'!$B$4:$B$90,0),MATCH(M$2,'F_Inputs FD'!$B$2:$N$2,0))</f>
        <v>4.5599999999999996</v>
      </c>
      <c r="N66" s="395">
        <f>INDEX('F_Inputs FD'!$B$4:$O$90,MATCH($C66,'F_Inputs FD'!$B$4:$B$90,0),MATCH(N$2,'F_Inputs FD'!$B$2:$N$2,0))</f>
        <v>6.9130000000000003</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0.90500000000000003</v>
      </c>
      <c r="K67" s="221">
        <f>INDEX('F_Inputs FD'!$B$4:$O$90,MATCH($C67,'F_Inputs FD'!$B$4:$B$90,0),MATCH(K$2,'F_Inputs FD'!$B$2:$N$2,0))</f>
        <v>3.7890000000000001</v>
      </c>
      <c r="L67" s="221">
        <f>INDEX('F_Inputs FD'!$B$4:$O$90,MATCH($C67,'F_Inputs FD'!$B$4:$B$90,0),MATCH(L$2,'F_Inputs FD'!$B$2:$N$2,0))</f>
        <v>1.5269999999999999</v>
      </c>
      <c r="M67" s="221">
        <f>INDEX('F_Inputs FD'!$B$4:$O$90,MATCH($C67,'F_Inputs FD'!$B$4:$B$90,0),MATCH(M$2,'F_Inputs FD'!$B$2:$N$2,0))</f>
        <v>6.7919999999999998</v>
      </c>
      <c r="N67" s="395">
        <f>INDEX('F_Inputs FD'!$B$4:$O$90,MATCH($C67,'F_Inputs FD'!$B$4:$B$90,0),MATCH(N$2,'F_Inputs FD'!$B$2:$N$2,0))</f>
        <v>1.9450000000000001</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2.6880000000000002</v>
      </c>
      <c r="K68" s="221">
        <f>INDEX('F_Inputs FD'!$B$4:$O$90,MATCH($C68,'F_Inputs FD'!$B$4:$B$90,0),MATCH(K$2,'F_Inputs FD'!$B$2:$N$2,0))</f>
        <v>4.3550000000000004</v>
      </c>
      <c r="L68" s="221">
        <f>INDEX('F_Inputs FD'!$B$4:$O$90,MATCH($C68,'F_Inputs FD'!$B$4:$B$90,0),MATCH(L$2,'F_Inputs FD'!$B$2:$N$2,0))</f>
        <v>3.9239999999999999</v>
      </c>
      <c r="M68" s="221">
        <f>INDEX('F_Inputs FD'!$B$4:$O$90,MATCH($C68,'F_Inputs FD'!$B$4:$B$90,0),MATCH(M$2,'F_Inputs FD'!$B$2:$N$2,0))</f>
        <v>3.153</v>
      </c>
      <c r="N68" s="395">
        <f>INDEX('F_Inputs FD'!$B$4:$O$90,MATCH($C68,'F_Inputs FD'!$B$4:$B$90,0),MATCH(N$2,'F_Inputs FD'!$B$2:$N$2,0))</f>
        <v>5.891</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0</v>
      </c>
      <c r="K72" s="221">
        <f>INDEX('F_Inputs FD'!$B$4:$O$90,MATCH($C72,'F_Inputs FD'!$B$4:$B$90,0),MATCH(K$2,'F_Inputs FD'!$B$2:$N$2,0))</f>
        <v>0</v>
      </c>
      <c r="L72" s="221">
        <f>INDEX('F_Inputs FD'!$B$4:$O$90,MATCH($C72,'F_Inputs FD'!$B$4:$B$90,0),MATCH(L$2,'F_Inputs FD'!$B$2:$N$2,0))</f>
        <v>0</v>
      </c>
      <c r="M72" s="221">
        <f>INDEX('F_Inputs FD'!$B$4:$O$90,MATCH($C72,'F_Inputs FD'!$B$4:$B$90,0),MATCH(M$2,'F_Inputs FD'!$B$2:$N$2,0))</f>
        <v>0</v>
      </c>
      <c r="N72" s="395">
        <f>INDEX('F_Inputs FD'!$B$4:$O$90,MATCH($C72,'F_Inputs FD'!$B$4:$B$90,0),MATCH(N$2,'F_Inputs FD'!$B$2:$N$2,0))</f>
        <v>0</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0</v>
      </c>
      <c r="K73" s="221">
        <f>INDEX('F_Inputs FD'!$B$4:$O$90,MATCH($C73,'F_Inputs FD'!$B$4:$B$90,0),MATCH(K$2,'F_Inputs FD'!$B$2:$N$2,0))</f>
        <v>0</v>
      </c>
      <c r="L73" s="221">
        <f>INDEX('F_Inputs FD'!$B$4:$O$90,MATCH($C73,'F_Inputs FD'!$B$4:$B$90,0),MATCH(L$2,'F_Inputs FD'!$B$2:$N$2,0))</f>
        <v>0</v>
      </c>
      <c r="M73" s="221">
        <f>INDEX('F_Inputs FD'!$B$4:$O$90,MATCH($C73,'F_Inputs FD'!$B$4:$B$90,0),MATCH(M$2,'F_Inputs FD'!$B$2:$N$2,0))</f>
        <v>0</v>
      </c>
      <c r="N73" s="395">
        <f>INDEX('F_Inputs FD'!$B$4:$O$90,MATCH($C73,'F_Inputs FD'!$B$4:$B$90,0),MATCH(N$2,'F_Inputs FD'!$B$2:$N$2,0))</f>
        <v>0</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0</v>
      </c>
      <c r="K74" s="221">
        <f>INDEX('F_Inputs FD'!$B$4:$O$90,MATCH($C74,'F_Inputs FD'!$B$4:$B$90,0),MATCH(K$2,'F_Inputs FD'!$B$2:$N$2,0))</f>
        <v>0</v>
      </c>
      <c r="L74" s="221">
        <f>INDEX('F_Inputs FD'!$B$4:$O$90,MATCH($C74,'F_Inputs FD'!$B$4:$B$90,0),MATCH(L$2,'F_Inputs FD'!$B$2:$N$2,0))</f>
        <v>0</v>
      </c>
      <c r="M74" s="221">
        <f>INDEX('F_Inputs FD'!$B$4:$O$90,MATCH($C74,'F_Inputs FD'!$B$4:$B$90,0),MATCH(M$2,'F_Inputs FD'!$B$2:$N$2,0))</f>
        <v>0</v>
      </c>
      <c r="N74" s="395">
        <f>INDEX('F_Inputs FD'!$B$4:$O$90,MATCH($C74,'F_Inputs FD'!$B$4:$B$90,0),MATCH(N$2,'F_Inputs FD'!$B$2:$N$2,0))</f>
        <v>0</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0</v>
      </c>
      <c r="K75" s="221">
        <f>INDEX('F_Inputs FD'!$B$4:$O$90,MATCH($C75,'F_Inputs FD'!$B$4:$B$90,0),MATCH(K$2,'F_Inputs FD'!$B$2:$N$2,0))</f>
        <v>0</v>
      </c>
      <c r="L75" s="221">
        <f>INDEX('F_Inputs FD'!$B$4:$O$90,MATCH($C75,'F_Inputs FD'!$B$4:$B$90,0),MATCH(L$2,'F_Inputs FD'!$B$2:$N$2,0))</f>
        <v>0</v>
      </c>
      <c r="M75" s="221">
        <f>INDEX('F_Inputs FD'!$B$4:$O$90,MATCH($C75,'F_Inputs FD'!$B$4:$B$90,0),MATCH(M$2,'F_Inputs FD'!$B$2:$N$2,0))</f>
        <v>0</v>
      </c>
      <c r="N75" s="395">
        <f>INDEX('F_Inputs FD'!$B$4:$O$90,MATCH($C75,'F_Inputs FD'!$B$4:$B$90,0),MATCH(N$2,'F_Inputs FD'!$B$2:$N$2,0))</f>
        <v>0</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v>
      </c>
      <c r="L93" s="221">
        <f>INDEX('F_Inputs FD'!$B$4:$O$90,MATCH($C93,'F_Inputs FD'!$B$4:$B$90,0),MATCH(L$2,'F_Inputs FD'!$B$2:$N$2,0))</f>
        <v>0</v>
      </c>
      <c r="M93" s="221">
        <f>INDEX('F_Inputs FD'!$B$4:$O$90,MATCH($C93,'F_Inputs FD'!$B$4:$B$90,0),MATCH(M$2,'F_Inputs FD'!$B$2:$N$2,0))</f>
        <v>0</v>
      </c>
      <c r="N93" s="395">
        <f>INDEX('F_Inputs FD'!$B$4:$O$90,MATCH($C93,'F_Inputs FD'!$B$4:$B$90,0),MATCH(N$2,'F_Inputs FD'!$B$2:$N$2,0))</f>
        <v>0</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v>
      </c>
      <c r="L94" s="221">
        <f>INDEX('F_Inputs FD'!$B$4:$O$90,MATCH($C94,'F_Inputs FD'!$B$4:$B$90,0),MATCH(L$2,'F_Inputs FD'!$B$2:$N$2,0))</f>
        <v>0</v>
      </c>
      <c r="M94" s="221">
        <f>INDEX('F_Inputs FD'!$B$4:$O$90,MATCH($C94,'F_Inputs FD'!$B$4:$B$90,0),MATCH(M$2,'F_Inputs FD'!$B$2:$N$2,0))</f>
        <v>0</v>
      </c>
      <c r="N94" s="395">
        <f>INDEX('F_Inputs FD'!$B$4:$O$90,MATCH($C94,'F_Inputs FD'!$B$4:$B$90,0),MATCH(N$2,'F_Inputs FD'!$B$2:$N$2,0))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258.64708416666701</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117.618375</v>
      </c>
      <c r="N106" s="565">
        <f>INDEX('F_Inputs FD'!$B$4:$O$90,MATCH($C106,'F_Inputs FD'!$B$4:$B$90,0),MATCH(N$2,'F_Inputs FD'!$B$2:$N$2,0))</f>
        <v>120.85288031250001</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2.75E-2</v>
      </c>
      <c r="N107" s="416">
        <f>INDEX('F_Inputs FD'!$B$4:$O$90,MATCH($C107,'F_Inputs FD'!$B$4:$B$90,0),MATCH(N$2,'F_Inputs FD'!$B$2:$N$2,0))</f>
        <v>2.75E-2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781</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258.64708416666701</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2.7464582229875578E-2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0.80647213688384245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117.618375</v>
      </c>
      <c r="N17" s="375">
        <f>IF('Input FD'!N106=0,M17*(1+'Input FD'!N107),'Input FD'!N106)</f>
        <v>120.85288031250001</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1.0567688679245284</v>
      </c>
      <c r="N18" s="377">
        <f t="shared" si="4"/>
        <v>1.0858300117924529</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87.566146494368866</v>
      </c>
      <c r="N20" s="375">
        <f>((N17/'Input FD'!$G$117)/(N13/'Input FD'!$G$116))*100</f>
        <v>87.569164990286737</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0.87566146494368868</v>
      </c>
      <c r="N21" s="377">
        <f t="shared" si="5"/>
        <v>0.87569164990286741</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5.4234074234383582</v>
      </c>
      <c r="K39" s="156">
        <f>IF(OR(K$5&lt;4,K$5&gt;8),'Input FD'!K30,'Input FD'!K30*$G$95/100)</f>
        <v>6.0589980766788578</v>
      </c>
      <c r="L39" s="156">
        <f>IF(OR(L$5&lt;4,L$5&gt;8),'Input FD'!L30,'Input FD'!L30*$G$95/100)</f>
        <v>7.8317047331798815</v>
      </c>
      <c r="M39" s="156">
        <f>IF(OR(M$5&lt;4,M$5&gt;8),'Input FD'!M30,'Input FD'!M30*$G$95/100)</f>
        <v>7.8003779142471661</v>
      </c>
      <c r="N39" s="365">
        <f>IF(OR(N$5&lt;4,N$5&gt;8),'Input FD'!N30,'Input FD'!N30*$G$95/100)</f>
        <v>5.8220894725764474</v>
      </c>
      <c r="O39" s="157"/>
      <c r="P39" s="158"/>
      <c r="Q39" s="148"/>
      <c r="R39" s="147" t="s">
        <v>242</v>
      </c>
    </row>
    <row r="40" spans="1:23" s="37" customFormat="1">
      <c r="C40" s="131"/>
      <c r="D40" s="153" t="s">
        <v>57</v>
      </c>
      <c r="E40" s="154" t="s">
        <v>61</v>
      </c>
      <c r="F40" s="155"/>
      <c r="G40" s="148"/>
      <c r="H40" s="148"/>
      <c r="I40" s="148"/>
      <c r="J40" s="156">
        <f>IF(OR(J$5&lt;4,J$5&gt;8),'Input FD'!J31,'Input FD'!J31*$G$95/100)</f>
        <v>14.69344207715848</v>
      </c>
      <c r="K40" s="156">
        <f>IF(OR(K$5&lt;4,K$5&gt;8),'Input FD'!K31,'Input FD'!K31*$G$95/100)</f>
        <v>10.317131701739861</v>
      </c>
      <c r="L40" s="156">
        <f>IF(OR(L$5&lt;4,L$5&gt;8),'Input FD'!L31,'Input FD'!L31*$G$95/100)</f>
        <v>7.7083263425191726</v>
      </c>
      <c r="M40" s="156">
        <f>IF(OR(M$5&lt;4,M$5&gt;8),'Input FD'!M31,'Input FD'!M31*$G$95/100)</f>
        <v>5.8201743480494281</v>
      </c>
      <c r="N40" s="365">
        <f>IF(OR(N$5&lt;4,N$5&gt;8),'Input FD'!N31,'Input FD'!N31*$G$95/100)</f>
        <v>6.8760899797334893</v>
      </c>
      <c r="O40" s="157"/>
      <c r="P40" s="158"/>
      <c r="Q40" s="148"/>
      <c r="R40" s="147" t="s">
        <v>242</v>
      </c>
    </row>
    <row r="41" spans="1:23" s="37" customFormat="1">
      <c r="C41" s="131"/>
      <c r="D41" s="153" t="s">
        <v>57</v>
      </c>
      <c r="E41" s="154" t="s">
        <v>63</v>
      </c>
      <c r="F41" s="155"/>
      <c r="G41" s="148"/>
      <c r="H41" s="148"/>
      <c r="I41" s="148"/>
      <c r="J41" s="156">
        <f>IF(OR(J$5&lt;4,J$5&gt;8),'Input FD'!J32,'Input FD'!J32*$G$95/100)</f>
        <v>1.255454010626097</v>
      </c>
      <c r="K41" s="156">
        <f>IF(OR(K$5&lt;4,K$5&gt;8),'Input FD'!K32,'Input FD'!K32*$G$95/100)</f>
        <v>1.7351359010058542</v>
      </c>
      <c r="L41" s="156">
        <f>IF(OR(L$5&lt;4,L$5&gt;8),'Input FD'!L32,'Input FD'!L32*$G$95/100)</f>
        <v>2.6488450091010538</v>
      </c>
      <c r="M41" s="156">
        <f>IF(OR(M$5&lt;4,M$5&gt;8),'Input FD'!M32,'Input FD'!M32*$G$95/100)</f>
        <v>2.4626349949890654</v>
      </c>
      <c r="N41" s="365">
        <f>IF(OR(N$5&lt;4,N$5&gt;8),'Input FD'!N32,'Input FD'!N32*$G$95/100)</f>
        <v>1.3851002496991294</v>
      </c>
      <c r="O41" s="157"/>
      <c r="P41" s="158"/>
      <c r="Q41" s="148"/>
      <c r="R41" s="147" t="s">
        <v>242</v>
      </c>
    </row>
    <row r="42" spans="1:23" s="37" customFormat="1">
      <c r="C42" s="131"/>
      <c r="D42" s="153" t="s">
        <v>57</v>
      </c>
      <c r="E42" s="154" t="s">
        <v>62</v>
      </c>
      <c r="F42" s="155"/>
      <c r="G42" s="148"/>
      <c r="H42" s="148"/>
      <c r="I42" s="148"/>
      <c r="J42" s="156">
        <f>IF(OR(J$5&lt;4,J$5&gt;8),'Input FD'!J33,'Input FD'!J33*$G$95/100)</f>
        <v>2.9945738725477078</v>
      </c>
      <c r="K42" s="156">
        <f>IF(OR(K$5&lt;4,K$5&gt;8),'Input FD'!K33,'Input FD'!K33*$G$95/100)</f>
        <v>5.059848567022061</v>
      </c>
      <c r="L42" s="156">
        <f>IF(OR(L$5&lt;4,L$5&gt;8),'Input FD'!L33,'Input FD'!L33*$G$95/100)</f>
        <v>2.7671367280041061</v>
      </c>
      <c r="M42" s="156">
        <f>IF(OR(M$5&lt;4,M$5&gt;8),'Input FD'!M33,'Input FD'!M33*$G$95/100)</f>
        <v>1.7267339562722908</v>
      </c>
      <c r="N42" s="365">
        <f>IF(OR(N$5&lt;4,N$5&gt;8),'Input FD'!N33,'Input FD'!N33*$G$95/100)</f>
        <v>1.8953939205850003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29.290504000000002</v>
      </c>
      <c r="K55" s="156">
        <f>SUM('Input FD'!K10:K13)-'Input FD'!K14-'Input FD'!K17+'Input FD'!K15+'Input FD'!K16</f>
        <v>30.8894667</v>
      </c>
      <c r="L55" s="156">
        <f>SUM('Input FD'!L10:L13)-'Input FD'!L14-'Input FD'!L17+'Input FD'!L15+'Input FD'!L16</f>
        <v>23.110634399999999</v>
      </c>
      <c r="M55" s="156">
        <f>SUM('Input FD'!M10:M13)-'Input FD'!M14-'Input FD'!M17+'Input FD'!M15+'Input FD'!M16</f>
        <v>19.926952799999999</v>
      </c>
      <c r="N55" s="365">
        <f>SUM('Input FD'!N10:N13)-'Input FD'!N14-'Input FD'!N17+'Input FD'!N15+'Input FD'!N16</f>
        <v>16.133617599999997</v>
      </c>
      <c r="O55" s="157"/>
      <c r="P55" s="158"/>
      <c r="Q55" s="148"/>
      <c r="R55" s="147" t="s">
        <v>242</v>
      </c>
    </row>
    <row r="56" spans="1:18" s="37" customFormat="1">
      <c r="C56" s="131"/>
      <c r="D56" s="153" t="s">
        <v>57</v>
      </c>
      <c r="E56" s="154" t="s">
        <v>114</v>
      </c>
      <c r="F56" s="155"/>
      <c r="G56" s="148"/>
      <c r="H56" s="148"/>
      <c r="I56" s="148"/>
      <c r="J56" s="156">
        <f>SUM('Input FD'!J30:J35)</f>
        <v>23.011456530763091</v>
      </c>
      <c r="K56" s="156">
        <f>SUM('Input FD'!K30:K35)</f>
        <v>21.88220837055577</v>
      </c>
      <c r="L56" s="156">
        <f>SUM('Input FD'!L30:L35)</f>
        <v>19.790323163079677</v>
      </c>
      <c r="M56" s="156">
        <f>SUM('Input FD'!M30:M35)</f>
        <v>16.81923462606126</v>
      </c>
      <c r="N56" s="365">
        <f>SUM('Input FD'!N30:N35)</f>
        <v>15.089851181771561</v>
      </c>
      <c r="O56" s="157"/>
      <c r="P56" s="158"/>
      <c r="Q56" s="148"/>
      <c r="R56" s="147" t="s">
        <v>242</v>
      </c>
    </row>
    <row r="57" spans="1:18" s="37" customFormat="1">
      <c r="C57" s="131"/>
      <c r="D57" s="153" t="s">
        <v>57</v>
      </c>
      <c r="E57" s="154" t="s">
        <v>115</v>
      </c>
      <c r="F57" s="155"/>
      <c r="G57" s="148"/>
      <c r="H57" s="148"/>
      <c r="I57" s="148"/>
      <c r="J57" s="156">
        <f>SUM(J39:J44)</f>
        <v>24.366877383770642</v>
      </c>
      <c r="K57" s="156">
        <f t="shared" ref="K57:N57" si="7">SUM(K39:K44)</f>
        <v>23.171114246446635</v>
      </c>
      <c r="L57" s="156">
        <f t="shared" si="7"/>
        <v>20.956012812804214</v>
      </c>
      <c r="M57" s="156">
        <f t="shared" si="7"/>
        <v>17.809921213557953</v>
      </c>
      <c r="N57" s="365">
        <f t="shared" si="7"/>
        <v>15.978673622594066</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29.290504000000002</v>
      </c>
      <c r="K62" s="156">
        <f t="shared" ref="K62:N62" si="8">K55+K59</f>
        <v>30.8894667</v>
      </c>
      <c r="L62" s="156">
        <f t="shared" si="8"/>
        <v>23.110634399999999</v>
      </c>
      <c r="M62" s="156">
        <f t="shared" si="8"/>
        <v>19.926952799999999</v>
      </c>
      <c r="N62" s="365">
        <f t="shared" si="8"/>
        <v>16.133617599999997</v>
      </c>
      <c r="O62" s="157"/>
      <c r="P62" s="158"/>
      <c r="Q62" s="148"/>
      <c r="R62" s="147" t="s">
        <v>242</v>
      </c>
    </row>
    <row r="63" spans="1:18" s="37" customFormat="1">
      <c r="C63" s="131"/>
      <c r="D63" s="153" t="s">
        <v>57</v>
      </c>
      <c r="E63" s="154" t="s">
        <v>182</v>
      </c>
      <c r="F63" s="155"/>
      <c r="G63" s="148"/>
      <c r="H63" s="148"/>
      <c r="I63" s="148"/>
      <c r="J63" s="156">
        <f>J56+J60</f>
        <v>23.011456530763091</v>
      </c>
      <c r="K63" s="156">
        <f t="shared" ref="K63:N63" si="9">K56+K60</f>
        <v>21.88220837055577</v>
      </c>
      <c r="L63" s="156">
        <f t="shared" si="9"/>
        <v>19.790323163079677</v>
      </c>
      <c r="M63" s="156">
        <f t="shared" si="9"/>
        <v>16.81923462606126</v>
      </c>
      <c r="N63" s="365">
        <f t="shared" si="9"/>
        <v>15.089851181771561</v>
      </c>
      <c r="O63" s="157"/>
      <c r="P63" s="158"/>
      <c r="Q63" s="148"/>
      <c r="R63" s="147" t="s">
        <v>242</v>
      </c>
    </row>
    <row r="64" spans="1:18" s="37" customFormat="1">
      <c r="C64" s="131"/>
      <c r="D64" s="153" t="s">
        <v>57</v>
      </c>
      <c r="E64" s="154" t="s">
        <v>250</v>
      </c>
      <c r="F64" s="155"/>
      <c r="G64" s="148"/>
      <c r="H64" s="148"/>
      <c r="I64" s="148"/>
      <c r="J64" s="156">
        <f>J63*$G$107/100</f>
        <v>24.366877383770642</v>
      </c>
      <c r="K64" s="156">
        <f t="shared" ref="K64:N64" si="10">K63*$G$107/100</f>
        <v>23.171114246446631</v>
      </c>
      <c r="L64" s="156">
        <f t="shared" si="10"/>
        <v>20.956012812804211</v>
      </c>
      <c r="M64" s="156">
        <f t="shared" si="10"/>
        <v>17.809921213557949</v>
      </c>
      <c r="N64" s="365">
        <f t="shared" si="10"/>
        <v>15.978673622594068</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1">SUM(K46:K51)</f>
        <v>0</v>
      </c>
      <c r="L68" s="156">
        <f t="shared" si="11"/>
        <v>0</v>
      </c>
      <c r="M68" s="156">
        <f t="shared" si="11"/>
        <v>0</v>
      </c>
      <c r="N68" s="365">
        <f t="shared" si="11"/>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0</v>
      </c>
      <c r="K73" s="156">
        <f t="shared" si="12"/>
        <v>0</v>
      </c>
      <c r="L73" s="156">
        <f t="shared" si="12"/>
        <v>0</v>
      </c>
      <c r="M73" s="156">
        <f t="shared" si="12"/>
        <v>0</v>
      </c>
      <c r="N73" s="365">
        <f t="shared" si="12"/>
        <v>0</v>
      </c>
      <c r="P73" s="136"/>
      <c r="Q73" s="131"/>
      <c r="R73" s="147" t="s">
        <v>242</v>
      </c>
    </row>
    <row r="74" spans="1:18" s="37" customFormat="1">
      <c r="C74" s="131"/>
      <c r="D74" s="153" t="s">
        <v>57</v>
      </c>
      <c r="E74" s="132" t="s">
        <v>184</v>
      </c>
      <c r="F74" s="131"/>
      <c r="G74" s="131"/>
      <c r="H74" s="131"/>
      <c r="I74" s="131"/>
      <c r="J74" s="156">
        <f t="shared" si="12"/>
        <v>0</v>
      </c>
      <c r="K74" s="156">
        <f t="shared" si="12"/>
        <v>0</v>
      </c>
      <c r="L74" s="156">
        <f t="shared" si="12"/>
        <v>0</v>
      </c>
      <c r="M74" s="156">
        <f t="shared" si="12"/>
        <v>0</v>
      </c>
      <c r="N74" s="365">
        <f t="shared" si="12"/>
        <v>0</v>
      </c>
      <c r="P74" s="136"/>
      <c r="Q74" s="131"/>
      <c r="R74" s="147" t="s">
        <v>242</v>
      </c>
    </row>
    <row r="75" spans="1:18" s="37" customFormat="1">
      <c r="C75" s="131"/>
      <c r="D75" s="153" t="s">
        <v>57</v>
      </c>
      <c r="E75" s="132" t="s">
        <v>109</v>
      </c>
      <c r="F75" s="131"/>
      <c r="G75" s="131"/>
      <c r="H75" s="131"/>
      <c r="I75" s="131"/>
      <c r="J75" s="156">
        <f>J74*$G$111/100</f>
        <v>0</v>
      </c>
      <c r="K75" s="156">
        <f t="shared" ref="K75:N75" si="13">K74*$G$111/100</f>
        <v>0</v>
      </c>
      <c r="L75" s="156">
        <f t="shared" si="13"/>
        <v>0</v>
      </c>
      <c r="M75" s="156">
        <f t="shared" si="13"/>
        <v>0</v>
      </c>
      <c r="N75" s="365">
        <f t="shared" si="13"/>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26.026246752265429</v>
      </c>
      <c r="K79" s="156">
        <f t="shared" ref="K79:N79" si="14">K62*K$21</f>
        <v>26.818435945490315</v>
      </c>
      <c r="L79" s="156">
        <f t="shared" si="14"/>
        <v>20.105126296696909</v>
      </c>
      <c r="M79" s="156">
        <f t="shared" si="14"/>
        <v>17.449264680711739</v>
      </c>
      <c r="N79" s="365">
        <f t="shared" si="14"/>
        <v>14.128074215045938</v>
      </c>
      <c r="P79" s="136"/>
      <c r="Q79" s="131"/>
      <c r="R79" s="147" t="s">
        <v>242</v>
      </c>
    </row>
    <row r="80" spans="1:18" s="37" customFormat="1">
      <c r="C80" s="131"/>
      <c r="D80" s="153" t="s">
        <v>57</v>
      </c>
      <c r="E80" s="132" t="s">
        <v>317</v>
      </c>
      <c r="F80" s="161"/>
      <c r="G80" s="162"/>
      <c r="H80" s="162"/>
      <c r="I80" s="163"/>
      <c r="J80" s="156">
        <f>J63*J$21</f>
        <v>20.446962804008766</v>
      </c>
      <c r="K80" s="156">
        <f t="shared" ref="K80:N80" si="15">K63*K$21</f>
        <v>18.998275665653427</v>
      </c>
      <c r="L80" s="156">
        <f t="shared" si="15"/>
        <v>17.216617240336909</v>
      </c>
      <c r="M80" s="156">
        <f t="shared" si="15"/>
        <v>14.727955631888417</v>
      </c>
      <c r="N80" s="365">
        <f t="shared" si="15"/>
        <v>13.214056678154272</v>
      </c>
      <c r="P80" s="136"/>
      <c r="Q80" s="131"/>
      <c r="R80" s="147" t="s">
        <v>242</v>
      </c>
    </row>
    <row r="81" spans="1:18" s="37" customFormat="1">
      <c r="C81" s="131"/>
      <c r="D81" s="153" t="s">
        <v>57</v>
      </c>
      <c r="E81" s="132" t="s">
        <v>318</v>
      </c>
      <c r="F81" s="161"/>
      <c r="G81" s="162"/>
      <c r="H81" s="162"/>
      <c r="I81" s="163"/>
      <c r="J81" s="156">
        <f>J64*J$21</f>
        <v>21.651329843017059</v>
      </c>
      <c r="K81" s="156">
        <f t="shared" ref="K81:N81" si="16">K64*K$21</f>
        <v>20.117312132292884</v>
      </c>
      <c r="L81" s="156">
        <f t="shared" si="16"/>
        <v>18.230710459277887</v>
      </c>
      <c r="M81" s="156">
        <f t="shared" si="16"/>
        <v>15.595461700395832</v>
      </c>
      <c r="N81" s="365">
        <f t="shared" si="16"/>
        <v>13.992391067828827</v>
      </c>
      <c r="P81" s="136"/>
      <c r="Q81" s="131"/>
      <c r="R81" s="147" t="s">
        <v>242</v>
      </c>
    </row>
    <row r="82" spans="1:18" s="37" customFormat="1">
      <c r="C82" s="131"/>
      <c r="D82" s="153" t="s">
        <v>57</v>
      </c>
      <c r="E82" s="132" t="s">
        <v>110</v>
      </c>
      <c r="F82" s="164"/>
      <c r="G82" s="164"/>
      <c r="H82" s="164"/>
      <c r="I82" s="164"/>
      <c r="J82" s="156">
        <f>SUM('Input FD'!J65:J70)*J$15</f>
        <v>12.358463332965394</v>
      </c>
      <c r="K82" s="156">
        <f>SUM('Input FD'!K65:K70)*K$15</f>
        <v>22.559627084723157</v>
      </c>
      <c r="L82" s="156">
        <f>SUM('Input FD'!L65:L70)*L$15</f>
        <v>17.834832601069476</v>
      </c>
      <c r="M82" s="156">
        <f>SUM('Input FD'!M65:M70)*M$15</f>
        <v>18.780707594014885</v>
      </c>
      <c r="N82" s="365">
        <f>SUM('Input FD'!N65:N70)*N$15</f>
        <v>17.347215664371451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4" si="17">K73*K$21</f>
        <v>0</v>
      </c>
      <c r="L84" s="156">
        <f t="shared" si="17"/>
        <v>0</v>
      </c>
      <c r="M84" s="156">
        <f t="shared" si="17"/>
        <v>0</v>
      </c>
      <c r="N84" s="365">
        <f t="shared" si="17"/>
        <v>0</v>
      </c>
      <c r="P84" s="136"/>
      <c r="Q84" s="131"/>
      <c r="R84" s="147" t="s">
        <v>242</v>
      </c>
    </row>
    <row r="85" spans="1:18" s="37" customFormat="1">
      <c r="C85" s="131"/>
      <c r="D85" s="153" t="s">
        <v>57</v>
      </c>
      <c r="E85" s="132" t="s">
        <v>320</v>
      </c>
      <c r="F85" s="161"/>
      <c r="G85" s="162"/>
      <c r="H85" s="162"/>
      <c r="I85" s="163"/>
      <c r="J85" s="156">
        <f>J74*J$21</f>
        <v>0</v>
      </c>
      <c r="K85" s="156">
        <f t="shared" ref="K85:N85" si="18">K74*K$21</f>
        <v>0</v>
      </c>
      <c r="L85" s="156">
        <f t="shared" si="18"/>
        <v>0</v>
      </c>
      <c r="M85" s="156">
        <f t="shared" si="18"/>
        <v>0</v>
      </c>
      <c r="N85" s="365">
        <f t="shared" si="18"/>
        <v>0</v>
      </c>
      <c r="P85" s="136"/>
      <c r="Q85" s="131"/>
      <c r="R85" s="147" t="s">
        <v>242</v>
      </c>
    </row>
    <row r="86" spans="1:18" s="37" customFormat="1">
      <c r="C86" s="131"/>
      <c r="D86" s="153" t="s">
        <v>57</v>
      </c>
      <c r="E86" s="132" t="s">
        <v>321</v>
      </c>
      <c r="F86" s="161"/>
      <c r="G86" s="162"/>
      <c r="H86" s="162"/>
      <c r="I86" s="163"/>
      <c r="J86" s="156">
        <f>J75*J$21</f>
        <v>0</v>
      </c>
      <c r="K86" s="156">
        <f t="shared" ref="K86:N86" si="19">K75*K$21</f>
        <v>0</v>
      </c>
      <c r="L86" s="156">
        <f t="shared" si="19"/>
        <v>0</v>
      </c>
      <c r="M86" s="156">
        <f t="shared" si="19"/>
        <v>0</v>
      </c>
      <c r="N86" s="365">
        <f t="shared" si="19"/>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123.56080070282465</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105.89020017570616</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0.18219599648587681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-2.460949214909629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123.56080070282465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105.89020017570616</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0.18219599648587681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105.0552987200176</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-2.308833512222944</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-1.9533624574835953</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-0.56630025883308099</v>
      </c>
      <c r="K127" s="156">
        <f>IF('Input FD'!K49&lt;&gt;"",'Input FD'!K49,K56*$G$97/100)</f>
        <v>-0.538510035100077</v>
      </c>
      <c r="L127" s="156">
        <f>IF('Input FD'!L49&lt;&gt;"",'Input FD'!L49,L56*$G$97/100)</f>
        <v>-0.48702980250988398</v>
      </c>
      <c r="M127" s="156">
        <f>IF('Input FD'!M49&lt;&gt;"",'Input FD'!M49,M56*$G$97/100)</f>
        <v>-0.41391282248385902</v>
      </c>
      <c r="N127" s="365">
        <f>IF('Input FD'!N49&lt;&gt;"",'Input FD'!N49,N56*$G$97/100)</f>
        <v>-0.37135357418883502</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0.42374403563214091</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0</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24.385569402849253</v>
      </c>
      <c r="K138" s="156">
        <f>(K57+'Input FD'!K83)*K$29</f>
        <v>24.232388990813519</v>
      </c>
      <c r="L138" s="156">
        <f>(L57+'Input FD'!L83)*L$29</f>
        <v>22.726718101682362</v>
      </c>
      <c r="M138" s="156">
        <f>(M57+'Input FD'!M83)*M$29</f>
        <v>19.894237244595743</v>
      </c>
      <c r="N138" s="365">
        <f>(N57+'Input FD'!N83)*N$29</f>
        <v>18.384136891613799</v>
      </c>
      <c r="O138" s="109"/>
      <c r="P138" s="136"/>
      <c r="Q138" s="104"/>
      <c r="R138" s="147" t="s">
        <v>87</v>
      </c>
    </row>
    <row r="139" spans="1:18" s="37" customFormat="1">
      <c r="C139" s="131"/>
      <c r="D139" s="131" t="s">
        <v>57</v>
      </c>
      <c r="E139" s="132" t="s">
        <v>110</v>
      </c>
      <c r="F139" s="131"/>
      <c r="G139" s="131"/>
      <c r="H139" s="182"/>
      <c r="I139" s="148"/>
      <c r="J139" s="156">
        <f>SUM('Input FD'!J65:J70)</f>
        <v>13.417999999999999</v>
      </c>
      <c r="K139" s="156">
        <f>SUM('Input FD'!K65:K70)</f>
        <v>25.669000000000004</v>
      </c>
      <c r="L139" s="156">
        <f>SUM('Input FD'!L65:L70)</f>
        <v>20.92</v>
      </c>
      <c r="M139" s="156">
        <f>SUM('Input FD'!M65:M70)</f>
        <v>22.664999999999999</v>
      </c>
      <c r="N139" s="365">
        <f>SUM('Input FD'!N65:N70)</f>
        <v>21.509999999999998</v>
      </c>
      <c r="P139" s="136"/>
      <c r="Q139" s="131"/>
      <c r="R139" s="147" t="s">
        <v>87</v>
      </c>
    </row>
    <row r="140" spans="1:18" s="37" customFormat="1">
      <c r="C140" s="131"/>
      <c r="D140" s="131" t="s">
        <v>57</v>
      </c>
      <c r="E140" s="132" t="s">
        <v>192</v>
      </c>
      <c r="F140" s="131"/>
      <c r="G140" s="131"/>
      <c r="H140" s="131"/>
      <c r="I140" s="181"/>
      <c r="J140" s="205">
        <f>(J139-J138)*J$15</f>
        <v>-10.101528120201646</v>
      </c>
      <c r="K140" s="205">
        <f>(K139-K138)*K$15</f>
        <v>1.2625894515974483</v>
      </c>
      <c r="L140" s="205">
        <f>(L139-L138)*L$15</f>
        <v>-1.5402731788158182</v>
      </c>
      <c r="M140" s="205">
        <f>(M139-M138)*M$15</f>
        <v>2.2959137490242365</v>
      </c>
      <c r="N140" s="675">
        <f>(N139-N138)*N$15</f>
        <v>2.5209215006265877</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0</v>
      </c>
      <c r="K142" s="156">
        <f>(K68+'Input FD'!K91)*K$29</f>
        <v>0</v>
      </c>
      <c r="L142" s="156">
        <f>(L68+'Input FD'!L91)*L$29</f>
        <v>0</v>
      </c>
      <c r="M142" s="156">
        <f>(M68+'Input FD'!M91)*M$29</f>
        <v>0</v>
      </c>
      <c r="N142" s="365">
        <f>(N68+'Input FD'!N91)*N$29</f>
        <v>0</v>
      </c>
      <c r="O142" s="109"/>
      <c r="P142" s="136"/>
      <c r="Q142" s="104"/>
      <c r="R142" s="147" t="s">
        <v>87</v>
      </c>
    </row>
    <row r="143" spans="1:18" s="37" customFormat="1">
      <c r="C143" s="131"/>
      <c r="D143" s="131" t="s">
        <v>57</v>
      </c>
      <c r="E143" s="132" t="s">
        <v>111</v>
      </c>
      <c r="F143" s="131"/>
      <c r="G143" s="131"/>
      <c r="H143" s="131"/>
      <c r="I143" s="131"/>
      <c r="J143" s="156">
        <f>IF('Input FD'!$O$151=1,0,SUM('Input FD'!J72:J77))</f>
        <v>0</v>
      </c>
      <c r="K143" s="156">
        <f>IF('Input FD'!$O$151=1,0,SUM('Input FD'!K72:K77))</f>
        <v>0</v>
      </c>
      <c r="L143" s="156">
        <f>IF('Input FD'!$O$151=1,0,SUM('Input FD'!L72:L77))</f>
        <v>0</v>
      </c>
      <c r="M143" s="156">
        <f>IF('Input FD'!$O$151=1,0,SUM('Input FD'!M72:M77))</f>
        <v>0</v>
      </c>
      <c r="N143" s="365">
        <f>IF('Input FD'!$O$151=1,0,SUM('Input FD'!N72:N77))</f>
        <v>0</v>
      </c>
      <c r="P143" s="158"/>
      <c r="Q143" s="131"/>
      <c r="R143" s="147" t="s">
        <v>87</v>
      </c>
    </row>
    <row r="144" spans="1:18" s="37" customFormat="1">
      <c r="C144" s="131"/>
      <c r="D144" s="131" t="s">
        <v>57</v>
      </c>
      <c r="E144" s="132" t="s">
        <v>193</v>
      </c>
      <c r="F144" s="131"/>
      <c r="G144" s="131"/>
      <c r="H144" s="131"/>
      <c r="I144" s="131"/>
      <c r="J144" s="205">
        <f>(J143-J142)*J$15</f>
        <v>0</v>
      </c>
      <c r="K144" s="205">
        <f>(K143-K142)*K$15</f>
        <v>0</v>
      </c>
      <c r="L144" s="205">
        <f>(L143-L142)*L$15</f>
        <v>0</v>
      </c>
      <c r="M144" s="205">
        <f>(M143-M142)*M$15</f>
        <v>0</v>
      </c>
      <c r="N144" s="675">
        <f>(N143-N142)*N$15</f>
        <v>0</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159.29520105907599</v>
      </c>
      <c r="J148" s="156">
        <f>'Input FD'!J$54</f>
        <v>167.29741805573701</v>
      </c>
      <c r="K148" s="156">
        <f>'Input FD'!K$54</f>
        <v>173.90139666123301</v>
      </c>
      <c r="L148" s="156">
        <f>'Input FD'!L$54</f>
        <v>178.093108814045</v>
      </c>
      <c r="M148" s="156">
        <f>'Input FD'!M$54</f>
        <v>179.016630546567</v>
      </c>
      <c r="N148" s="365">
        <f>'Input FD'!N$54</f>
        <v>178.26714638049199</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-5.5623765977691919</v>
      </c>
      <c r="Q149" s="161"/>
      <c r="R149" s="147" t="s">
        <v>242</v>
      </c>
    </row>
    <row r="150" spans="1:24" s="37" customFormat="1">
      <c r="A150" s="109"/>
      <c r="B150" s="109"/>
      <c r="C150" s="104"/>
      <c r="D150" s="104" t="s">
        <v>57</v>
      </c>
      <c r="E150" s="177" t="s">
        <v>386</v>
      </c>
      <c r="F150" s="131"/>
      <c r="G150" s="104"/>
      <c r="H150" s="104"/>
      <c r="I150" s="205"/>
      <c r="J150" s="156">
        <f>IF(J5=8,J148+$P$149,J148)</f>
        <v>167.29741805573701</v>
      </c>
      <c r="K150" s="156">
        <f>IF(K5=8,K148+$P$149,K148)</f>
        <v>173.90139666123301</v>
      </c>
      <c r="L150" s="156">
        <f>IF(L5=8,L148+$P$149,L148)</f>
        <v>178.093108814045</v>
      </c>
      <c r="M150" s="156">
        <f>IF(M5=8,M148+$P$149,M148)</f>
        <v>179.016630546567</v>
      </c>
      <c r="N150" s="365">
        <f>IF(N5=8,N148+$P$149,N148)</f>
        <v>172.70476978272279</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23.415497457523347</v>
      </c>
      <c r="L161" s="360">
        <f t="shared" si="21"/>
        <v>46.006877349715793</v>
      </c>
      <c r="M161" s="360">
        <f t="shared" si="21"/>
        <v>66.637522452890082</v>
      </c>
      <c r="N161" s="363">
        <f t="shared" si="21"/>
        <v>84.256451656331222</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23.415497457523347</v>
      </c>
      <c r="K162" s="360">
        <f t="shared" ref="K162:N162" si="22">K161+K138*K$26</f>
        <v>46.006877349715793</v>
      </c>
      <c r="L162" s="360">
        <f t="shared" si="22"/>
        <v>66.637522452890082</v>
      </c>
      <c r="M162" s="360">
        <f t="shared" si="22"/>
        <v>84.256451656331222</v>
      </c>
      <c r="N162" s="363">
        <f t="shared" si="22"/>
        <v>100.14088028182655</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11.707748728761674</v>
      </c>
      <c r="K163" s="360">
        <f t="shared" ref="K163:N163" si="23">(K162+K161)/2</f>
        <v>34.711187403619569</v>
      </c>
      <c r="L163" s="360">
        <f t="shared" si="23"/>
        <v>56.322199901302938</v>
      </c>
      <c r="M163" s="360">
        <f t="shared" si="23"/>
        <v>75.446987054610645</v>
      </c>
      <c r="N163" s="363">
        <f t="shared" si="23"/>
        <v>92.198665969078888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0</v>
      </c>
      <c r="L165" s="156">
        <f t="shared" si="24"/>
        <v>0</v>
      </c>
      <c r="M165" s="156">
        <f t="shared" si="24"/>
        <v>0</v>
      </c>
      <c r="N165" s="365">
        <f t="shared" si="24"/>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5">K165+K142*K$26</f>
        <v>0</v>
      </c>
      <c r="L166" s="156">
        <f t="shared" si="25"/>
        <v>0</v>
      </c>
      <c r="M166" s="156">
        <f t="shared" si="25"/>
        <v>0</v>
      </c>
      <c r="N166" s="365">
        <f t="shared" si="25"/>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 si="26">(K166+K165)/2</f>
        <v>0</v>
      </c>
      <c r="L167" s="156">
        <f t="shared" ref="L167" si="27">(L166+L165)/2</f>
        <v>0</v>
      </c>
      <c r="M167" s="156">
        <f t="shared" ref="M167" si="28">(M166+M165)/2</f>
        <v>0</v>
      </c>
      <c r="N167" s="365">
        <f t="shared" ref="N167" si="29">(N166+N165)/2</f>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12.358463332965394</v>
      </c>
      <c r="L171" s="360">
        <f t="shared" si="30"/>
        <v>34.918090417688553</v>
      </c>
      <c r="M171" s="360">
        <f t="shared" si="30"/>
        <v>52.752923018758025</v>
      </c>
      <c r="N171" s="363">
        <f t="shared" si="30"/>
        <v>71.53363061277291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12.358463332965394</v>
      </c>
      <c r="K172" s="360">
        <f t="shared" ref="K172:N172" si="31">K171+K139*K$15</f>
        <v>34.918090417688553</v>
      </c>
      <c r="L172" s="360">
        <f t="shared" si="31"/>
        <v>52.752923018758025</v>
      </c>
      <c r="M172" s="360">
        <f t="shared" si="31"/>
        <v>71.53363061277291</v>
      </c>
      <c r="N172" s="363">
        <f t="shared" si="31"/>
        <v>88.880846277144357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6.1792316664826972</v>
      </c>
      <c r="K173" s="360">
        <f t="shared" ref="K173" si="32">(K172+K171)/2</f>
        <v>23.638276875326973</v>
      </c>
      <c r="L173" s="360">
        <f t="shared" ref="L173" si="33">(L172+L171)/2</f>
        <v>43.835506718223286</v>
      </c>
      <c r="M173" s="360">
        <f t="shared" ref="M173" si="34">(M172+M171)/2</f>
        <v>62.143276815765468</v>
      </c>
      <c r="N173" s="363">
        <f t="shared" ref="N173" si="35">(N172+N171)/2</f>
        <v>80.207238444958634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0</v>
      </c>
      <c r="L175" s="360">
        <f t="shared" si="36"/>
        <v>0</v>
      </c>
      <c r="M175" s="360">
        <f t="shared" si="36"/>
        <v>0</v>
      </c>
      <c r="N175" s="363">
        <f t="shared" si="36"/>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37">K175+K143*K$15</f>
        <v>0</v>
      </c>
      <c r="L176" s="360">
        <f t="shared" si="37"/>
        <v>0</v>
      </c>
      <c r="M176" s="360">
        <f t="shared" si="37"/>
        <v>0</v>
      </c>
      <c r="N176" s="363">
        <f t="shared" si="37"/>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 si="38">(K176+K175)/2</f>
        <v>0</v>
      </c>
      <c r="L177" s="360">
        <f t="shared" ref="L177" si="39">(L176+L175)/2</f>
        <v>0</v>
      </c>
      <c r="M177" s="360">
        <f t="shared" ref="M177" si="40">(M176+M175)/2</f>
        <v>0</v>
      </c>
      <c r="N177" s="363">
        <f t="shared" ref="N177" si="41">(N176+N175)/2</f>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-11.057034124557953</v>
      </c>
      <c r="K181" s="156">
        <f>(K$139*K$15)-(K$138*K$26)</f>
        <v>-3.1752807469285216E-2</v>
      </c>
      <c r="L181" s="156">
        <f>(L$139*L$15)-(L$138*L$26)</f>
        <v>-2.795812502104809</v>
      </c>
      <c r="M181" s="156">
        <f>(M$139*M$15)-(M$138*M$26)</f>
        <v>1.1617783905737475</v>
      </c>
      <c r="N181" s="365">
        <f>(N$139*N$15)-(N$138*N$26)</f>
        <v>1.4627870388761206</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-0.3040684384253437</v>
      </c>
      <c r="K184" s="156">
        <f>(K173-K163)*'Input FD'!$O$59</f>
        <v>-0.60901007905609272</v>
      </c>
      <c r="L184" s="156">
        <f>(L173-L163)*'Input FD'!$O$59</f>
        <v>-0.6867681250693809</v>
      </c>
      <c r="M184" s="156">
        <f>(M173-M163)*'Input FD'!$O$59</f>
        <v>-0.73170406313648473</v>
      </c>
      <c r="N184" s="365">
        <f>(N173-N163)*'Input FD'!$O$59</f>
        <v>-0.65952851382661404</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0.10094893003423044</v>
      </c>
      <c r="K187" s="156">
        <f>$P$130*K63/SUM($J$63:$N$63)</f>
        <v>9.5995032684723036E-2</v>
      </c>
      <c r="L187" s="156">
        <f>$P$130*L63/SUM($J$63:$N$63)</f>
        <v>8.6818144069835207E-2</v>
      </c>
      <c r="M187" s="156">
        <f>$P$130*M63/SUM($J$63:$N$63)</f>
        <v>7.3784279462090194E-2</v>
      </c>
      <c r="N187" s="365">
        <f>$P$130*N63/SUM($J$63:$N$63)</f>
        <v>6.6197649381262005E-2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-0.20311950839111326</v>
      </c>
      <c r="K190" s="156">
        <f t="shared" ref="K190:N190" si="42">K187+K184</f>
        <v>-0.51301504637136963</v>
      </c>
      <c r="L190" s="156">
        <f t="shared" si="42"/>
        <v>-0.59994998099954566</v>
      </c>
      <c r="M190" s="156">
        <f t="shared" si="42"/>
        <v>-0.65791978367439452</v>
      </c>
      <c r="N190" s="365">
        <f t="shared" si="42"/>
        <v>-0.59333086444535199</v>
      </c>
      <c r="O190" s="157"/>
      <c r="P190" s="158"/>
      <c r="Q190" s="148"/>
      <c r="R190" s="147" t="s">
        <v>242</v>
      </c>
    </row>
    <row r="191" spans="1:24" s="37" customFormat="1">
      <c r="C191" s="131"/>
      <c r="D191" s="153" t="s">
        <v>57</v>
      </c>
      <c r="E191" s="154" t="s">
        <v>406</v>
      </c>
      <c r="F191" s="155"/>
      <c r="G191" s="148"/>
      <c r="H191" s="148"/>
      <c r="I191" s="148"/>
      <c r="J191" s="156">
        <f>J188+J185</f>
        <v>0</v>
      </c>
      <c r="K191" s="156">
        <f t="shared" ref="K191:N191" si="43">K188+K185</f>
        <v>0</v>
      </c>
      <c r="L191" s="156">
        <f t="shared" si="43"/>
        <v>0</v>
      </c>
      <c r="M191" s="156">
        <f t="shared" si="43"/>
        <v>0</v>
      </c>
      <c r="N191" s="365">
        <f t="shared" si="43"/>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-0.25162945401774256</v>
      </c>
      <c r="K193" s="156">
        <f>IF('Input FD'!$O$156=0,(K190/(1+'Input FD'!$O$60)^K$6),(K190/(1+'Input FD'!$O$59)^K$6))</f>
        <v>-0.60240349344680577</v>
      </c>
      <c r="L193" s="156">
        <f>IF('Input FD'!$O$156=0,(L190/(1+'Input FD'!$O$60)^L$6),(L190/(1+'Input FD'!$O$59)^L$6))</f>
        <v>-0.66775932760201928</v>
      </c>
      <c r="M193" s="156">
        <f>IF('Input FD'!$O$156=0,(M190/(1+'Input FD'!$O$60)^M$6),(M190/(1+'Input FD'!$O$59)^M$6))</f>
        <v>-0.69410537177648624</v>
      </c>
      <c r="N193" s="664">
        <f>IF('Input FD'!$O$156=0,(N190/(1+'Input FD'!$O$60)^N$6),(N190/(1+'Input FD'!$O$59)^N$6))</f>
        <v>-0.59333086444535199</v>
      </c>
      <c r="O193" s="109"/>
      <c r="P193" s="622">
        <f>SUM(J193:N193)</f>
        <v>-2.8092285112884059</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-0.29515770042806627</v>
      </c>
      <c r="K196" s="156">
        <f t="shared" ref="K196:N197" si="44">K193*$L$13/$G$13</f>
        <v>-0.70661056174709902</v>
      </c>
      <c r="L196" s="156">
        <f t="shared" si="44"/>
        <v>-0.78327200741971392</v>
      </c>
      <c r="M196" s="156">
        <f t="shared" si="44"/>
        <v>-0.81417553516556984</v>
      </c>
      <c r="N196" s="365">
        <f t="shared" si="44"/>
        <v>-0.69596849949981832</v>
      </c>
      <c r="O196" s="109"/>
      <c r="P196" s="622">
        <f>P193*$L$13/$G$13</f>
        <v>-3.2951843042602675</v>
      </c>
      <c r="Q196" s="104"/>
      <c r="R196" s="160" t="s">
        <v>413</v>
      </c>
    </row>
    <row r="197" spans="1:20" s="37" customFormat="1">
      <c r="A197" s="109"/>
      <c r="B197" s="109"/>
      <c r="C197" s="131"/>
      <c r="D197" s="104" t="s">
        <v>57</v>
      </c>
      <c r="E197" s="177" t="s">
        <v>412</v>
      </c>
      <c r="F197" s="104"/>
      <c r="G197" s="104"/>
      <c r="H197" s="131"/>
      <c r="I197" s="131"/>
      <c r="J197" s="156">
        <f>J194*$L$13/$G$13</f>
        <v>0</v>
      </c>
      <c r="K197" s="156">
        <f t="shared" si="44"/>
        <v>0</v>
      </c>
      <c r="L197" s="156">
        <f t="shared" si="44"/>
        <v>0</v>
      </c>
      <c r="M197" s="156">
        <f t="shared" si="44"/>
        <v>0</v>
      </c>
      <c r="N197" s="365">
        <f t="shared" si="44"/>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-6.5245870835004984</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-2.2912658349317145</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-2.7883114435847953</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0.49704560865308089</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-3.5084925478066373</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-3.0114469391535565</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-3.2951843042602675</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2016-09-30T09:31:33Z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