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L45" i="31" s="1"/>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J37" i="31" s="1"/>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K30" i="31" s="1"/>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N16" i="31" s="1"/>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H26" i="29" l="1"/>
  <c r="C83" i="30"/>
  <c r="C148" i="30" s="1"/>
  <c r="C95" i="30"/>
  <c r="C149" i="30" s="1"/>
  <c r="N26" i="29"/>
  <c r="P61" i="30"/>
  <c r="S143" i="30"/>
  <c r="S156" i="30" s="1"/>
  <c r="V151" i="30"/>
  <c r="V157" i="30" s="1"/>
  <c r="U151" i="30"/>
  <c r="U157" i="30" s="1"/>
  <c r="V143" i="30"/>
  <c r="V156" i="30" s="1"/>
  <c r="K70" i="29"/>
  <c r="K50" i="32" s="1"/>
  <c r="C65" i="30"/>
  <c r="C147" i="30" s="1"/>
  <c r="S151" i="30"/>
  <c r="S157" i="30" s="1"/>
  <c r="L56" i="29"/>
  <c r="L43" i="31" s="1"/>
  <c r="J139" i="29"/>
  <c r="N59" i="29"/>
  <c r="N21" i="32" s="1"/>
  <c r="L59" i="29"/>
  <c r="L21" i="32" s="1"/>
  <c r="K60" i="29"/>
  <c r="K22" i="32" s="1"/>
  <c r="J71" i="29"/>
  <c r="J51" i="32" s="1"/>
  <c r="N71" i="29"/>
  <c r="N51" i="32" s="1"/>
  <c r="M71" i="29"/>
  <c r="M51" i="32" s="1"/>
  <c r="T143" i="30"/>
  <c r="T156" i="30"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T151" i="30"/>
  <c r="T157" i="30" s="1"/>
  <c r="U143" i="30"/>
  <c r="U156" i="30" s="1"/>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AK7" i="26"/>
  <c r="H20" i="29"/>
  <c r="H21" i="29" s="1"/>
  <c r="AK6" i="26"/>
  <c r="AM7" i="26"/>
  <c r="AM6" i="26"/>
  <c r="M34" i="31"/>
  <c r="I17" i="29"/>
  <c r="I18" i="29" s="1"/>
  <c r="AL6" i="26"/>
  <c r="U37" i="31"/>
  <c r="AJ6" i="26"/>
  <c r="U51" i="32"/>
  <c r="AL7" i="26"/>
  <c r="AJ7" i="26"/>
  <c r="I15" i="29"/>
  <c r="J13" i="29"/>
  <c r="H15" i="29"/>
  <c r="L63" i="29"/>
  <c r="L25" i="32" s="1"/>
  <c r="U20" i="31"/>
  <c r="U50" i="32"/>
  <c r="U21" i="32"/>
  <c r="K43" i="31"/>
  <c r="K17" i="32"/>
  <c r="K63" i="29"/>
  <c r="J16" i="32"/>
  <c r="G94" i="29"/>
  <c r="AN9" i="26" s="1"/>
  <c r="J62" i="29"/>
  <c r="J24" i="31"/>
  <c r="M17" i="32"/>
  <c r="M43" i="31"/>
  <c r="M63" i="29"/>
  <c r="H6" i="30"/>
  <c r="I5" i="30"/>
  <c r="I33" i="17"/>
  <c r="K33" i="17"/>
  <c r="K34" i="17"/>
  <c r="M73" i="29"/>
  <c r="N46" i="32"/>
  <c r="N51" i="31"/>
  <c r="N74" i="29"/>
  <c r="U22" i="32"/>
  <c r="J51" i="31"/>
  <c r="J46" i="32"/>
  <c r="J74" i="29"/>
  <c r="G99" i="29"/>
  <c r="AN13" i="26" s="1"/>
  <c r="N45" i="32"/>
  <c r="N34" i="31"/>
  <c r="N73" i="29"/>
  <c r="L34" i="31"/>
  <c r="L45" i="32"/>
  <c r="L73" i="29"/>
  <c r="N24" i="31"/>
  <c r="N16" i="32"/>
  <c r="N62" i="29"/>
  <c r="J33" i="17"/>
  <c r="J34" i="17"/>
  <c r="J17" i="32"/>
  <c r="J63" i="29"/>
  <c r="J43" i="31"/>
  <c r="L16" i="32"/>
  <c r="L24" i="31"/>
  <c r="L62" i="29"/>
  <c r="N17" i="32"/>
  <c r="N63" i="29"/>
  <c r="N43" i="31"/>
  <c r="K16" i="32"/>
  <c r="K24" i="31"/>
  <c r="K62" i="29"/>
  <c r="J45" i="32"/>
  <c r="J34" i="31"/>
  <c r="J73" i="29"/>
  <c r="H34" i="17"/>
  <c r="L46" i="32"/>
  <c r="L51" i="31"/>
  <c r="L74" i="29"/>
  <c r="K45" i="32"/>
  <c r="K34" i="31"/>
  <c r="K73" i="29"/>
  <c r="H31" i="29"/>
  <c r="H32" i="29" s="1"/>
  <c r="H25" i="29"/>
  <c r="H14" i="29"/>
  <c r="H6" i="29"/>
  <c r="H29" i="29"/>
  <c r="I5" i="29"/>
  <c r="M46" i="32"/>
  <c r="M74" i="29"/>
  <c r="M51" i="31"/>
  <c r="K46" i="32"/>
  <c r="K51" i="31"/>
  <c r="K74" i="29"/>
  <c r="I34" i="17"/>
  <c r="H33" i="17"/>
  <c r="M24" i="31"/>
  <c r="M62" i="29"/>
  <c r="M16" i="32"/>
  <c r="J6" i="20"/>
  <c r="K5" i="20"/>
  <c r="G6" i="20"/>
  <c r="G14" i="20"/>
  <c r="G25" i="20"/>
  <c r="H6" i="20"/>
  <c r="I6" i="20"/>
  <c r="I20" i="29" l="1"/>
  <c r="I21" i="29" s="1"/>
  <c r="J17" i="29"/>
  <c r="K17" i="29" s="1"/>
  <c r="J15" i="29"/>
  <c r="K13" i="29"/>
  <c r="U51" i="31"/>
  <c r="U17" i="32"/>
  <c r="U16" i="32"/>
  <c r="M24" i="32"/>
  <c r="K54" i="32"/>
  <c r="L54" i="32"/>
  <c r="J53" i="32"/>
  <c r="N25" i="32"/>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18" i="29" l="1"/>
  <c r="J20" i="29"/>
  <c r="J21" i="29" s="1"/>
  <c r="J84" i="29" s="1"/>
  <c r="J59" i="32" s="1"/>
  <c r="K15" i="29"/>
  <c r="L13" i="29"/>
  <c r="P212" i="29" s="1"/>
  <c r="J176" i="29"/>
  <c r="J82" i="29"/>
  <c r="J33" i="32" s="1"/>
  <c r="J87" i="29"/>
  <c r="J62" i="32" s="1"/>
  <c r="J172" i="29"/>
  <c r="U24" i="32"/>
  <c r="J80" i="29"/>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79" i="29" l="1"/>
  <c r="J30" i="32" s="1"/>
  <c r="J85" i="29"/>
  <c r="L54" i="17"/>
  <c r="AN27" i="26"/>
  <c r="J177" i="29"/>
  <c r="K175" i="29"/>
  <c r="K176" i="29" s="1"/>
  <c r="K171" i="29"/>
  <c r="K172" i="29" s="1"/>
  <c r="J173" i="29"/>
  <c r="L15" i="29"/>
  <c r="M13" i="29"/>
  <c r="K87" i="29"/>
  <c r="K62" i="32" s="1"/>
  <c r="K82" i="29"/>
  <c r="K33" i="32" s="1"/>
  <c r="J31" i="32"/>
  <c r="L20" i="29"/>
  <c r="L21" i="29" s="1"/>
  <c r="L18" i="29"/>
  <c r="M17" i="29"/>
  <c r="M73" i="31"/>
  <c r="M38" i="32"/>
  <c r="K85" i="29"/>
  <c r="K60" i="32" s="1"/>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U73" i="31" s="1"/>
  <c r="P203" i="29"/>
  <c r="J57" i="29"/>
  <c r="J54" i="31"/>
  <c r="M6" i="20"/>
  <c r="N5" i="20"/>
  <c r="U38" i="32" l="1"/>
  <c r="J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G120" i="29"/>
  <c r="L173" i="29"/>
  <c r="M171" i="29"/>
  <c r="M172" i="29" s="1"/>
  <c r="N87" i="29"/>
  <c r="N62" i="32" s="1"/>
  <c r="N82" i="29"/>
  <c r="N33" i="32" s="1"/>
  <c r="L177" i="29"/>
  <c r="M175" i="29"/>
  <c r="M176" i="29" s="1"/>
  <c r="M87" i="29"/>
  <c r="M62" i="32" s="1"/>
  <c r="M82" i="29"/>
  <c r="M33" i="32" s="1"/>
  <c r="U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AN16" i="26"/>
  <c r="L43" i="17"/>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6" i="29" l="1"/>
  <c r="G117" i="29" s="1"/>
  <c r="AN11" i="26"/>
  <c r="L38" i="17"/>
  <c r="P125" i="29"/>
  <c r="U66" i="32" s="1"/>
  <c r="G119"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P79" i="21"/>
  <c r="E212" i="4"/>
  <c r="E213" i="4"/>
  <c r="E205" i="4"/>
  <c r="E204" i="4"/>
  <c r="J5" i="21" l="1"/>
  <c r="P210" i="29"/>
  <c r="G34" i="32"/>
  <c r="P131" i="29"/>
  <c r="AN12" i="26"/>
  <c r="L39" i="17"/>
  <c r="P124" i="29"/>
  <c r="L42" i="17"/>
  <c r="G63" i="32"/>
  <c r="AN15" i="26"/>
  <c r="AN25" i="26"/>
  <c r="L52" i="17"/>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L191" i="29" s="1"/>
  <c r="L194" i="29" s="1"/>
  <c r="L197" i="29" s="1"/>
  <c r="M165" i="29"/>
  <c r="M166" i="29" s="1"/>
  <c r="M140" i="29"/>
  <c r="M181" i="29"/>
  <c r="R80" i="30"/>
  <c r="R62" i="30"/>
  <c r="R20" i="30"/>
  <c r="K5" i="21"/>
  <c r="J6" i="21"/>
  <c r="E215" i="4"/>
  <c r="E209" i="4"/>
  <c r="E214" i="4"/>
  <c r="E211" i="4"/>
  <c r="E210" i="4"/>
  <c r="E207" i="4"/>
  <c r="E201" i="4"/>
  <c r="E206" i="4"/>
  <c r="E203" i="4"/>
  <c r="E202" i="4"/>
  <c r="P130" i="29" l="1"/>
  <c r="U37" i="32"/>
  <c r="P202" i="29"/>
  <c r="M163" i="29"/>
  <c r="M184" i="29" s="1"/>
  <c r="N161" i="29"/>
  <c r="N162" i="29" s="1"/>
  <c r="N163" i="29" s="1"/>
  <c r="N184" i="29" s="1"/>
  <c r="N165" i="29"/>
  <c r="N166" i="29" s="1"/>
  <c r="N167" i="29" s="1"/>
  <c r="N185" i="29" s="1"/>
  <c r="N191" i="29" s="1"/>
  <c r="N194" i="29" s="1"/>
  <c r="N197" i="29" s="1"/>
  <c r="M167" i="29"/>
  <c r="M185" i="29" s="1"/>
  <c r="U5" i="30"/>
  <c r="T6" i="30"/>
  <c r="N140" i="29"/>
  <c r="P149" i="29" s="1"/>
  <c r="N181" i="29"/>
  <c r="J197" i="29"/>
  <c r="R127" i="30"/>
  <c r="R51" i="30"/>
  <c r="R35" i="30"/>
  <c r="R98" i="30"/>
  <c r="R68" i="30"/>
  <c r="R110" i="30"/>
  <c r="R86" i="30"/>
  <c r="T107" i="30"/>
  <c r="T95" i="30"/>
  <c r="S62" i="30"/>
  <c r="S80" i="30"/>
  <c r="S20" i="30"/>
  <c r="R83" i="30"/>
  <c r="R65" i="30"/>
  <c r="R64" i="30"/>
  <c r="R82" i="30"/>
  <c r="N182" i="29"/>
  <c r="N144" i="29"/>
  <c r="P153" i="29" s="1"/>
  <c r="S149" i="30"/>
  <c r="L5" i="21"/>
  <c r="K6" i="21"/>
  <c r="P135" i="18"/>
  <c r="P18" i="18"/>
  <c r="M191" i="29" l="1"/>
  <c r="P213" i="29"/>
  <c r="L45" i="17"/>
  <c r="AN18" i="26"/>
  <c r="AH5" i="26"/>
  <c r="O14" i="33"/>
  <c r="N154" i="29"/>
  <c r="P209" i="29"/>
  <c r="F32" i="17"/>
  <c r="AH4" i="26"/>
  <c r="P201" i="29"/>
  <c r="O13" i="33"/>
  <c r="N150" i="29"/>
  <c r="F31" i="17"/>
  <c r="P205" i="29"/>
  <c r="K187" i="29"/>
  <c r="K190" i="29" s="1"/>
  <c r="K193" i="29" s="1"/>
  <c r="K196" i="29" s="1"/>
  <c r="N187" i="29"/>
  <c r="N190" i="29" s="1"/>
  <c r="N193" i="29" s="1"/>
  <c r="N196" i="29" s="1"/>
  <c r="J187" i="29"/>
  <c r="M187" i="29"/>
  <c r="M190" i="29" s="1"/>
  <c r="M193" i="29" s="1"/>
  <c r="M196" i="29" s="1"/>
  <c r="L187" i="29"/>
  <c r="L190" i="29" s="1"/>
  <c r="L193" i="29" s="1"/>
  <c r="L196" i="29" s="1"/>
  <c r="S65" i="30"/>
  <c r="S83" i="30"/>
  <c r="S82" i="30"/>
  <c r="S64" i="30"/>
  <c r="T149" i="30"/>
  <c r="S110" i="30"/>
  <c r="S86" i="30"/>
  <c r="S51" i="30"/>
  <c r="S35" i="30"/>
  <c r="S98" i="30"/>
  <c r="S68" i="30"/>
  <c r="S127" i="30"/>
  <c r="V107" i="30"/>
  <c r="V95" i="30"/>
  <c r="R88" i="30"/>
  <c r="R148" i="30"/>
  <c r="V5" i="30"/>
  <c r="V6" i="30" s="1"/>
  <c r="U6" i="30"/>
  <c r="R140" i="30"/>
  <c r="R87" i="30"/>
  <c r="R139" i="30"/>
  <c r="R69" i="30"/>
  <c r="R147" i="30"/>
  <c r="R70"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U106" i="30" l="1"/>
  <c r="U94" i="30"/>
  <c r="V94" i="30"/>
  <c r="V106" i="30"/>
  <c r="J190" i="29"/>
  <c r="P204" i="29"/>
  <c r="U39" i="32"/>
  <c r="L44" i="17"/>
  <c r="AN17" i="26"/>
  <c r="T94" i="30"/>
  <c r="T141" i="30" s="1"/>
  <c r="T106" i="30"/>
  <c r="S106" i="30"/>
  <c r="S94" i="30"/>
  <c r="S141" i="30" s="1"/>
  <c r="L55" i="17"/>
  <c r="AN28" i="26"/>
  <c r="L48" i="17"/>
  <c r="AN21" i="26"/>
  <c r="L51" i="17"/>
  <c r="AN24" i="26"/>
  <c r="M194" i="29"/>
  <c r="P214" i="29"/>
  <c r="R149" i="30"/>
  <c r="R100" i="30"/>
  <c r="S37" i="30"/>
  <c r="S36" i="30"/>
  <c r="S148" i="30"/>
  <c r="S88" i="30"/>
  <c r="T127" i="30"/>
  <c r="T98" i="30"/>
  <c r="T68" i="30"/>
  <c r="T110" i="30"/>
  <c r="T86" i="30"/>
  <c r="T51" i="30"/>
  <c r="T35" i="30"/>
  <c r="T82" i="30"/>
  <c r="T65" i="30"/>
  <c r="T83" i="30"/>
  <c r="T64" i="30"/>
  <c r="V80" i="30"/>
  <c r="V62" i="30"/>
  <c r="V20" i="30"/>
  <c r="U141" i="30"/>
  <c r="S69" i="30"/>
  <c r="S139" i="30"/>
  <c r="V149" i="30"/>
  <c r="S100" i="30"/>
  <c r="S99" i="30"/>
  <c r="S111" i="30"/>
  <c r="S112" i="30"/>
  <c r="S140" i="30"/>
  <c r="S87" i="30"/>
  <c r="V141" i="30"/>
  <c r="U62" i="30"/>
  <c r="U80" i="30"/>
  <c r="U20" i="30"/>
  <c r="S70" i="30"/>
  <c r="S147" i="30"/>
  <c r="M6" i="21"/>
  <c r="N5" i="21"/>
  <c r="C94" i="18"/>
  <c r="E98" i="18"/>
  <c r="D98" i="18"/>
  <c r="C64" i="18"/>
  <c r="C47" i="18"/>
  <c r="C31" i="18"/>
  <c r="AN20" i="26" l="1"/>
  <c r="L47" i="17"/>
  <c r="M197" i="29"/>
  <c r="P194" i="29"/>
  <c r="P206" i="29"/>
  <c r="J193" i="29"/>
  <c r="L56" i="17"/>
  <c r="AN29" i="26"/>
  <c r="T139" i="30"/>
  <c r="T69" i="30"/>
  <c r="T37" i="30"/>
  <c r="T36" i="30"/>
  <c r="T148" i="30"/>
  <c r="T88" i="30"/>
  <c r="T100" i="30"/>
  <c r="T99" i="30"/>
  <c r="U64" i="30"/>
  <c r="U83" i="30"/>
  <c r="U65" i="30"/>
  <c r="U82" i="30"/>
  <c r="U110" i="30"/>
  <c r="U98" i="30"/>
  <c r="U68" i="30"/>
  <c r="U127" i="30"/>
  <c r="U51" i="30"/>
  <c r="U35" i="30"/>
  <c r="U86" i="30"/>
  <c r="V127" i="30"/>
  <c r="V51" i="30"/>
  <c r="V35" i="30"/>
  <c r="V86" i="30"/>
  <c r="V110" i="30"/>
  <c r="V68" i="30"/>
  <c r="V98" i="30"/>
  <c r="T147" i="30"/>
  <c r="T70" i="30"/>
  <c r="V83" i="30"/>
  <c r="V82" i="30"/>
  <c r="V64" i="30"/>
  <c r="V65" i="30"/>
  <c r="P21" i="30"/>
  <c r="P45" i="30" s="1"/>
  <c r="T140" i="30"/>
  <c r="T87" i="30"/>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U107" i="30" l="1"/>
  <c r="U95" i="30"/>
  <c r="U149" i="30" s="1"/>
  <c r="J196" i="29"/>
  <c r="P193" i="29"/>
  <c r="AN22" i="26"/>
  <c r="L49" i="17"/>
  <c r="P197" i="29"/>
  <c r="O17" i="33"/>
  <c r="V139" i="30"/>
  <c r="V69" i="30"/>
  <c r="V112" i="30"/>
  <c r="V111" i="30"/>
  <c r="V148" i="30"/>
  <c r="V88" i="30"/>
  <c r="V100" i="30"/>
  <c r="V99" i="30"/>
  <c r="V37" i="30"/>
  <c r="V36" i="30"/>
  <c r="U147" i="30"/>
  <c r="U70" i="30"/>
  <c r="V70" i="30"/>
  <c r="V147" i="30"/>
  <c r="U36" i="30"/>
  <c r="U37" i="30"/>
  <c r="U100" i="30"/>
  <c r="U99" i="30"/>
  <c r="U148" i="30"/>
  <c r="U88" i="30"/>
  <c r="U112" i="30"/>
  <c r="U111" i="30"/>
  <c r="U69" i="30"/>
  <c r="U139" i="30"/>
  <c r="V140" i="30"/>
  <c r="V87" i="30"/>
  <c r="U87" i="30"/>
  <c r="U140" i="30"/>
  <c r="S5" i="21"/>
  <c r="R6" i="21"/>
  <c r="C83" i="18"/>
  <c r="C148" i="18" s="1"/>
  <c r="C140" i="18"/>
  <c r="P78" i="18"/>
  <c r="P71" i="30" l="1"/>
  <c r="P114" i="30"/>
  <c r="P117" i="30" s="1"/>
  <c r="P102" i="30"/>
  <c r="O20" i="33"/>
  <c r="P215" i="29"/>
  <c r="P14" i="30"/>
  <c r="R94" i="30"/>
  <c r="R106" i="30"/>
  <c r="R111" i="30" s="1"/>
  <c r="P113" i="30" s="1"/>
  <c r="P116" i="30" s="1"/>
  <c r="O16" i="33"/>
  <c r="P196" i="29"/>
  <c r="P90" i="30"/>
  <c r="P72" i="30"/>
  <c r="P89" i="30"/>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99" i="30" l="1"/>
  <c r="P101" i="30" s="1"/>
  <c r="R141" i="30"/>
  <c r="P207" i="29"/>
  <c r="P13" i="30"/>
  <c r="O19" i="33"/>
  <c r="P119" i="30"/>
  <c r="P121" i="30" s="1"/>
  <c r="R32" i="30"/>
  <c r="P60" i="30"/>
  <c r="P44" i="30"/>
  <c r="P77" i="30"/>
  <c r="AN30" i="26"/>
  <c r="L57" i="17"/>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29" i="20" s="1"/>
  <c r="G31" i="20"/>
  <c r="G32" i="20" s="1"/>
  <c r="H31" i="20"/>
  <c r="G29" i="20"/>
  <c r="H29" i="20"/>
  <c r="M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R64" i="21"/>
  <c r="R82" i="21"/>
  <c r="R83" i="21"/>
  <c r="R65" i="21"/>
  <c r="T6" i="21"/>
  <c r="U5" i="21"/>
  <c r="R98" i="21"/>
  <c r="R68" i="21"/>
  <c r="R127" i="21"/>
  <c r="R110" i="21"/>
  <c r="R86" i="21"/>
  <c r="R35" i="21"/>
  <c r="R51" i="21"/>
  <c r="G6" i="18"/>
  <c r="H5" i="18"/>
  <c r="F6" i="4"/>
  <c r="R145" i="30" l="1"/>
  <c r="R151" i="30" s="1"/>
  <c r="R157" i="30" s="1"/>
  <c r="R37" i="30"/>
  <c r="P39" i="30" s="1"/>
  <c r="L50" i="17"/>
  <c r="AN23" i="26"/>
  <c r="P43" i="30"/>
  <c r="P118" i="30"/>
  <c r="P120" i="30" s="1"/>
  <c r="P76" i="30"/>
  <c r="R31" i="30"/>
  <c r="P59" i="30"/>
  <c r="S124" i="30"/>
  <c r="T124" i="30"/>
  <c r="U124" i="30"/>
  <c r="R124" i="30"/>
  <c r="V124" i="30"/>
  <c r="T48" i="30"/>
  <c r="U48" i="30"/>
  <c r="S48" i="30"/>
  <c r="R48" i="30"/>
  <c r="V48" i="30"/>
  <c r="U16" i="22"/>
  <c r="K29" i="20"/>
  <c r="L29" i="20"/>
  <c r="N31" i="20"/>
  <c r="N32" i="20" s="1"/>
  <c r="J31" i="20"/>
  <c r="J32" i="20" s="1"/>
  <c r="L31" i="20"/>
  <c r="L32" i="20" s="1"/>
  <c r="I29" i="20"/>
  <c r="J29" i="20"/>
  <c r="N62" i="20"/>
  <c r="J73" i="20"/>
  <c r="M62" i="20"/>
  <c r="H32" i="20"/>
  <c r="L73" i="20"/>
  <c r="H20" i="20"/>
  <c r="H21" i="20" s="1"/>
  <c r="H18" i="20"/>
  <c r="J74" i="20"/>
  <c r="G99" i="20"/>
  <c r="L13" i="17" s="1"/>
  <c r="L74" i="20"/>
  <c r="K62" i="20"/>
  <c r="M31" i="20"/>
  <c r="M32" i="20" s="1"/>
  <c r="K31" i="20"/>
  <c r="K32" i="20" s="1"/>
  <c r="I31" i="20"/>
  <c r="I32" i="20" s="1"/>
  <c r="H15" i="20"/>
  <c r="N63" i="20"/>
  <c r="N73" i="20"/>
  <c r="K74" i="20"/>
  <c r="M63" i="20"/>
  <c r="I17" i="20"/>
  <c r="G94" i="20"/>
  <c r="L9" i="17" s="1"/>
  <c r="J6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R147" i="21"/>
  <c r="R70" i="21"/>
  <c r="R88" i="21"/>
  <c r="R148" i="21"/>
  <c r="S83" i="21"/>
  <c r="S64" i="21"/>
  <c r="S65" i="21"/>
  <c r="S82" i="21"/>
  <c r="T62" i="21"/>
  <c r="T80" i="21"/>
  <c r="T20" i="21"/>
  <c r="R139" i="21"/>
  <c r="R69" i="21"/>
  <c r="S127" i="21"/>
  <c r="S51" i="21"/>
  <c r="S35" i="21"/>
  <c r="S110" i="21"/>
  <c r="S86" i="21"/>
  <c r="S98" i="21"/>
  <c r="S68" i="21"/>
  <c r="V5" i="21"/>
  <c r="V6" i="21" s="1"/>
  <c r="U6" i="21"/>
  <c r="R140" i="21"/>
  <c r="R87" i="21"/>
  <c r="H6" i="18"/>
  <c r="I5" i="18"/>
  <c r="C14" i="9"/>
  <c r="C13" i="9"/>
  <c r="E19" i="9"/>
  <c r="E20" i="9"/>
  <c r="U146" i="30" l="1"/>
  <c r="U53" i="30"/>
  <c r="R36" i="30"/>
  <c r="P38" i="30" s="1"/>
  <c r="R137" i="30"/>
  <c r="R143" i="30" s="1"/>
  <c r="R156" i="30" s="1"/>
  <c r="V53" i="30"/>
  <c r="V146" i="30"/>
  <c r="T53" i="30"/>
  <c r="T146" i="30"/>
  <c r="T129" i="30"/>
  <c r="T150" i="30"/>
  <c r="R146" i="30"/>
  <c r="R53" i="30"/>
  <c r="V150" i="30"/>
  <c r="V129" i="30"/>
  <c r="S150" i="30"/>
  <c r="S129" i="30"/>
  <c r="R123" i="30"/>
  <c r="S123" i="30"/>
  <c r="V123" i="30"/>
  <c r="T123" i="30"/>
  <c r="U123" i="30"/>
  <c r="U150" i="30"/>
  <c r="U129" i="30"/>
  <c r="S146" i="30"/>
  <c r="S53" i="30"/>
  <c r="R129" i="30"/>
  <c r="P131" i="30" s="1"/>
  <c r="R150" i="30"/>
  <c r="T47" i="30"/>
  <c r="S47" i="30"/>
  <c r="R47" i="30"/>
  <c r="V47" i="30"/>
  <c r="U47" i="30"/>
  <c r="G34" i="17"/>
  <c r="AI7" i="26"/>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S139" i="21"/>
  <c r="S69" i="21"/>
  <c r="V62" i="21"/>
  <c r="V20" i="21"/>
  <c r="V80" i="21"/>
  <c r="S87" i="21"/>
  <c r="S140" i="21"/>
  <c r="S70" i="21"/>
  <c r="S147" i="21"/>
  <c r="U62" i="21"/>
  <c r="U80" i="21"/>
  <c r="U20" i="21"/>
  <c r="T65" i="21"/>
  <c r="T83" i="21"/>
  <c r="T82" i="21"/>
  <c r="T64" i="21"/>
  <c r="S88" i="21"/>
  <c r="S148" i="21"/>
  <c r="I6" i="18"/>
  <c r="J5" i="18"/>
  <c r="E17" i="9"/>
  <c r="E16" i="9"/>
  <c r="P55" i="30" l="1"/>
  <c r="U52" i="30"/>
  <c r="U138" i="30"/>
  <c r="V138" i="30"/>
  <c r="V52" i="30"/>
  <c r="V142" i="30"/>
  <c r="V128" i="30"/>
  <c r="T52" i="30"/>
  <c r="T138" i="30"/>
  <c r="T142" i="30"/>
  <c r="T128" i="30"/>
  <c r="AI6" i="26"/>
  <c r="G33" i="17"/>
  <c r="R138" i="30"/>
  <c r="R52" i="30"/>
  <c r="S142" i="30"/>
  <c r="S128" i="30"/>
  <c r="S52" i="30"/>
  <c r="S138" i="30"/>
  <c r="U142" i="30"/>
  <c r="U128" i="30"/>
  <c r="R142" i="30"/>
  <c r="R128"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J64" i="22" s="1"/>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L55" i="22" s="1"/>
  <c r="M43" i="20"/>
  <c r="M58" i="22" s="1"/>
  <c r="M40" i="20"/>
  <c r="M55" i="22" s="1"/>
  <c r="K39" i="20"/>
  <c r="M41" i="20"/>
  <c r="M56" i="22" s="1"/>
  <c r="L39" i="20"/>
  <c r="N41" i="20"/>
  <c r="N56" i="22" s="1"/>
  <c r="K41" i="20"/>
  <c r="K56" i="22" s="1"/>
  <c r="L44" i="20"/>
  <c r="L59" i="22" s="1"/>
  <c r="J39" i="20"/>
  <c r="L41" i="20"/>
  <c r="N43" i="20"/>
  <c r="N58" i="22" s="1"/>
  <c r="J40" i="20"/>
  <c r="J55" i="22" s="1"/>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U14" i="26"/>
  <c r="AW14" i="26" s="1"/>
  <c r="G56" i="23"/>
  <c r="J56" i="22"/>
  <c r="L56" i="22"/>
  <c r="T148" i="21"/>
  <c r="T88" i="21"/>
  <c r="T69" i="21"/>
  <c r="T139" i="21"/>
  <c r="U98" i="21"/>
  <c r="U68" i="21"/>
  <c r="U110" i="21"/>
  <c r="U86" i="21"/>
  <c r="U51" i="21"/>
  <c r="U127" i="21"/>
  <c r="U35" i="21"/>
  <c r="V64" i="21"/>
  <c r="V82" i="21"/>
  <c r="V65" i="21"/>
  <c r="V83" i="21"/>
  <c r="T87" i="21"/>
  <c r="T140" i="21"/>
  <c r="T36" i="21"/>
  <c r="T37" i="21"/>
  <c r="U82" i="21"/>
  <c r="U65" i="21"/>
  <c r="U64" i="21"/>
  <c r="U83" i="21"/>
  <c r="T70" i="21"/>
  <c r="T14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P130" i="30" l="1"/>
  <c r="P54" i="30"/>
  <c r="M57" i="20"/>
  <c r="M138" i="20" s="1"/>
  <c r="K57" i="20"/>
  <c r="K138" i="20" s="1"/>
  <c r="J57" i="20"/>
  <c r="J138" i="20" s="1"/>
  <c r="J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181" i="20"/>
  <c r="J140" i="20"/>
  <c r="J68" i="20"/>
  <c r="J142" i="20" s="1"/>
  <c r="J166" i="20" s="1"/>
  <c r="M68" i="20"/>
  <c r="M142" i="20" s="1"/>
  <c r="K68" i="20"/>
  <c r="K142" i="20" s="1"/>
  <c r="K64" i="20"/>
  <c r="N64" i="20"/>
  <c r="M64" i="20"/>
  <c r="J64" i="20"/>
  <c r="J81" i="20" s="1"/>
  <c r="L64" i="20"/>
  <c r="N68" i="20"/>
  <c r="N142" i="20" s="1"/>
  <c r="K14" i="20"/>
  <c r="K15" i="20"/>
  <c r="L13" i="20"/>
  <c r="P211" i="20" s="1"/>
  <c r="K161" i="20"/>
  <c r="K162"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P203" i="20" l="1"/>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P72" i="21"/>
  <c r="P89" i="21"/>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P90" i="21"/>
  <c r="J61" i="23"/>
  <c r="J55" i="23"/>
  <c r="L55" i="23"/>
  <c r="M26" i="23"/>
  <c r="L60" i="22"/>
  <c r="L18" i="23"/>
  <c r="U67" i="23"/>
  <c r="N47" i="23"/>
  <c r="N68" i="22"/>
  <c r="P71" i="21"/>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U106" i="2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O16" i="24" l="1"/>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41" i="21" l="1"/>
  <c r="T129" i="21"/>
  <c r="T150" i="21"/>
  <c r="R146" i="21"/>
  <c r="R151" i="21" s="1"/>
  <c r="R157" i="21" s="1"/>
  <c r="R53" i="21"/>
  <c r="P43" i="21"/>
  <c r="P76" i="21"/>
  <c r="R31" i="21"/>
  <c r="P118" i="21"/>
  <c r="P120" i="21" s="1"/>
  <c r="P59" i="21"/>
  <c r="S129" i="21"/>
  <c r="S150" i="21"/>
  <c r="U146" i="21"/>
  <c r="U151" i="21" s="1"/>
  <c r="U157" i="21" s="1"/>
  <c r="U53" i="21"/>
  <c r="V146" i="21"/>
  <c r="V151" i="21" s="1"/>
  <c r="V157" i="21" s="1"/>
  <c r="V53" i="21"/>
  <c r="R150" i="21"/>
  <c r="R129" i="21"/>
  <c r="S146" i="21"/>
  <c r="S151" i="21" s="1"/>
  <c r="S157" i="21" s="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7" i="26" l="1"/>
  <c r="AT7" i="26" s="1"/>
  <c r="I7" i="17"/>
  <c r="Q7" i="26"/>
  <c r="AS7" i="26" s="1"/>
  <c r="H7" i="17"/>
  <c r="T7" i="26"/>
  <c r="AV7" i="26" s="1"/>
  <c r="K7" i="17"/>
  <c r="S7" i="26"/>
  <c r="AU7" i="26" s="1"/>
  <c r="J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S138" i="21" l="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T6" i="26" l="1"/>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<sst xmlns="http://schemas.openxmlformats.org/spreadsheetml/2006/main" count="4980" uniqueCount="826">
  <si>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</si>
  <si>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</si>
  <si>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</si>
  <si>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</si>
  <si>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</si>
  <si>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</si>
  <si>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</si>
  <si>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</si>
  <si>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</si>
  <si>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</si>
  <si>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</si>
  <si>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</si>
  <si>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</si>
  <si>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</si>
  <si>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</si>
  <si>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</si>
  <si>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</si>
  <si>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</si>
  <si>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</si>
  <si>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</si>
  <si>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</si>
  <si>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</si>
  <si>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</si>
  <si>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</si>
  <si>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</si>
  <si>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</si>
  <si>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</si>
  <si>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</si>
  <si>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</si>
  <si>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</si>
  <si>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</si>
  <si>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</si>
  <si>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</si>
  <si>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</si>
  <si>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</si>
  <si>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</si>
  <si>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</si>
  <si>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</si>
  <si>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</si>
  <si>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</si>
  <si>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</si>
  <si>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</si>
  <si>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</si>
  <si>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</si>
  <si>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</si>
  <si>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</si>
  <si>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</si>
  <si>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</si>
  <si>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</si>
  <si>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</si>
  <si>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</si>
  <si>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</si>
  <si>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</si>
  <si>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</si>
  <si>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</si>
  <si>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</si>
  <si>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</si>
  <si>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</si>
  <si>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</si>
  <si>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</si>
  <si>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</si>
  <si>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</si>
  <si>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</si>
  <si>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</si>
  <si>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</si>
  <si>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</si>
  <si>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</si>
  <si>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</si>
  <si>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</si>
  <si>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</si>
  <si>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</si>
  <si>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</si>
  <si>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</si>
  <si>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</si>
  <si>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</si>
  <si>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</si>
  <si>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</si>
  <si>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</si>
  <si>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</si>
  <si>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</si>
  <si>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</si>
  <si>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</si>
  <si>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</si>
  <si>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</si>
  <si>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</si>
  <si>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</si>
  <si>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</si>
  <si>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</si>
  <si>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</si>
  <si>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</si>
  <si>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</si>
  <si>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</si>
  <si>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</si>
  <si>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</si>
  <si>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</si>
  <si>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</si>
  <si>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</si>
  <si>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</si>
  <si>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</si>
  <si>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</si>
  <si>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</si>
  <si>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</si>
  <si>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</si>
  <si>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</si>
  <si>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</si>
  <si>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</si>
  <si>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</si>
  <si>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</si>
  <si>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</si>
  <si>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</si>
  <si>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</si>
  <si>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</si>
  <si>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</si>
  <si>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</si>
  <si>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</si>
  <si>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</si>
  <si>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</si>
  <si>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</si>
  <si>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</si>
  <si>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</si>
  <si>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</si>
  <si>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</si>
  <si>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</si>
  <si>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</si>
  <si>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</si>
  <si>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</si>
  <si>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</si>
  <si>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</si>
  <si>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</si>
  <si>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</si>
  <si>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</si>
  <si>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</si>
  <si>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</si>
  <si>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</si>
  <si>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</si>
  <si>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</si>
  <si>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</si>
  <si>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</si>
  <si>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</si>
  <si>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</si>
  <si>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</si>
  <si>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</si>
  <si>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</si>
  <si>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</si>
  <si>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</si>
  <si>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</si>
  <si>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</si>
  <si>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</si>
  <si>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</si>
  <si>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</si>
  <si>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</si>
  <si>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</si>
  <si>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</si>
  <si>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</si>
  <si>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</si>
  <si>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</si>
  <si>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</si>
  <si>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</si>
  <si>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</si>
  <si>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</si>
  <si>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</si>
  <si>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</si>
  <si>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</si>
  <si>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</si>
  <si>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</si>
  <si>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</si>
  <si>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</si>
  <si>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</si>
  <si>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</si>
  <si>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</si>
  <si>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</si>
  <si>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</si>
  <si>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</si>
  <si>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</si>
  <si>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</si>
  <si>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</si>
  <si>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</si>
  <si>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</si>
  <si>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</si>
  <si>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</si>
  <si>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</si>
  <si>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</si>
  <si>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</si>
  <si>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</si>
  <si>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</si>
  <si>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</si>
  <si>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</si>
  <si>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</si>
  <si>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</si>
  <si>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</si>
  <si>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</si>
  <si>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</si>
  <si>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</si>
  <si>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</si>
  <si>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</si>
  <si>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</si>
  <si>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</si>
  <si>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</si>
  <si>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</si>
  <si>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</si>
  <si>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</si>
  <si>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</si>
  <si>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</si>
  <si>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</si>
  <si>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</si>
  <si>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</si>
  <si>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</si>
  <si>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</si>
  <si>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</si>
  <si>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</si>
  <si>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</si>
  <si>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</si>
  <si>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</si>
  <si>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</si>
  <si>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</si>
  <si>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</si>
  <si>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</si>
  <si>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</si>
  <si>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</si>
  <si>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</si>
  <si>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</si>
  <si>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</si>
  <si>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</si>
  <si>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</si>
  <si>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</si>
  <si>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</si>
  <si>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</si>
  <si>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</si>
  <si>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</si>
  <si>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</si>
  <si>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</si>
  <si>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</si>
  <si>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</si>
  <si>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</si>
  <si>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</si>
  <si>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</si>
  <si>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</si>
  <si>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</si>
  <si>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</si>
  <si>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</si>
  <si>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</si>
  <si>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</si>
  <si>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</si>
  <si>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</si>
  <si>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</si>
  <si>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</si>
  <si>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</si>
  <si>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</si>
  <si>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</si>
  <si>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</si>
  <si>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</si>
  <si>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</si>
  <si>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</si>
  <si>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</si>
  <si>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</si>
  <si>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</si>
  <si>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</si>
  <si>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</si>
  <si>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</si>
  <si>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</si>
  <si>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</si>
  <si>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</si>
  <si>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</si>
  <si>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</si>
  <si>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</si>
  <si>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</si>
  <si>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</si>
  <si>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</si>
  <si>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</si>
  <si>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</si>
  <si>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</si>
  <si>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</si>
  <si>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</si>
  <si>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</si>
  <si>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</si>
  <si>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</si>
  <si>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</si>
  <si>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</si>
  <si>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</si>
  <si>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</si>
  <si>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</si>
  <si>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</si>
  <si>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</si>
  <si>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</si>
  <si>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</si>
  <si>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</si>
  <si>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</si>
  <si>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</si>
  <si>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</si>
  <si>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</si>
  <si>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</si>
  <si>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</si>
  <si>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</si>
  <si>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</si>
  <si>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</si>
  <si>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</si>
  <si>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</si>
  <si>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</si>
  <si>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</si>
  <si>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</si>
  <si>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</si>
  <si>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</si>
  <si>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</si>
  <si>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</si>
  <si>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</si>
  <si>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</si>
  <si>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</si>
  <si>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</si>
  <si>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</si>
  <si>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</si>
  <si>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</si>
  <si>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</si>
  <si>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</si>
  <si>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</si>
  <si>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</si>
  <si>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</si>
  <si>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</si>
  <si>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</si>
  <si>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</si>
  <si>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</si>
  <si>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</si>
  <si>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</si>
  <si>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</si>
  <si>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</si>
  <si>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</si>
  <si>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</si>
  <si>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</si>
  <si>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</si>
  <si>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</si>
  <si>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</si>
  <si>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</si>
  <si>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</si>
  <si>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</si>
  <si>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</si>
  <si>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</si>
  <si>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</si>
  <si>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</si>
  <si>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</si>
  <si>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</si>
  <si>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</si>
  <si>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</si>
  <si>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</si>
  <si>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</si>
  <si>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</si>
  <si>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</si>
  <si>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</si>
  <si>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</si>
  <si>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</si>
  <si>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</si>
  <si>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</si>
  <si>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</si>
  <si>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</si>
  <si>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</si>
  <si>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</si>
  <si>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</si>
  <si>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</si>
  <si>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</si>
  <si>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</si>
  <si>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</si>
  <si>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</si>
  <si>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</si>
  <si>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</si>
  <si>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</si>
  <si>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</si>
  <si>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</si>
  <si>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</si>
  <si>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</si>
  <si>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</si>
  <si>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</si>
  <si>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</si>
  <si>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</si>
  <si>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</si>
  <si>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</si>
  <si>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</si>
  <si>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</si>
  <si>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</si>
  <si>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</si>
  <si>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</si>
  <si>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</si>
  <si>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</si>
  <si>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</si>
  <si>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</si>
  <si>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</si>
  <si>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</si>
  <si>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</si>
  <si>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</si>
  <si>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</si>
  <si>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</si>
  <si>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</si>
  <si>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</si>
  <si>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</si>
  <si>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</si>
  <si>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</si>
  <si>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</si>
  <si>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</si>
  <si>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</si>
  <si>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</si>
  <si>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</si>
  <si>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</si>
  <si>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</si>
  <si>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</si>
  <si>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</si>
  <si>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</si>
  <si>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</si>
  <si>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</si>
  <si>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</si>
  <si>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</si>
  <si>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</si>
  <si>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</si>
  <si>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</si>
  <si>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</si>
  <si>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</si>
  <si>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</si>
  <si>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</si>
  <si>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</si>
  <si>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</si>
  <si>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</si>
  <si>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</si>
  <si>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</si>
  <si>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</si>
  <si>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</si>
  <si>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</si>
  <si>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</si>
  <si>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</si>
  <si>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</si>
  <si>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</si>
  <si>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</si>
  <si>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</si>
  <si>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</si>
  <si>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</si>
  <si>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</si>
  <si>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</si>
  <si>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</si>
  <si>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</si>
  <si>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</si>
  <si>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</si>
  <si>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</si>
  <si>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</si>
  <si>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</si>
  <si>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</si>
  <si>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</si>
  <si>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</si>
  <si>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</si>
  <si>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</si>
  <si>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</si>
  <si>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</si>
  <si>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</si>
  <si>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</si>
  <si>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</si>
  <si>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</si>
  <si>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</si>
  <si>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</si>
  <si>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</si>
  <si>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</si>
  <si>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</si>
  <si>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</si>
  <si>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</si>
  <si>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</si>
  <si>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</si>
  <si>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</si>
  <si>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</si>
  <si>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</si>
  <si>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</si>
  <si>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</si>
  <si>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</si>
  <si>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</si>
  <si>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</si>
  <si>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</si>
  <si>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</si>
  <si>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</si>
  <si>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</si>
  <si>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</si>
  <si>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</si>
  <si>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</si>
  <si>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</si>
  <si>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</si>
  <si>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</si>
  <si>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</si>
  <si>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</si>
  <si>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</si>
  <si>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</si>
  <si>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</si>
  <si>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</si>
  <si>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</si>
  <si>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</si>
  <si>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</si>
  <si>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</si>
  <si>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</si>
  <si>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</si>
  <si>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</si>
  <si>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</si>
  <si>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</si>
  <si>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</si>
  <si>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</si>
  <si>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</si>
  <si>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</si>
  <si>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</si>
  <si>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</si>
  <si>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</si>
  <si>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</si>
  <si>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</si>
  <si>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</si>
  <si>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</si>
  <si>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</si>
  <si>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</si>
  <si>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</si>
  <si>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</si>
  <si>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</si>
  <si>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</si>
  <si>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</si>
  <si>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</si>
  <si>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</si>
  <si>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</si>
  <si>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</si>
  <si>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</si>
  <si>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</si>
  <si>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</si>
  <si>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</si>
  <si>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</si>
  <si>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</si>
  <si>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</si>
  <si>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</si>
  <si>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</si>
  <si>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</si>
  <si>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</si>
  <si>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</si>
  <si>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</si>
  <si>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</si>
  <si>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</si>
  <si>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</si>
  <si>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</si>
  <si>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</si>
  <si>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</si>
  <si>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</si>
  <si>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</si>
  <si>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</si>
  <si>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</si>
  <si>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</si>
  <si>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</si>
  <si>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</si>
  <si>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</si>
  <si>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</si>
  <si>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</si>
  <si>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</si>
  <si>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</si>
  <si>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</si>
  <si>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</si>
  <si>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</si>
  <si>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</si>
  <si>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</si>
  <si>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</si>
  <si>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</si>
  <si>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</si>
  <si>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</si>
  <si>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</si>
  <si>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</si>
  <si>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</si>
  <si>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</si>
  <si>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</si>
  <si>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</si>
  <si>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</si>
  <si>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</si>
  <si>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</si>
  <si>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</si>
  <si>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</si>
  <si>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</si>
  <si>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</si>
  <si>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</si>
  <si>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</si>
  <si>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</si>
  <si>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</si>
  <si>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</si>
  <si>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</si>
  <si>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</si>
  <si>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</si>
  <si>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</si>
  <si>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</si>
  <si>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</si>
  <si>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</si>
  <si>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</si>
  <si>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</si>
  <si>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</si>
  <si>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</si>
  <si>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</si>
  <si>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</si>
  <si>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</si>
  <si>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</si>
  <si>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</si>
  <si>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</si>
  <si>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</si>
  <si>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</si>
  <si>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</si>
  <si>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</si>
  <si>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</si>
  <si>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</si>
  <si>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</si>
  <si>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</si>
  <si>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</si>
  <si>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</si>
  <si>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</si>
  <si>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</si>
  <si>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</si>
  <si>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</si>
  <si>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</si>
  <si>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</si>
  <si>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</si>
  <si>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</si>
  <si>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</si>
  <si>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</si>
  <si>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</si>
  <si>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</si>
  <si>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</si>
  <si>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</si>
  <si>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</si>
  <si>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</si>
  <si>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</si>
  <si>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</si>
  <si>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</si>
  <si>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</si>
  <si>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</si>
  <si>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</si>
  <si>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</si>
  <si>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</si>
  <si>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</si>
  <si>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</si>
  <si>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</si>
  <si>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</si>
  <si>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</si>
  <si>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</si>
  <si>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</si>
  <si>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</si>
  <si>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</si>
  <si>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</si>
  <si>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</si>
  <si>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</si>
  <si>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</si>
  <si>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</si>
  <si>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</si>
  <si>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</si>
  <si>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</si>
  <si>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</si>
  <si>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</si>
  <si>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</si>
  <si>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</si>
  <si>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</si>
  <si>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</si>
  <si>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</si>
  <si>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</si>
  <si>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</si>
  <si>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</si>
  <si>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</si>
  <si>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</si>
  <si>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</si>
  <si>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</si>
  <si>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</si>
  <si>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</si>
  <si>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</si>
  <si>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</si>
  <si>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</si>
  <si>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</si>
  <si>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</si>
  <si>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</si>
  <si>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</si>
  <si>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</si>
  <si>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</si>
  <si>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</si>
  <si>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</si>
  <si>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</si>
  <si>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</si>
  <si>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</si>
  <si>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</si>
  <si>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</si>
  <si>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</si>
  <si>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</si>
  <si>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</si>
  <si>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</si>
  <si>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</si>
  <si>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</si>
  <si>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</si>
  <si>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</si>
  <si>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</si>
  <si>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</si>
  <si>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</si>
  <si>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</si>
  <si>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</si>
  <si>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</si>
  <si>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</si>
  <si>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</si>
  <si>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</si>
  <si>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</si>
  <si>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</si>
  <si>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</si>
  <si>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</si>
  <si>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</si>
  <si>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</si>
  <si>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</si>
  <si>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</si>
  <si>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</si>
  <si>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</si>
  <si>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</si>
  <si>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</si>
  <si>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</si>
  <si>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</si>
  <si>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</si>
  <si>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</si>
  <si>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</si>
  <si>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</si>
  <si>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</si>
  <si>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</si>
  <si>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</si>
  <si>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</si>
  <si>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</si>
  <si>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</si>
  <si>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</si>
  <si>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</si>
  <si>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</si>
  <si>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</si>
  <si>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</si>
  <si>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</si>
  <si>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</si>
  <si>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</si>
  <si>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</si>
  <si>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</si>
  <si>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</si>
  <si>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</si>
  <si>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</si>
  <si>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</si>
  <si>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</si>
  <si>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</si>
  <si>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</si>
  <si>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</si>
  <si>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</si>
  <si>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</si>
  <si>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</si>
  <si>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</si>
  <si>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</si>
  <si>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</si>
  <si>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</si>
  <si>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</si>
  <si>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</si>
  <si>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</si>
  <si>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</si>
  <si>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</si>
  <si>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</si>
  <si>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</si>
  <si>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</si>
  <si>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</si>
  <si>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</si>
  <si>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</si>
  <si>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</si>
  <si>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</si>
  <si>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</si>
  <si>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</si>
  <si>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</si>
  <si>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</si>
  <si>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</si>
  <si>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</si>
  <si>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</si>
  <si>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</si>
  <si>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</si>
  <si>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</si>
  <si>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</si>
  <si>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</si>
  <si>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</si>
  <si>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</si>
  <si>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</si>
  <si>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</si>
  <si>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</si>
  <si>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</si>
  <si>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</si>
  <si>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</si>
  <si>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</si>
  <si>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</si>
  <si>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</si>
  <si>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</si>
  <si>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</si>
  <si>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https://fntlive201/Fountain/rest-services_XLSPF</t>
  </si>
  <si>
    <t>agendaId</t>
  </si>
  <si>
    <t>1_XLSPF</t>
  </si>
  <si>
    <t>inputSheetLastUpdated</t>
  </si>
  <si>
    <t>PL14L012IN_BY</t>
  </si>
  <si>
    <t>SSC_SST Inputs as at FD</t>
  </si>
  <si>
    <t>companyId</t>
  </si>
  <si>
    <t>55_XLSPF</t>
  </si>
  <si>
    <t>companyName</t>
  </si>
  <si>
    <t>South Staffordshire Water Plc_XLSPF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</si>
  <si>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</si>
  <si>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</si>
  <si>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</si>
  <si>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</si>
  <si>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</si>
  <si>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</si>
  <si>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</si>
  <si>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</si>
  <si>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</si>
  <si>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</si>
  <si>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</si>
  <si>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</si>
  <si>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</si>
  <si>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</si>
  <si>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</si>
  <si>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</si>
  <si>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</si>
  <si>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</si>
  <si>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</si>
  <si>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</si>
  <si>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</si>
  <si>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</si>
  <si>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</si>
  <si>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</si>
  <si>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</si>
  <si>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</si>
  <si>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</si>
  <si>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</si>
  <si>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</si>
  <si>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</si>
  <si>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</si>
  <si>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</si>
  <si>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SST</t>
  </si>
  <si>
    <t>27/09/2016 15:05:27_XLSPF</t>
  </si>
  <si>
    <t>9365_XLSPF</t>
  </si>
  <si>
    <t>OFWAT\Dawn.Harrison_XLSPF</t>
  </si>
  <si>
    <t>PL14L012_BY_XLSPF</t>
  </si>
  <si>
    <t>PL14L012_BY</t>
  </si>
  <si>
    <t>27/09/2016 15:06:25_XLSPF</t>
  </si>
  <si>
    <t>SSC_SST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</si>
</sst>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4">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166" fontId="40" fillId="28" borderId="0" xfId="25" applyNumberFormat="1" applyFont="1" applyFill="1" applyBorder="1" applyAlignment="1" applyProtection="1">
      <alignment horizontal="right"/>
    </xf>
    <xf numFmtId="166" fontId="40" fillId="28" borderId="32" xfId="25" applyNumberFormat="1" applyFont="1" applyFill="1" applyBorder="1" applyAlignment="1" applyProtection="1">
      <alignment horizontal="right"/>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2" t="s">
        <v>488</v>
      </c>
      <c r="F6" s="733"/>
      <c r="G6" s="733"/>
      <c r="H6" s="733"/>
      <c r="I6" s="733"/>
      <c r="J6" s="733"/>
      <c r="K6" s="733"/>
      <c r="L6" s="733"/>
      <c r="M6" s="733"/>
      <c r="N6" s="734"/>
      <c r="O6" s="535" t="s">
        <v>489</v>
      </c>
    </row>
    <row r="7" spans="1:15" s="531" customFormat="1" ht="12.75" customHeight="1">
      <c r="B7" s="533"/>
      <c r="C7" s="536"/>
      <c r="D7" s="667"/>
      <c r="E7" s="545"/>
      <c r="F7" s="546" t="s">
        <v>410</v>
      </c>
      <c r="G7" s="546" t="s">
        <v>414</v>
      </c>
      <c r="H7" s="728" t="s">
        <v>491</v>
      </c>
      <c r="I7" s="728"/>
      <c r="J7" s="728"/>
      <c r="K7" s="728"/>
      <c r="L7" s="728"/>
      <c r="M7" s="728"/>
      <c r="N7" s="729"/>
      <c r="O7" s="546"/>
    </row>
    <row r="8" spans="1:15" s="531" customFormat="1" ht="45" customHeight="1">
      <c r="B8" s="533"/>
      <c r="C8" s="706" t="s">
        <v>613</v>
      </c>
      <c r="D8" s="708" t="s">
        <v>620</v>
      </c>
      <c r="E8" s="710" t="s">
        <v>616</v>
      </c>
      <c r="F8" s="546" t="s">
        <v>88</v>
      </c>
      <c r="G8" s="546">
        <v>156</v>
      </c>
      <c r="H8" s="728" t="s">
        <v>617</v>
      </c>
      <c r="I8" s="728"/>
      <c r="J8" s="728"/>
      <c r="K8" s="728"/>
      <c r="L8" s="728"/>
      <c r="M8" s="728"/>
      <c r="N8" s="729"/>
      <c r="O8" s="546">
        <v>3.3</v>
      </c>
    </row>
    <row r="9" spans="1:15" s="531" customFormat="1" ht="45" customHeight="1">
      <c r="B9" s="533"/>
      <c r="C9" s="707"/>
      <c r="D9" s="709"/>
      <c r="E9" s="711"/>
      <c r="F9" s="546" t="s">
        <v>614</v>
      </c>
      <c r="G9" s="546" t="s">
        <v>615</v>
      </c>
      <c r="H9" s="728" t="s">
        <v>618</v>
      </c>
      <c r="I9" s="728"/>
      <c r="J9" s="728"/>
      <c r="K9" s="728"/>
      <c r="L9" s="728"/>
      <c r="M9" s="728"/>
      <c r="N9" s="729"/>
      <c r="O9" s="546">
        <v>3.3</v>
      </c>
    </row>
    <row r="10" spans="1:15" s="531" customFormat="1" ht="26.4" customHeight="1">
      <c r="B10" s="533"/>
      <c r="C10" s="674" t="s">
        <v>622</v>
      </c>
      <c r="D10" s="683" t="s">
        <v>619</v>
      </c>
      <c r="E10" s="546" t="s">
        <v>623</v>
      </c>
      <c r="F10" s="546" t="s">
        <v>624</v>
      </c>
      <c r="G10" s="546" t="s">
        <v>698</v>
      </c>
      <c r="H10" s="727" t="s">
        <v>699</v>
      </c>
      <c r="I10" s="728"/>
      <c r="J10" s="728"/>
      <c r="K10" s="728"/>
      <c r="L10" s="728"/>
      <c r="M10" s="728"/>
      <c r="N10" s="729"/>
      <c r="O10" s="546">
        <v>3.4</v>
      </c>
    </row>
    <row r="11" spans="1:15" s="531" customFormat="1" ht="26.4" customHeight="1">
      <c r="B11" s="533"/>
      <c r="C11" s="674" t="s">
        <v>749</v>
      </c>
      <c r="D11" s="683" t="s">
        <v>620</v>
      </c>
      <c r="E11" s="546" t="s">
        <v>748</v>
      </c>
      <c r="F11" s="546" t="s">
        <v>745</v>
      </c>
      <c r="G11" s="546" t="s">
        <v>698</v>
      </c>
      <c r="H11" s="727" t="s">
        <v>750</v>
      </c>
      <c r="I11" s="728"/>
      <c r="J11" s="728"/>
      <c r="K11" s="728"/>
      <c r="L11" s="728"/>
      <c r="M11" s="728"/>
      <c r="N11" s="729"/>
      <c r="O11" s="546">
        <v>3.5</v>
      </c>
    </row>
    <row r="12" spans="1:15" s="531" customFormat="1" ht="40.049999999999997" customHeight="1">
      <c r="B12" s="533"/>
      <c r="C12" s="674" t="s">
        <v>749</v>
      </c>
      <c r="D12" s="683" t="s">
        <v>620</v>
      </c>
      <c r="E12" s="546" t="s">
        <v>756</v>
      </c>
      <c r="F12" s="546" t="s">
        <v>757</v>
      </c>
      <c r="G12" s="546"/>
      <c r="H12" s="727" t="s">
        <v>764</v>
      </c>
      <c r="I12" s="728"/>
      <c r="J12" s="728"/>
      <c r="K12" s="728"/>
      <c r="L12" s="728"/>
      <c r="M12" s="728"/>
      <c r="N12" s="729"/>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4" t="s">
        <v>693</v>
      </c>
      <c r="F17" s="730"/>
      <c r="G17" s="730"/>
      <c r="H17" s="730"/>
      <c r="I17" s="730"/>
      <c r="J17" s="730"/>
      <c r="K17" s="730"/>
      <c r="L17" s="730"/>
      <c r="M17" s="730"/>
      <c r="N17" s="731"/>
    </row>
    <row r="18" spans="1:14" s="531" customFormat="1">
      <c r="B18" s="537"/>
      <c r="C18" s="674" t="s">
        <v>622</v>
      </c>
      <c r="D18" s="668" t="s">
        <v>694</v>
      </c>
      <c r="E18" s="724" t="s">
        <v>695</v>
      </c>
      <c r="F18" s="725"/>
      <c r="G18" s="725"/>
      <c r="H18" s="725"/>
      <c r="I18" s="725"/>
      <c r="J18" s="725"/>
      <c r="K18" s="725"/>
      <c r="L18" s="725"/>
      <c r="M18" s="725"/>
      <c r="N18" s="726"/>
    </row>
    <row r="19" spans="1:14" s="531" customFormat="1">
      <c r="B19" s="537"/>
      <c r="C19" s="674" t="s">
        <v>752</v>
      </c>
      <c r="D19" s="668" t="s">
        <v>751</v>
      </c>
      <c r="E19" s="724" t="s">
        <v>693</v>
      </c>
      <c r="F19" s="730"/>
      <c r="G19" s="730"/>
      <c r="H19" s="730"/>
      <c r="I19" s="730"/>
      <c r="J19" s="730"/>
      <c r="K19" s="730"/>
      <c r="L19" s="730"/>
      <c r="M19" s="730"/>
      <c r="N19" s="731"/>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8" t="s">
        <v>288</v>
      </c>
      <c r="C45" s="719"/>
      <c r="D45" s="720"/>
      <c r="E45" s="751" t="s">
        <v>258</v>
      </c>
      <c r="F45" s="751"/>
      <c r="G45" s="753" t="s">
        <v>289</v>
      </c>
      <c r="H45" s="753"/>
      <c r="I45" s="751" t="s">
        <v>271</v>
      </c>
      <c r="J45" s="751"/>
      <c r="K45" s="751"/>
      <c r="L45" s="751"/>
      <c r="M45" s="751"/>
    </row>
    <row r="46" spans="1:13" s="284" customFormat="1" ht="15" customHeight="1">
      <c r="A46" s="283"/>
      <c r="B46" s="721" t="s">
        <v>278</v>
      </c>
      <c r="C46" s="722"/>
      <c r="D46" s="723"/>
      <c r="E46" s="755"/>
      <c r="F46" s="756"/>
      <c r="G46" s="755"/>
      <c r="H46" s="756"/>
      <c r="I46" s="752"/>
      <c r="J46" s="752"/>
      <c r="K46" s="752"/>
      <c r="L46" s="752"/>
      <c r="M46" s="752"/>
    </row>
    <row r="47" spans="1:13" s="282" customFormat="1" ht="59.25" customHeight="1">
      <c r="A47" s="285"/>
      <c r="B47" s="712" t="s">
        <v>112</v>
      </c>
      <c r="C47" s="713"/>
      <c r="D47" s="714"/>
      <c r="E47" s="712" t="s">
        <v>264</v>
      </c>
      <c r="F47" s="714"/>
      <c r="G47" s="741" t="s">
        <v>283</v>
      </c>
      <c r="H47" s="743"/>
      <c r="I47" s="712" t="s">
        <v>362</v>
      </c>
      <c r="J47" s="713"/>
      <c r="K47" s="713"/>
      <c r="L47" s="713"/>
      <c r="M47" s="714"/>
    </row>
    <row r="48" spans="1:13" s="282" customFormat="1" ht="77.25" customHeight="1">
      <c r="A48" s="285"/>
      <c r="B48" s="715"/>
      <c r="C48" s="716"/>
      <c r="D48" s="717"/>
      <c r="E48" s="715"/>
      <c r="F48" s="717"/>
      <c r="G48" s="744"/>
      <c r="H48" s="746"/>
      <c r="I48" s="715" t="s">
        <v>295</v>
      </c>
      <c r="J48" s="716"/>
      <c r="K48" s="716"/>
      <c r="L48" s="716"/>
      <c r="M48" s="717"/>
    </row>
    <row r="49" spans="1:13" s="282" customFormat="1" ht="50.25" customHeight="1">
      <c r="A49" s="285"/>
      <c r="B49" s="754" t="s">
        <v>162</v>
      </c>
      <c r="C49" s="738"/>
      <c r="D49" s="739"/>
      <c r="E49" s="740" t="s">
        <v>259</v>
      </c>
      <c r="F49" s="740"/>
      <c r="G49" s="740" t="s">
        <v>260</v>
      </c>
      <c r="H49" s="740"/>
      <c r="I49" s="712" t="s">
        <v>362</v>
      </c>
      <c r="J49" s="713"/>
      <c r="K49" s="713"/>
      <c r="L49" s="713"/>
      <c r="M49" s="714"/>
    </row>
    <row r="50" spans="1:13" s="282" customFormat="1" ht="76.5" customHeight="1">
      <c r="A50" s="285"/>
      <c r="B50" s="754" t="s">
        <v>263</v>
      </c>
      <c r="C50" s="738"/>
      <c r="D50" s="739"/>
      <c r="E50" s="740" t="s">
        <v>259</v>
      </c>
      <c r="F50" s="740"/>
      <c r="G50" s="740" t="s">
        <v>261</v>
      </c>
      <c r="H50" s="740"/>
      <c r="I50" s="754" t="s">
        <v>363</v>
      </c>
      <c r="J50" s="738"/>
      <c r="K50" s="738"/>
      <c r="L50" s="738"/>
      <c r="M50" s="739"/>
    </row>
    <row r="51" spans="1:13" s="282" customFormat="1" ht="29.25" customHeight="1">
      <c r="A51" s="285"/>
      <c r="B51" s="754" t="s">
        <v>194</v>
      </c>
      <c r="C51" s="738"/>
      <c r="D51" s="739"/>
      <c r="E51" s="740" t="s">
        <v>259</v>
      </c>
      <c r="F51" s="740"/>
      <c r="G51" s="740" t="s">
        <v>262</v>
      </c>
      <c r="H51" s="740"/>
      <c r="I51" s="748"/>
      <c r="J51" s="749"/>
      <c r="K51" s="749"/>
      <c r="L51" s="749"/>
      <c r="M51" s="750"/>
    </row>
    <row r="52" spans="1:13" s="282" customFormat="1" ht="16.5" customHeight="1">
      <c r="B52" s="712" t="s">
        <v>195</v>
      </c>
      <c r="C52" s="713"/>
      <c r="D52" s="714"/>
      <c r="E52" s="712" t="s">
        <v>259</v>
      </c>
      <c r="F52" s="714"/>
      <c r="G52" s="712" t="s">
        <v>265</v>
      </c>
      <c r="H52" s="714"/>
      <c r="I52" s="712" t="s">
        <v>507</v>
      </c>
      <c r="J52" s="713"/>
      <c r="K52" s="713"/>
      <c r="L52" s="713"/>
      <c r="M52" s="714"/>
    </row>
    <row r="53" spans="1:13" s="282" customFormat="1" ht="13.5" customHeight="1">
      <c r="B53" s="764"/>
      <c r="C53" s="762"/>
      <c r="D53" s="765"/>
      <c r="E53" s="764"/>
      <c r="F53" s="765"/>
      <c r="G53" s="764"/>
      <c r="H53" s="765"/>
      <c r="I53" s="761" t="s">
        <v>509</v>
      </c>
      <c r="J53" s="762"/>
      <c r="K53" s="762"/>
      <c r="L53" s="762"/>
      <c r="M53" s="763"/>
    </row>
    <row r="54" spans="1:13" s="282" customFormat="1" ht="11.4" customHeight="1">
      <c r="B54" s="764"/>
      <c r="C54" s="762"/>
      <c r="D54" s="765"/>
      <c r="E54" s="764"/>
      <c r="F54" s="765"/>
      <c r="G54" s="764"/>
      <c r="H54" s="765"/>
      <c r="I54" s="761" t="s">
        <v>508</v>
      </c>
      <c r="J54" s="762"/>
      <c r="K54" s="762"/>
      <c r="L54" s="762"/>
      <c r="M54" s="763"/>
    </row>
    <row r="55" spans="1:13" s="282" customFormat="1" ht="11.4">
      <c r="B55" s="764"/>
      <c r="C55" s="762"/>
      <c r="D55" s="763"/>
      <c r="E55" s="764"/>
      <c r="F55" s="763"/>
      <c r="G55" s="764"/>
      <c r="H55" s="763"/>
      <c r="I55" s="761" t="s">
        <v>510</v>
      </c>
      <c r="J55" s="762"/>
      <c r="K55" s="762"/>
      <c r="L55" s="762"/>
      <c r="M55" s="765"/>
    </row>
    <row r="56" spans="1:13" s="282" customFormat="1" ht="11.4">
      <c r="B56" s="715"/>
      <c r="C56" s="716"/>
      <c r="D56" s="717"/>
      <c r="E56" s="715"/>
      <c r="F56" s="717"/>
      <c r="G56" s="715"/>
      <c r="H56" s="717"/>
      <c r="I56" s="744" t="s">
        <v>360</v>
      </c>
      <c r="J56" s="716"/>
      <c r="K56" s="716"/>
      <c r="L56" s="716"/>
      <c r="M56" s="717"/>
    </row>
    <row r="57" spans="1:13" s="282" customFormat="1" ht="15" customHeight="1">
      <c r="A57" s="285"/>
      <c r="B57" s="721" t="s">
        <v>280</v>
      </c>
      <c r="C57" s="722"/>
      <c r="D57" s="723"/>
      <c r="E57" s="736"/>
      <c r="F57" s="736"/>
      <c r="G57" s="736"/>
      <c r="H57" s="736"/>
      <c r="I57" s="769"/>
      <c r="J57" s="770"/>
      <c r="K57" s="770"/>
      <c r="L57" s="770"/>
      <c r="M57" s="771"/>
    </row>
    <row r="58" spans="1:13" s="282" customFormat="1" ht="56.25" customHeight="1">
      <c r="A58" s="285"/>
      <c r="B58" s="754" t="s">
        <v>279</v>
      </c>
      <c r="C58" s="738"/>
      <c r="D58" s="739"/>
      <c r="E58" s="740" t="s">
        <v>266</v>
      </c>
      <c r="F58" s="740"/>
      <c r="G58" s="740" t="s">
        <v>272</v>
      </c>
      <c r="H58" s="740"/>
      <c r="I58" s="754" t="s">
        <v>506</v>
      </c>
      <c r="J58" s="738"/>
      <c r="K58" s="738"/>
      <c r="L58" s="738"/>
      <c r="M58" s="739"/>
    </row>
    <row r="59" spans="1:13" s="282" customFormat="1" ht="27" customHeight="1">
      <c r="A59" s="285"/>
      <c r="B59" s="721" t="s">
        <v>287</v>
      </c>
      <c r="C59" s="722"/>
      <c r="D59" s="723"/>
      <c r="E59" s="735"/>
      <c r="F59" s="735"/>
      <c r="G59" s="735"/>
      <c r="H59" s="735"/>
      <c r="I59" s="736"/>
      <c r="J59" s="736"/>
      <c r="K59" s="736"/>
      <c r="L59" s="736"/>
      <c r="M59" s="736"/>
    </row>
    <row r="60" spans="1:13" s="282" customFormat="1" ht="37.5" customHeight="1">
      <c r="A60" s="285"/>
      <c r="B60" s="741" t="s">
        <v>291</v>
      </c>
      <c r="C60" s="742"/>
      <c r="D60" s="743"/>
      <c r="E60" s="712" t="s">
        <v>276</v>
      </c>
      <c r="F60" s="714"/>
      <c r="G60" s="712" t="s">
        <v>281</v>
      </c>
      <c r="H60" s="714"/>
      <c r="I60" s="772" t="s">
        <v>290</v>
      </c>
      <c r="J60" s="773"/>
      <c r="K60" s="773"/>
      <c r="L60" s="773"/>
      <c r="M60" s="774"/>
    </row>
    <row r="61" spans="1:13" s="282" customFormat="1" ht="61.5" customHeight="1">
      <c r="A61" s="285"/>
      <c r="B61" s="744"/>
      <c r="C61" s="745"/>
      <c r="D61" s="746"/>
      <c r="E61" s="715"/>
      <c r="F61" s="717"/>
      <c r="G61" s="715"/>
      <c r="H61" s="717"/>
      <c r="I61" s="766" t="s">
        <v>369</v>
      </c>
      <c r="J61" s="767"/>
      <c r="K61" s="767"/>
      <c r="L61" s="767"/>
      <c r="M61" s="768"/>
    </row>
    <row r="62" spans="1:13" s="282" customFormat="1" ht="57.75" customHeight="1">
      <c r="A62" s="285"/>
      <c r="B62" s="737" t="s">
        <v>292</v>
      </c>
      <c r="C62" s="738"/>
      <c r="D62" s="739"/>
      <c r="E62" s="740" t="s">
        <v>755</v>
      </c>
      <c r="F62" s="740"/>
      <c r="G62" s="740" t="s">
        <v>282</v>
      </c>
      <c r="H62" s="740"/>
      <c r="I62" s="775" t="s">
        <v>293</v>
      </c>
      <c r="J62" s="776"/>
      <c r="K62" s="776"/>
      <c r="L62" s="776"/>
      <c r="M62" s="777"/>
    </row>
    <row r="63" spans="1:13" s="282" customFormat="1" ht="29.25" customHeight="1">
      <c r="A63" s="285"/>
      <c r="B63" s="737" t="s">
        <v>273</v>
      </c>
      <c r="C63" s="738"/>
      <c r="D63" s="739"/>
      <c r="E63" s="740" t="s">
        <v>755</v>
      </c>
      <c r="F63" s="740"/>
      <c r="G63" s="740" t="s">
        <v>282</v>
      </c>
      <c r="H63" s="740"/>
      <c r="I63" s="747"/>
      <c r="J63" s="747"/>
      <c r="K63" s="747"/>
      <c r="L63" s="747"/>
      <c r="M63" s="747"/>
    </row>
    <row r="64" spans="1:13" s="282" customFormat="1" ht="15" customHeight="1">
      <c r="A64" s="285"/>
      <c r="B64" s="721" t="s">
        <v>286</v>
      </c>
      <c r="C64" s="722"/>
      <c r="D64" s="723"/>
      <c r="E64" s="735"/>
      <c r="F64" s="735"/>
      <c r="G64" s="735"/>
      <c r="H64" s="735"/>
      <c r="I64" s="736"/>
      <c r="J64" s="736"/>
      <c r="K64" s="736"/>
      <c r="L64" s="736"/>
      <c r="M64" s="736"/>
    </row>
    <row r="65" spans="1:13" s="282" customFormat="1" ht="50.25" customHeight="1">
      <c r="A65" s="285"/>
      <c r="B65" s="712" t="s">
        <v>171</v>
      </c>
      <c r="C65" s="713"/>
      <c r="D65" s="714"/>
      <c r="E65" s="757" t="s">
        <v>294</v>
      </c>
      <c r="F65" s="758"/>
      <c r="G65" s="712"/>
      <c r="H65" s="714"/>
      <c r="I65" s="712" t="s">
        <v>298</v>
      </c>
      <c r="J65" s="713"/>
      <c r="K65" s="713"/>
      <c r="L65" s="713"/>
      <c r="M65" s="714"/>
    </row>
    <row r="66" spans="1:13" s="282" customFormat="1" ht="42" customHeight="1">
      <c r="A66" s="285"/>
      <c r="B66" s="715"/>
      <c r="C66" s="716"/>
      <c r="D66" s="717"/>
      <c r="E66" s="759" t="s">
        <v>754</v>
      </c>
      <c r="F66" s="760"/>
      <c r="G66" s="715"/>
      <c r="H66" s="717"/>
      <c r="I66" s="715"/>
      <c r="J66" s="716"/>
      <c r="K66" s="716"/>
      <c r="L66" s="716"/>
      <c r="M66" s="717"/>
    </row>
    <row r="67" spans="1:13" s="282" customFormat="1" ht="68.25" customHeight="1">
      <c r="A67" s="285"/>
      <c r="B67" s="712" t="s">
        <v>172</v>
      </c>
      <c r="C67" s="713"/>
      <c r="D67" s="714"/>
      <c r="E67" s="712" t="s">
        <v>259</v>
      </c>
      <c r="F67" s="714"/>
      <c r="G67" s="712" t="s">
        <v>296</v>
      </c>
      <c r="H67" s="714"/>
      <c r="I67" s="772" t="s">
        <v>370</v>
      </c>
      <c r="J67" s="773"/>
      <c r="K67" s="773"/>
      <c r="L67" s="773"/>
      <c r="M67" s="774"/>
    </row>
    <row r="68" spans="1:13" s="282" customFormat="1" ht="55.5" customHeight="1">
      <c r="A68" s="285"/>
      <c r="B68" s="715"/>
      <c r="C68" s="716"/>
      <c r="D68" s="717"/>
      <c r="E68" s="715" t="s">
        <v>582</v>
      </c>
      <c r="F68" s="717"/>
      <c r="G68" s="715"/>
      <c r="H68" s="717"/>
      <c r="I68" s="766" t="s">
        <v>372</v>
      </c>
      <c r="J68" s="767"/>
      <c r="K68" s="767"/>
      <c r="L68" s="767"/>
      <c r="M68" s="768"/>
    </row>
    <row r="69" spans="1:13" s="282" customFormat="1" ht="15" customHeight="1">
      <c r="A69" s="285"/>
      <c r="B69" s="721" t="s">
        <v>285</v>
      </c>
      <c r="C69" s="722"/>
      <c r="D69" s="723"/>
      <c r="E69" s="735"/>
      <c r="F69" s="735"/>
      <c r="G69" s="735"/>
      <c r="H69" s="735"/>
      <c r="I69" s="736"/>
      <c r="J69" s="736"/>
      <c r="K69" s="736"/>
      <c r="L69" s="736"/>
      <c r="M69" s="736"/>
    </row>
    <row r="70" spans="1:13" s="282" customFormat="1" ht="39" customHeight="1">
      <c r="A70" s="285"/>
      <c r="B70" s="740" t="s">
        <v>269</v>
      </c>
      <c r="C70" s="740"/>
      <c r="D70" s="740"/>
      <c r="E70" s="740" t="s">
        <v>264</v>
      </c>
      <c r="F70" s="740"/>
      <c r="G70" s="778" t="s">
        <v>284</v>
      </c>
      <c r="H70" s="740"/>
      <c r="I70" s="747"/>
      <c r="J70" s="747"/>
      <c r="K70" s="747"/>
      <c r="L70" s="747"/>
      <c r="M70" s="747"/>
    </row>
    <row r="71" spans="1:13" s="282" customFormat="1" ht="30.75" customHeight="1">
      <c r="A71" s="285"/>
      <c r="B71" s="740" t="s">
        <v>174</v>
      </c>
      <c r="C71" s="740"/>
      <c r="D71" s="740"/>
      <c r="E71" s="740" t="s">
        <v>580</v>
      </c>
      <c r="F71" s="740"/>
      <c r="G71" s="740" t="s">
        <v>88</v>
      </c>
      <c r="H71" s="740"/>
      <c r="I71" s="747"/>
      <c r="J71" s="747"/>
      <c r="K71" s="747"/>
      <c r="L71" s="747"/>
      <c r="M71" s="747"/>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-2.4652393422426764</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-2.4652393422426764</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-2.4652393422426764</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-2.4652393422426764</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-2.4652393422426764</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-0.52852497321934222</v>
      </c>
      <c r="S47" s="616">
        <f t="shared" si="8"/>
        <v>-0.52852497321934222</v>
      </c>
      <c r="T47" s="616">
        <f t="shared" si="8"/>
        <v>-0.52852497321934222</v>
      </c>
      <c r="U47" s="616">
        <f t="shared" si="8"/>
        <v>-0.52852497321934222</v>
      </c>
      <c r="V47" s="623">
        <f t="shared" si="8"/>
        <v>-0.52852497321934222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-0.52852497321934222</v>
      </c>
      <c r="S52" s="616">
        <f t="shared" ref="S52" si="9">S47*S51</f>
        <v>-0.51015924055921058</v>
      </c>
      <c r="T52" s="616">
        <f t="shared" ref="T52" si="10">T47*T51</f>
        <v>-0.49243169938147741</v>
      </c>
      <c r="U52" s="616">
        <f t="shared" ref="U52" si="11">U47*U51</f>
        <v>-0.47532017314814423</v>
      </c>
      <c r="V52" s="621">
        <f t="shared" ref="V52" si="12">V47*V51</f>
        <v>-0.45880325593450211</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-2.4652393422426768</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-2.4652393422426764</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7">IF(S$62+1&lt;=$P$61,$P59/$P$61,0)</f>
        <v>0</v>
      </c>
      <c r="T64" s="616">
        <f t="shared" si="17"/>
        <v>0</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 si="19">S64*S68</f>
        <v>0</v>
      </c>
      <c r="T69" s="616">
        <f t="shared" ref="T69" si="20">T64*T68</f>
        <v>0</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-2.4652393422426764</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2" si="26">IF(S$62+1&lt;=$P$78,$P76/$P$78,0) * (1+$P$79)^S$80</f>
        <v>0</v>
      </c>
      <c r="T82" s="616">
        <f t="shared" si="26"/>
        <v>0</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 si="28">S82*S86</f>
        <v>0</v>
      </c>
      <c r="T87" s="616">
        <f t="shared" ref="T87" si="29">T82*T86</f>
        <v>0</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-5.1711304941771986E-2</v>
      </c>
      <c r="S94" s="616">
        <f>Calc!K196</f>
        <v>-0.40124008053168014</v>
      </c>
      <c r="T94" s="616">
        <f>Calc!L196</f>
        <v>-0.61703100709558512</v>
      </c>
      <c r="U94" s="616">
        <f>Calc!M196</f>
        <v>-0.62669106405217623</v>
      </c>
      <c r="V94" s="623">
        <f>Calc!N196</f>
        <v>-0.768565885621463</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-5.1711304941771986E-2</v>
      </c>
      <c r="S99" s="616">
        <f t="shared" ref="S99" si="33">S94*S98</f>
        <v>-0.38729737503057926</v>
      </c>
      <c r="T99" s="616">
        <f t="shared" ref="T99" si="34">T94*T98</f>
        <v>-0.57489360539458367</v>
      </c>
      <c r="U99" s="616">
        <f t="shared" ref="U99" si="35">U94*U98</f>
        <v>-0.56360421960998419</v>
      </c>
      <c r="V99" s="621">
        <f t="shared" ref="V99" si="36">V94*V98</f>
        <v>-0.66717856031558032</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-2.2446850652924994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-5.1711304941771986E-2</v>
      </c>
      <c r="S106" s="616">
        <f>Calc!K196</f>
        <v>-0.40124008053168014</v>
      </c>
      <c r="T106" s="616">
        <f>Calc!L196</f>
        <v>-0.61703100709558512</v>
      </c>
      <c r="U106" s="616">
        <f>Calc!M196</f>
        <v>-0.62669106405217623</v>
      </c>
      <c r="V106" s="623">
        <f>Calc!N196</f>
        <v>-0.768565885621463</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-5.1711304941771986E-2</v>
      </c>
      <c r="S111" s="616">
        <f t="shared" ref="S111" si="38">S106*S110</f>
        <v>-0.38729737503057926</v>
      </c>
      <c r="T111" s="616">
        <f t="shared" ref="T111" si="39">T106*T110</f>
        <v>-0.57489360539458367</v>
      </c>
      <c r="U111" s="616">
        <f t="shared" ref="U111" si="40">U106*U110</f>
        <v>-0.56360421960998419</v>
      </c>
      <c r="V111" s="621">
        <f t="shared" ref="V111" si="41">V106*V110</f>
        <v>-0.66717856031558032</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-2.2446850652924994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-2.2446850652924994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-2.4652393422426764</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1.0982562232717654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-5.6792262465805078E-2</v>
      </c>
      <c r="S123" s="616">
        <f t="shared" si="43"/>
        <v>-0.44066441546998203</v>
      </c>
      <c r="T123" s="616">
        <f t="shared" si="43"/>
        <v>-0.67765814349437115</v>
      </c>
      <c r="U123" s="616">
        <f t="shared" si="43"/>
        <v>-0.68826736116410714</v>
      </c>
      <c r="V123" s="621">
        <f t="shared" si="43"/>
        <v>-0.84408226687814758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-5.6792262465805078E-2</v>
      </c>
      <c r="S128" s="616">
        <f t="shared" ref="S128" si="44">S123*S127</f>
        <v>-0.42535175238415251</v>
      </c>
      <c r="T128" s="616">
        <f t="shared" ref="T128" si="45">T123*T127</f>
        <v>-0.63138047984374401</v>
      </c>
      <c r="U128" s="616">
        <f t="shared" ref="U128" si="46">U123*U127</f>
        <v>-0.61898184164889192</v>
      </c>
      <c r="V128" s="621">
        <f t="shared" ref="V128" si="47">V123*V127</f>
        <v>-0.73273300590008295</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-2.4652393422426764</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-2.4652393422426764</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-0.52852497321934222</v>
      </c>
      <c r="S138" s="616">
        <f>S47</f>
        <v>-0.52852497321934222</v>
      </c>
      <c r="T138" s="616">
        <f>T47</f>
        <v>-0.52852497321934222</v>
      </c>
      <c r="U138" s="616">
        <f>U47</f>
        <v>-0.52852497321934222</v>
      </c>
      <c r="V138" s="621">
        <f>V47</f>
        <v>-0.52852497321934222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-5.1711304941771986E-2</v>
      </c>
      <c r="S141" s="616">
        <f>S94</f>
        <v>-0.40124008053168014</v>
      </c>
      <c r="T141" s="616">
        <f>T94</f>
        <v>-0.61703100709558512</v>
      </c>
      <c r="U141" s="616">
        <f>U94</f>
        <v>-0.62669106405217623</v>
      </c>
      <c r="V141" s="621">
        <f>V94</f>
        <v>-0.768565885621463</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-5.6792262465805078E-2</v>
      </c>
      <c r="S142" s="616">
        <f t="shared" si="50"/>
        <v>-0.44066441546998203</v>
      </c>
      <c r="T142" s="616">
        <f t="shared" si="50"/>
        <v>-0.67765814349437115</v>
      </c>
      <c r="U142" s="616">
        <f t="shared" si="50"/>
        <v>-0.68826736116410714</v>
      </c>
      <c r="V142" s="621">
        <f t="shared" si="50"/>
        <v>-0.84408226687814758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-2.4652393422426764</v>
      </c>
      <c r="S143" s="630">
        <f t="shared" ref="S143:V143" si="51">CHOOSE($P$135+1,S137,S138,S139,S140,S141,S142)</f>
        <v>0</v>
      </c>
      <c r="T143" s="630">
        <f t="shared" si="51"/>
        <v>0</v>
      </c>
      <c r="U143" s="630">
        <f t="shared" si="51"/>
        <v>0</v>
      </c>
      <c r="V143" s="631">
        <f t="shared" si="51"/>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-2.4652393422426764</v>
      </c>
      <c r="S156" s="627">
        <f t="shared" ref="S156:V156" si="58">S143</f>
        <v>0</v>
      </c>
      <c r="T156" s="627">
        <f t="shared" si="58"/>
        <v>0</v>
      </c>
      <c r="U156" s="627">
        <f t="shared" si="58"/>
        <v>0</v>
      </c>
      <c r="V156" s="628">
        <f t="shared" si="58"/>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9.7199899999999992</v>
      </c>
      <c r="K16" s="121">
        <f>'Input FD'!K10</f>
        <v>9.4691895000000006</v>
      </c>
      <c r="L16" s="121">
        <f>'Input FD'!L10</f>
        <v>9.5575726999999997</v>
      </c>
      <c r="M16" s="121">
        <f>'Input FD'!M10</f>
        <v>9.5633368000000001</v>
      </c>
      <c r="N16" s="121">
        <f>'Input FD'!N10</f>
        <v>9.1205259999999999</v>
      </c>
      <c r="O16" s="113"/>
      <c r="P16" s="113"/>
      <c r="Q16" s="113"/>
      <c r="R16" s="113"/>
      <c r="S16" s="113"/>
      <c r="T16" s="115"/>
      <c r="U16" s="122">
        <f t="shared" ref="U16:U34" si="0">SUM(J16:N16)</f>
        <v>47.430615000000003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18.846630000000001</v>
      </c>
      <c r="K17" s="121">
        <f>'Input FD'!K11</f>
        <v>17.619257699999999</v>
      </c>
      <c r="L17" s="121">
        <f>'Input FD'!L11</f>
        <v>16.722150200000002</v>
      </c>
      <c r="M17" s="121">
        <f>'Input FD'!M11</f>
        <v>12.216910800000001</v>
      </c>
      <c r="N17" s="121">
        <f>'Input FD'!N11</f>
        <v>11.413902</v>
      </c>
      <c r="O17" s="113"/>
      <c r="P17" s="113"/>
      <c r="Q17" s="113"/>
      <c r="R17" s="113"/>
      <c r="S17" s="113"/>
      <c r="T17" s="115"/>
      <c r="U17" s="122">
        <f t="shared" si="0"/>
        <v>76.818850700000013</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1.8928799999999999</v>
      </c>
      <c r="K18" s="121">
        <f>'Input FD'!K12</f>
        <v>1.9435382999999999</v>
      </c>
      <c r="L18" s="121">
        <f>'Input FD'!L12</f>
        <v>2.5945822000000001</v>
      </c>
      <c r="M18" s="121">
        <f>'Input FD'!M12</f>
        <v>2.9010120000000001</v>
      </c>
      <c r="N18" s="121">
        <f>'Input FD'!N12</f>
        <v>3.209625</v>
      </c>
      <c r="O18" s="113"/>
      <c r="P18" s="113"/>
      <c r="Q18" s="113"/>
      <c r="R18" s="113"/>
      <c r="S18" s="113"/>
      <c r="T18" s="115"/>
      <c r="U18" s="122">
        <f t="shared" si="0"/>
        <v>12.5416375</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3.0957300000000001</v>
      </c>
      <c r="K19" s="121">
        <f>'Input FD'!K13</f>
        <v>3.1872851999999998</v>
      </c>
      <c r="L19" s="121">
        <f>'Input FD'!L13</f>
        <v>2.4306014999999999</v>
      </c>
      <c r="M19" s="121">
        <f>'Input FD'!M13</f>
        <v>2.4351210000000001</v>
      </c>
      <c r="N19" s="121">
        <f>'Input FD'!N13</f>
        <v>2.5505819999999999</v>
      </c>
      <c r="O19" s="113"/>
      <c r="P19" s="113"/>
      <c r="Q19" s="113"/>
      <c r="R19" s="113"/>
      <c r="S19" s="113"/>
      <c r="T19" s="115"/>
      <c r="U19" s="122">
        <f t="shared" si="0"/>
        <v>13.6993197</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-1.127</v>
      </c>
      <c r="K20" s="121">
        <f>-'Input FD'!K14</f>
        <v>-1.2230000000000001</v>
      </c>
      <c r="L20" s="121">
        <f>-'Input FD'!L14</f>
        <v>-1.6080000000000001</v>
      </c>
      <c r="M20" s="121">
        <f>-'Input FD'!M14</f>
        <v>-2.044</v>
      </c>
      <c r="N20" s="121">
        <f>-'Input FD'!N14</f>
        <v>-2.5249999999999999</v>
      </c>
      <c r="O20" s="113"/>
      <c r="P20" s="113"/>
      <c r="Q20" s="113"/>
      <c r="R20" s="113"/>
      <c r="S20" s="113"/>
      <c r="T20" s="115"/>
      <c r="U20" s="122">
        <f t="shared" si="0"/>
        <v>-8.527000000000001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32.428229999999999</v>
      </c>
      <c r="K24" s="121">
        <f>Calc!K55</f>
        <v>30.996270699999997</v>
      </c>
      <c r="L24" s="121">
        <f>Calc!L55</f>
        <v>29.696906600000002</v>
      </c>
      <c r="M24" s="121">
        <f>Calc!M55</f>
        <v>25.072380600000002</v>
      </c>
      <c r="N24" s="121">
        <f>Calc!N55</f>
        <v>23.769634999999997</v>
      </c>
      <c r="O24" s="113"/>
      <c r="P24" s="113"/>
      <c r="Q24" s="113"/>
      <c r="R24" s="113"/>
      <c r="S24" s="113"/>
      <c r="T24" s="115"/>
      <c r="U24" s="122">
        <f t="shared" si="0"/>
        <v>141.96342290000001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9.4478765250558201</v>
      </c>
      <c r="K37" s="121">
        <f>'Input FD'!K30</f>
        <v>9.3161871345773797</v>
      </c>
      <c r="L37" s="121">
        <f>'Input FD'!L30</f>
        <v>9.4627791419835692</v>
      </c>
      <c r="M37" s="121">
        <f>'Input FD'!M30</f>
        <v>9.5440467911519402</v>
      </c>
      <c r="N37" s="121">
        <f>'Input FD'!N30</f>
        <v>9.1661215126140103</v>
      </c>
      <c r="O37" s="113"/>
      <c r="P37" s="113"/>
      <c r="Q37" s="113"/>
      <c r="R37" s="113"/>
      <c r="S37" s="113"/>
      <c r="T37" s="115"/>
      <c r="U37" s="122">
        <f t="shared" ref="U37:U51" si="4">SUM(J37:N37)</f>
        <v>46.937011105382723</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17.119022823507201</v>
      </c>
      <c r="K38" s="121">
        <f>'Input FD'!K31</f>
        <v>15.977777194645499</v>
      </c>
      <c r="L38" s="121">
        <f>'Input FD'!L31</f>
        <v>14.9652579167622</v>
      </c>
      <c r="M38" s="121">
        <f>'Input FD'!M31</f>
        <v>10.8495178905568</v>
      </c>
      <c r="N38" s="121">
        <f>'Input FD'!N31</f>
        <v>10.477727437214</v>
      </c>
      <c r="O38" s="113"/>
      <c r="P38" s="113"/>
      <c r="Q38" s="113"/>
      <c r="R38" s="113"/>
      <c r="S38" s="113"/>
      <c r="T38" s="115"/>
      <c r="U38" s="122">
        <f t="shared" si="4"/>
        <v>69.389303262685701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1.2659124139942699</v>
      </c>
      <c r="K39" s="121">
        <f>'Input FD'!K32</f>
        <v>1.31985418066939</v>
      </c>
      <c r="L39" s="121">
        <f>'Input FD'!L32</f>
        <v>1.57951423336618</v>
      </c>
      <c r="M39" s="121">
        <f>'Input FD'!M32</f>
        <v>1.6763714141083299</v>
      </c>
      <c r="N39" s="121">
        <f>'Input FD'!N32</f>
        <v>1.6714490220846501</v>
      </c>
      <c r="O39" s="113"/>
      <c r="P39" s="113"/>
      <c r="Q39" s="113"/>
      <c r="R39" s="113"/>
      <c r="S39" s="113"/>
      <c r="T39" s="115"/>
      <c r="U39" s="122">
        <f t="shared" si="4"/>
        <v>7.5131012642228203</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2.2520946974483298</v>
      </c>
      <c r="K40" s="121">
        <f>'Input FD'!K33</f>
        <v>2.30459027730917</v>
      </c>
      <c r="L40" s="121">
        <f>'Input FD'!L33</f>
        <v>1.5513926284283699</v>
      </c>
      <c r="M40" s="121">
        <f>'Input FD'!M33</f>
        <v>1.47311469413213</v>
      </c>
      <c r="N40" s="121">
        <f>'Input FD'!N33</f>
        <v>1.4002452586169301</v>
      </c>
      <c r="O40" s="113"/>
      <c r="P40" s="113"/>
      <c r="Q40" s="113"/>
      <c r="R40" s="113"/>
      <c r="S40" s="113"/>
      <c r="T40" s="115"/>
      <c r="U40" s="122">
        <f t="shared" si="4"/>
        <v>8.9814375559349298</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30.08490646000562</v>
      </c>
      <c r="K43" s="121">
        <f>Calc!K56</f>
        <v>28.918408787201439</v>
      </c>
      <c r="L43" s="121">
        <f>Calc!L56</f>
        <v>27.558943920540319</v>
      </c>
      <c r="M43" s="121">
        <f>Calc!M56</f>
        <v>23.543050789949199</v>
      </c>
      <c r="N43" s="121">
        <f>Calc!N56</f>
        <v>22.715543230529594</v>
      </c>
      <c r="O43" s="113"/>
      <c r="P43" s="113"/>
      <c r="Q43" s="113"/>
      <c r="R43" s="113"/>
      <c r="S43" s="113"/>
      <c r="T43" s="115"/>
      <c r="U43" s="122">
        <f t="shared" si="4"/>
        <v>132.82085318822615</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9.6104599366307806</v>
      </c>
      <c r="K54" s="121">
        <f>Calc!K39</f>
        <v>9.476504374455935</v>
      </c>
      <c r="L54" s="121">
        <f>Calc!L39</f>
        <v>9.6256190046557766</v>
      </c>
      <c r="M54" s="121">
        <f>Calc!M39</f>
        <v>9.7082851449684195</v>
      </c>
      <c r="N54" s="121">
        <f>Calc!N39</f>
        <v>9.3238563541394299</v>
      </c>
      <c r="O54" s="113"/>
      <c r="P54" s="113"/>
      <c r="Q54" s="113"/>
      <c r="R54" s="113"/>
      <c r="S54" s="113"/>
      <c r="T54" s="115"/>
      <c r="U54" s="122">
        <f>SUM(J54:N54)</f>
        <v>47.744724814850343</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17.413614854435437</v>
      </c>
      <c r="K55" s="121">
        <f>Calc!K40</f>
        <v>16.252730145057253</v>
      </c>
      <c r="L55" s="121">
        <f>Calc!L40</f>
        <v>15.222786969005185</v>
      </c>
      <c r="M55" s="121">
        <f>Calc!M40</f>
        <v>11.036221392440243</v>
      </c>
      <c r="N55" s="121">
        <f>Calc!N40</f>
        <v>10.658032997704456</v>
      </c>
      <c r="O55" s="113"/>
      <c r="P55" s="113"/>
      <c r="Q55" s="113"/>
      <c r="R55" s="113"/>
      <c r="S55" s="113"/>
      <c r="T55" s="115"/>
      <c r="U55" s="122">
        <f>SUM(J55:N55)</f>
        <v>70.583386358642571</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1.2876968179792769</v>
      </c>
      <c r="K56" s="121">
        <f>Calc!K41</f>
        <v>1.3425668394245736</v>
      </c>
      <c r="L56" s="121">
        <f>Calc!L41</f>
        <v>1.6066952419251761</v>
      </c>
      <c r="M56" s="121">
        <f>Calc!M41</f>
        <v>1.7052191856525141</v>
      </c>
      <c r="N56" s="121">
        <f>Calc!N41</f>
        <v>1.7002120868393038</v>
      </c>
      <c r="O56" s="113"/>
      <c r="P56" s="113"/>
      <c r="Q56" s="113"/>
      <c r="R56" s="113"/>
      <c r="S56" s="113"/>
      <c r="T56" s="115"/>
      <c r="U56" s="122">
        <f>SUM(J56:N56)</f>
        <v>7.6423901718208445</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2.2908497804693648</v>
      </c>
      <c r="K57" s="121">
        <f>Calc!K42</f>
        <v>2.3442487284514697</v>
      </c>
      <c r="L57" s="121">
        <f>Calc!L42</f>
        <v>1.5780897074548803</v>
      </c>
      <c r="M57" s="121">
        <f>Calc!M42</f>
        <v>1.4984647304051526</v>
      </c>
      <c r="N57" s="121">
        <f>Calc!N42</f>
        <v>1.42434132407501</v>
      </c>
      <c r="O57" s="113"/>
      <c r="P57" s="113"/>
      <c r="Q57" s="113"/>
      <c r="R57" s="113"/>
      <c r="S57" s="113"/>
      <c r="T57" s="115"/>
      <c r="U57" s="122">
        <f>SUM(J57:N57)</f>
        <v>9.1359942708558766</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30.602621389514862</v>
      </c>
      <c r="K60" s="121">
        <f>Calc!K57</f>
        <v>29.41605008738923</v>
      </c>
      <c r="L60" s="121">
        <f>Calc!L57</f>
        <v>28.033190923041015</v>
      </c>
      <c r="M60" s="121">
        <f>Calc!M57</f>
        <v>23.948190453466328</v>
      </c>
      <c r="N60" s="121">
        <f>Calc!N57</f>
        <v>23.106442762758199</v>
      </c>
      <c r="O60" s="113"/>
      <c r="P60" s="113"/>
      <c r="Q60" s="113"/>
      <c r="R60" s="113"/>
      <c r="S60" s="113"/>
      <c r="T60" s="115"/>
      <c r="U60" s="122">
        <f>SUM(J60:N60)</f>
        <v>135.10649561616964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106.88338426709059</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-0.17313263285587699</v>
      </c>
      <c r="K73" s="121">
        <f>Calc!K127</f>
        <v>-0.166419671538171</v>
      </c>
      <c r="L73" s="121">
        <f>Calc!L127</f>
        <v>-0.158596222528848</v>
      </c>
      <c r="M73" s="121">
        <f>Calc!M127</f>
        <v>-0.135485558984277</v>
      </c>
      <c r="N73" s="121">
        <f>Calc!N127</f>
        <v>-0.130723418119358</v>
      </c>
      <c r="O73" s="113"/>
      <c r="P73" s="113"/>
      <c r="Q73" s="113"/>
      <c r="R73" s="113"/>
      <c r="S73" s="113"/>
      <c r="T73" s="115"/>
      <c r="U73" s="122">
        <f>SUM(J73:N73)</f>
        <v>-0.76435750402653091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32.428229999999999</v>
      </c>
      <c r="K16" s="121">
        <f>Calc!K55</f>
        <v>30.996270699999997</v>
      </c>
      <c r="L16" s="121">
        <f>Calc!L55</f>
        <v>29.696906600000002</v>
      </c>
      <c r="M16" s="121">
        <f>Calc!M55</f>
        <v>25.072380600000002</v>
      </c>
      <c r="N16" s="121">
        <f>Calc!N55</f>
        <v>23.769634999999997</v>
      </c>
      <c r="O16" s="113"/>
      <c r="P16" s="113"/>
      <c r="Q16" s="113"/>
      <c r="R16" s="113"/>
      <c r="S16" s="113"/>
      <c r="T16" s="115"/>
      <c r="U16" s="295">
        <f>SUM(J16:N16)</f>
        <v>141.96342290000001</v>
      </c>
    </row>
    <row r="17" spans="1:21" s="117" customFormat="1" ht="17.399999999999999">
      <c r="A17" s="110"/>
      <c r="B17" s="118" t="s">
        <v>131</v>
      </c>
      <c r="C17" s="119"/>
      <c r="D17" s="113"/>
      <c r="E17" s="124" t="str">
        <f>Calc!E56</f>
        <v>Water: Baseline capex (gross of adjustments)</v>
      </c>
      <c r="F17" s="124"/>
      <c r="G17" s="113"/>
      <c r="H17" s="120"/>
      <c r="I17" s="120"/>
      <c r="J17" s="121">
        <f>Calc!J56</f>
        <v>30.08490646000562</v>
      </c>
      <c r="K17" s="121">
        <f>Calc!K56</f>
        <v>28.918408787201439</v>
      </c>
      <c r="L17" s="121">
        <f>Calc!L56</f>
        <v>27.558943920540319</v>
      </c>
      <c r="M17" s="121">
        <f>Calc!M56</f>
        <v>23.543050789949199</v>
      </c>
      <c r="N17" s="121">
        <f>Calc!N56</f>
        <v>22.715543230529594</v>
      </c>
      <c r="O17" s="113"/>
      <c r="P17" s="113"/>
      <c r="Q17" s="113"/>
      <c r="R17" s="113"/>
      <c r="S17" s="113"/>
      <c r="T17" s="115"/>
      <c r="U17" s="295">
        <f t="shared" ref="U17:U18" si="0">SUM(J17:N17)</f>
        <v>132.82085318822615</v>
      </c>
    </row>
    <row r="18" spans="1:21" s="117" customFormat="1" ht="17.399999999999999">
      <c r="A18" s="110"/>
      <c r="B18" s="118" t="s">
        <v>132</v>
      </c>
      <c r="C18" s="119"/>
      <c r="D18" s="113"/>
      <c r="E18" s="124" t="str">
        <f>Calc!E57</f>
        <v>Water: Allowance capex (gross of adjustments)</v>
      </c>
      <c r="F18" s="124"/>
      <c r="G18" s="113"/>
      <c r="H18" s="286"/>
      <c r="I18" s="120"/>
      <c r="J18" s="121">
        <f>Calc!J57</f>
        <v>30.602621389514862</v>
      </c>
      <c r="K18" s="121">
        <f>Calc!K57</f>
        <v>29.41605008738923</v>
      </c>
      <c r="L18" s="121">
        <f>Calc!L57</f>
        <v>28.033190923041015</v>
      </c>
      <c r="M18" s="121">
        <f>Calc!M57</f>
        <v>23.948190453466328</v>
      </c>
      <c r="N18" s="121">
        <f>Calc!N57</f>
        <v>23.106442762758199</v>
      </c>
      <c r="O18" s="113"/>
      <c r="P18" s="113"/>
      <c r="Q18" s="113"/>
      <c r="R18" s="113"/>
      <c r="S18" s="113"/>
      <c r="T18" s="115"/>
      <c r="U18" s="295">
        <f t="shared" si="0"/>
        <v>135.10649561616964</v>
      </c>
    </row>
    <row r="19" spans="1:21" s="117" customFormat="1" ht="17.399999999999999">
      <c r="A19" s="110"/>
      <c r="B19" s="118" t="s">
        <v>133</v>
      </c>
      <c r="C19" s="119"/>
      <c r="D19" s="113"/>
      <c r="E19" s="124" t="str">
        <f>Calc!E94</f>
        <v>Water: CIS bid ratio</v>
      </c>
      <c r="F19" s="124"/>
      <c r="G19" s="301">
        <f>Calc!G94</f>
        <v>106.88338426709059</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-0.53000000000000103</v>
      </c>
      <c r="K21" s="121">
        <f>Calc!K59</f>
        <v>-0.622</v>
      </c>
      <c r="L21" s="121">
        <f>Calc!L59</f>
        <v>-0.88699999999999701</v>
      </c>
      <c r="M21" s="121">
        <f>Calc!M59</f>
        <v>-0.81599999999999895</v>
      </c>
      <c r="N21" s="121">
        <f>Calc!N59</f>
        <v>-0.48999999999999799</v>
      </c>
      <c r="O21" s="113"/>
      <c r="P21" s="113"/>
      <c r="Q21" s="113"/>
      <c r="R21" s="113"/>
      <c r="S21" s="113"/>
      <c r="T21" s="115"/>
      <c r="U21" s="295">
        <f t="shared" ref="U21:U22" si="1">SUM(J21:N21)</f>
        <v>-3.3449999999999949</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31.898229999999998</v>
      </c>
      <c r="K24" s="121">
        <f>Calc!K62</f>
        <v>30.374270699999997</v>
      </c>
      <c r="L24" s="121">
        <f>Calc!L62</f>
        <v>28.809906600000005</v>
      </c>
      <c r="M24" s="121">
        <f>Calc!M62</f>
        <v>24.256380600000004</v>
      </c>
      <c r="N24" s="121">
        <f>Calc!N62</f>
        <v>23.279634999999999</v>
      </c>
      <c r="O24" s="113"/>
      <c r="P24" s="113"/>
      <c r="Q24" s="113"/>
      <c r="R24" s="113"/>
      <c r="S24" s="113"/>
      <c r="T24" s="115"/>
      <c r="U24" s="295">
        <f t="shared" ref="U24:U26" si="2">SUM(J24:N24)</f>
        <v>138.61842289999998</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30.08490646000562</v>
      </c>
      <c r="K25" s="121">
        <f>Calc!K63</f>
        <v>28.918408787201439</v>
      </c>
      <c r="L25" s="121">
        <f>Calc!L63</f>
        <v>27.558943920540319</v>
      </c>
      <c r="M25" s="121">
        <f>Calc!M63</f>
        <v>23.543050789949199</v>
      </c>
      <c r="N25" s="121">
        <f>Calc!N63</f>
        <v>22.715543230529594</v>
      </c>
      <c r="O25" s="113"/>
      <c r="P25" s="113"/>
      <c r="Q25" s="113"/>
      <c r="R25" s="113"/>
      <c r="S25" s="113"/>
      <c r="T25" s="115"/>
      <c r="U25" s="295">
        <f t="shared" si="2"/>
        <v>132.82085318822615</v>
      </c>
    </row>
    <row r="26" spans="1:21" s="117" customFormat="1" ht="17.399999999999999">
      <c r="A26" s="110"/>
      <c r="B26" s="118" t="s">
        <v>138</v>
      </c>
      <c r="C26" s="119"/>
      <c r="D26" s="113"/>
      <c r="E26" s="113" t="str">
        <f>Calc!E64</f>
        <v>Water: Allowance capex (net of adjustments)</v>
      </c>
      <c r="F26" s="113"/>
      <c r="G26" s="113"/>
      <c r="H26" s="120"/>
      <c r="I26" s="120"/>
      <c r="J26" s="121">
        <f>Calc!J64</f>
        <v>30.413204574133264</v>
      </c>
      <c r="K26" s="121">
        <f>Calc!K64</f>
        <v>29.233977628375388</v>
      </c>
      <c r="L26" s="121">
        <f>Calc!L64</f>
        <v>27.859677756242636</v>
      </c>
      <c r="M26" s="121">
        <f>Calc!M64</f>
        <v>23.799961649400487</v>
      </c>
      <c r="N26" s="121">
        <f>Calc!N64</f>
        <v>22.96342400801786</v>
      </c>
      <c r="O26" s="113"/>
      <c r="P26" s="113"/>
      <c r="Q26" s="113"/>
      <c r="R26" s="113"/>
      <c r="S26" s="113"/>
      <c r="T26" s="115"/>
      <c r="U26" s="295">
        <f t="shared" si="2"/>
        <v>134.27024561616963</v>
      </c>
    </row>
    <row r="27" spans="1:21" s="117" customFormat="1" ht="17.399999999999999">
      <c r="A27" s="110"/>
      <c r="B27" s="118" t="s">
        <v>139</v>
      </c>
      <c r="C27" s="119"/>
      <c r="D27" s="113"/>
      <c r="E27" s="113" t="str">
        <f>Calc!E106</f>
        <v>Water: Restated CIS bid ratio</v>
      </c>
      <c r="F27" s="113"/>
      <c r="G27" s="301">
        <f>Calc!G106</f>
        <v>104.364954427418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28.343356773257149</v>
      </c>
      <c r="K30" s="121">
        <f>Calc!K79</f>
        <v>26.37113942659726</v>
      </c>
      <c r="L30" s="121">
        <f>Calc!L79</f>
        <v>25.063215520775234</v>
      </c>
      <c r="M30" s="121">
        <f>Calc!M79</f>
        <v>21.227352915708391</v>
      </c>
      <c r="N30" s="121">
        <f>Calc!N79</f>
        <v>20.380996144803291</v>
      </c>
      <c r="O30" s="113"/>
      <c r="P30" s="113"/>
      <c r="Q30" s="113"/>
      <c r="R30" s="113"/>
      <c r="S30" s="113"/>
      <c r="T30" s="115"/>
      <c r="U30" s="295">
        <f t="shared" ref="U30:U33" si="3">SUM(J30:N30)</f>
        <v>121.38606078114132</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26.732117653111413</v>
      </c>
      <c r="K31" s="121">
        <f>Calc!K80</f>
        <v>25.107150642554345</v>
      </c>
      <c r="L31" s="121">
        <f>Calc!L80</f>
        <v>23.974938919290363</v>
      </c>
      <c r="M31" s="121">
        <f>Calc!M80</f>
        <v>20.603100523195899</v>
      </c>
      <c r="N31" s="121">
        <f>Calc!N80</f>
        <v>19.887141658730311</v>
      </c>
      <c r="O31" s="113"/>
      <c r="P31" s="113"/>
      <c r="Q31" s="113"/>
      <c r="R31" s="113"/>
      <c r="S31" s="113"/>
      <c r="T31" s="115"/>
      <c r="U31" s="295">
        <f t="shared" si="3"/>
        <v>116.30444939688235</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27.02382884137193</v>
      </c>
      <c r="K32" s="121">
        <f>Calc!K81</f>
        <v>25.381129563447018</v>
      </c>
      <c r="L32" s="121">
        <f>Calc!L81</f>
        <v>24.236562708747442</v>
      </c>
      <c r="M32" s="121">
        <f>Calc!M81</f>
        <v>20.82792951031405</v>
      </c>
      <c r="N32" s="121">
        <f>Calc!N81</f>
        <v>20.104157826310221</v>
      </c>
      <c r="O32" s="113"/>
      <c r="P32" s="113"/>
      <c r="Q32" s="113"/>
      <c r="R32" s="113"/>
      <c r="S32" s="113"/>
      <c r="T32" s="115"/>
      <c r="U32" s="295">
        <f t="shared" si="3"/>
        <v>117.57360845019068</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25.803749346874238</v>
      </c>
      <c r="K33" s="121">
        <f>Calc!K82</f>
        <v>23.074642919841303</v>
      </c>
      <c r="L33" s="121">
        <f>Calc!L82</f>
        <v>26.714737781410761</v>
      </c>
      <c r="M33" s="121">
        <f>Calc!M82</f>
        <v>23.653830971928038</v>
      </c>
      <c r="N33" s="121">
        <f>Calc!N82</f>
        <v>17.660150655645964</v>
      </c>
      <c r="O33" s="113"/>
      <c r="P33" s="113"/>
      <c r="Q33" s="113"/>
      <c r="R33" s="113"/>
      <c r="S33" s="113"/>
      <c r="T33" s="115"/>
      <c r="U33" s="295">
        <f t="shared" si="3"/>
        <v>116.90711167570029</v>
      </c>
    </row>
    <row r="34" spans="1:21" s="117" customFormat="1" ht="17.399999999999999">
      <c r="A34" s="110"/>
      <c r="B34" s="118" t="s">
        <v>145</v>
      </c>
      <c r="C34" s="118"/>
      <c r="D34" s="113"/>
      <c r="E34" s="113" t="str">
        <f>Calc!E116</f>
        <v>Water: CIS outturn ratio</v>
      </c>
      <c r="F34" s="113"/>
      <c r="G34" s="301">
        <f>Calc!G116</f>
        <v>100.51817646009518</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-0.48390600414970181</v>
      </c>
    </row>
    <row r="38" spans="1:21" s="117" customFormat="1" ht="17.399999999999999">
      <c r="A38" s="110"/>
      <c r="B38" s="118" t="s">
        <v>152</v>
      </c>
      <c r="C38" s="119"/>
      <c r="D38" s="113"/>
      <c r="E38" s="113" t="str">
        <f>Calc!E127</f>
        <v>Water: Additional income (applied at FD)</v>
      </c>
      <c r="F38" s="113"/>
      <c r="G38" s="113"/>
      <c r="H38" s="113"/>
      <c r="I38" s="113"/>
      <c r="J38" s="121">
        <f>Calc!J127</f>
        <v>-0.17313263285587699</v>
      </c>
      <c r="K38" s="121">
        <f>Calc!K127</f>
        <v>-0.166419671538171</v>
      </c>
      <c r="L38" s="121">
        <f>Calc!L127</f>
        <v>-0.158596222528848</v>
      </c>
      <c r="M38" s="121">
        <f>Calc!M127</f>
        <v>-0.135485558984277</v>
      </c>
      <c r="N38" s="121">
        <f>Calc!N127</f>
        <v>-0.130723418119358</v>
      </c>
      <c r="O38" s="113"/>
      <c r="P38" s="113"/>
      <c r="Q38" s="113"/>
      <c r="R38" s="113"/>
      <c r="S38" s="113"/>
      <c r="T38" s="115"/>
      <c r="U38" s="295">
        <f t="shared" ref="U38" si="4">SUM(J38:N38)</f>
        <v>-0.76435750402653091</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0.28045149987682916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-7.8183237637530301</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-2.1016793016476458</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-2.4652393422426764</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259.17824999999999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2.9574615995763942E-2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0.8048193344413237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117.54625</v>
      </c>
      <c r="N17" s="375">
        <f>IF('Input FD'!N106=0,M17*(1+'Input FD'!N107),'Input FD'!N106)</f>
        <v>121.0726375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1.0561208445642407</v>
      </c>
      <c r="N18" s="377">
        <f t="shared" si="4"/>
        <v>1.087804469901168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87.512449881778281</v>
      </c>
      <c r="N20" s="375">
        <f>((N17/'Input FD'!$G$117)/(N13/'Input FD'!$G$116))*100</f>
        <v>87.548606946815497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0.87512449881778276</v>
      </c>
      <c r="N21" s="377">
        <f t="shared" si="5"/>
        <v>0.87548606946815499</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9.6104599366307806</v>
      </c>
      <c r="K39" s="156">
        <f>IF(OR(K$5&lt;4,K$5&gt;8),'Input FD'!K30,'Input FD'!K30*$G$95/100)</f>
        <v>9.476504374455935</v>
      </c>
      <c r="L39" s="156">
        <f>IF(OR(L$5&lt;4,L$5&gt;8),'Input FD'!L30,'Input FD'!L30*$G$95/100)</f>
        <v>9.6256190046557766</v>
      </c>
      <c r="M39" s="156">
        <f>IF(OR(M$5&lt;4,M$5&gt;8),'Input FD'!M30,'Input FD'!M30*$G$95/100)</f>
        <v>9.7082851449684195</v>
      </c>
      <c r="N39" s="365">
        <f>IF(OR(N$5&lt;4,N$5&gt;8),'Input FD'!N30,'Input FD'!N30*$G$95/100)</f>
        <v>9.3238563541394299</v>
      </c>
      <c r="O39" s="157"/>
      <c r="P39" s="158"/>
      <c r="Q39" s="148"/>
      <c r="R39" s="147" t="s">
        <v>242</v>
      </c>
    </row>
    <row r="40" spans="1:23" s="37" customFormat="1">
      <c r="C40" s="131"/>
      <c r="D40" s="153" t="s">
        <v>57</v>
      </c>
      <c r="E40" s="154" t="s">
        <v>61</v>
      </c>
      <c r="F40" s="155"/>
      <c r="G40" s="148"/>
      <c r="H40" s="148"/>
      <c r="I40" s="148"/>
      <c r="J40" s="156">
        <f>IF(OR(J$5&lt;4,J$5&gt;8),'Input FD'!J31,'Input FD'!J31*$G$95/100)</f>
        <v>17.413614854435437</v>
      </c>
      <c r="K40" s="156">
        <f>IF(OR(K$5&lt;4,K$5&gt;8),'Input FD'!K31,'Input FD'!K31*$G$95/100)</f>
        <v>16.252730145057253</v>
      </c>
      <c r="L40" s="156">
        <f>IF(OR(L$5&lt;4,L$5&gt;8),'Input FD'!L31,'Input FD'!L31*$G$95/100)</f>
        <v>15.222786969005185</v>
      </c>
      <c r="M40" s="156">
        <f>IF(OR(M$5&lt;4,M$5&gt;8),'Input FD'!M31,'Input FD'!M31*$G$95/100)</f>
        <v>11.036221392440243</v>
      </c>
      <c r="N40" s="365">
        <f>IF(OR(N$5&lt;4,N$5&gt;8),'Input FD'!N31,'Input FD'!N31*$G$95/100)</f>
        <v>10.658032997704456</v>
      </c>
      <c r="O40" s="157"/>
      <c r="P40" s="158"/>
      <c r="Q40" s="148"/>
      <c r="R40" s="147" t="s">
        <v>242</v>
      </c>
    </row>
    <row r="41" spans="1:23" s="37" customFormat="1">
      <c r="C41" s="131"/>
      <c r="D41" s="153" t="s">
        <v>57</v>
      </c>
      <c r="E41" s="154" t="s">
        <v>63</v>
      </c>
      <c r="F41" s="155"/>
      <c r="G41" s="148"/>
      <c r="H41" s="148"/>
      <c r="I41" s="148"/>
      <c r="J41" s="156">
        <f>IF(OR(J$5&lt;4,J$5&gt;8),'Input FD'!J32,'Input FD'!J32*$G$95/100)</f>
        <v>1.2876968179792769</v>
      </c>
      <c r="K41" s="156">
        <f>IF(OR(K$5&lt;4,K$5&gt;8),'Input FD'!K32,'Input FD'!K32*$G$95/100)</f>
        <v>1.3425668394245736</v>
      </c>
      <c r="L41" s="156">
        <f>IF(OR(L$5&lt;4,L$5&gt;8),'Input FD'!L32,'Input FD'!L32*$G$95/100)</f>
        <v>1.6066952419251761</v>
      </c>
      <c r="M41" s="156">
        <f>IF(OR(M$5&lt;4,M$5&gt;8),'Input FD'!M32,'Input FD'!M32*$G$95/100)</f>
        <v>1.7052191856525141</v>
      </c>
      <c r="N41" s="365">
        <f>IF(OR(N$5&lt;4,N$5&gt;8),'Input FD'!N32,'Input FD'!N32*$G$95/100)</f>
        <v>1.7002120868393038</v>
      </c>
      <c r="O41" s="157"/>
      <c r="P41" s="158"/>
      <c r="Q41" s="148"/>
      <c r="R41" s="147" t="s">
        <v>242</v>
      </c>
    </row>
    <row r="42" spans="1:23" s="37" customFormat="1">
      <c r="C42" s="131"/>
      <c r="D42" s="153" t="s">
        <v>57</v>
      </c>
      <c r="E42" s="154" t="s">
        <v>62</v>
      </c>
      <c r="F42" s="155"/>
      <c r="G42" s="148"/>
      <c r="H42" s="148"/>
      <c r="I42" s="148"/>
      <c r="J42" s="156">
        <f>IF(OR(J$5&lt;4,J$5&gt;8),'Input FD'!J33,'Input FD'!J33*$G$95/100)</f>
        <v>2.2908497804693648</v>
      </c>
      <c r="K42" s="156">
        <f>IF(OR(K$5&lt;4,K$5&gt;8),'Input FD'!K33,'Input FD'!K33*$G$95/100)</f>
        <v>2.3442487284514697</v>
      </c>
      <c r="L42" s="156">
        <f>IF(OR(L$5&lt;4,L$5&gt;8),'Input FD'!L33,'Input FD'!L33*$G$95/100)</f>
        <v>1.5780897074548803</v>
      </c>
      <c r="M42" s="156">
        <f>IF(OR(M$5&lt;4,M$5&gt;8),'Input FD'!M33,'Input FD'!M33*$G$95/100)</f>
        <v>1.4984647304051526</v>
      </c>
      <c r="N42" s="365">
        <f>IF(OR(N$5&lt;4,N$5&gt;8),'Input FD'!N33,'Input FD'!N33*$G$95/100)</f>
        <v>1.42434132407501</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32.428229999999999</v>
      </c>
      <c r="K55" s="156">
        <f>SUM('Input FD'!K10:K13)-'Input FD'!K14-'Input FD'!K17+'Input FD'!K15+'Input FD'!K16</f>
        <v>30.996270699999997</v>
      </c>
      <c r="L55" s="156">
        <f>SUM('Input FD'!L10:L13)-'Input FD'!L14-'Input FD'!L17+'Input FD'!L15+'Input FD'!L16</f>
        <v>29.696906600000002</v>
      </c>
      <c r="M55" s="156">
        <f>SUM('Input FD'!M10:M13)-'Input FD'!M14-'Input FD'!M17+'Input FD'!M15+'Input FD'!M16</f>
        <v>25.072380600000002</v>
      </c>
      <c r="N55" s="365">
        <f>SUM('Input FD'!N10:N13)-'Input FD'!N14-'Input FD'!N17+'Input FD'!N15+'Input FD'!N16</f>
        <v>23.769634999999997</v>
      </c>
      <c r="O55" s="157"/>
      <c r="P55" s="158"/>
      <c r="Q55" s="148"/>
      <c r="R55" s="147" t="s">
        <v>242</v>
      </c>
    </row>
    <row r="56" spans="1:18" s="37" customFormat="1">
      <c r="C56" s="131"/>
      <c r="D56" s="153" t="s">
        <v>57</v>
      </c>
      <c r="E56" s="154" t="s">
        <v>114</v>
      </c>
      <c r="F56" s="155"/>
      <c r="G56" s="148"/>
      <c r="H56" s="148"/>
      <c r="I56" s="148"/>
      <c r="J56" s="156">
        <f>SUM('Input FD'!J30:J35)</f>
        <v>30.08490646000562</v>
      </c>
      <c r="K56" s="156">
        <f>SUM('Input FD'!K30:K35)</f>
        <v>28.918408787201439</v>
      </c>
      <c r="L56" s="156">
        <f>SUM('Input FD'!L30:L35)</f>
        <v>27.558943920540319</v>
      </c>
      <c r="M56" s="156">
        <f>SUM('Input FD'!M30:M35)</f>
        <v>23.543050789949199</v>
      </c>
      <c r="N56" s="365">
        <f>SUM('Input FD'!N30:N35)</f>
        <v>22.715543230529594</v>
      </c>
      <c r="O56" s="157"/>
      <c r="P56" s="158"/>
      <c r="Q56" s="148"/>
      <c r="R56" s="147" t="s">
        <v>242</v>
      </c>
    </row>
    <row r="57" spans="1:18" s="37" customFormat="1">
      <c r="C57" s="131"/>
      <c r="D57" s="153" t="s">
        <v>57</v>
      </c>
      <c r="E57" s="154" t="s">
        <v>115</v>
      </c>
      <c r="F57" s="155"/>
      <c r="G57" s="148"/>
      <c r="H57" s="148"/>
      <c r="I57" s="148"/>
      <c r="J57" s="156">
        <f>SUM(J39:J44)</f>
        <v>30.602621389514862</v>
      </c>
      <c r="K57" s="156">
        <f t="shared" ref="K57:N57" si="7">SUM(K39:K44)</f>
        <v>29.41605008738923</v>
      </c>
      <c r="L57" s="156">
        <f t="shared" si="7"/>
        <v>28.033190923041015</v>
      </c>
      <c r="M57" s="156">
        <f t="shared" si="7"/>
        <v>23.948190453466328</v>
      </c>
      <c r="N57" s="365">
        <f t="shared" si="7"/>
        <v>23.106442762758199</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-0.53000000000000103</v>
      </c>
      <c r="K59" s="156">
        <f>'Input FD'!K85+'Input FD'!K82</f>
        <v>-0.622</v>
      </c>
      <c r="L59" s="156">
        <f>'Input FD'!L85+'Input FD'!L82</f>
        <v>-0.88699999999999701</v>
      </c>
      <c r="M59" s="156">
        <f>'Input FD'!M85+'Input FD'!M82</f>
        <v>-0.81599999999999895</v>
      </c>
      <c r="N59" s="365">
        <f>'Input FD'!N85+'Input FD'!N82</f>
        <v>-0.48999999999999799</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31.898229999999998</v>
      </c>
      <c r="K62" s="156">
        <f t="shared" ref="K62:N63" si="8">K55+K59</f>
        <v>30.374270699999997</v>
      </c>
      <c r="L62" s="156">
        <f t="shared" si="8"/>
        <v>28.809906600000005</v>
      </c>
      <c r="M62" s="156">
        <f t="shared" si="8"/>
        <v>24.256380600000004</v>
      </c>
      <c r="N62" s="365">
        <f t="shared" si="8"/>
        <v>23.279634999999999</v>
      </c>
      <c r="O62" s="157"/>
      <c r="P62" s="158"/>
      <c r="Q62" s="148"/>
      <c r="R62" s="147" t="s">
        <v>242</v>
      </c>
    </row>
    <row r="63" spans="1:18" s="37" customFormat="1">
      <c r="C63" s="131"/>
      <c r="D63" s="153" t="s">
        <v>57</v>
      </c>
      <c r="E63" s="154" t="s">
        <v>182</v>
      </c>
      <c r="F63" s="155"/>
      <c r="G63" s="148"/>
      <c r="H63" s="148"/>
      <c r="I63" s="148"/>
      <c r="J63" s="156">
        <f>J56+J60</f>
        <v>30.08490646000562</v>
      </c>
      <c r="K63" s="156">
        <f t="shared" si="8"/>
        <v>28.918408787201439</v>
      </c>
      <c r="L63" s="156">
        <f t="shared" si="8"/>
        <v>27.558943920540319</v>
      </c>
      <c r="M63" s="156">
        <f t="shared" si="8"/>
        <v>23.543050789949199</v>
      </c>
      <c r="N63" s="365">
        <f t="shared" si="8"/>
        <v>22.715543230529594</v>
      </c>
      <c r="O63" s="157"/>
      <c r="P63" s="158"/>
      <c r="Q63" s="148"/>
      <c r="R63" s="147" t="s">
        <v>242</v>
      </c>
    </row>
    <row r="64" spans="1:18" s="37" customFormat="1">
      <c r="C64" s="131"/>
      <c r="D64" s="153" t="s">
        <v>57</v>
      </c>
      <c r="E64" s="154" t="s">
        <v>250</v>
      </c>
      <c r="F64" s="155"/>
      <c r="G64" s="148"/>
      <c r="H64" s="148"/>
      <c r="I64" s="148"/>
      <c r="J64" s="156">
        <f>J63*$G$107/100</f>
        <v>30.413204574133264</v>
      </c>
      <c r="K64" s="156">
        <f t="shared" ref="K64:N64" si="9">K63*$G$107/100</f>
        <v>29.233977628375388</v>
      </c>
      <c r="L64" s="156">
        <f t="shared" si="9"/>
        <v>27.859677756242636</v>
      </c>
      <c r="M64" s="156">
        <f t="shared" si="9"/>
        <v>23.799961649400487</v>
      </c>
      <c r="N64" s="365">
        <f t="shared" si="9"/>
        <v>22.96342400801786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28.343356773257149</v>
      </c>
      <c r="K79" s="156">
        <f t="shared" ref="K79:N81" si="13">K62*K$21</f>
        <v>26.37113942659726</v>
      </c>
      <c r="L79" s="156">
        <f t="shared" si="13"/>
        <v>25.063215520775234</v>
      </c>
      <c r="M79" s="156">
        <f t="shared" si="13"/>
        <v>21.227352915708391</v>
      </c>
      <c r="N79" s="365">
        <f t="shared" si="13"/>
        <v>20.380996144803291</v>
      </c>
      <c r="P79" s="136"/>
      <c r="Q79" s="131"/>
      <c r="R79" s="147" t="s">
        <v>242</v>
      </c>
    </row>
    <row r="80" spans="1:18" s="37" customFormat="1">
      <c r="C80" s="131"/>
      <c r="D80" s="153" t="s">
        <v>57</v>
      </c>
      <c r="E80" s="132" t="s">
        <v>317</v>
      </c>
      <c r="F80" s="161"/>
      <c r="G80" s="162"/>
      <c r="H80" s="162"/>
      <c r="I80" s="163"/>
      <c r="J80" s="156">
        <f>J63*J$21</f>
        <v>26.732117653111413</v>
      </c>
      <c r="K80" s="156">
        <f t="shared" si="13"/>
        <v>25.107150642554345</v>
      </c>
      <c r="L80" s="156">
        <f t="shared" si="13"/>
        <v>23.974938919290363</v>
      </c>
      <c r="M80" s="156">
        <f t="shared" si="13"/>
        <v>20.603100523195899</v>
      </c>
      <c r="N80" s="365">
        <f t="shared" si="13"/>
        <v>19.887141658730311</v>
      </c>
      <c r="P80" s="136"/>
      <c r="Q80" s="131"/>
      <c r="R80" s="147" t="s">
        <v>242</v>
      </c>
    </row>
    <row r="81" spans="1:18" s="37" customFormat="1">
      <c r="C81" s="131"/>
      <c r="D81" s="153" t="s">
        <v>57</v>
      </c>
      <c r="E81" s="132" t="s">
        <v>318</v>
      </c>
      <c r="F81" s="161"/>
      <c r="G81" s="162"/>
      <c r="H81" s="162"/>
      <c r="I81" s="163"/>
      <c r="J81" s="156">
        <f>J64*J$21</f>
        <v>27.02382884137193</v>
      </c>
      <c r="K81" s="156">
        <f t="shared" si="13"/>
        <v>25.381129563447018</v>
      </c>
      <c r="L81" s="156">
        <f t="shared" si="13"/>
        <v>24.236562708747442</v>
      </c>
      <c r="M81" s="156">
        <f t="shared" si="13"/>
        <v>20.82792951031405</v>
      </c>
      <c r="N81" s="365">
        <f t="shared" si="13"/>
        <v>20.104157826310221</v>
      </c>
      <c r="P81" s="136"/>
      <c r="Q81" s="131"/>
      <c r="R81" s="147" t="s">
        <v>242</v>
      </c>
    </row>
    <row r="82" spans="1:18" s="37" customFormat="1">
      <c r="C82" s="131"/>
      <c r="D82" s="153" t="s">
        <v>57</v>
      </c>
      <c r="E82" s="132" t="s">
        <v>110</v>
      </c>
      <c r="F82" s="164"/>
      <c r="G82" s="164"/>
      <c r="H82" s="164"/>
      <c r="I82" s="164"/>
      <c r="J82" s="156">
        <f>SUM('Input FD'!J65:J70)*J$15</f>
        <v>25.803749346874238</v>
      </c>
      <c r="K82" s="156">
        <f>SUM('Input FD'!K65:K70)*K$15</f>
        <v>23.074642919841303</v>
      </c>
      <c r="L82" s="156">
        <f>SUM('Input FD'!L65:L70)*L$15</f>
        <v>26.714737781410761</v>
      </c>
      <c r="M82" s="156">
        <f>SUM('Input FD'!M65:M70)*M$15</f>
        <v>23.653830971928038</v>
      </c>
      <c r="N82" s="365">
        <f>SUM('Input FD'!N65:N70)*N$15</f>
        <v>17.660150655645964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106.88338426709059</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101.72084606677265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0.26558307866454711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-0.57548004374233486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104.364954427418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101.0912386068545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0.27817522786291005</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100.51817646009518</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-0.41606835048795077</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-0.48390600414970181</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-0.17313263285587699</v>
      </c>
      <c r="K127" s="156">
        <f>IF('Input FD'!K49&lt;&gt;"",'Input FD'!K49,K56*$G$97/100)</f>
        <v>-0.166419671538171</v>
      </c>
      <c r="L127" s="156">
        <f>IF('Input FD'!L49&lt;&gt;"",'Input FD'!L49,L56*$G$97/100)</f>
        <v>-0.158596222528848</v>
      </c>
      <c r="M127" s="156">
        <f>IF('Input FD'!M49&lt;&gt;"",'Input FD'!M49,M56*$G$97/100)</f>
        <v>-0.135485558984277</v>
      </c>
      <c r="N127" s="365">
        <f>IF('Input FD'!N49&lt;&gt;"",'Input FD'!N49,N56*$G$97/100)</f>
        <v>-0.130723418119358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0.2804514998768291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30.626096895787541</v>
      </c>
      <c r="K138" s="156">
        <f>(K57+'Input FD'!K83)*K$29</f>
        <v>30.763353057144556</v>
      </c>
      <c r="L138" s="156">
        <f>(L57+'Input FD'!L83)*L$29</f>
        <v>30.401891490031993</v>
      </c>
      <c r="M138" s="156">
        <f>(M57+'Input FD'!M83)*M$29</f>
        <v>26.750875354649796</v>
      </c>
      <c r="N138" s="365">
        <f>(N57+'Input FD'!N83)*N$29</f>
        <v>26.584935449718675</v>
      </c>
      <c r="O138" s="104"/>
      <c r="P138" s="136"/>
      <c r="Q138" s="104"/>
      <c r="R138" s="147" t="s">
        <v>87</v>
      </c>
      <c r="S138" s="147"/>
    </row>
    <row r="139" spans="1:19" s="37" customFormat="1">
      <c r="C139" s="104"/>
      <c r="D139" s="104" t="s">
        <v>57</v>
      </c>
      <c r="E139" s="104" t="s">
        <v>110</v>
      </c>
      <c r="F139" s="104"/>
      <c r="G139" s="104"/>
      <c r="H139" s="104"/>
      <c r="I139" s="104"/>
      <c r="J139" s="156">
        <f>SUM('Input FD'!J65:J70)</f>
        <v>28.016000000000002</v>
      </c>
      <c r="K139" s="156">
        <f>SUM('Input FD'!K65:K70)</f>
        <v>26.254999999999999</v>
      </c>
      <c r="L139" s="156">
        <f>SUM('Input FD'!L65:L70)</f>
        <v>31.336000000000002</v>
      </c>
      <c r="M139" s="156">
        <f>SUM('Input FD'!M65:M70)</f>
        <v>28.546000000000003</v>
      </c>
      <c r="N139" s="365">
        <f>SUM('Input FD'!N65:N70)</f>
        <v>21.942999999999998</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-3.6040238385813623</v>
      </c>
      <c r="K140" s="672">
        <f>(K$139*K$15)-(K$138*K$26)</f>
        <v>-5.6054263847188608</v>
      </c>
      <c r="L140" s="672">
        <f>(L$139*L$15)-(L$138*L$26)</f>
        <v>-0.88320359269528126</v>
      </c>
      <c r="M140" s="672">
        <f>(M$139*M$15)-(M$138*M$26)</f>
        <v>-3.7541218362260764E-2</v>
      </c>
      <c r="N140" s="673">
        <f>(N$139*N$15)-(N$138*N$26)</f>
        <v>-5.3100062874895713</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207.347825995314</v>
      </c>
      <c r="J148" s="156">
        <f>'Input FD'!J$54</f>
        <v>213.944361164323</v>
      </c>
      <c r="K148" s="156">
        <f>'Input FD'!K$54</f>
        <v>218.703241866833</v>
      </c>
      <c r="L148" s="156">
        <f>'Input FD'!L$54</f>
        <v>220.911324375215</v>
      </c>
      <c r="M148" s="156">
        <f>'Input FD'!M$54</f>
        <v>219.124741563155</v>
      </c>
      <c r="N148" s="365">
        <f>'Input FD'!N$54</f>
        <v>216.778749394724</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-15.440201321847336</v>
      </c>
      <c r="Q149" s="161"/>
      <c r="R149" s="147" t="s">
        <v>242</v>
      </c>
    </row>
    <row r="150" spans="1:24" s="37" customFormat="1">
      <c r="A150" s="109"/>
      <c r="B150" s="109"/>
      <c r="C150" s="104"/>
      <c r="D150" s="104" t="s">
        <v>57</v>
      </c>
      <c r="E150" s="177" t="s">
        <v>386</v>
      </c>
      <c r="F150" s="131"/>
      <c r="G150" s="104"/>
      <c r="H150" s="104"/>
      <c r="I150" s="205"/>
      <c r="J150" s="156">
        <f>IF(J5=8,J148+$P$149,J148)</f>
        <v>213.944361164323</v>
      </c>
      <c r="K150" s="156">
        <f>IF(K5=8,K148+$P$149,K148)</f>
        <v>218.703241866833</v>
      </c>
      <c r="L150" s="156">
        <f>IF(L5=8,L148+$P$149,L148)</f>
        <v>220.911324375215</v>
      </c>
      <c r="M150" s="156">
        <f>IF(M5=8,M148+$P$149,M148)</f>
        <v>219.124741563155</v>
      </c>
      <c r="N150" s="365">
        <f>IF(N5=8,N148+$P$149,N148)</f>
        <v>201.33854807287668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29.4077731854556</v>
      </c>
      <c r="L161" s="360">
        <f t="shared" si="16"/>
        <v>58.08784249001576</v>
      </c>
      <c r="M161" s="360">
        <f t="shared" si="16"/>
        <v>85.685783864121802</v>
      </c>
      <c r="N161" s="363">
        <f t="shared" si="16"/>
        <v>109.3771560544121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29.4077731854556</v>
      </c>
      <c r="K162" s="360">
        <f t="shared" ref="K162:N162" si="17">K161+K138*K$26</f>
        <v>58.08784249001576</v>
      </c>
      <c r="L162" s="360">
        <f t="shared" si="17"/>
        <v>85.685783864121802</v>
      </c>
      <c r="M162" s="360">
        <f t="shared" si="17"/>
        <v>109.3771560544121</v>
      </c>
      <c r="N162" s="363">
        <f t="shared" si="17"/>
        <v>132.34731299754765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14.7038865927278</v>
      </c>
      <c r="K163" s="360">
        <f t="shared" ref="K163:N163" si="18">(K162+K161)/2</f>
        <v>43.747807837735678</v>
      </c>
      <c r="L163" s="360">
        <f t="shared" si="18"/>
        <v>71.886813177068774</v>
      </c>
      <c r="M163" s="360">
        <f t="shared" si="18"/>
        <v>97.531469959266957</v>
      </c>
      <c r="N163" s="363">
        <f t="shared" si="18"/>
        <v>120.86223452597987</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25.803749346874238</v>
      </c>
      <c r="L171" s="360">
        <f t="shared" si="22"/>
        <v>48.878392266715537</v>
      </c>
      <c r="M171" s="360">
        <f t="shared" si="22"/>
        <v>75.593130048126298</v>
      </c>
      <c r="N171" s="363">
        <f t="shared" si="22"/>
        <v>99.246961020054329</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25.803749346874238</v>
      </c>
      <c r="K172" s="360">
        <f t="shared" ref="K172:N172" si="23">K171+K139*K$15</f>
        <v>48.878392266715537</v>
      </c>
      <c r="L172" s="360">
        <f t="shared" si="23"/>
        <v>75.593130048126298</v>
      </c>
      <c r="M172" s="360">
        <f t="shared" si="23"/>
        <v>99.246961020054329</v>
      </c>
      <c r="N172" s="363">
        <f t="shared" si="23"/>
        <v>116.90711167570029</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12.901874673437119</v>
      </c>
      <c r="K173" s="360">
        <f t="shared" ref="K173:N173" si="24">(K172+K171)/2</f>
        <v>37.341070806794889</v>
      </c>
      <c r="L173" s="360">
        <f t="shared" si="24"/>
        <v>62.235761157420917</v>
      </c>
      <c r="M173" s="360">
        <f t="shared" si="24"/>
        <v>87.42004553409032</v>
      </c>
      <c r="N173" s="363">
        <f t="shared" si="24"/>
        <v>108.07703634787731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-3.6040238385813623</v>
      </c>
      <c r="K181" s="156">
        <f>(K$139*K$15)-(K$138*K$26)</f>
        <v>-5.6054263847188608</v>
      </c>
      <c r="L181" s="156">
        <f>(L$139*L$15)-(L$138*L$26)</f>
        <v>-0.88320359269528126</v>
      </c>
      <c r="M181" s="156">
        <f>(M$139*M$15)-(M$138*M$26)</f>
        <v>-3.7541218362260764E-2</v>
      </c>
      <c r="N181" s="365">
        <f>(N$139*N$15)-(N$138*N$26)</f>
        <v>-5.3100062874895713</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-9.9110655560987471E-2</v>
      </c>
      <c r="K184" s="156">
        <f>(K173-K163)*'Input FD'!$O$59</f>
        <v>-0.3523705367017434</v>
      </c>
      <c r="L184" s="156">
        <f>(L173-L163)*'Input FD'!$O$59</f>
        <v>-0.53080786108063216</v>
      </c>
      <c r="M184" s="156">
        <f>(M173-M163)*'Input FD'!$O$59</f>
        <v>-0.55612834338471506</v>
      </c>
      <c r="N184" s="365">
        <f>(N173-N163)*'Input FD'!$O$59</f>
        <v>-0.70318589979564083</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6.3524340778068483E-2</v>
      </c>
      <c r="K187" s="156">
        <f>$P$130*K63/SUM($J$63:$N$63)</f>
        <v>6.1061278584986875E-2</v>
      </c>
      <c r="L187" s="156">
        <f>$P$130*L63/SUM($J$63:$N$63)</f>
        <v>5.8190765772178327E-2</v>
      </c>
      <c r="M187" s="156">
        <f>$P$130*M63/SUM($J$63:$N$63)</f>
        <v>4.9711199312661179E-2</v>
      </c>
      <c r="N187" s="365">
        <f>$P$130*N63/SUM($J$63:$N$63)</f>
        <v>4.7963915428934287E-2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-3.5586314782918987E-2</v>
      </c>
      <c r="K190" s="156">
        <f t="shared" ref="K190:N191" si="28">K187+K184</f>
        <v>-0.29130925811675651</v>
      </c>
      <c r="L190" s="156">
        <f t="shared" si="28"/>
        <v>-0.47261709530845386</v>
      </c>
      <c r="M190" s="156">
        <f t="shared" si="28"/>
        <v>-0.50641714407205385</v>
      </c>
      <c r="N190" s="365">
        <f t="shared" si="28"/>
        <v>-0.65522198436670653</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-4.408520397798088E-2</v>
      </c>
      <c r="K193" s="156">
        <f>IF('Input FD'!$O$156=0,(K190/(1+'Input FD'!$O$60)^K$6),(K190/(1+'Input FD'!$O$59)^K$6))</f>
        <v>-0.34206738380125001</v>
      </c>
      <c r="L193" s="156">
        <f>IF('Input FD'!$O$156=0,(L190/(1+'Input FD'!$O$60)^L$6),(L190/(1+'Input FD'!$O$59)^L$6))</f>
        <v>-0.52603464250569176</v>
      </c>
      <c r="M193" s="156">
        <f>IF('Input FD'!$O$156=0,(M190/(1+'Input FD'!$O$60)^M$6),(M190/(1+'Input FD'!$O$59)^M$6))</f>
        <v>-0.53427008699601675</v>
      </c>
      <c r="N193" s="664">
        <f>IF('Input FD'!$O$156=0,(N190/(1+'Input FD'!$O$60)^N$6),(N190/(1+'Input FD'!$O$59)^N$6))</f>
        <v>-0.65522198436670653</v>
      </c>
      <c r="O193" s="109"/>
      <c r="P193" s="622">
        <f>SUM(J193:N193)</f>
        <v>-2.1016793016476458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-5.1711304941771986E-2</v>
      </c>
      <c r="K196" s="156">
        <f t="shared" ref="K196:N197" si="29">K193*$L$13/$G$13</f>
        <v>-0.40124008053168014</v>
      </c>
      <c r="L196" s="156">
        <f t="shared" si="29"/>
        <v>-0.61703100709558512</v>
      </c>
      <c r="M196" s="156">
        <f t="shared" si="29"/>
        <v>-0.62669106405217623</v>
      </c>
      <c r="N196" s="365">
        <f t="shared" si="29"/>
        <v>-0.768565885621463</v>
      </c>
      <c r="O196" s="109"/>
      <c r="P196" s="622">
        <f>P193*$L$13/$G$13</f>
        <v>-2.4652393422426764</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-18.111132236457149</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-0.5676147252542596</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-0.89658026749722097</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0.32896554224296148</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-2.6293681590520874</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-2.3004026168091265</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-2.4652393422426764</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-2.4652393422426764</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-2.4652393422426764</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-2.4652393422426764</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-2.4652393422426764</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-2.4652393422426764</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-0.52852497321934222</v>
      </c>
      <c r="S47" s="616">
        <f t="shared" si="8"/>
        <v>-0.52852497321934222</v>
      </c>
      <c r="T47" s="616">
        <f t="shared" si="8"/>
        <v>-0.52852497321934222</v>
      </c>
      <c r="U47" s="616">
        <f t="shared" si="8"/>
        <v>-0.52852497321934222</v>
      </c>
      <c r="V47" s="623">
        <f t="shared" si="8"/>
        <v>-0.52852497321934222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-0.52852497321934222</v>
      </c>
      <c r="S52" s="616">
        <f t="shared" ref="S52:V52" si="9">S47*S51</f>
        <v>-0.51015924055921058</v>
      </c>
      <c r="T52" s="616">
        <f t="shared" si="9"/>
        <v>-0.49243169938147741</v>
      </c>
      <c r="U52" s="616">
        <f t="shared" si="9"/>
        <v>-0.47532017314814423</v>
      </c>
      <c r="V52" s="621">
        <f t="shared" si="9"/>
        <v>-0.45880325593450211</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-2.4652393422426768</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-2.4652393422426764</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-2.4652393422426764</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-5.1711304941771986E-2</v>
      </c>
      <c r="S94" s="616">
        <f>'Calc2 FD'!K196</f>
        <v>-0.40124008053168014</v>
      </c>
      <c r="T94" s="616">
        <f>'Calc2 FD'!L196</f>
        <v>-0.61703100709558512</v>
      </c>
      <c r="U94" s="616">
        <f>'Calc2 FD'!M196</f>
        <v>-0.62669106405217623</v>
      </c>
      <c r="V94" s="623">
        <f>'Calc2 FD'!N196</f>
        <v>-0.768565885621463</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-5.1711304941771986E-2</v>
      </c>
      <c r="S99" s="616">
        <f t="shared" ref="S99:V99" si="23">S94*S98</f>
        <v>-0.38729737503057926</v>
      </c>
      <c r="T99" s="616">
        <f t="shared" si="23"/>
        <v>-0.57489360539458367</v>
      </c>
      <c r="U99" s="616">
        <f t="shared" si="23"/>
        <v>-0.56360421960998419</v>
      </c>
      <c r="V99" s="621">
        <f t="shared" si="23"/>
        <v>-0.66717856031558032</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-2.2446850652924994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-5.1711304941771986E-2</v>
      </c>
      <c r="S106" s="616">
        <f>'Calc2 FD'!K196</f>
        <v>-0.40124008053168014</v>
      </c>
      <c r="T106" s="616">
        <f>'Calc2 FD'!L196</f>
        <v>-0.61703100709558512</v>
      </c>
      <c r="U106" s="616">
        <f>'Calc2 FD'!M196</f>
        <v>-0.62669106405217623</v>
      </c>
      <c r="V106" s="623">
        <f>'Calc2 FD'!N196</f>
        <v>-0.768565885621463</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-5.1711304941771986E-2</v>
      </c>
      <c r="S111" s="616">
        <f t="shared" ref="S111:V111" si="25">S106*S110</f>
        <v>-0.38729737503057926</v>
      </c>
      <c r="T111" s="616">
        <f t="shared" si="25"/>
        <v>-0.57489360539458367</v>
      </c>
      <c r="U111" s="616">
        <f t="shared" si="25"/>
        <v>-0.56360421960998419</v>
      </c>
      <c r="V111" s="621">
        <f t="shared" si="25"/>
        <v>-0.66717856031558032</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-2.2446850652924994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-2.2446850652924994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-2.4652393422426764</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1.0982562232717654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-5.6792262465805078E-2</v>
      </c>
      <c r="S123" s="616">
        <f t="shared" si="27"/>
        <v>-0.44066441546998203</v>
      </c>
      <c r="T123" s="616">
        <f t="shared" si="27"/>
        <v>-0.67765814349437115</v>
      </c>
      <c r="U123" s="616">
        <f t="shared" si="27"/>
        <v>-0.68826736116410714</v>
      </c>
      <c r="V123" s="621">
        <f t="shared" si="27"/>
        <v>-0.84408226687814758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-5.6792262465805078E-2</v>
      </c>
      <c r="S128" s="616">
        <f t="shared" ref="S128:V128" si="28">S123*S127</f>
        <v>-0.42535175238415251</v>
      </c>
      <c r="T128" s="616">
        <f t="shared" si="28"/>
        <v>-0.63138047984374401</v>
      </c>
      <c r="U128" s="616">
        <f t="shared" si="28"/>
        <v>-0.61898184164889192</v>
      </c>
      <c r="V128" s="621">
        <f t="shared" si="28"/>
        <v>-0.73273300590008295</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-2.4652393422426764</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-2.4652393422426764</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-0.52852497321934222</v>
      </c>
      <c r="S138" s="616">
        <f>S47</f>
        <v>-0.52852497321934222</v>
      </c>
      <c r="T138" s="616">
        <f>T47</f>
        <v>-0.52852497321934222</v>
      </c>
      <c r="U138" s="616">
        <f>U47</f>
        <v>-0.52852497321934222</v>
      </c>
      <c r="V138" s="621">
        <f>V47</f>
        <v>-0.52852497321934222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-5.1711304941771986E-2</v>
      </c>
      <c r="S141" s="616">
        <f>S94</f>
        <v>-0.40124008053168014</v>
      </c>
      <c r="T141" s="616">
        <f>T94</f>
        <v>-0.61703100709558512</v>
      </c>
      <c r="U141" s="616">
        <f>U94</f>
        <v>-0.62669106405217623</v>
      </c>
      <c r="V141" s="621">
        <f>V94</f>
        <v>-0.768565885621463</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-5.6792262465805078E-2</v>
      </c>
      <c r="S142" s="616">
        <f t="shared" si="31"/>
        <v>-0.44066441546998203</v>
      </c>
      <c r="T142" s="616">
        <f t="shared" si="31"/>
        <v>-0.67765814349437115</v>
      </c>
      <c r="U142" s="616">
        <f t="shared" si="31"/>
        <v>-0.68826736116410714</v>
      </c>
      <c r="V142" s="621">
        <f t="shared" si="31"/>
        <v>-0.84408226687814758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-2.4652393422426764</v>
      </c>
      <c r="S143" s="630">
        <f t="shared" ref="S143:V143" si="32">CHOOSE($P$135+1,S137,S138,S139,S140,S141,S142)</f>
        <v>0</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-2.4652393422426764</v>
      </c>
      <c r="S156" s="627">
        <f t="shared" ref="S156:V156" si="36">S143</f>
        <v>0</v>
      </c>
      <c r="T156" s="627">
        <f t="shared" si="36"/>
        <v>0</v>
      </c>
      <c r="U156" s="627">
        <f t="shared" si="36"/>
        <v>0</v>
      </c>
      <c r="V156" s="628">
        <f t="shared" si="36"/>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9.7199899999999992</v>
      </c>
      <c r="K16" s="121">
        <f>'Input FD'!K10</f>
        <v>9.4691895000000006</v>
      </c>
      <c r="L16" s="121">
        <f>'Input FD'!L10</f>
        <v>9.5575726999999997</v>
      </c>
      <c r="M16" s="121">
        <f>'Input FD'!M10</f>
        <v>9.5633368000000001</v>
      </c>
      <c r="N16" s="121">
        <f>'Input FD'!N10</f>
        <v>9.1205259999999999</v>
      </c>
      <c r="O16" s="113"/>
      <c r="P16" s="113"/>
      <c r="Q16" s="113"/>
      <c r="R16" s="113"/>
      <c r="S16" s="113"/>
      <c r="T16" s="115"/>
      <c r="U16" s="122">
        <f t="shared" ref="U16:U34" si="0">SUM(J16:N16)</f>
        <v>47.430615000000003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18.846630000000001</v>
      </c>
      <c r="K17" s="121">
        <f>'Input FD'!K11</f>
        <v>17.619257699999999</v>
      </c>
      <c r="L17" s="121">
        <f>'Input FD'!L11</f>
        <v>16.722150200000002</v>
      </c>
      <c r="M17" s="121">
        <f>'Input FD'!M11</f>
        <v>12.216910800000001</v>
      </c>
      <c r="N17" s="121">
        <f>'Input FD'!N11</f>
        <v>11.413902</v>
      </c>
      <c r="O17" s="113"/>
      <c r="P17" s="113"/>
      <c r="Q17" s="113"/>
      <c r="R17" s="113"/>
      <c r="S17" s="113"/>
      <c r="T17" s="115"/>
      <c r="U17" s="122">
        <f t="shared" si="0"/>
        <v>76.818850700000013</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1.8928799999999999</v>
      </c>
      <c r="K18" s="121">
        <f>'Input FD'!K12</f>
        <v>1.9435382999999999</v>
      </c>
      <c r="L18" s="121">
        <f>'Input FD'!L12</f>
        <v>2.5945822000000001</v>
      </c>
      <c r="M18" s="121">
        <f>'Input FD'!M12</f>
        <v>2.9010120000000001</v>
      </c>
      <c r="N18" s="121">
        <f>'Input FD'!N12</f>
        <v>3.209625</v>
      </c>
      <c r="O18" s="113"/>
      <c r="P18" s="113"/>
      <c r="Q18" s="113"/>
      <c r="R18" s="113"/>
      <c r="S18" s="113"/>
      <c r="T18" s="115"/>
      <c r="U18" s="122">
        <f t="shared" si="0"/>
        <v>12.5416375</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3.0957300000000001</v>
      </c>
      <c r="K19" s="121">
        <f>'Input FD'!K13</f>
        <v>3.1872851999999998</v>
      </c>
      <c r="L19" s="121">
        <f>'Input FD'!L13</f>
        <v>2.4306014999999999</v>
      </c>
      <c r="M19" s="121">
        <f>'Input FD'!M13</f>
        <v>2.4351210000000001</v>
      </c>
      <c r="N19" s="121">
        <f>'Input FD'!N13</f>
        <v>2.5505819999999999</v>
      </c>
      <c r="O19" s="113"/>
      <c r="P19" s="113"/>
      <c r="Q19" s="113"/>
      <c r="R19" s="113"/>
      <c r="S19" s="113"/>
      <c r="T19" s="115"/>
      <c r="U19" s="122">
        <f t="shared" si="0"/>
        <v>13.6993197</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-1.127</v>
      </c>
      <c r="K20" s="121">
        <f>-'Input FD'!K14</f>
        <v>-1.2230000000000001</v>
      </c>
      <c r="L20" s="121">
        <f>-'Input FD'!L14</f>
        <v>-1.6080000000000001</v>
      </c>
      <c r="M20" s="121">
        <f>-'Input FD'!M14</f>
        <v>-2.044</v>
      </c>
      <c r="N20" s="121">
        <f>-'Input FD'!N14</f>
        <v>-2.5249999999999999</v>
      </c>
      <c r="O20" s="113"/>
      <c r="P20" s="113"/>
      <c r="Q20" s="113"/>
      <c r="R20" s="113"/>
      <c r="S20" s="113"/>
      <c r="T20" s="115"/>
      <c r="U20" s="122">
        <f t="shared" si="0"/>
        <v>-8.527000000000001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32.428229999999999</v>
      </c>
      <c r="K24" s="121">
        <f>'Calc2 FD'!K55</f>
        <v>30.996270699999997</v>
      </c>
      <c r="L24" s="121">
        <f>'Calc2 FD'!L55</f>
        <v>29.696906600000002</v>
      </c>
      <c r="M24" s="121">
        <f>'Calc2 FD'!M55</f>
        <v>25.072380600000002</v>
      </c>
      <c r="N24" s="121">
        <f>'Calc2 FD'!N55</f>
        <v>23.769634999999997</v>
      </c>
      <c r="O24" s="113"/>
      <c r="P24" s="113"/>
      <c r="Q24" s="113"/>
      <c r="R24" s="113"/>
      <c r="S24" s="113"/>
      <c r="T24" s="115"/>
      <c r="U24" s="122">
        <f t="shared" si="0"/>
        <v>141.96342290000001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9.4478765250558201</v>
      </c>
      <c r="K37" s="121">
        <f>'Input FD'!K30</f>
        <v>9.3161871345773797</v>
      </c>
      <c r="L37" s="121">
        <f>'Input FD'!L30</f>
        <v>9.4627791419835692</v>
      </c>
      <c r="M37" s="121">
        <f>'Input FD'!M30</f>
        <v>9.5440467911519402</v>
      </c>
      <c r="N37" s="121">
        <f>'Input FD'!N30</f>
        <v>9.1661215126140103</v>
      </c>
      <c r="O37" s="113"/>
      <c r="P37" s="113"/>
      <c r="Q37" s="113"/>
      <c r="R37" s="113"/>
      <c r="S37" s="113"/>
      <c r="T37" s="115"/>
      <c r="U37" s="122">
        <f t="shared" ref="U37:U51" si="3">SUM(J37:N37)</f>
        <v>46.937011105382723</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17.119022823507201</v>
      </c>
      <c r="K38" s="121">
        <f>'Input FD'!K31</f>
        <v>15.977777194645499</v>
      </c>
      <c r="L38" s="121">
        <f>'Input FD'!L31</f>
        <v>14.9652579167622</v>
      </c>
      <c r="M38" s="121">
        <f>'Input FD'!M31</f>
        <v>10.8495178905568</v>
      </c>
      <c r="N38" s="121">
        <f>'Input FD'!N31</f>
        <v>10.477727437214</v>
      </c>
      <c r="O38" s="113"/>
      <c r="P38" s="113"/>
      <c r="Q38" s="113"/>
      <c r="R38" s="113"/>
      <c r="S38" s="113"/>
      <c r="T38" s="115"/>
      <c r="U38" s="122">
        <f t="shared" si="3"/>
        <v>69.389303262685701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1.2659124139942699</v>
      </c>
      <c r="K39" s="121">
        <f>'Input FD'!K32</f>
        <v>1.31985418066939</v>
      </c>
      <c r="L39" s="121">
        <f>'Input FD'!L32</f>
        <v>1.57951423336618</v>
      </c>
      <c r="M39" s="121">
        <f>'Input FD'!M32</f>
        <v>1.6763714141083299</v>
      </c>
      <c r="N39" s="121">
        <f>'Input FD'!N32</f>
        <v>1.6714490220846501</v>
      </c>
      <c r="O39" s="113"/>
      <c r="P39" s="113"/>
      <c r="Q39" s="113"/>
      <c r="R39" s="113"/>
      <c r="S39" s="113"/>
      <c r="T39" s="115"/>
      <c r="U39" s="122">
        <f t="shared" si="3"/>
        <v>7.5131012642228203</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2.2520946974483298</v>
      </c>
      <c r="K40" s="121">
        <f>'Input FD'!K33</f>
        <v>2.30459027730917</v>
      </c>
      <c r="L40" s="121">
        <f>'Input FD'!L33</f>
        <v>1.5513926284283699</v>
      </c>
      <c r="M40" s="121">
        <f>'Input FD'!M33</f>
        <v>1.47311469413213</v>
      </c>
      <c r="N40" s="121">
        <f>'Input FD'!N33</f>
        <v>1.4002452586169301</v>
      </c>
      <c r="O40" s="113"/>
      <c r="P40" s="113"/>
      <c r="Q40" s="113"/>
      <c r="R40" s="113"/>
      <c r="S40" s="113"/>
      <c r="T40" s="115"/>
      <c r="U40" s="122">
        <f t="shared" si="3"/>
        <v>8.9814375559349298</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30.08490646000562</v>
      </c>
      <c r="K43" s="121">
        <f>'Calc2 FD'!K56</f>
        <v>28.918408787201439</v>
      </c>
      <c r="L43" s="121">
        <f>'Calc2 FD'!L56</f>
        <v>27.558943920540319</v>
      </c>
      <c r="M43" s="121">
        <f>'Calc2 FD'!M56</f>
        <v>23.543050789949199</v>
      </c>
      <c r="N43" s="121">
        <f>'Calc2 FD'!N56</f>
        <v>22.715543230529594</v>
      </c>
      <c r="O43" s="113"/>
      <c r="P43" s="113"/>
      <c r="Q43" s="113"/>
      <c r="R43" s="113"/>
      <c r="S43" s="113"/>
      <c r="T43" s="115"/>
      <c r="U43" s="122">
        <f t="shared" si="3"/>
        <v>132.82085318822615</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9.6104599366307806</v>
      </c>
      <c r="K54" s="121">
        <f>'Calc2 FD'!K39</f>
        <v>9.476504374455935</v>
      </c>
      <c r="L54" s="121">
        <f>'Calc2 FD'!L39</f>
        <v>9.6256190046557766</v>
      </c>
      <c r="M54" s="121">
        <f>'Calc2 FD'!M39</f>
        <v>9.7082851449684195</v>
      </c>
      <c r="N54" s="121">
        <f>'Calc2 FD'!N39</f>
        <v>9.3238563541394299</v>
      </c>
      <c r="O54" s="113"/>
      <c r="P54" s="113"/>
      <c r="Q54" s="113"/>
      <c r="R54" s="113"/>
      <c r="S54" s="113"/>
      <c r="T54" s="115"/>
      <c r="U54" s="122">
        <f>SUM(J54:N54)</f>
        <v>47.744724814850343</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17.413614854435437</v>
      </c>
      <c r="K55" s="121">
        <f>'Calc2 FD'!K40</f>
        <v>16.252730145057253</v>
      </c>
      <c r="L55" s="121">
        <f>'Calc2 FD'!L40</f>
        <v>15.222786969005185</v>
      </c>
      <c r="M55" s="121">
        <f>'Calc2 FD'!M40</f>
        <v>11.036221392440243</v>
      </c>
      <c r="N55" s="121">
        <f>'Calc2 FD'!N40</f>
        <v>10.658032997704456</v>
      </c>
      <c r="O55" s="113"/>
      <c r="P55" s="113"/>
      <c r="Q55" s="113"/>
      <c r="R55" s="113"/>
      <c r="S55" s="113"/>
      <c r="T55" s="115"/>
      <c r="U55" s="122">
        <f>SUM(J55:N55)</f>
        <v>70.583386358642571</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1.2876968179792769</v>
      </c>
      <c r="K56" s="121">
        <f>'Calc2 FD'!K41</f>
        <v>1.3425668394245736</v>
      </c>
      <c r="L56" s="121">
        <f>'Calc2 FD'!L41</f>
        <v>1.6066952419251761</v>
      </c>
      <c r="M56" s="121">
        <f>'Calc2 FD'!M41</f>
        <v>1.7052191856525141</v>
      </c>
      <c r="N56" s="121">
        <f>'Calc2 FD'!N41</f>
        <v>1.7002120868393038</v>
      </c>
      <c r="O56" s="113"/>
      <c r="P56" s="113"/>
      <c r="Q56" s="113"/>
      <c r="R56" s="113"/>
      <c r="S56" s="113"/>
      <c r="T56" s="115"/>
      <c r="U56" s="122">
        <f>SUM(J56:N56)</f>
        <v>7.6423901718208445</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2.2908497804693648</v>
      </c>
      <c r="K57" s="121">
        <f>'Calc2 FD'!K42</f>
        <v>2.3442487284514697</v>
      </c>
      <c r="L57" s="121">
        <f>'Calc2 FD'!L42</f>
        <v>1.5780897074548803</v>
      </c>
      <c r="M57" s="121">
        <f>'Calc2 FD'!M42</f>
        <v>1.4984647304051526</v>
      </c>
      <c r="N57" s="121">
        <f>'Calc2 FD'!N42</f>
        <v>1.42434132407501</v>
      </c>
      <c r="O57" s="113"/>
      <c r="P57" s="113"/>
      <c r="Q57" s="113"/>
      <c r="R57" s="113"/>
      <c r="S57" s="113"/>
      <c r="T57" s="115"/>
      <c r="U57" s="122">
        <f>SUM(J57:N57)</f>
        <v>9.1359942708558766</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30.602621389514862</v>
      </c>
      <c r="K60" s="121">
        <f>'Calc2 FD'!K57</f>
        <v>29.41605008738923</v>
      </c>
      <c r="L60" s="121">
        <f>'Calc2 FD'!L57</f>
        <v>28.033190923041015</v>
      </c>
      <c r="M60" s="121">
        <f>'Calc2 FD'!M57</f>
        <v>23.948190453466328</v>
      </c>
      <c r="N60" s="121">
        <f>'Calc2 FD'!N57</f>
        <v>23.106442762758199</v>
      </c>
      <c r="O60" s="113"/>
      <c r="P60" s="113"/>
      <c r="Q60" s="113"/>
      <c r="R60" s="113"/>
      <c r="S60" s="113"/>
      <c r="T60" s="115"/>
      <c r="U60" s="122">
        <f>SUM(J60:N60)</f>
        <v>135.10649561616964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106.88338426709059</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-0.17313263285587699</v>
      </c>
      <c r="K73" s="121">
        <f>'Calc2 FD'!K127</f>
        <v>-0.166419671538171</v>
      </c>
      <c r="L73" s="121">
        <f>'Calc2 FD'!L127</f>
        <v>-0.158596222528848</v>
      </c>
      <c r="M73" s="121">
        <f>'Calc2 FD'!M127</f>
        <v>-0.135485558984277</v>
      </c>
      <c r="N73" s="121">
        <f>'Calc2 FD'!N127</f>
        <v>-0.130723418119358</v>
      </c>
      <c r="O73" s="113"/>
      <c r="P73" s="113"/>
      <c r="Q73" s="113"/>
      <c r="R73" s="113"/>
      <c r="S73" s="113"/>
      <c r="T73" s="115"/>
      <c r="U73" s="122">
        <f>SUM(J73:N73)</f>
        <v>-0.76435750402653091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32.428229999999999</v>
      </c>
      <c r="K16" s="121">
        <f>'Calc2 FD'!K55</f>
        <v>30.996270699999997</v>
      </c>
      <c r="L16" s="121">
        <f>'Calc2 FD'!L55</f>
        <v>29.696906600000002</v>
      </c>
      <c r="M16" s="121">
        <f>'Calc2 FD'!M55</f>
        <v>25.072380600000002</v>
      </c>
      <c r="N16" s="121">
        <f>'Calc2 FD'!N55</f>
        <v>23.769634999999997</v>
      </c>
      <c r="O16" s="113"/>
      <c r="P16" s="113"/>
      <c r="Q16" s="113"/>
      <c r="R16" s="113"/>
      <c r="S16" s="113"/>
      <c r="T16" s="115"/>
      <c r="U16" s="295">
        <f>SUM(J16:N16)</f>
        <v>141.96342290000001</v>
      </c>
    </row>
    <row r="17" spans="1:21" s="117" customFormat="1" ht="17.399999999999999">
      <c r="A17" s="110"/>
      <c r="B17" s="118" t="s">
        <v>131</v>
      </c>
      <c r="C17" s="119"/>
      <c r="D17" s="113"/>
      <c r="E17" s="124" t="str">
        <f>'Calc2 FD'!E56</f>
        <v>Water: Baseline capex (gross of adjustments)</v>
      </c>
      <c r="F17" s="124"/>
      <c r="G17" s="113"/>
      <c r="H17" s="120"/>
      <c r="I17" s="120"/>
      <c r="J17" s="121">
        <f>'Calc2 FD'!J56</f>
        <v>30.08490646000562</v>
      </c>
      <c r="K17" s="121">
        <f>'Calc2 FD'!K56</f>
        <v>28.918408787201439</v>
      </c>
      <c r="L17" s="121">
        <f>'Calc2 FD'!L56</f>
        <v>27.558943920540319</v>
      </c>
      <c r="M17" s="121">
        <f>'Calc2 FD'!M56</f>
        <v>23.543050789949199</v>
      </c>
      <c r="N17" s="121">
        <f>'Calc2 FD'!N56</f>
        <v>22.715543230529594</v>
      </c>
      <c r="O17" s="113"/>
      <c r="P17" s="113"/>
      <c r="Q17" s="113"/>
      <c r="R17" s="113"/>
      <c r="S17" s="113"/>
      <c r="T17" s="115"/>
      <c r="U17" s="295">
        <f t="shared" ref="U17:U18" si="0">SUM(J17:N17)</f>
        <v>132.82085318822615</v>
      </c>
    </row>
    <row r="18" spans="1:21" s="117" customFormat="1" ht="17.399999999999999">
      <c r="A18" s="110"/>
      <c r="B18" s="118" t="s">
        <v>132</v>
      </c>
      <c r="C18" s="119"/>
      <c r="D18" s="113"/>
      <c r="E18" s="124" t="str">
        <f>'Calc2 FD'!E57</f>
        <v>Water: Allowance capex (gross of adjustments)</v>
      </c>
      <c r="F18" s="124"/>
      <c r="G18" s="113"/>
      <c r="H18" s="286"/>
      <c r="I18" s="120"/>
      <c r="J18" s="121">
        <f>'Calc2 FD'!J57</f>
        <v>30.602621389514862</v>
      </c>
      <c r="K18" s="121">
        <f>'Calc2 FD'!K57</f>
        <v>29.41605008738923</v>
      </c>
      <c r="L18" s="121">
        <f>'Calc2 FD'!L57</f>
        <v>28.033190923041015</v>
      </c>
      <c r="M18" s="121">
        <f>'Calc2 FD'!M57</f>
        <v>23.948190453466328</v>
      </c>
      <c r="N18" s="121">
        <f>'Calc2 FD'!N57</f>
        <v>23.106442762758199</v>
      </c>
      <c r="O18" s="113"/>
      <c r="P18" s="113"/>
      <c r="Q18" s="113"/>
      <c r="R18" s="113"/>
      <c r="S18" s="113"/>
      <c r="T18" s="115"/>
      <c r="U18" s="295">
        <f t="shared" si="0"/>
        <v>135.10649561616964</v>
      </c>
    </row>
    <row r="19" spans="1:21" s="117" customFormat="1" ht="17.399999999999999">
      <c r="A19" s="110"/>
      <c r="B19" s="118" t="s">
        <v>133</v>
      </c>
      <c r="C19" s="119"/>
      <c r="D19" s="113"/>
      <c r="E19" s="124" t="str">
        <f>'Calc2 FD'!E94</f>
        <v>Water: CIS bid ratio</v>
      </c>
      <c r="F19" s="124"/>
      <c r="G19" s="301">
        <f>'Calc2 FD'!G94</f>
        <v>106.88338426709059</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-0.53000000000000103</v>
      </c>
      <c r="K21" s="121">
        <f>'Calc2 FD'!K59</f>
        <v>-0.622</v>
      </c>
      <c r="L21" s="121">
        <f>'Calc2 FD'!L59</f>
        <v>-0.88699999999999701</v>
      </c>
      <c r="M21" s="121">
        <f>'Calc2 FD'!M59</f>
        <v>-0.81599999999999895</v>
      </c>
      <c r="N21" s="121">
        <f>'Calc2 FD'!N59</f>
        <v>-0.48999999999999799</v>
      </c>
      <c r="O21" s="113"/>
      <c r="P21" s="113"/>
      <c r="Q21" s="113"/>
      <c r="R21" s="113"/>
      <c r="S21" s="113"/>
      <c r="T21" s="115"/>
      <c r="U21" s="295">
        <f t="shared" ref="U21:U22" si="1">SUM(J21:N21)</f>
        <v>-3.3449999999999949</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31.898229999999998</v>
      </c>
      <c r="K24" s="121">
        <f>'Calc2 FD'!K62</f>
        <v>30.374270699999997</v>
      </c>
      <c r="L24" s="121">
        <f>'Calc2 FD'!L62</f>
        <v>28.809906600000005</v>
      </c>
      <c r="M24" s="121">
        <f>'Calc2 FD'!M62</f>
        <v>24.256380600000004</v>
      </c>
      <c r="N24" s="121">
        <f>'Calc2 FD'!N62</f>
        <v>23.279634999999999</v>
      </c>
      <c r="O24" s="113"/>
      <c r="P24" s="113"/>
      <c r="Q24" s="113"/>
      <c r="R24" s="113"/>
      <c r="S24" s="113"/>
      <c r="T24" s="115"/>
      <c r="U24" s="295">
        <f t="shared" ref="U24:U26" si="2">SUM(J24:N24)</f>
        <v>138.61842289999998</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30.08490646000562</v>
      </c>
      <c r="K25" s="121">
        <f>'Calc2 FD'!K63</f>
        <v>28.918408787201439</v>
      </c>
      <c r="L25" s="121">
        <f>'Calc2 FD'!L63</f>
        <v>27.558943920540319</v>
      </c>
      <c r="M25" s="121">
        <f>'Calc2 FD'!M63</f>
        <v>23.543050789949199</v>
      </c>
      <c r="N25" s="121">
        <f>'Calc2 FD'!N63</f>
        <v>22.715543230529594</v>
      </c>
      <c r="O25" s="113"/>
      <c r="P25" s="113"/>
      <c r="Q25" s="113"/>
      <c r="R25" s="113"/>
      <c r="S25" s="113"/>
      <c r="T25" s="115"/>
      <c r="U25" s="295">
        <f t="shared" si="2"/>
        <v>132.82085318822615</v>
      </c>
    </row>
    <row r="26" spans="1:21" s="117" customFormat="1" ht="17.399999999999999">
      <c r="A26" s="110"/>
      <c r="B26" s="118" t="s">
        <v>138</v>
      </c>
      <c r="C26" s="119"/>
      <c r="D26" s="113"/>
      <c r="E26" s="113" t="str">
        <f>'Calc2 FD'!E64</f>
        <v>Water: Allowance capex (net of adjustments)</v>
      </c>
      <c r="F26" s="113"/>
      <c r="G26" s="113"/>
      <c r="H26" s="120"/>
      <c r="I26" s="120"/>
      <c r="J26" s="121">
        <f>'Calc2 FD'!J64</f>
        <v>30.413204574133264</v>
      </c>
      <c r="K26" s="121">
        <f>'Calc2 FD'!K64</f>
        <v>29.233977628375388</v>
      </c>
      <c r="L26" s="121">
        <f>'Calc2 FD'!L64</f>
        <v>27.859677756242636</v>
      </c>
      <c r="M26" s="121">
        <f>'Calc2 FD'!M64</f>
        <v>23.799961649400487</v>
      </c>
      <c r="N26" s="121">
        <f>'Calc2 FD'!N64</f>
        <v>22.96342400801786</v>
      </c>
      <c r="O26" s="113"/>
      <c r="P26" s="113"/>
      <c r="Q26" s="113"/>
      <c r="R26" s="113"/>
      <c r="S26" s="113"/>
      <c r="T26" s="115"/>
      <c r="U26" s="295">
        <f t="shared" si="2"/>
        <v>134.27024561616963</v>
      </c>
    </row>
    <row r="27" spans="1:21" s="117" customFormat="1" ht="17.399999999999999">
      <c r="A27" s="110"/>
      <c r="B27" s="118" t="s">
        <v>139</v>
      </c>
      <c r="C27" s="119"/>
      <c r="D27" s="113"/>
      <c r="E27" s="113" t="str">
        <f>'Calc2 FD'!E106</f>
        <v>Water: Restated CIS bid ratio</v>
      </c>
      <c r="F27" s="113"/>
      <c r="G27" s="301">
        <f>'Calc2 FD'!G106</f>
        <v>104.364954427418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28.343356773257149</v>
      </c>
      <c r="K30" s="121">
        <f>'Calc2 FD'!K79</f>
        <v>26.37113942659726</v>
      </c>
      <c r="L30" s="121">
        <f>'Calc2 FD'!L79</f>
        <v>25.063215520775234</v>
      </c>
      <c r="M30" s="121">
        <f>'Calc2 FD'!M79</f>
        <v>21.227352915708391</v>
      </c>
      <c r="N30" s="121">
        <f>'Calc2 FD'!N79</f>
        <v>20.380996144803291</v>
      </c>
      <c r="O30" s="113"/>
      <c r="P30" s="113"/>
      <c r="Q30" s="113"/>
      <c r="R30" s="113"/>
      <c r="S30" s="113"/>
      <c r="T30" s="115"/>
      <c r="U30" s="295">
        <f t="shared" ref="U30:U33" si="3">SUM(J30:N30)</f>
        <v>121.38606078114132</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26.732117653111413</v>
      </c>
      <c r="K31" s="121">
        <f>'Calc2 FD'!K80</f>
        <v>25.107150642554345</v>
      </c>
      <c r="L31" s="121">
        <f>'Calc2 FD'!L80</f>
        <v>23.974938919290363</v>
      </c>
      <c r="M31" s="121">
        <f>'Calc2 FD'!M80</f>
        <v>20.603100523195899</v>
      </c>
      <c r="N31" s="121">
        <f>'Calc2 FD'!N80</f>
        <v>19.887141658730311</v>
      </c>
      <c r="O31" s="113"/>
      <c r="P31" s="113"/>
      <c r="Q31" s="113"/>
      <c r="R31" s="113"/>
      <c r="S31" s="113"/>
      <c r="T31" s="115"/>
      <c r="U31" s="295">
        <f t="shared" si="3"/>
        <v>116.30444939688235</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27.02382884137193</v>
      </c>
      <c r="K32" s="121">
        <f>'Calc2 FD'!K81</f>
        <v>25.381129563447018</v>
      </c>
      <c r="L32" s="121">
        <f>'Calc2 FD'!L81</f>
        <v>24.236562708747442</v>
      </c>
      <c r="M32" s="121">
        <f>'Calc2 FD'!M81</f>
        <v>20.82792951031405</v>
      </c>
      <c r="N32" s="121">
        <f>'Calc2 FD'!N81</f>
        <v>20.104157826310221</v>
      </c>
      <c r="O32" s="113"/>
      <c r="P32" s="113"/>
      <c r="Q32" s="113"/>
      <c r="R32" s="113"/>
      <c r="S32" s="113"/>
      <c r="T32" s="115"/>
      <c r="U32" s="295">
        <f t="shared" si="3"/>
        <v>117.57360845019068</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25.803749346874238</v>
      </c>
      <c r="K33" s="121">
        <f>'Calc2 FD'!K82</f>
        <v>23.074642919841303</v>
      </c>
      <c r="L33" s="121">
        <f>'Calc2 FD'!L82</f>
        <v>26.714737781410761</v>
      </c>
      <c r="M33" s="121">
        <f>'Calc2 FD'!M82</f>
        <v>23.653830971928038</v>
      </c>
      <c r="N33" s="121">
        <f>'Calc2 FD'!N82</f>
        <v>17.660150655645964</v>
      </c>
      <c r="O33" s="113"/>
      <c r="P33" s="113"/>
      <c r="Q33" s="113"/>
      <c r="R33" s="113"/>
      <c r="S33" s="113"/>
      <c r="T33" s="115"/>
      <c r="U33" s="295">
        <f t="shared" si="3"/>
        <v>116.90711167570029</v>
      </c>
    </row>
    <row r="34" spans="1:21" s="117" customFormat="1" ht="17.399999999999999">
      <c r="A34" s="110"/>
      <c r="B34" s="118" t="s">
        <v>145</v>
      </c>
      <c r="C34" s="118"/>
      <c r="D34" s="113"/>
      <c r="E34" s="113" t="str">
        <f>'Calc2 FD'!E116</f>
        <v>Water: CIS outturn ratio</v>
      </c>
      <c r="F34" s="113"/>
      <c r="G34" s="301">
        <f>'Calc2 FD'!G116</f>
        <v>100.51817646009518</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-0.48390600414970181</v>
      </c>
    </row>
    <row r="38" spans="1:21" s="117" customFormat="1" ht="17.399999999999999">
      <c r="A38" s="110"/>
      <c r="B38" s="118" t="s">
        <v>152</v>
      </c>
      <c r="C38" s="119"/>
      <c r="D38" s="113"/>
      <c r="E38" s="113" t="str">
        <f>'Calc2 FD'!E127</f>
        <v>Water: Additional income (applied at FD)</v>
      </c>
      <c r="F38" s="113"/>
      <c r="G38" s="113"/>
      <c r="H38" s="113"/>
      <c r="I38" s="113"/>
      <c r="J38" s="121">
        <f>'Calc2 FD'!J127</f>
        <v>-0.17313263285587699</v>
      </c>
      <c r="K38" s="121">
        <f>'Calc2 FD'!K127</f>
        <v>-0.166419671538171</v>
      </c>
      <c r="L38" s="121">
        <f>'Calc2 FD'!L127</f>
        <v>-0.158596222528848</v>
      </c>
      <c r="M38" s="121">
        <f>'Calc2 FD'!M127</f>
        <v>-0.135485558984277</v>
      </c>
      <c r="N38" s="121">
        <f>'Calc2 FD'!N127</f>
        <v>-0.130723418119358</v>
      </c>
      <c r="O38" s="113"/>
      <c r="P38" s="113"/>
      <c r="Q38" s="113"/>
      <c r="R38" s="113"/>
      <c r="S38" s="113"/>
      <c r="T38" s="115"/>
      <c r="U38" s="295">
        <f t="shared" ref="U38" si="4">SUM(J38:N38)</f>
        <v>-0.76435750402653091</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0.28045149987682916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9" t="s">
        <v>364</v>
      </c>
      <c r="B1" s="779"/>
      <c r="C1" s="779"/>
      <c r="D1" s="779"/>
      <c r="E1" s="779"/>
      <c r="F1" s="779"/>
      <c r="G1" s="779"/>
      <c r="H1" s="779"/>
      <c r="I1" s="779"/>
      <c r="J1" s="779"/>
      <c r="K1" s="779"/>
      <c r="L1" s="779"/>
      <c r="M1" s="779"/>
      <c r="N1" s="779"/>
      <c r="O1" s="779"/>
      <c r="P1" s="779"/>
      <c r="Q1" s="779"/>
      <c r="R1" s="779"/>
      <c r="S1" s="779"/>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SSC_SST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-15.440201321847336</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-2.1016793016476458</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-2.4652393422426764</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9.7199899999999992</v>
      </c>
      <c r="J4" s="566">
        <v>9.4691895000000006</v>
      </c>
      <c r="K4" s="566">
        <v>9.5575726999999997</v>
      </c>
      <c r="L4" s="566">
        <v>9.5633368000000001</v>
      </c>
      <c r="M4" s="566">
        <v>9.1205259999999999</v>
      </c>
      <c r="N4" s="566"/>
      <c r="O4" s="566"/>
    </row>
    <row r="5" spans="1:15">
      <c r="A5" t="s">
        <v>818</v>
      </c>
      <c r="B5" t="s">
        <v>452</v>
      </c>
      <c r="C5" t="s">
        <v>178</v>
      </c>
      <c r="D5" t="s">
        <v>497</v>
      </c>
      <c r="E5" t="s">
        <v>742</v>
      </c>
      <c r="F5" s="566"/>
      <c r="G5" s="566"/>
      <c r="H5" s="566"/>
      <c r="I5" s="566">
        <v>18.846630000000001</v>
      </c>
      <c r="J5" s="566">
        <v>17.619257699999999</v>
      </c>
      <c r="K5" s="566">
        <v>16.722150200000002</v>
      </c>
      <c r="L5" s="566">
        <v>12.216910800000001</v>
      </c>
      <c r="M5" s="566">
        <v>11.413902</v>
      </c>
      <c r="N5" s="566"/>
      <c r="O5" s="566"/>
    </row>
    <row r="6" spans="1:15">
      <c r="A6" t="s">
        <v>818</v>
      </c>
      <c r="B6" t="s">
        <v>453</v>
      </c>
      <c r="C6" t="s">
        <v>123</v>
      </c>
      <c r="D6" t="s">
        <v>497</v>
      </c>
      <c r="E6" t="s">
        <v>742</v>
      </c>
      <c r="F6" s="566"/>
      <c r="G6" s="566"/>
      <c r="H6" s="566"/>
      <c r="I6" s="566">
        <v>1.8928799999999999</v>
      </c>
      <c r="J6" s="566">
        <v>1.9435382999999999</v>
      </c>
      <c r="K6" s="566">
        <v>2.5945822000000001</v>
      </c>
      <c r="L6" s="566">
        <v>2.9010120000000001</v>
      </c>
      <c r="M6" s="566">
        <v>3.209625</v>
      </c>
      <c r="N6" s="566"/>
      <c r="O6" s="566"/>
    </row>
    <row r="7" spans="1:15">
      <c r="A7" t="s">
        <v>818</v>
      </c>
      <c r="B7" t="s">
        <v>454</v>
      </c>
      <c r="C7" t="s">
        <v>122</v>
      </c>
      <c r="D7" t="s">
        <v>497</v>
      </c>
      <c r="E7" t="s">
        <v>742</v>
      </c>
      <c r="F7" s="566"/>
      <c r="G7" s="566"/>
      <c r="H7" s="566"/>
      <c r="I7" s="566">
        <v>3.0957300000000001</v>
      </c>
      <c r="J7" s="566">
        <v>3.1872851999999998</v>
      </c>
      <c r="K7" s="566">
        <v>2.4306014999999999</v>
      </c>
      <c r="L7" s="566">
        <v>2.4351210000000001</v>
      </c>
      <c r="M7" s="566">
        <v>2.5505819999999999</v>
      </c>
      <c r="N7" s="566"/>
      <c r="O7" s="566"/>
    </row>
    <row r="8" spans="1:15">
      <c r="A8" t="s">
        <v>818</v>
      </c>
      <c r="B8" t="s">
        <v>455</v>
      </c>
      <c r="C8" t="s">
        <v>190</v>
      </c>
      <c r="D8" t="s">
        <v>497</v>
      </c>
      <c r="E8" t="s">
        <v>742</v>
      </c>
      <c r="F8" s="566"/>
      <c r="G8" s="566"/>
      <c r="H8" s="566"/>
      <c r="I8" s="566">
        <v>1.127</v>
      </c>
      <c r="J8" s="566">
        <v>1.2230000000000001</v>
      </c>
      <c r="K8" s="566">
        <v>1.6080000000000001</v>
      </c>
      <c r="L8" s="566">
        <v>2.044</v>
      </c>
      <c r="M8" s="566">
        <v>2.5249999999999999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10.052</v>
      </c>
      <c r="G20" s="566">
        <v>9.8234098316132492</v>
      </c>
      <c r="H20" s="566">
        <v>7.0119999999999996</v>
      </c>
      <c r="I20" s="566">
        <v>9.4478765250558201</v>
      </c>
      <c r="J20" s="566">
        <v>9.3161871345773797</v>
      </c>
      <c r="K20" s="566">
        <v>9.4627791419835692</v>
      </c>
      <c r="L20" s="566">
        <v>9.5440467911519402</v>
      </c>
      <c r="M20" s="566">
        <v>9.1661215126140103</v>
      </c>
      <c r="N20" s="566"/>
      <c r="O20" s="566"/>
    </row>
    <row r="21" spans="1:15">
      <c r="A21" t="s">
        <v>818</v>
      </c>
      <c r="B21" t="s">
        <v>529</v>
      </c>
      <c r="C21" t="s">
        <v>512</v>
      </c>
      <c r="D21" t="s">
        <v>497</v>
      </c>
      <c r="E21" t="s">
        <v>742</v>
      </c>
      <c r="F21" s="566">
        <v>9.5239999999999991</v>
      </c>
      <c r="G21" s="566">
        <v>9.2349306665631996</v>
      </c>
      <c r="H21" s="566">
        <v>7.0819999999999999</v>
      </c>
      <c r="I21" s="566">
        <v>17.119022823507201</v>
      </c>
      <c r="J21" s="566">
        <v>15.977777194645499</v>
      </c>
      <c r="K21" s="566">
        <v>14.9652579167622</v>
      </c>
      <c r="L21" s="566">
        <v>10.8495178905568</v>
      </c>
      <c r="M21" s="566">
        <v>10.477727437214</v>
      </c>
      <c r="N21" s="566"/>
      <c r="O21" s="566"/>
    </row>
    <row r="22" spans="1:15">
      <c r="A22" t="s">
        <v>818</v>
      </c>
      <c r="B22" t="s">
        <v>1</v>
      </c>
      <c r="C22" t="s">
        <v>513</v>
      </c>
      <c r="D22" t="s">
        <v>497</v>
      </c>
      <c r="E22" t="s">
        <v>742</v>
      </c>
      <c r="F22" s="566">
        <v>3.6771272648475701</v>
      </c>
      <c r="G22" s="566">
        <v>3.0720375413269601</v>
      </c>
      <c r="H22" s="566">
        <v>3.0373148656061399</v>
      </c>
      <c r="I22" s="566">
        <v>1.2659124139942699</v>
      </c>
      <c r="J22" s="566">
        <v>1.31985418066939</v>
      </c>
      <c r="K22" s="566">
        <v>1.57951423336618</v>
      </c>
      <c r="L22" s="566">
        <v>1.6763714141083299</v>
      </c>
      <c r="M22" s="566">
        <v>1.6714490220846501</v>
      </c>
      <c r="N22" s="566"/>
      <c r="O22" s="566"/>
    </row>
    <row r="23" spans="1:15">
      <c r="A23" t="s">
        <v>818</v>
      </c>
      <c r="B23" t="s">
        <v>5</v>
      </c>
      <c r="C23" t="s">
        <v>514</v>
      </c>
      <c r="D23" t="s">
        <v>497</v>
      </c>
      <c r="E23" t="s">
        <v>742</v>
      </c>
      <c r="F23" s="566">
        <v>1.7278727351524199</v>
      </c>
      <c r="G23" s="566">
        <v>2.6695342752323601</v>
      </c>
      <c r="H23" s="566">
        <v>5.1656851343938497</v>
      </c>
      <c r="I23" s="566">
        <v>2.2520946974483298</v>
      </c>
      <c r="J23" s="566">
        <v>2.30459027730917</v>
      </c>
      <c r="K23" s="566">
        <v>1.5513926284283699</v>
      </c>
      <c r="L23" s="566">
        <v>1.47311469413213</v>
      </c>
      <c r="M23" s="566">
        <v>1.4002452586169301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106.88338426708999</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-0.17313263285587699</v>
      </c>
      <c r="J34" s="566">
        <v>-0.166419671538171</v>
      </c>
      <c r="K34" s="566">
        <v>-0.158596222528848</v>
      </c>
      <c r="L34" s="566">
        <v>-0.135485558984277</v>
      </c>
      <c r="M34" s="566">
        <v>-0.130723418119358</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206.02619945292699</v>
      </c>
      <c r="G36" s="566">
        <v>206.62122210946501</v>
      </c>
      <c r="H36" s="566">
        <v>207.347825995314</v>
      </c>
      <c r="I36" s="566">
        <v>213.944361164323</v>
      </c>
      <c r="J36" s="566">
        <v>218.703241866833</v>
      </c>
      <c r="K36" s="566">
        <v>220.911324375215</v>
      </c>
      <c r="L36" s="566">
        <v>219.124741563155</v>
      </c>
      <c r="M36" s="566">
        <v>216.778749394724</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7.0999999999999994E-2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9.0890000000000004</v>
      </c>
      <c r="J40" s="566">
        <v>9.4920000000000009</v>
      </c>
      <c r="K40" s="566">
        <v>10.148</v>
      </c>
      <c r="L40" s="566">
        <v>10.226000000000001</v>
      </c>
      <c r="M40" s="566">
        <v>7.4286351000000002</v>
      </c>
      <c r="N40" s="566"/>
      <c r="O40" s="566"/>
    </row>
    <row r="41" spans="1:15">
      <c r="A41" t="s">
        <v>818</v>
      </c>
      <c r="B41" t="s">
        <v>425</v>
      </c>
      <c r="C41" t="s">
        <v>65</v>
      </c>
      <c r="D41" t="s">
        <v>497</v>
      </c>
      <c r="E41" t="s">
        <v>742</v>
      </c>
      <c r="F41" s="566"/>
      <c r="G41" s="566"/>
      <c r="H41" s="566"/>
      <c r="I41" s="566">
        <v>14.56</v>
      </c>
      <c r="J41" s="566">
        <v>12.743</v>
      </c>
      <c r="K41" s="566">
        <v>16.628</v>
      </c>
      <c r="L41" s="566">
        <v>13.476000000000001</v>
      </c>
      <c r="M41" s="566">
        <v>12.9588945631413</v>
      </c>
      <c r="N41" s="566"/>
      <c r="O41" s="566"/>
    </row>
    <row r="42" spans="1:15">
      <c r="A42" t="s">
        <v>818</v>
      </c>
      <c r="B42" t="s">
        <v>426</v>
      </c>
      <c r="C42" t="s">
        <v>382</v>
      </c>
      <c r="D42" t="s">
        <v>497</v>
      </c>
      <c r="E42" t="s">
        <v>742</v>
      </c>
      <c r="F42" s="566"/>
      <c r="G42" s="566"/>
      <c r="H42" s="566"/>
      <c r="I42" s="566">
        <v>3.7559999999999998</v>
      </c>
      <c r="J42" s="566">
        <v>0.74399999999999999</v>
      </c>
      <c r="K42" s="566">
        <v>1.44</v>
      </c>
      <c r="L42" s="566">
        <v>1.8380000000000001</v>
      </c>
      <c r="M42" s="566">
        <v>1.7937000160000001</v>
      </c>
      <c r="N42" s="566"/>
      <c r="O42" s="566"/>
    </row>
    <row r="43" spans="1:15">
      <c r="A43" t="s">
        <v>818</v>
      </c>
      <c r="B43" t="s">
        <v>427</v>
      </c>
      <c r="C43" t="s">
        <v>383</v>
      </c>
      <c r="D43" t="s">
        <v>497</v>
      </c>
      <c r="E43" t="s">
        <v>742</v>
      </c>
      <c r="F43" s="566"/>
      <c r="G43" s="566"/>
      <c r="H43" s="566"/>
      <c r="I43" s="566">
        <v>0.61099999999999999</v>
      </c>
      <c r="J43" s="566">
        <v>3.2759999999999998</v>
      </c>
      <c r="K43" s="566">
        <v>3.12</v>
      </c>
      <c r="L43" s="566">
        <v>3.0059999999999998</v>
      </c>
      <c r="M43" s="566">
        <v>1.9730000000000001</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2.5000000000000001E-2</v>
      </c>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9.7199899999999992</v>
      </c>
      <c r="K10" s="221">
        <f>INDEX('F_Inputs BYR'!$B$4:$N$90,MATCH($C10,'F_Inputs BYR'!$B$4:$B$90,0),MATCH(K$2,'F_Inputs BYR'!$B$2:$N$2,0))</f>
        <v>9.4691895000000006</v>
      </c>
      <c r="L10" s="221">
        <f>INDEX('F_Inputs BYR'!$B$4:$N$90,MATCH($C10,'F_Inputs BYR'!$B$4:$B$90,0),MATCH(L$2,'F_Inputs BYR'!$B$2:$N$2,0))</f>
        <v>9.5575726999999997</v>
      </c>
      <c r="M10" s="221">
        <f>INDEX('F_Inputs BYR'!$B$4:$N$90,MATCH($C10,'F_Inputs BYR'!$B$4:$B$90,0),MATCH(M$2,'F_Inputs BYR'!$B$2:$N$2,0))</f>
        <v>9.5633368000000001</v>
      </c>
      <c r="N10" s="395">
        <f>INDEX('F_Inputs BYR'!$B$4:$N$90,MATCH($C10,'F_Inputs BYR'!$B$4:$B$90,0),MATCH(N$2,'F_Inputs BYR'!$B$2:$N$2,0))</f>
        <v>9.1205259999999999</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18.846630000000001</v>
      </c>
      <c r="K11" s="221">
        <f>INDEX('F_Inputs BYR'!$B$4:$N$90,MATCH($C11,'F_Inputs BYR'!$B$4:$B$90,0),MATCH(K$2,'F_Inputs BYR'!$B$2:$N$2,0))</f>
        <v>17.619257699999999</v>
      </c>
      <c r="L11" s="221">
        <f>INDEX('F_Inputs BYR'!$B$4:$N$90,MATCH($C11,'F_Inputs BYR'!$B$4:$B$90,0),MATCH(L$2,'F_Inputs BYR'!$B$2:$N$2,0))</f>
        <v>16.722150200000002</v>
      </c>
      <c r="M11" s="221">
        <f>INDEX('F_Inputs BYR'!$B$4:$N$90,MATCH($C11,'F_Inputs BYR'!$B$4:$B$90,0),MATCH(M$2,'F_Inputs BYR'!$B$2:$N$2,0))</f>
        <v>12.216910800000001</v>
      </c>
      <c r="N11" s="395">
        <f>INDEX('F_Inputs BYR'!$B$4:$N$90,MATCH($C11,'F_Inputs BYR'!$B$4:$B$90,0),MATCH(N$2,'F_Inputs BYR'!$B$2:$N$2,0))</f>
        <v>11.413902</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1.8928799999999999</v>
      </c>
      <c r="K12" s="221">
        <f>INDEX('F_Inputs BYR'!$B$4:$N$90,MATCH($C12,'F_Inputs BYR'!$B$4:$B$90,0),MATCH(K$2,'F_Inputs BYR'!$B$2:$N$2,0))</f>
        <v>1.9435382999999999</v>
      </c>
      <c r="L12" s="221">
        <f>INDEX('F_Inputs BYR'!$B$4:$N$90,MATCH($C12,'F_Inputs BYR'!$B$4:$B$90,0),MATCH(L$2,'F_Inputs BYR'!$B$2:$N$2,0))</f>
        <v>2.5945822000000001</v>
      </c>
      <c r="M12" s="221">
        <f>INDEX('F_Inputs BYR'!$B$4:$N$90,MATCH($C12,'F_Inputs BYR'!$B$4:$B$90,0),MATCH(M$2,'F_Inputs BYR'!$B$2:$N$2,0))</f>
        <v>2.9010120000000001</v>
      </c>
      <c r="N12" s="395">
        <f>INDEX('F_Inputs BYR'!$B$4:$N$90,MATCH($C12,'F_Inputs BYR'!$B$4:$B$90,0),MATCH(N$2,'F_Inputs BYR'!$B$2:$N$2,0))</f>
        <v>3.209625</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3.0957300000000001</v>
      </c>
      <c r="K13" s="221">
        <f>INDEX('F_Inputs BYR'!$B$4:$N$90,MATCH($C13,'F_Inputs BYR'!$B$4:$B$90,0),MATCH(K$2,'F_Inputs BYR'!$B$2:$N$2,0))</f>
        <v>3.1872851999999998</v>
      </c>
      <c r="L13" s="221">
        <f>INDEX('F_Inputs BYR'!$B$4:$N$90,MATCH($C13,'F_Inputs BYR'!$B$4:$B$90,0),MATCH(L$2,'F_Inputs BYR'!$B$2:$N$2,0))</f>
        <v>2.4306014999999999</v>
      </c>
      <c r="M13" s="221">
        <f>INDEX('F_Inputs BYR'!$B$4:$N$90,MATCH($C13,'F_Inputs BYR'!$B$4:$B$90,0),MATCH(M$2,'F_Inputs BYR'!$B$2:$N$2,0))</f>
        <v>2.4351210000000001</v>
      </c>
      <c r="N13" s="395">
        <f>INDEX('F_Inputs BYR'!$B$4:$N$90,MATCH($C13,'F_Inputs BYR'!$B$4:$B$90,0),MATCH(N$2,'F_Inputs BYR'!$B$2:$N$2,0))</f>
        <v>2.5505819999999999</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1.127</v>
      </c>
      <c r="K14" s="221">
        <f>INDEX('F_Inputs BYR'!$B$4:$N$90,MATCH($C14,'F_Inputs BYR'!$B$4:$B$90,0),MATCH(K$2,'F_Inputs BYR'!$B$2:$N$2,0))</f>
        <v>1.2230000000000001</v>
      </c>
      <c r="L14" s="221">
        <f>INDEX('F_Inputs BYR'!$B$4:$N$90,MATCH($C14,'F_Inputs BYR'!$B$4:$B$90,0),MATCH(L$2,'F_Inputs BYR'!$B$2:$N$2,0))</f>
        <v>1.6080000000000001</v>
      </c>
      <c r="M14" s="221">
        <f>INDEX('F_Inputs BYR'!$B$4:$N$90,MATCH($C14,'F_Inputs BYR'!$B$4:$B$90,0),MATCH(M$2,'F_Inputs BYR'!$B$2:$N$2,0))</f>
        <v>2.044</v>
      </c>
      <c r="N14" s="395">
        <f>INDEX('F_Inputs BYR'!$B$4:$N$90,MATCH($C14,'F_Inputs BYR'!$B$4:$B$90,0),MATCH(N$2,'F_Inputs BYR'!$B$2:$N$2,0))</f>
        <v>2.5249999999999999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9.4478765250558201</v>
      </c>
      <c r="K30" s="221">
        <f>INDEX('F_Inputs BYR'!$B$4:$N$90,MATCH($C30,'F_Inputs BYR'!$B$4:$B$90,0),MATCH(K$2,'F_Inputs BYR'!$B$2:$N$2,0))</f>
        <v>9.3161871345773797</v>
      </c>
      <c r="L30" s="221">
        <f>INDEX('F_Inputs BYR'!$B$4:$N$90,MATCH($C30,'F_Inputs BYR'!$B$4:$B$90,0),MATCH(L$2,'F_Inputs BYR'!$B$2:$N$2,0))</f>
        <v>9.4627791419835692</v>
      </c>
      <c r="M30" s="221">
        <f>INDEX('F_Inputs BYR'!$B$4:$N$90,MATCH($C30,'F_Inputs BYR'!$B$4:$B$90,0),MATCH(M$2,'F_Inputs BYR'!$B$2:$N$2,0))</f>
        <v>9.5440467911519402</v>
      </c>
      <c r="N30" s="395">
        <f>INDEX('F_Inputs BYR'!$B$4:$N$90,MATCH($C30,'F_Inputs BYR'!$B$4:$B$90,0),MATCH(N$2,'F_Inputs BYR'!$B$2:$N$2,0))</f>
        <v>9.1661215126140103</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17.119022823507201</v>
      </c>
      <c r="K31" s="221">
        <f>INDEX('F_Inputs BYR'!$B$4:$N$90,MATCH($C31,'F_Inputs BYR'!$B$4:$B$90,0),MATCH(K$2,'F_Inputs BYR'!$B$2:$N$2,0))</f>
        <v>15.977777194645499</v>
      </c>
      <c r="L31" s="221">
        <f>INDEX('F_Inputs BYR'!$B$4:$N$90,MATCH($C31,'F_Inputs BYR'!$B$4:$B$90,0),MATCH(L$2,'F_Inputs BYR'!$B$2:$N$2,0))</f>
        <v>14.9652579167622</v>
      </c>
      <c r="M31" s="221">
        <f>INDEX('F_Inputs BYR'!$B$4:$N$90,MATCH($C31,'F_Inputs BYR'!$B$4:$B$90,0),MATCH(M$2,'F_Inputs BYR'!$B$2:$N$2,0))</f>
        <v>10.8495178905568</v>
      </c>
      <c r="N31" s="395">
        <f>INDEX('F_Inputs BYR'!$B$4:$N$90,MATCH($C31,'F_Inputs BYR'!$B$4:$B$90,0),MATCH(N$2,'F_Inputs BYR'!$B$2:$N$2,0))</f>
        <v>10.477727437214</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1.2659124139942699</v>
      </c>
      <c r="K32" s="221">
        <f>INDEX('F_Inputs BYR'!$B$4:$N$90,MATCH($C32,'F_Inputs BYR'!$B$4:$B$90,0),MATCH(K$2,'F_Inputs BYR'!$B$2:$N$2,0))</f>
        <v>1.31985418066939</v>
      </c>
      <c r="L32" s="221">
        <f>INDEX('F_Inputs BYR'!$B$4:$N$90,MATCH($C32,'F_Inputs BYR'!$B$4:$B$90,0),MATCH(L$2,'F_Inputs BYR'!$B$2:$N$2,0))</f>
        <v>1.57951423336618</v>
      </c>
      <c r="M32" s="221">
        <f>INDEX('F_Inputs BYR'!$B$4:$N$90,MATCH($C32,'F_Inputs BYR'!$B$4:$B$90,0),MATCH(M$2,'F_Inputs BYR'!$B$2:$N$2,0))</f>
        <v>1.6763714141083299</v>
      </c>
      <c r="N32" s="395">
        <f>INDEX('F_Inputs BYR'!$B$4:$N$90,MATCH($C32,'F_Inputs BYR'!$B$4:$B$90,0),MATCH(N$2,'F_Inputs BYR'!$B$2:$N$2,0))</f>
        <v>1.6714490220846501</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2.2520946974483298</v>
      </c>
      <c r="K33" s="221">
        <f>INDEX('F_Inputs BYR'!$B$4:$N$90,MATCH($C33,'F_Inputs BYR'!$B$4:$B$90,0),MATCH(K$2,'F_Inputs BYR'!$B$2:$N$2,0))</f>
        <v>2.30459027730917</v>
      </c>
      <c r="L33" s="221">
        <f>INDEX('F_Inputs BYR'!$B$4:$N$90,MATCH($C33,'F_Inputs BYR'!$B$4:$B$90,0),MATCH(L$2,'F_Inputs BYR'!$B$2:$N$2,0))</f>
        <v>1.5513926284283699</v>
      </c>
      <c r="M33" s="221">
        <f>INDEX('F_Inputs BYR'!$B$4:$N$90,MATCH($C33,'F_Inputs BYR'!$B$4:$B$90,0),MATCH(M$2,'F_Inputs BYR'!$B$2:$N$2,0))</f>
        <v>1.47311469413213</v>
      </c>
      <c r="N33" s="395">
        <f>INDEX('F_Inputs BYR'!$B$4:$N$90,MATCH($C33,'F_Inputs BYR'!$B$4:$B$90,0),MATCH(N$2,'F_Inputs BYR'!$B$2:$N$2,0))</f>
        <v>1.4002452586169301</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-0.17313263285587699</v>
      </c>
      <c r="K49" s="221">
        <f>IF(INDEX('F_Inputs BYR'!$B$4:$N$90,MATCH($C49,'F_Inputs BYR'!$B$4:$B$90,0),MATCH(K$2,'F_Inputs BYR'!$B$2:$N$2,0))="","",INDEX('F_Inputs BYR'!$B$4:$N$90,MATCH($C49,'F_Inputs BYR'!$B$4:$B$90,0),MATCH(K$2,'F_Inputs BYR'!$B$2:$N$2,0)))</f>
        <v>-0.166419671538171</v>
      </c>
      <c r="L49" s="221">
        <f>IF(INDEX('F_Inputs BYR'!$B$4:$N$90,MATCH($C49,'F_Inputs BYR'!$B$4:$B$90,0),MATCH(L$2,'F_Inputs BYR'!$B$2:$N$2,0))="","",INDEX('F_Inputs BYR'!$B$4:$N$90,MATCH($C49,'F_Inputs BYR'!$B$4:$B$90,0),MATCH(L$2,'F_Inputs BYR'!$B$2:$N$2,0)))</f>
        <v>-0.158596222528848</v>
      </c>
      <c r="M49" s="221">
        <f>IF(INDEX('F_Inputs BYR'!$B$4:$N$90,MATCH($C49,'F_Inputs BYR'!$B$4:$B$90,0),MATCH(M$2,'F_Inputs BYR'!$B$2:$N$2,0))="","",INDEX('F_Inputs BYR'!$B$4:$N$90,MATCH($C49,'F_Inputs BYR'!$B$4:$B$90,0),MATCH(M$2,'F_Inputs BYR'!$B$2:$N$2,0)))</f>
        <v>-0.135485558984277</v>
      </c>
      <c r="N49" s="395">
        <f>IF(INDEX('F_Inputs BYR'!$B$4:$N$90,MATCH($C49,'F_Inputs BYR'!$B$4:$B$90,0),MATCH(N$2,'F_Inputs BYR'!$B$2:$N$2,0))="","",INDEX('F_Inputs BYR'!$B$4:$N$90,MATCH($C49,'F_Inputs BYR'!$B$4:$B$90,0),MATCH(N$2,'F_Inputs BYR'!$B$2:$N$2,0)))</f>
        <v>-0.130723418119358</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207.347825995314</v>
      </c>
      <c r="J54" s="221">
        <f>INDEX('F_Inputs BYR'!$B$4:$N$90,MATCH($C54,'F_Inputs BYR'!$B$4:$B$90,0),MATCH(J$2,'F_Inputs BYR'!$B$2:$N$2,0))</f>
        <v>213.944361164323</v>
      </c>
      <c r="K54" s="221">
        <f>INDEX('F_Inputs BYR'!$B$4:$N$90,MATCH($C54,'F_Inputs BYR'!$B$4:$B$90,0),MATCH(K$2,'F_Inputs BYR'!$B$2:$N$2,0))</f>
        <v>218.703241866833</v>
      </c>
      <c r="L54" s="221">
        <f>INDEX('F_Inputs BYR'!$B$4:$N$90,MATCH($C54,'F_Inputs BYR'!$B$4:$B$90,0),MATCH(L$2,'F_Inputs BYR'!$B$2:$N$2,0))</f>
        <v>220.911324375215</v>
      </c>
      <c r="M54" s="221">
        <f>INDEX('F_Inputs BYR'!$B$4:$N$90,MATCH($C54,'F_Inputs BYR'!$B$4:$B$90,0),MATCH(M$2,'F_Inputs BYR'!$B$2:$N$2,0))</f>
        <v>219.124741563155</v>
      </c>
      <c r="N54" s="395">
        <f>INDEX('F_Inputs BYR'!$B$4:$N$90,MATCH($C54,'F_Inputs BYR'!$B$4:$B$90,0),MATCH(N$2,'F_Inputs BYR'!$B$2:$N$2,0))</f>
        <v>216.778749394724</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9.0890000000000004</v>
      </c>
      <c r="K65" s="221">
        <f>INDEX('F_Inputs BYR'!$B$4:$N$90,MATCH($C65,'F_Inputs BYR'!$B$4:$B$90,0),MATCH(K$2,'F_Inputs BYR'!$B$2:$N$2,0))</f>
        <v>9.4920000000000009</v>
      </c>
      <c r="L65" s="221">
        <f>INDEX('F_Inputs BYR'!$B$4:$N$90,MATCH($C65,'F_Inputs BYR'!$B$4:$B$90,0),MATCH(L$2,'F_Inputs BYR'!$B$2:$N$2,0))</f>
        <v>10.148</v>
      </c>
      <c r="M65" s="221">
        <f>INDEX('F_Inputs BYR'!$B$4:$N$90,MATCH($C65,'F_Inputs BYR'!$B$4:$B$90,0),MATCH(M$2,'F_Inputs BYR'!$B$2:$N$2,0))</f>
        <v>10.226000000000001</v>
      </c>
      <c r="N65" s="395">
        <f>INDEX('F_Inputs BYR'!$B$4:$N$90,MATCH($C65,'F_Inputs BYR'!$B$4:$B$90,0),MATCH(N$2,'F_Inputs BYR'!$B$2:$N$2,0))</f>
        <v>7.4286351000000002</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14.56</v>
      </c>
      <c r="K66" s="221">
        <f>INDEX('F_Inputs BYR'!$B$4:$N$90,MATCH($C66,'F_Inputs BYR'!$B$4:$B$90,0),MATCH(K$2,'F_Inputs BYR'!$B$2:$N$2,0))</f>
        <v>12.743</v>
      </c>
      <c r="L66" s="221">
        <f>INDEX('F_Inputs BYR'!$B$4:$N$90,MATCH($C66,'F_Inputs BYR'!$B$4:$B$90,0),MATCH(L$2,'F_Inputs BYR'!$B$2:$N$2,0))</f>
        <v>16.628</v>
      </c>
      <c r="M66" s="221">
        <f>INDEX('F_Inputs BYR'!$B$4:$N$90,MATCH($C66,'F_Inputs BYR'!$B$4:$B$90,0),MATCH(M$2,'F_Inputs BYR'!$B$2:$N$2,0))</f>
        <v>13.476000000000001</v>
      </c>
      <c r="N66" s="395">
        <f>INDEX('F_Inputs BYR'!$B$4:$N$90,MATCH($C66,'F_Inputs BYR'!$B$4:$B$90,0),MATCH(N$2,'F_Inputs BYR'!$B$2:$N$2,0))</f>
        <v>12.9588945631413</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3.7559999999999998</v>
      </c>
      <c r="K67" s="221">
        <f>INDEX('F_Inputs BYR'!$B$4:$N$90,MATCH($C67,'F_Inputs BYR'!$B$4:$B$90,0),MATCH(K$2,'F_Inputs BYR'!$B$2:$N$2,0))</f>
        <v>0.74399999999999999</v>
      </c>
      <c r="L67" s="221">
        <f>INDEX('F_Inputs BYR'!$B$4:$N$90,MATCH($C67,'F_Inputs BYR'!$B$4:$B$90,0),MATCH(L$2,'F_Inputs BYR'!$B$2:$N$2,0))</f>
        <v>1.44</v>
      </c>
      <c r="M67" s="221">
        <f>INDEX('F_Inputs BYR'!$B$4:$N$90,MATCH($C67,'F_Inputs BYR'!$B$4:$B$90,0),MATCH(M$2,'F_Inputs BYR'!$B$2:$N$2,0))</f>
        <v>1.8380000000000001</v>
      </c>
      <c r="N67" s="395">
        <f>INDEX('F_Inputs BYR'!$B$4:$N$90,MATCH($C67,'F_Inputs BYR'!$B$4:$B$90,0),MATCH(N$2,'F_Inputs BYR'!$B$2:$N$2,0))</f>
        <v>1.7937000160000001</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0.61099999999999999</v>
      </c>
      <c r="K68" s="221">
        <f>INDEX('F_Inputs BYR'!$B$4:$N$90,MATCH($C68,'F_Inputs BYR'!$B$4:$B$90,0),MATCH(K$2,'F_Inputs BYR'!$B$2:$N$2,0))</f>
        <v>3.2759999999999998</v>
      </c>
      <c r="L68" s="221">
        <f>INDEX('F_Inputs BYR'!$B$4:$N$90,MATCH($C68,'F_Inputs BYR'!$B$4:$B$90,0),MATCH(L$2,'F_Inputs BYR'!$B$2:$N$2,0))</f>
        <v>3.12</v>
      </c>
      <c r="M68" s="221">
        <f>INDEX('F_Inputs BYR'!$B$4:$N$90,MATCH($C68,'F_Inputs BYR'!$B$4:$B$90,0),MATCH(M$2,'F_Inputs BYR'!$B$2:$N$2,0))</f>
        <v>3.0059999999999998</v>
      </c>
      <c r="N68" s="395">
        <f>INDEX('F_Inputs BYR'!$B$4:$N$90,MATCH($C68,'F_Inputs BYR'!$B$4:$B$90,0),MATCH(N$2,'F_Inputs BYR'!$B$2:$N$2,0))</f>
        <v>1.9730000000000001</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703">
        <v>-0.53000000000000103</v>
      </c>
      <c r="K85" s="703">
        <v>-0.622</v>
      </c>
      <c r="L85" s="703">
        <v>-0.88699999999999701</v>
      </c>
      <c r="M85" s="703">
        <v>-0.81599999999999895</v>
      </c>
      <c r="N85" s="704">
        <v>-0.48999999999999799</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2.5000000000000001E-2</v>
      </c>
      <c r="N107" s="416">
        <f>INDEX('F_Inputs BYR'!$B$4:$N$90,MATCH($C107,'F_Inputs BYR'!$B$4:$B$90,0),MATCH(N$2,'F_Inputs BYR'!$B$2:$N$2,0))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0</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9.6104599366307806</v>
      </c>
      <c r="K39" s="156">
        <f>IF(OR(K$5&lt;4,K$5&gt;8),'Input BYR'!K30,'Input BYR'!K30*$G$95/100)</f>
        <v>9.476504374455935</v>
      </c>
      <c r="L39" s="156">
        <f>IF(OR(L$5&lt;4,L$5&gt;8),'Input BYR'!L30,'Input BYR'!L30*$G$95/100)</f>
        <v>9.6256190046557766</v>
      </c>
      <c r="M39" s="156">
        <f>IF(OR(M$5&lt;4,M$5&gt;8),'Input BYR'!M30,'Input BYR'!M30*$G$95/100)</f>
        <v>9.7082851449684195</v>
      </c>
      <c r="N39" s="365">
        <f>IF(OR(N$5&lt;4,N$5&gt;8),'Input BYR'!N30,'Input BYR'!N30*$G$95/100)</f>
        <v>9.3238563541394299</v>
      </c>
      <c r="O39" s="157"/>
      <c r="P39" s="158"/>
      <c r="Q39" s="148"/>
      <c r="R39" s="147" t="s">
        <v>242</v>
      </c>
    </row>
    <row r="40" spans="1:23" s="37" customFormat="1">
      <c r="C40" s="131"/>
      <c r="D40" s="153" t="s">
        <v>57</v>
      </c>
      <c r="E40" s="154" t="s">
        <v>61</v>
      </c>
      <c r="F40" s="155"/>
      <c r="G40" s="148"/>
      <c r="H40" s="148"/>
      <c r="I40" s="148"/>
      <c r="J40" s="156">
        <f>IF(OR(J$5&lt;4,J$5&gt;8),'Input BYR'!J31,'Input BYR'!J31*$G$95/100)</f>
        <v>17.413614854435437</v>
      </c>
      <c r="K40" s="156">
        <f>IF(OR(K$5&lt;4,K$5&gt;8),'Input BYR'!K31,'Input BYR'!K31*$G$95/100)</f>
        <v>16.252730145057253</v>
      </c>
      <c r="L40" s="156">
        <f>IF(OR(L$5&lt;4,L$5&gt;8),'Input BYR'!L31,'Input BYR'!L31*$G$95/100)</f>
        <v>15.222786969005185</v>
      </c>
      <c r="M40" s="156">
        <f>IF(OR(M$5&lt;4,M$5&gt;8),'Input BYR'!M31,'Input BYR'!M31*$G$95/100)</f>
        <v>11.036221392440243</v>
      </c>
      <c r="N40" s="365">
        <f>IF(OR(N$5&lt;4,N$5&gt;8),'Input BYR'!N31,'Input BYR'!N31*$G$95/100)</f>
        <v>10.658032997704456</v>
      </c>
      <c r="O40" s="157"/>
      <c r="P40" s="158"/>
      <c r="Q40" s="148"/>
      <c r="R40" s="147" t="s">
        <v>242</v>
      </c>
    </row>
    <row r="41" spans="1:23" s="37" customFormat="1">
      <c r="C41" s="131"/>
      <c r="D41" s="153" t="s">
        <v>57</v>
      </c>
      <c r="E41" s="154" t="s">
        <v>63</v>
      </c>
      <c r="F41" s="155"/>
      <c r="G41" s="148"/>
      <c r="H41" s="148"/>
      <c r="I41" s="148"/>
      <c r="J41" s="156">
        <f>IF(OR(J$5&lt;4,J$5&gt;8),'Input BYR'!J32,'Input BYR'!J32*$G$95/100)</f>
        <v>1.2876968179792769</v>
      </c>
      <c r="K41" s="156">
        <f>IF(OR(K$5&lt;4,K$5&gt;8),'Input BYR'!K32,'Input BYR'!K32*$G$95/100)</f>
        <v>1.3425668394245736</v>
      </c>
      <c r="L41" s="156">
        <f>IF(OR(L$5&lt;4,L$5&gt;8),'Input BYR'!L32,'Input BYR'!L32*$G$95/100)</f>
        <v>1.6066952419251761</v>
      </c>
      <c r="M41" s="156">
        <f>IF(OR(M$5&lt;4,M$5&gt;8),'Input BYR'!M32,'Input BYR'!M32*$G$95/100)</f>
        <v>1.7052191856525141</v>
      </c>
      <c r="N41" s="365">
        <f>IF(OR(N$5&lt;4,N$5&gt;8),'Input BYR'!N32,'Input BYR'!N32*$G$95/100)</f>
        <v>1.7002120868393038</v>
      </c>
      <c r="O41" s="157"/>
      <c r="P41" s="158"/>
      <c r="Q41" s="148"/>
      <c r="R41" s="147" t="s">
        <v>242</v>
      </c>
    </row>
    <row r="42" spans="1:23" s="37" customFormat="1">
      <c r="C42" s="131"/>
      <c r="D42" s="153" t="s">
        <v>57</v>
      </c>
      <c r="E42" s="154" t="s">
        <v>62</v>
      </c>
      <c r="F42" s="155"/>
      <c r="G42" s="148"/>
      <c r="H42" s="148"/>
      <c r="I42" s="148"/>
      <c r="J42" s="156">
        <f>IF(OR(J$5&lt;4,J$5&gt;8),'Input BYR'!J33,'Input BYR'!J33*$G$95/100)</f>
        <v>2.2908497804693648</v>
      </c>
      <c r="K42" s="156">
        <f>IF(OR(K$5&lt;4,K$5&gt;8),'Input BYR'!K33,'Input BYR'!K33*$G$95/100)</f>
        <v>2.3442487284514697</v>
      </c>
      <c r="L42" s="156">
        <f>IF(OR(L$5&lt;4,L$5&gt;8),'Input BYR'!L33,'Input BYR'!L33*$G$95/100)</f>
        <v>1.5780897074548803</v>
      </c>
      <c r="M42" s="156">
        <f>IF(OR(M$5&lt;4,M$5&gt;8),'Input BYR'!M33,'Input BYR'!M33*$G$95/100)</f>
        <v>1.4984647304051526</v>
      </c>
      <c r="N42" s="365">
        <f>IF(OR(N$5&lt;4,N$5&gt;8),'Input BYR'!N33,'Input BYR'!N33*$G$95/100)</f>
        <v>1.42434132407501</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32.428229999999999</v>
      </c>
      <c r="K55" s="156">
        <f>SUM('Input BYR'!K10:K13)-'Input BYR'!K14-'Input BYR'!K17+'Input BYR'!K15+'Input BYR'!K16</f>
        <v>30.996270699999997</v>
      </c>
      <c r="L55" s="156">
        <f>SUM('Input BYR'!L10:L13)-'Input BYR'!L14-'Input BYR'!L17+'Input BYR'!L15+'Input BYR'!L16</f>
        <v>29.696906600000002</v>
      </c>
      <c r="M55" s="156">
        <f>SUM('Input BYR'!M10:M13)-'Input BYR'!M14-'Input BYR'!M17+'Input BYR'!M15+'Input BYR'!M16</f>
        <v>25.072380600000002</v>
      </c>
      <c r="N55" s="365">
        <f>SUM('Input BYR'!N10:N13)-'Input BYR'!N14-'Input BYR'!N17+'Input BYR'!N15+'Input BYR'!N16</f>
        <v>23.769634999999997</v>
      </c>
      <c r="O55" s="157"/>
      <c r="P55" s="158"/>
      <c r="Q55" s="148"/>
      <c r="R55" s="147" t="s">
        <v>242</v>
      </c>
    </row>
    <row r="56" spans="1:18" s="37" customFormat="1">
      <c r="C56" s="131"/>
      <c r="D56" s="153" t="s">
        <v>57</v>
      </c>
      <c r="E56" s="154" t="s">
        <v>114</v>
      </c>
      <c r="F56" s="155"/>
      <c r="G56" s="148"/>
      <c r="H56" s="148"/>
      <c r="I56" s="148"/>
      <c r="J56" s="156">
        <f>SUM('Input BYR'!J30:J35)</f>
        <v>30.08490646000562</v>
      </c>
      <c r="K56" s="156">
        <f>SUM('Input BYR'!K30:K35)</f>
        <v>28.918408787201439</v>
      </c>
      <c r="L56" s="156">
        <f>SUM('Input BYR'!L30:L35)</f>
        <v>27.558943920540319</v>
      </c>
      <c r="M56" s="156">
        <f>SUM('Input BYR'!M30:M35)</f>
        <v>23.543050789949199</v>
      </c>
      <c r="N56" s="365">
        <f>SUM('Input BYR'!N30:N35)</f>
        <v>22.715543230529594</v>
      </c>
      <c r="O56" s="157"/>
      <c r="P56" s="158"/>
      <c r="Q56" s="148"/>
      <c r="R56" s="147" t="s">
        <v>242</v>
      </c>
    </row>
    <row r="57" spans="1:18" s="37" customFormat="1">
      <c r="C57" s="131"/>
      <c r="D57" s="153" t="s">
        <v>57</v>
      </c>
      <c r="E57" s="154" t="s">
        <v>115</v>
      </c>
      <c r="F57" s="155"/>
      <c r="G57" s="148"/>
      <c r="H57" s="148"/>
      <c r="I57" s="148"/>
      <c r="J57" s="156">
        <f>SUM(J39:J44)</f>
        <v>30.602621389514862</v>
      </c>
      <c r="K57" s="156">
        <f t="shared" ref="K57:N57" si="7">SUM(K39:K44)</f>
        <v>29.41605008738923</v>
      </c>
      <c r="L57" s="156">
        <f t="shared" si="7"/>
        <v>28.033190923041015</v>
      </c>
      <c r="M57" s="156">
        <f t="shared" si="7"/>
        <v>23.948190453466328</v>
      </c>
      <c r="N57" s="365">
        <f t="shared" si="7"/>
        <v>23.106442762758199</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-0.53000000000000103</v>
      </c>
      <c r="K59" s="156">
        <f>'Input BYR'!K85+'Input BYR'!K82</f>
        <v>-0.622</v>
      </c>
      <c r="L59" s="156">
        <f>'Input BYR'!L85+'Input BYR'!L82</f>
        <v>-0.88699999999999701</v>
      </c>
      <c r="M59" s="156">
        <f>'Input BYR'!M85+'Input BYR'!M82</f>
        <v>-0.81599999999999895</v>
      </c>
      <c r="N59" s="365">
        <f>'Input BYR'!N85+'Input BYR'!N82</f>
        <v>-0.48999999999999799</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31.898229999999998</v>
      </c>
      <c r="K62" s="156">
        <f t="shared" ref="K62:N63" si="8">K55+K59</f>
        <v>30.374270699999997</v>
      </c>
      <c r="L62" s="156">
        <f t="shared" si="8"/>
        <v>28.809906600000005</v>
      </c>
      <c r="M62" s="156">
        <f t="shared" si="8"/>
        <v>24.256380600000004</v>
      </c>
      <c r="N62" s="365">
        <f t="shared" si="8"/>
        <v>23.279634999999999</v>
      </c>
      <c r="O62" s="157"/>
      <c r="P62" s="158"/>
      <c r="Q62" s="148"/>
      <c r="R62" s="147" t="s">
        <v>242</v>
      </c>
    </row>
    <row r="63" spans="1:18" s="37" customFormat="1">
      <c r="C63" s="131"/>
      <c r="D63" s="153" t="s">
        <v>57</v>
      </c>
      <c r="E63" s="154" t="s">
        <v>182</v>
      </c>
      <c r="F63" s="155"/>
      <c r="G63" s="148"/>
      <c r="H63" s="148"/>
      <c r="I63" s="148"/>
      <c r="J63" s="156">
        <f>J56+J60</f>
        <v>30.08490646000562</v>
      </c>
      <c r="K63" s="156">
        <f t="shared" si="8"/>
        <v>28.918408787201439</v>
      </c>
      <c r="L63" s="156">
        <f t="shared" si="8"/>
        <v>27.558943920540319</v>
      </c>
      <c r="M63" s="156">
        <f t="shared" si="8"/>
        <v>23.543050789949199</v>
      </c>
      <c r="N63" s="365">
        <f t="shared" si="8"/>
        <v>22.715543230529594</v>
      </c>
      <c r="O63" s="157"/>
      <c r="P63" s="158"/>
      <c r="Q63" s="148"/>
      <c r="R63" s="147" t="s">
        <v>242</v>
      </c>
    </row>
    <row r="64" spans="1:18" s="37" customFormat="1">
      <c r="C64" s="131"/>
      <c r="D64" s="153" t="s">
        <v>57</v>
      </c>
      <c r="E64" s="154" t="s">
        <v>250</v>
      </c>
      <c r="F64" s="155"/>
      <c r="G64" s="148"/>
      <c r="H64" s="148"/>
      <c r="I64" s="148"/>
      <c r="J64" s="156">
        <f>J63*$G$107/100</f>
        <v>30.413204574133264</v>
      </c>
      <c r="K64" s="156">
        <f t="shared" ref="K64:N64" si="9">K63*$G$107/100</f>
        <v>29.233977628375388</v>
      </c>
      <c r="L64" s="156">
        <f t="shared" si="9"/>
        <v>27.859677756242636</v>
      </c>
      <c r="M64" s="156">
        <f t="shared" si="9"/>
        <v>23.799961649400487</v>
      </c>
      <c r="N64" s="365">
        <f t="shared" si="9"/>
        <v>22.96342400801786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28.343356773257149</v>
      </c>
      <c r="K79" s="156">
        <f t="shared" ref="K79:N81" si="13">K62*K$21</f>
        <v>26.37113942659726</v>
      </c>
      <c r="L79" s="156">
        <f t="shared" si="13"/>
        <v>25.035631088108733</v>
      </c>
      <c r="M79" s="156">
        <f t="shared" si="13"/>
        <v>21.37701459125222</v>
      </c>
      <c r="N79" s="365">
        <f t="shared" si="13"/>
        <v>20.708321849927405</v>
      </c>
      <c r="P79" s="136"/>
      <c r="Q79" s="131"/>
      <c r="R79" s="147" t="s">
        <v>242</v>
      </c>
    </row>
    <row r="80" spans="1:18" s="37" customFormat="1">
      <c r="C80" s="131"/>
      <c r="D80" s="153" t="s">
        <v>57</v>
      </c>
      <c r="E80" s="132" t="s">
        <v>317</v>
      </c>
      <c r="F80" s="161"/>
      <c r="G80" s="162"/>
      <c r="H80" s="162"/>
      <c r="I80" s="163"/>
      <c r="J80" s="156">
        <f>J63*J$21</f>
        <v>26.732117653111413</v>
      </c>
      <c r="K80" s="156">
        <f t="shared" si="13"/>
        <v>25.107150642554345</v>
      </c>
      <c r="L80" s="156">
        <f t="shared" si="13"/>
        <v>23.948552237671063</v>
      </c>
      <c r="M80" s="156">
        <f t="shared" si="13"/>
        <v>20.74836095948033</v>
      </c>
      <c r="N80" s="365">
        <f t="shared" si="13"/>
        <v>20.206535893442769</v>
      </c>
      <c r="P80" s="136"/>
      <c r="Q80" s="131"/>
      <c r="R80" s="147" t="s">
        <v>242</v>
      </c>
    </row>
    <row r="81" spans="1:18" s="37" customFormat="1">
      <c r="C81" s="131"/>
      <c r="D81" s="153" t="s">
        <v>57</v>
      </c>
      <c r="E81" s="132" t="s">
        <v>318</v>
      </c>
      <c r="F81" s="161"/>
      <c r="G81" s="162"/>
      <c r="H81" s="162"/>
      <c r="I81" s="163"/>
      <c r="J81" s="156">
        <f>J64*J$21</f>
        <v>27.02382884137193</v>
      </c>
      <c r="K81" s="156">
        <f t="shared" si="13"/>
        <v>25.381129563447018</v>
      </c>
      <c r="L81" s="156">
        <f t="shared" si="13"/>
        <v>24.209888085471245</v>
      </c>
      <c r="M81" s="156">
        <f t="shared" si="13"/>
        <v>20.974775084559706</v>
      </c>
      <c r="N81" s="365">
        <f t="shared" si="13"/>
        <v>20.427037414219932</v>
      </c>
      <c r="P81" s="136"/>
      <c r="Q81" s="131"/>
      <c r="R81" s="147" t="s">
        <v>242</v>
      </c>
    </row>
    <row r="82" spans="1:18" s="37" customFormat="1">
      <c r="C82" s="131"/>
      <c r="D82" s="153" t="s">
        <v>57</v>
      </c>
      <c r="E82" s="132" t="s">
        <v>110</v>
      </c>
      <c r="F82" s="164"/>
      <c r="G82" s="164"/>
      <c r="H82" s="164"/>
      <c r="I82" s="164"/>
      <c r="J82" s="156">
        <f>SUM('Input BYR'!J65:J70)*J$15</f>
        <v>25.803749346874238</v>
      </c>
      <c r="K82" s="156">
        <f>SUM('Input BYR'!K65:K70)*K$15</f>
        <v>23.074642919841303</v>
      </c>
      <c r="L82" s="156">
        <f>SUM('Input BYR'!L65:L70)*L$15</f>
        <v>26.714737781410761</v>
      </c>
      <c r="M82" s="156">
        <f>SUM('Input BYR'!M65:M70)*M$15</f>
        <v>23.653830971928038</v>
      </c>
      <c r="N82" s="365">
        <f>SUM('Input BYR'!N65:N70)*N$15</f>
        <v>19.630016983720324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106.88338426709059</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101.72084606677265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0.26558307866454711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-0.57548004374233486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104.364954427418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101.0912386068545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0.27817522786291005</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101.82817452368633</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-0.78047736032739046</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-0.91115047903074697</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-0.17313263285587699</v>
      </c>
      <c r="K127" s="156">
        <f>IF('Input BYR'!K49&lt;&gt;"",'Input BYR'!K49,K56*$G$97/100)</f>
        <v>-0.166419671538171</v>
      </c>
      <c r="L127" s="156">
        <f>IF('Input BYR'!L49&lt;&gt;"",'Input BYR'!L49,L56*$G$97/100)</f>
        <v>-0.158596222528848</v>
      </c>
      <c r="M127" s="156">
        <f>IF('Input BYR'!M49&lt;&gt;"",'Input BYR'!M49,M56*$G$97/100)</f>
        <v>-0.135485558984277</v>
      </c>
      <c r="N127" s="365">
        <f>IF('Input BYR'!N49&lt;&gt;"",'Input BYR'!N49,N56*$G$97/100)</f>
        <v>-0.130723418119358</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-0.14679297500421606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30.626096895787541</v>
      </c>
      <c r="K138" s="156">
        <f>(K57+'Input BYR'!K83)*K$29</f>
        <v>30.763353057144556</v>
      </c>
      <c r="L138" s="156">
        <f>(L57+'Input BYR'!L83)*L$29</f>
        <v>30.401891490031993</v>
      </c>
      <c r="M138" s="156">
        <f>(M57+'Input BYR'!M83)*M$29</f>
        <v>26.750875354649796</v>
      </c>
      <c r="N138" s="365">
        <f>(N57+'Input BYR'!N83)*N$29</f>
        <v>26.584935449718675</v>
      </c>
      <c r="O138" s="104"/>
      <c r="P138" s="136"/>
      <c r="Q138" s="104"/>
      <c r="R138" s="147" t="s">
        <v>87</v>
      </c>
      <c r="S138" s="147"/>
    </row>
    <row r="139" spans="1:19" s="37" customFormat="1">
      <c r="C139" s="131"/>
      <c r="D139" s="104" t="s">
        <v>57</v>
      </c>
      <c r="E139" s="104" t="s">
        <v>110</v>
      </c>
      <c r="F139" s="104"/>
      <c r="G139" s="104"/>
      <c r="H139" s="104"/>
      <c r="I139" s="104"/>
      <c r="J139" s="156">
        <f>SUM('Input BYR'!J65:J70)</f>
        <v>28.016000000000002</v>
      </c>
      <c r="K139" s="156">
        <f>SUM('Input BYR'!K65:K70)</f>
        <v>26.254999999999999</v>
      </c>
      <c r="L139" s="156">
        <f>SUM('Input BYR'!L65:L70)</f>
        <v>31.336000000000002</v>
      </c>
      <c r="M139" s="156">
        <f>SUM('Input BYR'!M65:M70)</f>
        <v>28.546000000000003</v>
      </c>
      <c r="N139" s="365">
        <f>SUM('Input BYR'!N65:N70)</f>
        <v>24.154229679141299</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-3.6040238385813623</v>
      </c>
      <c r="K140" s="672">
        <f>(K$139*K$15)-(K$138*K$26)</f>
        <v>-5.6054263847188608</v>
      </c>
      <c r="L140" s="672">
        <f>(L$139*L$15)-(L$138*L$26)</f>
        <v>-0.88320359269528126</v>
      </c>
      <c r="M140" s="672">
        <f>(M$139*M$15)-(M$138*M$26)</f>
        <v>-3.7541218362260764E-2</v>
      </c>
      <c r="N140" s="673">
        <f>(N$139*N$15)-(N$138*N$26)</f>
        <v>-3.340139959415211</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207.347825995314</v>
      </c>
      <c r="J148" s="156">
        <f>'Input BYR'!J$54</f>
        <v>213.944361164323</v>
      </c>
      <c r="K148" s="156">
        <f>'Input BYR'!K$54</f>
        <v>218.703241866833</v>
      </c>
      <c r="L148" s="156">
        <f>'Input BYR'!L$54</f>
        <v>220.911324375215</v>
      </c>
      <c r="M148" s="156">
        <f>'Input BYR'!M$54</f>
        <v>219.124741563155</v>
      </c>
      <c r="N148" s="365">
        <f>'Input BYR'!N$54</f>
        <v>216.778749394724</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-13.470334993772976</v>
      </c>
      <c r="Q149" s="161"/>
      <c r="R149" s="147" t="s">
        <v>242</v>
      </c>
    </row>
    <row r="150" spans="1:24" s="37" customFormat="1">
      <c r="A150" s="109"/>
      <c r="B150" s="109"/>
      <c r="C150" s="104"/>
      <c r="D150" s="104" t="s">
        <v>57</v>
      </c>
      <c r="E150" s="177" t="s">
        <v>386</v>
      </c>
      <c r="F150" s="131"/>
      <c r="G150" s="104"/>
      <c r="H150" s="104"/>
      <c r="I150" s="205"/>
      <c r="J150" s="156">
        <f>IF(J5=8,J148+$P$149,J148)</f>
        <v>213.944361164323</v>
      </c>
      <c r="K150" s="156">
        <f>IF(K5=8,K148+$P$149,K148)</f>
        <v>218.703241866833</v>
      </c>
      <c r="L150" s="156">
        <f>IF(L5=8,L148+$P$149,L148)</f>
        <v>220.911324375215</v>
      </c>
      <c r="M150" s="156">
        <f>IF(M5=8,M148+$P$149,M148)</f>
        <v>219.124741563155</v>
      </c>
      <c r="N150" s="365">
        <f>IF(N5=8,N148+$P$149,N148)</f>
        <v>203.30841440095102</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29.4077731854556</v>
      </c>
      <c r="L161" s="360">
        <f t="shared" si="16"/>
        <v>58.08784249001576</v>
      </c>
      <c r="M161" s="360">
        <f t="shared" si="16"/>
        <v>85.685783864121802</v>
      </c>
      <c r="N161" s="363">
        <f t="shared" si="16"/>
        <v>109.3771560544121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29.4077731854556</v>
      </c>
      <c r="K162" s="360">
        <f t="shared" ref="K162:N162" si="17">K161+K138*K$26</f>
        <v>58.08784249001576</v>
      </c>
      <c r="L162" s="360">
        <f t="shared" si="17"/>
        <v>85.685783864121802</v>
      </c>
      <c r="M162" s="360">
        <f t="shared" si="17"/>
        <v>109.3771560544121</v>
      </c>
      <c r="N162" s="363">
        <f t="shared" si="17"/>
        <v>132.34731299754765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14.7038865927278</v>
      </c>
      <c r="K163" s="360">
        <f t="shared" ref="K163:N163" si="18">(K162+K161)/2</f>
        <v>43.747807837735678</v>
      </c>
      <c r="L163" s="360">
        <f t="shared" si="18"/>
        <v>71.886813177068774</v>
      </c>
      <c r="M163" s="360">
        <f t="shared" si="18"/>
        <v>97.531469959266957</v>
      </c>
      <c r="N163" s="363">
        <f t="shared" si="18"/>
        <v>120.86223452597987</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25.803749346874238</v>
      </c>
      <c r="L171" s="360">
        <f t="shared" si="22"/>
        <v>48.878392266715537</v>
      </c>
      <c r="M171" s="360">
        <f t="shared" si="22"/>
        <v>75.593130048126298</v>
      </c>
      <c r="N171" s="363">
        <f t="shared" si="22"/>
        <v>99.246961020054329</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25.803749346874238</v>
      </c>
      <c r="K172" s="360">
        <f t="shared" ref="K172:N172" si="23">K171+K139*K$15</f>
        <v>48.878392266715537</v>
      </c>
      <c r="L172" s="360">
        <f t="shared" si="23"/>
        <v>75.593130048126298</v>
      </c>
      <c r="M172" s="360">
        <f t="shared" si="23"/>
        <v>99.246961020054329</v>
      </c>
      <c r="N172" s="363">
        <f t="shared" si="23"/>
        <v>118.87697800377465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12.901874673437119</v>
      </c>
      <c r="K173" s="360">
        <f t="shared" ref="K173:N173" si="24">(K172+K171)/2</f>
        <v>37.341070806794889</v>
      </c>
      <c r="L173" s="360">
        <f t="shared" si="24"/>
        <v>62.235761157420917</v>
      </c>
      <c r="M173" s="360">
        <f t="shared" si="24"/>
        <v>87.42004553409032</v>
      </c>
      <c r="N173" s="363">
        <f t="shared" si="24"/>
        <v>109.0619695119145</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-3.6040238385813623</v>
      </c>
      <c r="K181" s="156">
        <f>(K$139*K$15)-(K$138*K$26)</f>
        <v>-5.6054263847188608</v>
      </c>
      <c r="L181" s="156">
        <f>(L$139*L$15)-(L$138*L$26)</f>
        <v>-0.88320359269528126</v>
      </c>
      <c r="M181" s="156">
        <f>(M$139*M$15)-(M$138*M$26)</f>
        <v>-3.7541218362260764E-2</v>
      </c>
      <c r="N181" s="365">
        <f>(N$139*N$15)-(N$138*N$26)</f>
        <v>-3.340139959415211</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-9.9110655560987471E-2</v>
      </c>
      <c r="K184" s="156">
        <f>(K173-K163)*'Input BYR'!$O$59</f>
        <v>-0.3523705367017434</v>
      </c>
      <c r="L184" s="156">
        <f>(L173-L163)*'Input BYR'!$O$59</f>
        <v>-0.53080786108063216</v>
      </c>
      <c r="M184" s="156">
        <f>(M173-M163)*'Input BYR'!$O$59</f>
        <v>-0.55612834338471506</v>
      </c>
      <c r="N184" s="365">
        <f>(N173-N163)*'Input BYR'!$O$59</f>
        <v>-0.64901457577359556</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-3.3249695480643549E-2</v>
      </c>
      <c r="K187" s="156">
        <f>$P$130*K63/SUM($J$63:$N$63)</f>
        <v>-3.196048780266126E-2</v>
      </c>
      <c r="L187" s="156">
        <f>$P$130*L63/SUM($J$63:$N$63)</f>
        <v>-3.0458013700133915E-2</v>
      </c>
      <c r="M187" s="156">
        <f>$P$130*M63/SUM($J$63:$N$63)</f>
        <v>-2.6019667719152654E-2</v>
      </c>
      <c r="N187" s="365">
        <f>$P$130*N63/SUM($J$63:$N$63)</f>
        <v>-2.5105110301624715E-2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-0.13236035104163102</v>
      </c>
      <c r="K190" s="156">
        <f t="shared" ref="K190:N191" si="28">K187+K184</f>
        <v>-0.38433102450440465</v>
      </c>
      <c r="L190" s="156">
        <f t="shared" si="28"/>
        <v>-0.56126587478076606</v>
      </c>
      <c r="M190" s="156">
        <f t="shared" si="28"/>
        <v>-0.58214801110386771</v>
      </c>
      <c r="N190" s="365">
        <f t="shared" si="28"/>
        <v>-0.67411968607522033</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-0.16397126563575087</v>
      </c>
      <c r="K193" s="156">
        <f>IF('Input BYR'!$O$156=0,(K190/(1+'Input BYR'!$O$60)^K$6),(K190/(1+'Input BYR'!$O$59)^K$6))</f>
        <v>-0.45129739066921071</v>
      </c>
      <c r="L193" s="156">
        <f>IF('Input BYR'!$O$156=0,(L190/(1+'Input BYR'!$O$60)^L$6),(L190/(1+'Input BYR'!$O$59)^L$6))</f>
        <v>-0.62470295027786205</v>
      </c>
      <c r="M193" s="156">
        <f>IF('Input BYR'!$O$156=0,(M190/(1+'Input BYR'!$O$60)^M$6),(M190/(1+'Input BYR'!$O$59)^M$6))</f>
        <v>-0.61416615171458044</v>
      </c>
      <c r="N193" s="664">
        <f>IF('Input BYR'!$O$156=0,(N190/(1+'Input BYR'!$O$60)^N$6),(N190/(1+'Input BYR'!$O$59)^N$6))</f>
        <v>-0.67411968607522033</v>
      </c>
      <c r="O193" s="109"/>
      <c r="P193" s="622">
        <f>SUM(J193:N193)</f>
        <v>-2.5282574443726245</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-0.19233591667657199</v>
      </c>
      <c r="K196" s="156">
        <f t="shared" ref="K196:N197" si="29">K193*$L$13/$G$13</f>
        <v>-0.52936529453232695</v>
      </c>
      <c r="L196" s="156">
        <f t="shared" si="29"/>
        <v>-0.73276750122281475</v>
      </c>
      <c r="M196" s="156">
        <f t="shared" si="29"/>
        <v>-0.72040798931292271</v>
      </c>
      <c r="N196" s="365">
        <f t="shared" si="29"/>
        <v>-0.79073261567074871</v>
      </c>
      <c r="O196" s="109"/>
      <c r="P196" s="622">
        <f>P193*$L$13/$G$13</f>
        <v>-2.9656093174153852</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-15.800507600661888</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-1.0687662983828741</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-0.89658026749722097</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-0.17218603088565307</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-2.5658259815677171</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-2.7380120124533702</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-2.9656093174153852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-2.9656093174153852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-2.9656093174153852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-2.9656093174153852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-2.9656093174153852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-2.9656093174153852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-0.6357997611867191</v>
      </c>
      <c r="S47" s="616">
        <f t="shared" si="8"/>
        <v>-0.6357997611867191</v>
      </c>
      <c r="T47" s="616">
        <f t="shared" si="8"/>
        <v>-0.6357997611867191</v>
      </c>
      <c r="U47" s="616">
        <f t="shared" si="8"/>
        <v>-0.6357997611867191</v>
      </c>
      <c r="V47" s="623">
        <f t="shared" si="8"/>
        <v>-0.6357997611867191</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-0.6357997611867191</v>
      </c>
      <c r="S52" s="616">
        <f t="shared" ref="S52:V52" si="9">S47*S51</f>
        <v>-0.61370633319181378</v>
      </c>
      <c r="T52" s="616">
        <f t="shared" si="9"/>
        <v>-0.59238063049402867</v>
      </c>
      <c r="U52" s="616">
        <f t="shared" si="9"/>
        <v>-0.57179597538033666</v>
      </c>
      <c r="V52" s="621">
        <f t="shared" si="9"/>
        <v>-0.55192661716248703</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-2.9656093174153852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-2.9656093174153852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-2.9656093174153852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-0.19233591667657199</v>
      </c>
      <c r="S94" s="616">
        <f>'Calc2 BYR'!K196</f>
        <v>-0.52936529453232695</v>
      </c>
      <c r="T94" s="616">
        <f>'Calc2 BYR'!L196</f>
        <v>-0.73276750122281475</v>
      </c>
      <c r="U94" s="616">
        <f>'Calc2 BYR'!M196</f>
        <v>-0.72040798931292271</v>
      </c>
      <c r="V94" s="623">
        <f>'Calc2 BYR'!N196</f>
        <v>-0.79073261567074871</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-0.19233591667657199</v>
      </c>
      <c r="S99" s="616">
        <f t="shared" ref="S99:V99" si="23">S94*S98</f>
        <v>-0.51097036151769004</v>
      </c>
      <c r="T99" s="616">
        <f t="shared" si="23"/>
        <v>-0.68272638789561757</v>
      </c>
      <c r="U99" s="616">
        <f t="shared" si="23"/>
        <v>-0.64788698276971657</v>
      </c>
      <c r="V99" s="621">
        <f t="shared" si="23"/>
        <v>-0.68642110974155179</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-2.7203407586011483</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-0.19233591667657199</v>
      </c>
      <c r="S106" s="616">
        <f>'Calc2 BYR'!K196</f>
        <v>-0.52936529453232695</v>
      </c>
      <c r="T106" s="616">
        <f>'Calc2 BYR'!L196</f>
        <v>-0.73276750122281475</v>
      </c>
      <c r="U106" s="616">
        <f>'Calc2 BYR'!M196</f>
        <v>-0.72040798931292271</v>
      </c>
      <c r="V106" s="623">
        <f>'Calc2 BYR'!N196</f>
        <v>-0.79073261567074871</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-0.19233591667657199</v>
      </c>
      <c r="S111" s="616">
        <f t="shared" ref="S111:V111" si="25">S106*S110</f>
        <v>-0.51097036151769004</v>
      </c>
      <c r="T111" s="616">
        <f t="shared" si="25"/>
        <v>-0.68272638789561757</v>
      </c>
      <c r="U111" s="616">
        <f t="shared" si="25"/>
        <v>-0.64788698276971657</v>
      </c>
      <c r="V111" s="621">
        <f t="shared" si="25"/>
        <v>-0.68642110974155179</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-2.7203407586011483</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-2.7203407586011483</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-2.9656093174153852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1.0901609690031475</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-0.20967710929824035</v>
      </c>
      <c r="S123" s="616">
        <f t="shared" si="27"/>
        <v>-0.5770933824439981</v>
      </c>
      <c r="T123" s="616">
        <f t="shared" si="27"/>
        <v>-0.79883452918707887</v>
      </c>
      <c r="U123" s="616">
        <f t="shared" si="27"/>
        <v>-0.78536067170698498</v>
      </c>
      <c r="V123" s="621">
        <f t="shared" si="27"/>
        <v>-0.86202583452201686</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-0.20967710929824035</v>
      </c>
      <c r="S128" s="616">
        <f t="shared" ref="S128:V128" si="28">S123*S127</f>
        <v>-0.55703994444401361</v>
      </c>
      <c r="T128" s="616">
        <f t="shared" si="28"/>
        <v>-0.74428166059230516</v>
      </c>
      <c r="U128" s="616">
        <f t="shared" si="28"/>
        <v>-0.70630110094075971</v>
      </c>
      <c r="V128" s="621">
        <f t="shared" si="28"/>
        <v>-0.74830950214006597</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-2.9656093174153848</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-2.9656093174153852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-0.6357997611867191</v>
      </c>
      <c r="S138" s="616">
        <f>S47</f>
        <v>-0.6357997611867191</v>
      </c>
      <c r="T138" s="616">
        <f>T47</f>
        <v>-0.6357997611867191</v>
      </c>
      <c r="U138" s="616">
        <f>U47</f>
        <v>-0.6357997611867191</v>
      </c>
      <c r="V138" s="621">
        <f>V47</f>
        <v>-0.6357997611867191</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-0.19233591667657199</v>
      </c>
      <c r="S141" s="616">
        <f>S94</f>
        <v>-0.52936529453232695</v>
      </c>
      <c r="T141" s="616">
        <f>T94</f>
        <v>-0.73276750122281475</v>
      </c>
      <c r="U141" s="616">
        <f>U94</f>
        <v>-0.72040798931292271</v>
      </c>
      <c r="V141" s="621">
        <f>V94</f>
        <v>-0.79073261567074871</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-0.20967710929824035</v>
      </c>
      <c r="S142" s="616">
        <f t="shared" si="31"/>
        <v>-0.5770933824439981</v>
      </c>
      <c r="T142" s="616">
        <f t="shared" si="31"/>
        <v>-0.79883452918707887</v>
      </c>
      <c r="U142" s="616">
        <f t="shared" si="31"/>
        <v>-0.78536067170698498</v>
      </c>
      <c r="V142" s="621">
        <f t="shared" si="31"/>
        <v>-0.86202583452201686</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-2.9656093174153852</v>
      </c>
      <c r="S143" s="630">
        <f t="shared" ref="S143:V143" si="32">CHOOSE($P$135+1,S137,S138,S139,S140,S141,S142)</f>
        <v>0</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-2.9656093174153852</v>
      </c>
      <c r="S156" s="627">
        <f t="shared" ref="S156:V156" si="36">S143</f>
        <v>0</v>
      </c>
      <c r="T156" s="627">
        <f t="shared" si="36"/>
        <v>0</v>
      </c>
      <c r="U156" s="627">
        <f t="shared" si="36"/>
        <v>0</v>
      </c>
      <c r="V156" s="628">
        <f t="shared" si="36"/>
        <v>0</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SSC_SST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9.7199899999999992</v>
      </c>
      <c r="K16" s="121">
        <f>'Input BYR'!K10</f>
        <v>9.4691895000000006</v>
      </c>
      <c r="L16" s="121">
        <f>'Input BYR'!L10</f>
        <v>9.5575726999999997</v>
      </c>
      <c r="M16" s="121">
        <f>'Input BYR'!M10</f>
        <v>9.5633368000000001</v>
      </c>
      <c r="N16" s="121">
        <f>'Input BYR'!N10</f>
        <v>9.1205259999999999</v>
      </c>
      <c r="O16" s="113"/>
      <c r="P16" s="113"/>
      <c r="Q16" s="113"/>
      <c r="R16" s="113"/>
      <c r="S16" s="113"/>
      <c r="T16" s="115"/>
      <c r="U16" s="122">
        <f t="shared" ref="U16:U34" si="0">SUM(J16:N16)</f>
        <v>47.430615000000003</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18.846630000000001</v>
      </c>
      <c r="K17" s="121">
        <f>'Input BYR'!K11</f>
        <v>17.619257699999999</v>
      </c>
      <c r="L17" s="121">
        <f>'Input BYR'!L11</f>
        <v>16.722150200000002</v>
      </c>
      <c r="M17" s="121">
        <f>'Input BYR'!M11</f>
        <v>12.216910800000001</v>
      </c>
      <c r="N17" s="121">
        <f>'Input BYR'!N11</f>
        <v>11.413902</v>
      </c>
      <c r="O17" s="113"/>
      <c r="P17" s="113"/>
      <c r="Q17" s="113"/>
      <c r="R17" s="113"/>
      <c r="S17" s="113"/>
      <c r="T17" s="115"/>
      <c r="U17" s="122">
        <f t="shared" si="0"/>
        <v>76.818850700000013</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1.8928799999999999</v>
      </c>
      <c r="K18" s="121">
        <f>'Input BYR'!K12</f>
        <v>1.9435382999999999</v>
      </c>
      <c r="L18" s="121">
        <f>'Input BYR'!L12</f>
        <v>2.5945822000000001</v>
      </c>
      <c r="M18" s="121">
        <f>'Input BYR'!M12</f>
        <v>2.9010120000000001</v>
      </c>
      <c r="N18" s="121">
        <f>'Input BYR'!N12</f>
        <v>3.209625</v>
      </c>
      <c r="O18" s="113"/>
      <c r="P18" s="113"/>
      <c r="Q18" s="113"/>
      <c r="R18" s="113"/>
      <c r="S18" s="113"/>
      <c r="T18" s="115"/>
      <c r="U18" s="122">
        <f t="shared" si="0"/>
        <v>12.5416375</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3.0957300000000001</v>
      </c>
      <c r="K19" s="121">
        <f>'Input BYR'!K13</f>
        <v>3.1872851999999998</v>
      </c>
      <c r="L19" s="121">
        <f>'Input BYR'!L13</f>
        <v>2.4306014999999999</v>
      </c>
      <c r="M19" s="121">
        <f>'Input BYR'!M13</f>
        <v>2.4351210000000001</v>
      </c>
      <c r="N19" s="121">
        <f>'Input BYR'!N13</f>
        <v>2.5505819999999999</v>
      </c>
      <c r="O19" s="113"/>
      <c r="P19" s="113"/>
      <c r="Q19" s="113"/>
      <c r="R19" s="113"/>
      <c r="S19" s="113"/>
      <c r="T19" s="115"/>
      <c r="U19" s="122">
        <f t="shared" si="0"/>
        <v>13.6993197</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-1.127</v>
      </c>
      <c r="K20" s="121">
        <f>-'Input BYR'!K14</f>
        <v>-1.2230000000000001</v>
      </c>
      <c r="L20" s="121">
        <f>-'Input BYR'!L14</f>
        <v>-1.6080000000000001</v>
      </c>
      <c r="M20" s="121">
        <f>-'Input BYR'!M14</f>
        <v>-2.044</v>
      </c>
      <c r="N20" s="121">
        <f>-'Input BYR'!N14</f>
        <v>-2.5249999999999999</v>
      </c>
      <c r="O20" s="113"/>
      <c r="P20" s="113"/>
      <c r="Q20" s="113"/>
      <c r="R20" s="113"/>
      <c r="S20" s="113"/>
      <c r="T20" s="115"/>
      <c r="U20" s="122">
        <f t="shared" si="0"/>
        <v>-8.527000000000001</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32.428229999999999</v>
      </c>
      <c r="K24" s="121">
        <f>'Calc2 BYR'!K55</f>
        <v>30.996270699999997</v>
      </c>
      <c r="L24" s="121">
        <f>'Calc2 BYR'!L55</f>
        <v>29.696906600000002</v>
      </c>
      <c r="M24" s="121">
        <f>'Calc2 BYR'!M55</f>
        <v>25.072380600000002</v>
      </c>
      <c r="N24" s="121">
        <f>'Calc2 BYR'!N55</f>
        <v>23.769634999999997</v>
      </c>
      <c r="O24" s="113"/>
      <c r="P24" s="113"/>
      <c r="Q24" s="113"/>
      <c r="R24" s="113"/>
      <c r="S24" s="113"/>
      <c r="T24" s="115"/>
      <c r="U24" s="122">
        <f t="shared" si="0"/>
        <v>141.96342290000001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9.4478765250558201</v>
      </c>
      <c r="K37" s="121">
        <f>'Input BYR'!K30</f>
        <v>9.3161871345773797</v>
      </c>
      <c r="L37" s="121">
        <f>'Input BYR'!L30</f>
        <v>9.4627791419835692</v>
      </c>
      <c r="M37" s="121">
        <f>'Input BYR'!M30</f>
        <v>9.5440467911519402</v>
      </c>
      <c r="N37" s="121">
        <f>'Input BYR'!N30</f>
        <v>9.1661215126140103</v>
      </c>
      <c r="O37" s="113"/>
      <c r="P37" s="113"/>
      <c r="Q37" s="113"/>
      <c r="R37" s="113"/>
      <c r="S37" s="113"/>
      <c r="T37" s="115"/>
      <c r="U37" s="122">
        <f t="shared" ref="U37:U51" si="3">SUM(J37:N37)</f>
        <v>46.937011105382723</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17.119022823507201</v>
      </c>
      <c r="K38" s="121">
        <f>'Input BYR'!K31</f>
        <v>15.977777194645499</v>
      </c>
      <c r="L38" s="121">
        <f>'Input BYR'!L31</f>
        <v>14.9652579167622</v>
      </c>
      <c r="M38" s="121">
        <f>'Input BYR'!M31</f>
        <v>10.8495178905568</v>
      </c>
      <c r="N38" s="121">
        <f>'Input BYR'!N31</f>
        <v>10.477727437214</v>
      </c>
      <c r="O38" s="113"/>
      <c r="P38" s="113"/>
      <c r="Q38" s="113"/>
      <c r="R38" s="113"/>
      <c r="S38" s="113"/>
      <c r="T38" s="115"/>
      <c r="U38" s="122">
        <f t="shared" si="3"/>
        <v>69.389303262685701</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1.2659124139942699</v>
      </c>
      <c r="K39" s="121">
        <f>'Input BYR'!K32</f>
        <v>1.31985418066939</v>
      </c>
      <c r="L39" s="121">
        <f>'Input BYR'!L32</f>
        <v>1.57951423336618</v>
      </c>
      <c r="M39" s="121">
        <f>'Input BYR'!M32</f>
        <v>1.6763714141083299</v>
      </c>
      <c r="N39" s="121">
        <f>'Input BYR'!N32</f>
        <v>1.6714490220846501</v>
      </c>
      <c r="O39" s="113"/>
      <c r="P39" s="113"/>
      <c r="Q39" s="113"/>
      <c r="R39" s="113"/>
      <c r="S39" s="113"/>
      <c r="T39" s="115"/>
      <c r="U39" s="122">
        <f t="shared" si="3"/>
        <v>7.5131012642228203</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2.2520946974483298</v>
      </c>
      <c r="K40" s="121">
        <f>'Input BYR'!K33</f>
        <v>2.30459027730917</v>
      </c>
      <c r="L40" s="121">
        <f>'Input BYR'!L33</f>
        <v>1.5513926284283699</v>
      </c>
      <c r="M40" s="121">
        <f>'Input BYR'!M33</f>
        <v>1.47311469413213</v>
      </c>
      <c r="N40" s="121">
        <f>'Input BYR'!N33</f>
        <v>1.4002452586169301</v>
      </c>
      <c r="O40" s="113"/>
      <c r="P40" s="113"/>
      <c r="Q40" s="113"/>
      <c r="R40" s="113"/>
      <c r="S40" s="113"/>
      <c r="T40" s="115"/>
      <c r="U40" s="122">
        <f t="shared" si="3"/>
        <v>8.9814375559349298</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30.08490646000562</v>
      </c>
      <c r="K43" s="121">
        <f>'Calc2 BYR'!K56</f>
        <v>28.918408787201439</v>
      </c>
      <c r="L43" s="121">
        <f>'Calc2 BYR'!L56</f>
        <v>27.558943920540319</v>
      </c>
      <c r="M43" s="121">
        <f>'Calc2 BYR'!M56</f>
        <v>23.543050789949199</v>
      </c>
      <c r="N43" s="121">
        <f>'Calc2 BYR'!N56</f>
        <v>22.715543230529594</v>
      </c>
      <c r="O43" s="113"/>
      <c r="P43" s="113"/>
      <c r="Q43" s="113"/>
      <c r="R43" s="113"/>
      <c r="S43" s="113"/>
      <c r="T43" s="115"/>
      <c r="U43" s="122">
        <f t="shared" si="3"/>
        <v>132.82085318822615</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9.6104599366307806</v>
      </c>
      <c r="K54" s="121">
        <f>'Calc2 BYR'!K39</f>
        <v>9.476504374455935</v>
      </c>
      <c r="L54" s="121">
        <f>'Calc2 BYR'!L39</f>
        <v>9.6256190046557766</v>
      </c>
      <c r="M54" s="121">
        <f>'Calc2 BYR'!M39</f>
        <v>9.7082851449684195</v>
      </c>
      <c r="N54" s="121">
        <f>'Calc2 BYR'!N39</f>
        <v>9.3238563541394299</v>
      </c>
      <c r="O54" s="113"/>
      <c r="P54" s="113"/>
      <c r="Q54" s="113"/>
      <c r="R54" s="113"/>
      <c r="S54" s="113"/>
      <c r="T54" s="115"/>
      <c r="U54" s="122">
        <f>SUM(J54:N54)</f>
        <v>47.744724814850343</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17.413614854435437</v>
      </c>
      <c r="K55" s="121">
        <f>'Calc2 BYR'!K40</f>
        <v>16.252730145057253</v>
      </c>
      <c r="L55" s="121">
        <f>'Calc2 BYR'!L40</f>
        <v>15.222786969005185</v>
      </c>
      <c r="M55" s="121">
        <f>'Calc2 BYR'!M40</f>
        <v>11.036221392440243</v>
      </c>
      <c r="N55" s="121">
        <f>'Calc2 BYR'!N40</f>
        <v>10.658032997704456</v>
      </c>
      <c r="O55" s="113"/>
      <c r="P55" s="113"/>
      <c r="Q55" s="113"/>
      <c r="R55" s="113"/>
      <c r="S55" s="113"/>
      <c r="T55" s="115"/>
      <c r="U55" s="122">
        <f>SUM(J55:N55)</f>
        <v>70.583386358642571</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1.2876968179792769</v>
      </c>
      <c r="K56" s="121">
        <f>'Calc2 BYR'!K41</f>
        <v>1.3425668394245736</v>
      </c>
      <c r="L56" s="121">
        <f>'Calc2 BYR'!L41</f>
        <v>1.6066952419251761</v>
      </c>
      <c r="M56" s="121">
        <f>'Calc2 BYR'!M41</f>
        <v>1.7052191856525141</v>
      </c>
      <c r="N56" s="121">
        <f>'Calc2 BYR'!N41</f>
        <v>1.7002120868393038</v>
      </c>
      <c r="O56" s="113"/>
      <c r="P56" s="113"/>
      <c r="Q56" s="113"/>
      <c r="R56" s="113"/>
      <c r="S56" s="113"/>
      <c r="T56" s="115"/>
      <c r="U56" s="122">
        <f>SUM(J56:N56)</f>
        <v>7.6423901718208445</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2.2908497804693648</v>
      </c>
      <c r="K57" s="121">
        <f>'Calc2 BYR'!K42</f>
        <v>2.3442487284514697</v>
      </c>
      <c r="L57" s="121">
        <f>'Calc2 BYR'!L42</f>
        <v>1.5780897074548803</v>
      </c>
      <c r="M57" s="121">
        <f>'Calc2 BYR'!M42</f>
        <v>1.4984647304051526</v>
      </c>
      <c r="N57" s="121">
        <f>'Calc2 BYR'!N42</f>
        <v>1.42434132407501</v>
      </c>
      <c r="O57" s="113"/>
      <c r="P57" s="113"/>
      <c r="Q57" s="113"/>
      <c r="R57" s="113"/>
      <c r="S57" s="113"/>
      <c r="T57" s="115"/>
      <c r="U57" s="122">
        <f>SUM(J57:N57)</f>
        <v>9.1359942708558766</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30.602621389514862</v>
      </c>
      <c r="K60" s="121">
        <f>'Calc2 BYR'!K57</f>
        <v>29.41605008738923</v>
      </c>
      <c r="L60" s="121">
        <f>'Calc2 BYR'!L57</f>
        <v>28.033190923041015</v>
      </c>
      <c r="M60" s="121">
        <f>'Calc2 BYR'!M57</f>
        <v>23.948190453466328</v>
      </c>
      <c r="N60" s="121">
        <f>'Calc2 BYR'!N57</f>
        <v>23.106442762758199</v>
      </c>
      <c r="O60" s="113"/>
      <c r="P60" s="113"/>
      <c r="Q60" s="113"/>
      <c r="R60" s="113"/>
      <c r="S60" s="113"/>
      <c r="T60" s="115"/>
      <c r="U60" s="122">
        <f>SUM(J60:N60)</f>
        <v>135.10649561616964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106.88338426709059</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-0.17313263285587699</v>
      </c>
      <c r="K73" s="121">
        <f>'Calc2 BYR'!K127</f>
        <v>-0.166419671538171</v>
      </c>
      <c r="L73" s="121">
        <f>'Calc2 BYR'!L127</f>
        <v>-0.158596222528848</v>
      </c>
      <c r="M73" s="121">
        <f>'Calc2 BYR'!M127</f>
        <v>-0.135485558984277</v>
      </c>
      <c r="N73" s="121">
        <f>'Calc2 BYR'!N127</f>
        <v>-0.130723418119358</v>
      </c>
      <c r="O73" s="113"/>
      <c r="P73" s="113"/>
      <c r="Q73" s="113"/>
      <c r="R73" s="113"/>
      <c r="S73" s="113"/>
      <c r="T73" s="115"/>
      <c r="U73" s="122">
        <f>SUM(J73:N73)</f>
        <v>-0.76435750402653091</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SSC_SST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32.428229999999999</v>
      </c>
      <c r="K16" s="121">
        <f>'Calc2 BYR'!K55</f>
        <v>30.996270699999997</v>
      </c>
      <c r="L16" s="121">
        <f>'Calc2 BYR'!L55</f>
        <v>29.696906600000002</v>
      </c>
      <c r="M16" s="121">
        <f>'Calc2 BYR'!M55</f>
        <v>25.072380600000002</v>
      </c>
      <c r="N16" s="121">
        <f>'Calc2 BYR'!N55</f>
        <v>23.769634999999997</v>
      </c>
      <c r="O16" s="113"/>
      <c r="P16" s="113"/>
      <c r="Q16" s="113"/>
      <c r="R16" s="113"/>
      <c r="S16" s="113"/>
      <c r="T16" s="115"/>
      <c r="U16" s="295">
        <f>SUM(J16:N16)</f>
        <v>141.96342290000001</v>
      </c>
    </row>
    <row r="17" spans="1:21" s="117" customFormat="1" ht="17.399999999999999">
      <c r="A17" s="110"/>
      <c r="B17" s="118" t="s">
        <v>131</v>
      </c>
      <c r="C17" s="119"/>
      <c r="D17" s="113"/>
      <c r="E17" s="124" t="str">
        <f>'Calc2 BYR'!E56</f>
        <v>Water: Baseline capex (gross of adjustments)</v>
      </c>
      <c r="F17" s="124"/>
      <c r="G17" s="113"/>
      <c r="H17" s="120"/>
      <c r="I17" s="120"/>
      <c r="J17" s="121">
        <f>'Calc2 BYR'!J56</f>
        <v>30.08490646000562</v>
      </c>
      <c r="K17" s="121">
        <f>'Calc2 BYR'!K56</f>
        <v>28.918408787201439</v>
      </c>
      <c r="L17" s="121">
        <f>'Calc2 BYR'!L56</f>
        <v>27.558943920540319</v>
      </c>
      <c r="M17" s="121">
        <f>'Calc2 BYR'!M56</f>
        <v>23.543050789949199</v>
      </c>
      <c r="N17" s="121">
        <f>'Calc2 BYR'!N56</f>
        <v>22.715543230529594</v>
      </c>
      <c r="O17" s="113"/>
      <c r="P17" s="113"/>
      <c r="Q17" s="113"/>
      <c r="R17" s="113"/>
      <c r="S17" s="113"/>
      <c r="T17" s="115"/>
      <c r="U17" s="295">
        <f t="shared" ref="U17:U18" si="0">SUM(J17:N17)</f>
        <v>132.82085318822615</v>
      </c>
    </row>
    <row r="18" spans="1:21" s="117" customFormat="1" ht="17.399999999999999">
      <c r="A18" s="110"/>
      <c r="B18" s="118" t="s">
        <v>132</v>
      </c>
      <c r="C18" s="119"/>
      <c r="D18" s="113"/>
      <c r="E18" s="124" t="str">
        <f>'Calc2 BYR'!E57</f>
        <v>Water: Allowance capex (gross of adjustments)</v>
      </c>
      <c r="F18" s="124"/>
      <c r="G18" s="113"/>
      <c r="H18" s="286"/>
      <c r="I18" s="120"/>
      <c r="J18" s="121">
        <f>'Calc2 BYR'!J57</f>
        <v>30.602621389514862</v>
      </c>
      <c r="K18" s="121">
        <f>'Calc2 BYR'!K57</f>
        <v>29.41605008738923</v>
      </c>
      <c r="L18" s="121">
        <f>'Calc2 BYR'!L57</f>
        <v>28.033190923041015</v>
      </c>
      <c r="M18" s="121">
        <f>'Calc2 BYR'!M57</f>
        <v>23.948190453466328</v>
      </c>
      <c r="N18" s="121">
        <f>'Calc2 BYR'!N57</f>
        <v>23.106442762758199</v>
      </c>
      <c r="O18" s="113"/>
      <c r="P18" s="113"/>
      <c r="Q18" s="113"/>
      <c r="R18" s="113"/>
      <c r="S18" s="113"/>
      <c r="T18" s="115"/>
      <c r="U18" s="295">
        <f t="shared" si="0"/>
        <v>135.10649561616964</v>
      </c>
    </row>
    <row r="19" spans="1:21" s="117" customFormat="1" ht="17.399999999999999">
      <c r="A19" s="110"/>
      <c r="B19" s="118" t="s">
        <v>133</v>
      </c>
      <c r="C19" s="119"/>
      <c r="D19" s="113"/>
      <c r="E19" s="124" t="str">
        <f>'Calc2 BYR'!E94</f>
        <v>Water: CIS bid ratio</v>
      </c>
      <c r="F19" s="124"/>
      <c r="G19" s="301">
        <f>'Calc2 BYR'!G94</f>
        <v>106.88338426709059</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-0.53000000000000103</v>
      </c>
      <c r="K21" s="121">
        <f>'Calc2 BYR'!K59</f>
        <v>-0.622</v>
      </c>
      <c r="L21" s="121">
        <f>'Calc2 BYR'!L59</f>
        <v>-0.88699999999999701</v>
      </c>
      <c r="M21" s="121">
        <f>'Calc2 BYR'!M59</f>
        <v>-0.81599999999999895</v>
      </c>
      <c r="N21" s="121">
        <f>'Calc2 BYR'!N59</f>
        <v>-0.48999999999999799</v>
      </c>
      <c r="O21" s="113"/>
      <c r="P21" s="113"/>
      <c r="Q21" s="113"/>
      <c r="R21" s="113"/>
      <c r="S21" s="113"/>
      <c r="T21" s="115"/>
      <c r="U21" s="295">
        <f t="shared" ref="U21:U22" si="1">SUM(J21:N21)</f>
        <v>-3.3449999999999949</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31.898229999999998</v>
      </c>
      <c r="K24" s="121">
        <f>'Calc2 BYR'!K62</f>
        <v>30.374270699999997</v>
      </c>
      <c r="L24" s="121">
        <f>'Calc2 BYR'!L62</f>
        <v>28.809906600000005</v>
      </c>
      <c r="M24" s="121">
        <f>'Calc2 BYR'!M62</f>
        <v>24.256380600000004</v>
      </c>
      <c r="N24" s="121">
        <f>'Calc2 BYR'!N62</f>
        <v>23.279634999999999</v>
      </c>
      <c r="O24" s="113"/>
      <c r="P24" s="113"/>
      <c r="Q24" s="113"/>
      <c r="R24" s="113"/>
      <c r="S24" s="113"/>
      <c r="T24" s="115"/>
      <c r="U24" s="295">
        <f t="shared" ref="U24:U26" si="2">SUM(J24:N24)</f>
        <v>138.61842289999998</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30.08490646000562</v>
      </c>
      <c r="K25" s="121">
        <f>'Calc2 BYR'!K63</f>
        <v>28.918408787201439</v>
      </c>
      <c r="L25" s="121">
        <f>'Calc2 BYR'!L63</f>
        <v>27.558943920540319</v>
      </c>
      <c r="M25" s="121">
        <f>'Calc2 BYR'!M63</f>
        <v>23.543050789949199</v>
      </c>
      <c r="N25" s="121">
        <f>'Calc2 BYR'!N63</f>
        <v>22.715543230529594</v>
      </c>
      <c r="O25" s="113"/>
      <c r="P25" s="113"/>
      <c r="Q25" s="113"/>
      <c r="R25" s="113"/>
      <c r="S25" s="113"/>
      <c r="T25" s="115"/>
      <c r="U25" s="295">
        <f t="shared" si="2"/>
        <v>132.82085318822615</v>
      </c>
    </row>
    <row r="26" spans="1:21" s="117" customFormat="1" ht="17.399999999999999">
      <c r="A26" s="110"/>
      <c r="B26" s="118" t="s">
        <v>138</v>
      </c>
      <c r="C26" s="119"/>
      <c r="D26" s="113"/>
      <c r="E26" s="113" t="str">
        <f>'Calc2 BYR'!E64</f>
        <v>Water: Allowance capex (net of adjustments)</v>
      </c>
      <c r="F26" s="113"/>
      <c r="G26" s="113"/>
      <c r="H26" s="120"/>
      <c r="I26" s="120"/>
      <c r="J26" s="121">
        <f>'Calc2 BYR'!J64</f>
        <v>30.413204574133264</v>
      </c>
      <c r="K26" s="121">
        <f>'Calc2 BYR'!K64</f>
        <v>29.233977628375388</v>
      </c>
      <c r="L26" s="121">
        <f>'Calc2 BYR'!L64</f>
        <v>27.859677756242636</v>
      </c>
      <c r="M26" s="121">
        <f>'Calc2 BYR'!M64</f>
        <v>23.799961649400487</v>
      </c>
      <c r="N26" s="121">
        <f>'Calc2 BYR'!N64</f>
        <v>22.96342400801786</v>
      </c>
      <c r="O26" s="113"/>
      <c r="P26" s="113"/>
      <c r="Q26" s="113"/>
      <c r="R26" s="113"/>
      <c r="S26" s="113"/>
      <c r="T26" s="115"/>
      <c r="U26" s="295">
        <f t="shared" si="2"/>
        <v>134.27024561616963</v>
      </c>
    </row>
    <row r="27" spans="1:21" s="117" customFormat="1" ht="17.399999999999999">
      <c r="A27" s="110"/>
      <c r="B27" s="118" t="s">
        <v>139</v>
      </c>
      <c r="C27" s="119"/>
      <c r="D27" s="113"/>
      <c r="E27" s="113" t="str">
        <f>'Calc2 BYR'!E106</f>
        <v>Water: Restated CIS bid ratio</v>
      </c>
      <c r="F27" s="113"/>
      <c r="G27" s="301">
        <f>'Calc2 BYR'!G106</f>
        <v>104.364954427418</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28.343356773257149</v>
      </c>
      <c r="K30" s="121">
        <f>'Calc2 BYR'!K79</f>
        <v>26.37113942659726</v>
      </c>
      <c r="L30" s="121">
        <f>'Calc2 BYR'!L79</f>
        <v>25.035631088108733</v>
      </c>
      <c r="M30" s="121">
        <f>'Calc2 BYR'!M79</f>
        <v>21.37701459125222</v>
      </c>
      <c r="N30" s="121">
        <f>'Calc2 BYR'!N79</f>
        <v>20.708321849927405</v>
      </c>
      <c r="O30" s="113"/>
      <c r="P30" s="113"/>
      <c r="Q30" s="113"/>
      <c r="R30" s="113"/>
      <c r="S30" s="113"/>
      <c r="T30" s="115"/>
      <c r="U30" s="295">
        <f t="shared" ref="U30:U33" si="3">SUM(J30:N30)</f>
        <v>121.83546372914276</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26.732117653111413</v>
      </c>
      <c r="K31" s="121">
        <f>'Calc2 BYR'!K80</f>
        <v>25.107150642554345</v>
      </c>
      <c r="L31" s="121">
        <f>'Calc2 BYR'!L80</f>
        <v>23.948552237671063</v>
      </c>
      <c r="M31" s="121">
        <f>'Calc2 BYR'!M80</f>
        <v>20.74836095948033</v>
      </c>
      <c r="N31" s="121">
        <f>'Calc2 BYR'!N80</f>
        <v>20.206535893442769</v>
      </c>
      <c r="O31" s="113"/>
      <c r="P31" s="113"/>
      <c r="Q31" s="113"/>
      <c r="R31" s="113"/>
      <c r="S31" s="113"/>
      <c r="T31" s="115"/>
      <c r="U31" s="295">
        <f t="shared" si="3"/>
        <v>116.74271738625993</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27.02382884137193</v>
      </c>
      <c r="K32" s="121">
        <f>'Calc2 BYR'!K81</f>
        <v>25.381129563447018</v>
      </c>
      <c r="L32" s="121">
        <f>'Calc2 BYR'!L81</f>
        <v>24.209888085471245</v>
      </c>
      <c r="M32" s="121">
        <f>'Calc2 BYR'!M81</f>
        <v>20.974775084559706</v>
      </c>
      <c r="N32" s="121">
        <f>'Calc2 BYR'!N81</f>
        <v>20.427037414219932</v>
      </c>
      <c r="O32" s="113"/>
      <c r="P32" s="113"/>
      <c r="Q32" s="113"/>
      <c r="R32" s="113"/>
      <c r="S32" s="113"/>
      <c r="T32" s="115"/>
      <c r="U32" s="295">
        <f t="shared" si="3"/>
        <v>118.01665898906984</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25.803749346874238</v>
      </c>
      <c r="K33" s="121">
        <f>'Calc2 BYR'!K82</f>
        <v>23.074642919841303</v>
      </c>
      <c r="L33" s="121">
        <f>'Calc2 BYR'!L82</f>
        <v>26.714737781410761</v>
      </c>
      <c r="M33" s="121">
        <f>'Calc2 BYR'!M82</f>
        <v>23.653830971928038</v>
      </c>
      <c r="N33" s="121">
        <f>'Calc2 BYR'!N82</f>
        <v>19.630016983720324</v>
      </c>
      <c r="O33" s="113"/>
      <c r="P33" s="113"/>
      <c r="Q33" s="113"/>
      <c r="R33" s="113"/>
      <c r="S33" s="113"/>
      <c r="T33" s="115"/>
      <c r="U33" s="295">
        <f t="shared" si="3"/>
        <v>118.87697800377465</v>
      </c>
    </row>
    <row r="34" spans="1:21" s="117" customFormat="1" ht="17.399999999999999">
      <c r="A34" s="110"/>
      <c r="B34" s="118" t="s">
        <v>145</v>
      </c>
      <c r="C34" s="118"/>
      <c r="D34" s="113"/>
      <c r="E34" s="113" t="str">
        <f>'Calc2 BYR'!E116</f>
        <v>Water: CIS outturn ratio</v>
      </c>
      <c r="F34" s="113"/>
      <c r="G34" s="301">
        <f>'Calc2 BYR'!G116</f>
        <v>101.82817452368633</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-0.91115047903074697</v>
      </c>
    </row>
    <row r="38" spans="1:21" s="117" customFormat="1" ht="17.399999999999999">
      <c r="A38" s="110"/>
      <c r="B38" s="118" t="s">
        <v>152</v>
      </c>
      <c r="C38" s="119"/>
      <c r="D38" s="113"/>
      <c r="E38" s="113" t="str">
        <f>'Calc2 BYR'!E127</f>
        <v>Water: Additional income (applied at FD)</v>
      </c>
      <c r="F38" s="113"/>
      <c r="G38" s="113"/>
      <c r="H38" s="113"/>
      <c r="I38" s="113"/>
      <c r="J38" s="121">
        <f>'Calc2 BYR'!J127</f>
        <v>-0.17313263285587699</v>
      </c>
      <c r="K38" s="121">
        <f>'Calc2 BYR'!K127</f>
        <v>-0.166419671538171</v>
      </c>
      <c r="L38" s="121">
        <f>'Calc2 BYR'!L127</f>
        <v>-0.158596222528848</v>
      </c>
      <c r="M38" s="121">
        <f>'Calc2 BYR'!M127</f>
        <v>-0.135485558984277</v>
      </c>
      <c r="N38" s="121">
        <f>'Calc2 BYR'!N127</f>
        <v>-0.130723418119358</v>
      </c>
      <c r="O38" s="113"/>
      <c r="P38" s="113"/>
      <c r="Q38" s="113"/>
      <c r="R38" s="113"/>
      <c r="S38" s="113"/>
      <c r="T38" s="115"/>
      <c r="U38" s="295">
        <f t="shared" ref="U38" si="4">SUM(J38:N38)</f>
        <v>-0.76435750402653091</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-0.14679297500421609</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SSC_SST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-13.470334993772976</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-2.5282574443726245</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-2.9656093174153852</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3" t="s">
        <v>758</v>
      </c>
      <c r="G1" s="783"/>
      <c r="H1" s="783"/>
      <c r="I1" s="783"/>
      <c r="J1" s="783"/>
      <c r="K1" s="783"/>
      <c r="L1" s="783"/>
      <c r="M1" s="783"/>
      <c r="O1" s="782" t="s">
        <v>759</v>
      </c>
      <c r="P1" s="782"/>
      <c r="Q1" s="782"/>
      <c r="R1" s="782"/>
      <c r="S1" s="782"/>
      <c r="T1" s="782"/>
      <c r="U1" s="782"/>
      <c r="V1" s="782"/>
      <c r="X1" s="780" t="s">
        <v>762</v>
      </c>
      <c r="Y1" s="780"/>
      <c r="Z1" s="780"/>
      <c r="AA1" s="780"/>
      <c r="AB1" s="780"/>
      <c r="AC1" s="780"/>
      <c r="AD1" s="780"/>
      <c r="AE1" s="780"/>
      <c r="AH1" s="781" t="s">
        <v>760</v>
      </c>
      <c r="AI1" s="781"/>
      <c r="AJ1" s="781"/>
      <c r="AK1" s="781"/>
      <c r="AL1" s="781"/>
      <c r="AM1" s="781"/>
      <c r="AN1" s="781"/>
      <c r="AO1" s="781"/>
      <c r="AQ1" s="780" t="s">
        <v>761</v>
      </c>
      <c r="AR1" s="780"/>
      <c r="AS1" s="780"/>
      <c r="AT1" s="780"/>
      <c r="AU1" s="780"/>
      <c r="AV1" s="780"/>
      <c r="AW1" s="780"/>
      <c r="AX1" s="780"/>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-7.8183237637530301</v>
      </c>
      <c r="G4" s="571"/>
      <c r="H4" s="571"/>
      <c r="I4" s="571"/>
      <c r="J4" s="571"/>
      <c r="K4" s="571"/>
      <c r="L4" s="571"/>
      <c r="M4" s="571"/>
      <c r="O4" s="552">
        <f>VLOOKUP($B4,'Calc2 FD'!$C$1:$P$216,14,FALSE)</f>
        <v>-15.440201321847336</v>
      </c>
      <c r="P4" s="571"/>
      <c r="Q4" s="571"/>
      <c r="R4" s="571"/>
      <c r="S4" s="571"/>
      <c r="T4" s="571"/>
      <c r="U4" s="571"/>
      <c r="V4" s="571"/>
      <c r="X4" s="690">
        <f>O4-F4</f>
        <v>-7.6218775580943063</v>
      </c>
      <c r="Y4" s="691"/>
      <c r="Z4" s="691"/>
      <c r="AA4" s="691"/>
      <c r="AB4" s="691"/>
      <c r="AC4" s="691"/>
      <c r="AD4" s="691"/>
      <c r="AE4" s="691"/>
      <c r="AG4" s="550" t="s">
        <v>711</v>
      </c>
      <c r="AH4" s="696">
        <f>VLOOKUP($AG4,'Calc2 BYR'!$C$1:$P$216,14,FALSE)</f>
        <v>-13.470334993772976</v>
      </c>
      <c r="AI4" s="571"/>
      <c r="AJ4" s="571"/>
      <c r="AK4" s="571"/>
      <c r="AL4" s="571"/>
      <c r="AM4" s="571"/>
      <c r="AN4" s="571"/>
      <c r="AO4" s="571"/>
      <c r="AQ4" s="690">
        <f>AH4-O4</f>
        <v>1.9698663280743602</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-2.4652393422426764</v>
      </c>
      <c r="H6" s="687">
        <f>VLOOKUP($B6,Profiling!$C$1:$V$159,17,FALSE)</f>
        <v>0</v>
      </c>
      <c r="I6" s="687">
        <f>VLOOKUP($B6,Profiling!$C$1:$V$159,18,FALSE)</f>
        <v>0</v>
      </c>
      <c r="J6" s="687">
        <f>VLOOKUP($B6,Profiling!$C$1:$V$159,19,FALSE)</f>
        <v>0</v>
      </c>
      <c r="K6" s="687">
        <f>VLOOKUP($B6,Profiling!$C$1:$V$159,20,FALSE)</f>
        <v>0</v>
      </c>
      <c r="L6" s="571"/>
      <c r="M6" s="571"/>
      <c r="O6" s="571"/>
      <c r="P6" s="633">
        <f>VLOOKUP($B6,'Profiling2 FD'!$C$1:$V$159,16,FALSE)</f>
        <v>-2.4652393422426764</v>
      </c>
      <c r="Q6" s="552">
        <f>VLOOKUP($B6,'Profiling2 FD'!$C$1:$V$159,17,FALSE)</f>
        <v>0</v>
      </c>
      <c r="R6" s="552">
        <f>VLOOKUP($B6,'Profiling2 FD'!$C$1:$V$159,18,FALSE)</f>
        <v>0</v>
      </c>
      <c r="S6" s="552">
        <f>VLOOKUP($B6,'Profiling2 FD'!$C$1:$V$159,19,FALSE)</f>
        <v>0</v>
      </c>
      <c r="T6" s="552">
        <f>VLOOKUP($B6,'Profiling2 FD'!$C$1:$V$159,20,FALSE)</f>
        <v>0</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-2.9656093174153852</v>
      </c>
      <c r="AJ6" s="696">
        <f>VLOOKUP($AG6,'Profiling2 BYR'!$C$1:$V$159,17,FALSE)</f>
        <v>0</v>
      </c>
      <c r="AK6" s="696">
        <f>VLOOKUP($AG6,'Profiling2 BYR'!$C$1:$V$159,18,FALSE)</f>
        <v>0</v>
      </c>
      <c r="AL6" s="696">
        <f>VLOOKUP($AG6,'Profiling2 BYR'!$C$1:$V$159,19,FALSE)</f>
        <v>0</v>
      </c>
      <c r="AM6" s="696">
        <f>VLOOKUP($AG6,'Profiling2 BYR'!$C$1:$V$159,20,FALSE)</f>
        <v>0</v>
      </c>
      <c r="AN6" s="571"/>
      <c r="AO6" s="571"/>
      <c r="AQ6" s="691"/>
      <c r="AR6" s="690">
        <f>AI6-P6</f>
        <v>-0.50036997517270887</v>
      </c>
      <c r="AS6" s="690">
        <f t="shared" ref="AS6:AS7" si="1">AJ6-Q6</f>
        <v>0</v>
      </c>
      <c r="AT6" s="690">
        <f t="shared" ref="AT6:AT7" si="2">AK6-R6</f>
        <v>0</v>
      </c>
      <c r="AU6" s="690">
        <f t="shared" ref="AU6:AU7" si="3">AL6-S6</f>
        <v>0</v>
      </c>
      <c r="AV6" s="690">
        <f t="shared" ref="AV6:AV7" si="4">AM6-T6</f>
        <v>0</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106.88338426709059</v>
      </c>
      <c r="M9" s="570"/>
      <c r="O9" s="570"/>
      <c r="P9" s="570"/>
      <c r="Q9" s="570"/>
      <c r="R9" s="570"/>
      <c r="S9" s="570"/>
      <c r="T9" s="570"/>
      <c r="U9" s="663">
        <f>VLOOKUP($B9,'Calc2 FD'!$C$1:$P$216,5,FALSE)</f>
        <v>106.88338426709059</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106.88338426709059</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104.364954427418</v>
      </c>
      <c r="M10" s="570"/>
      <c r="O10" s="570"/>
      <c r="P10" s="570"/>
      <c r="Q10" s="570"/>
      <c r="R10" s="570"/>
      <c r="S10" s="570"/>
      <c r="T10" s="570"/>
      <c r="U10" s="663">
        <f>VLOOKUP($B10,'Calc2 FD'!$C$1:$P$216,5,FALSE)</f>
        <v>104.364954427418</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104.364954427418</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100.51817646009518</v>
      </c>
      <c r="M11" s="570"/>
      <c r="O11" s="570"/>
      <c r="P11" s="570"/>
      <c r="Q11" s="570"/>
      <c r="R11" s="570"/>
      <c r="S11" s="570"/>
      <c r="T11" s="570"/>
      <c r="U11" s="663">
        <f>VLOOKUP($B11,'Calc2 FD'!$C$1:$P$216,5,FALSE)</f>
        <v>100.51817646009518</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101.82817452368633</v>
      </c>
      <c r="AO11" s="570"/>
      <c r="AQ11" s="695"/>
      <c r="AR11" s="695"/>
      <c r="AS11" s="695"/>
      <c r="AT11" s="695"/>
      <c r="AU11" s="695"/>
      <c r="AV11" s="695"/>
      <c r="AW11" s="690">
        <f t="shared" si="6"/>
        <v>1.3099980635911521</v>
      </c>
      <c r="AX11" s="695"/>
    </row>
    <row r="12" spans="1:50">
      <c r="B12" s="654" t="s">
        <v>586</v>
      </c>
      <c r="C12" t="s">
        <v>83</v>
      </c>
      <c r="D12" s="547" t="s">
        <v>55</v>
      </c>
      <c r="E12" s="657" t="s">
        <v>505</v>
      </c>
      <c r="F12" s="570"/>
      <c r="G12" s="570"/>
      <c r="H12" s="570"/>
      <c r="I12" s="570"/>
      <c r="J12" s="570"/>
      <c r="K12" s="570"/>
      <c r="L12" s="689">
        <f>VLOOKUP($B12,Calc!$C$1:$P$216,5,FALSE)</f>
        <v>-0.41606835048795077</v>
      </c>
      <c r="M12" s="570"/>
      <c r="O12" s="570"/>
      <c r="P12" s="570"/>
      <c r="Q12" s="570"/>
      <c r="R12" s="570"/>
      <c r="S12" s="570"/>
      <c r="T12" s="570"/>
      <c r="U12" s="663">
        <f>VLOOKUP($B12,'Calc2 FD'!$C$1:$P$216,5,FALSE)</f>
        <v>-0.41606835048795077</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-0.78047736032739046</v>
      </c>
      <c r="AO12" s="570"/>
      <c r="AQ12" s="695"/>
      <c r="AR12" s="695"/>
      <c r="AS12" s="695"/>
      <c r="AT12" s="695"/>
      <c r="AU12" s="695"/>
      <c r="AV12" s="695"/>
      <c r="AW12" s="690">
        <f t="shared" si="6"/>
        <v>-0.36440900983943969</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-9.17078039341426</v>
      </c>
      <c r="M17" s="566"/>
      <c r="O17" s="566"/>
      <c r="P17" s="566"/>
      <c r="Q17" s="566"/>
      <c r="R17" s="566"/>
      <c r="S17" s="566"/>
      <c r="T17" s="566"/>
      <c r="U17" s="552">
        <f>VLOOKUP($B17,'Calc2 FD'!$C$1:$P$216,14,FALSE)</f>
        <v>-18.111132236457149</v>
      </c>
      <c r="V17" s="566"/>
      <c r="X17" s="692"/>
      <c r="Y17" s="692"/>
      <c r="Z17" s="692"/>
      <c r="AA17" s="692"/>
      <c r="AB17" s="692"/>
      <c r="AC17" s="692"/>
      <c r="AD17" s="690">
        <f t="shared" si="5"/>
        <v>-8.9403518430428885</v>
      </c>
      <c r="AE17" s="692"/>
      <c r="AG17" s="22" t="s">
        <v>724</v>
      </c>
      <c r="AH17" s="566"/>
      <c r="AI17" s="566"/>
      <c r="AJ17" s="566"/>
      <c r="AK17" s="566"/>
      <c r="AL17" s="566"/>
      <c r="AM17" s="566"/>
      <c r="AN17" s="696">
        <f>VLOOKUP($AG17,'Calc2 BYR'!$C$1:$P$216,14,FALSE)</f>
        <v>-15.800507600661888</v>
      </c>
      <c r="AO17" s="566"/>
      <c r="AQ17" s="692"/>
      <c r="AR17" s="692"/>
      <c r="AS17" s="692"/>
      <c r="AT17" s="692"/>
      <c r="AU17" s="692"/>
      <c r="AV17" s="692"/>
      <c r="AW17" s="690">
        <f t="shared" si="6"/>
        <v>2.3106246357952607</v>
      </c>
      <c r="AX17" s="692"/>
    </row>
    <row r="18" spans="2:50">
      <c r="B18" s="22" t="s">
        <v>592</v>
      </c>
      <c r="C18" t="s">
        <v>323</v>
      </c>
      <c r="D18" s="547" t="s">
        <v>497</v>
      </c>
      <c r="E18" s="547" t="s">
        <v>505</v>
      </c>
      <c r="F18" s="566"/>
      <c r="G18" s="566"/>
      <c r="H18" s="566"/>
      <c r="I18" s="566"/>
      <c r="J18" s="566"/>
      <c r="K18" s="566"/>
      <c r="L18" s="687">
        <f>VLOOKUP($B18,Calc!$C$1:$P$216,14,FALSE)</f>
        <v>-0.5676147252542596</v>
      </c>
      <c r="M18" s="566"/>
      <c r="O18" s="566"/>
      <c r="P18" s="566"/>
      <c r="Q18" s="566"/>
      <c r="R18" s="566"/>
      <c r="S18" s="566"/>
      <c r="T18" s="566"/>
      <c r="U18" s="552">
        <f>VLOOKUP($B18,'Calc2 FD'!$C$1:$P$216,14,FALSE)</f>
        <v>-0.5676147252542596</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-1.0687662983828741</v>
      </c>
      <c r="AO18" s="566"/>
      <c r="AQ18" s="692"/>
      <c r="AR18" s="692"/>
      <c r="AS18" s="692"/>
      <c r="AT18" s="692"/>
      <c r="AU18" s="692"/>
      <c r="AV18" s="692"/>
      <c r="AW18" s="690">
        <f t="shared" si="6"/>
        <v>-0.50115157312861447</v>
      </c>
      <c r="AX18" s="692"/>
    </row>
    <row r="19" spans="2:50">
      <c r="B19" s="22" t="s">
        <v>593</v>
      </c>
      <c r="C19" t="s">
        <v>72</v>
      </c>
      <c r="D19" s="547" t="s">
        <v>497</v>
      </c>
      <c r="E19" s="547" t="s">
        <v>505</v>
      </c>
      <c r="F19" s="566"/>
      <c r="G19" s="566"/>
      <c r="H19" s="566"/>
      <c r="I19" s="566"/>
      <c r="J19" s="566"/>
      <c r="K19" s="566"/>
      <c r="L19" s="687">
        <f>VLOOKUP($B19,Calc!$C$1:$P$216,14,FALSE)</f>
        <v>-0.89658026749722097</v>
      </c>
      <c r="M19" s="566"/>
      <c r="O19" s="566"/>
      <c r="P19" s="566"/>
      <c r="Q19" s="566"/>
      <c r="R19" s="566"/>
      <c r="S19" s="566"/>
      <c r="T19" s="566"/>
      <c r="U19" s="552">
        <f>VLOOKUP($B19,'Calc2 FD'!$C$1:$P$216,14,FALSE)</f>
        <v>-0.89658026749722097</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-0.89658026749722097</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0.32896554224296148</v>
      </c>
      <c r="M20" s="566"/>
      <c r="O20" s="566"/>
      <c r="P20" s="566"/>
      <c r="Q20" s="566"/>
      <c r="R20" s="566"/>
      <c r="S20" s="566"/>
      <c r="T20" s="566"/>
      <c r="U20" s="552">
        <f>VLOOKUP($B20,'Calc2 FD'!$C$1:$P$216,14,FALSE)</f>
        <v>0.32896554224296148</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-0.17218603088565307</v>
      </c>
      <c r="AO20" s="566"/>
      <c r="AQ20" s="692"/>
      <c r="AR20" s="692"/>
      <c r="AS20" s="692"/>
      <c r="AT20" s="692"/>
      <c r="AU20" s="692"/>
      <c r="AV20" s="692"/>
      <c r="AW20" s="690">
        <f t="shared" si="6"/>
        <v>-0.50115157312861458</v>
      </c>
      <c r="AX20" s="692"/>
    </row>
    <row r="21" spans="2:50">
      <c r="B21" s="22" t="s">
        <v>595</v>
      </c>
      <c r="C21" t="s">
        <v>248</v>
      </c>
      <c r="D21" s="547" t="s">
        <v>497</v>
      </c>
      <c r="E21" s="547" t="s">
        <v>505</v>
      </c>
      <c r="F21" s="566"/>
      <c r="G21" s="566"/>
      <c r="H21" s="566"/>
      <c r="I21" s="566"/>
      <c r="J21" s="566"/>
      <c r="K21" s="566"/>
      <c r="L21" s="687">
        <f>VLOOKUP($B21,Calc!$C$1:$P$216,14,FALSE)</f>
        <v>-2.6293681590520874</v>
      </c>
      <c r="M21" s="566"/>
      <c r="O21" s="566"/>
      <c r="P21" s="566"/>
      <c r="Q21" s="566"/>
      <c r="R21" s="566"/>
      <c r="S21" s="566"/>
      <c r="T21" s="566"/>
      <c r="U21" s="552">
        <f>VLOOKUP($B21,'Calc2 FD'!$C$1:$P$216,14,FALSE)</f>
        <v>-2.6293681590520874</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-2.5658259815677171</v>
      </c>
      <c r="AO21" s="566"/>
      <c r="AQ21" s="692"/>
      <c r="AR21" s="692"/>
      <c r="AS21" s="692"/>
      <c r="AT21" s="692"/>
      <c r="AU21" s="692"/>
      <c r="AV21" s="692"/>
      <c r="AW21" s="690">
        <f t="shared" si="6"/>
        <v>6.3542177484370299E-2</v>
      </c>
      <c r="AX21" s="692"/>
    </row>
    <row r="22" spans="2:50">
      <c r="B22" s="22" t="s">
        <v>596</v>
      </c>
      <c r="C22" t="s">
        <v>606</v>
      </c>
      <c r="D22" s="547" t="s">
        <v>497</v>
      </c>
      <c r="E22" s="547" t="s">
        <v>505</v>
      </c>
      <c r="F22" s="566"/>
      <c r="G22" s="566"/>
      <c r="H22" s="566"/>
      <c r="I22" s="566"/>
      <c r="J22" s="566"/>
      <c r="K22" s="566"/>
      <c r="L22" s="687">
        <f>VLOOKUP($B22,Calc!$C$1:$P$216,14,FALSE)</f>
        <v>-2.3004026168091265</v>
      </c>
      <c r="M22" s="566"/>
      <c r="O22" s="566"/>
      <c r="P22" s="566"/>
      <c r="Q22" s="566"/>
      <c r="R22" s="566"/>
      <c r="S22" s="566"/>
      <c r="T22" s="566"/>
      <c r="U22" s="552">
        <f>VLOOKUP($B22,'Calc2 FD'!$C$1:$P$216,14,FALSE)</f>
        <v>-2.3004026168091265</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-2.7380120124533702</v>
      </c>
      <c r="AO22" s="566"/>
      <c r="AQ22" s="692"/>
      <c r="AR22" s="692"/>
      <c r="AS22" s="692"/>
      <c r="AT22" s="692"/>
      <c r="AU22" s="692"/>
      <c r="AV22" s="692"/>
      <c r="AW22" s="690">
        <f t="shared" si="6"/>
        <v>-0.43760939564424373</v>
      </c>
      <c r="AX22" s="692"/>
    </row>
    <row r="23" spans="2:50">
      <c r="B23" s="22" t="s">
        <v>597</v>
      </c>
      <c r="C23" t="s">
        <v>610</v>
      </c>
      <c r="D23" s="547" t="s">
        <v>497</v>
      </c>
      <c r="E23" s="547" t="s">
        <v>505</v>
      </c>
      <c r="F23" s="566"/>
      <c r="G23" s="566"/>
      <c r="H23" s="566"/>
      <c r="I23" s="566"/>
      <c r="J23" s="566"/>
      <c r="K23" s="566"/>
      <c r="L23" s="687">
        <f>VLOOKUP($B23,Calc!$C$1:$P$216,14,FALSE)</f>
        <v>-2.4652393422426764</v>
      </c>
      <c r="M23" s="566"/>
      <c r="O23" s="566"/>
      <c r="P23" s="566"/>
      <c r="Q23" s="566"/>
      <c r="R23" s="566"/>
      <c r="S23" s="566"/>
      <c r="T23" s="566"/>
      <c r="U23" s="552">
        <f>VLOOKUP($B23,'Calc2 FD'!$C$1:$P$216,14,FALSE)</f>
        <v>-2.4652393422426764</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-2.9656093174153852</v>
      </c>
      <c r="AO23" s="566"/>
      <c r="AQ23" s="692"/>
      <c r="AR23" s="692"/>
      <c r="AS23" s="692"/>
      <c r="AT23" s="692"/>
      <c r="AU23" s="692"/>
      <c r="AV23" s="692"/>
      <c r="AW23" s="690">
        <f t="shared" si="6"/>
        <v>-0.50036997517270887</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-15.440201321847336</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-2.4652393422426764</v>
      </c>
      <c r="H6" s="552">
        <f>VLOOKUP($B6,'Profiling2 FD'!$C$1:$V$159,17,FALSE)</f>
        <v>0</v>
      </c>
      <c r="I6" s="552">
        <f>VLOOKUP($B6,'Profiling2 FD'!$C$1:$V$159,18,FALSE)</f>
        <v>0</v>
      </c>
      <c r="J6" s="552">
        <f>VLOOKUP($B6,'Profiling2 FD'!$C$1:$V$159,19,FALSE)</f>
        <v>0</v>
      </c>
      <c r="K6" s="552">
        <f>VLOOKUP($B6,'Profiling2 FD'!$C$1:$V$159,20,FALSE)</f>
        <v>0</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106.88338426709059</v>
      </c>
      <c r="M9" s="705"/>
    </row>
    <row r="10" spans="1:13">
      <c r="B10" s="654" t="s">
        <v>584</v>
      </c>
      <c r="C10" t="s">
        <v>312</v>
      </c>
      <c r="D10" s="547" t="s">
        <v>55</v>
      </c>
      <c r="E10" t="s">
        <v>742</v>
      </c>
      <c r="F10" s="570"/>
      <c r="G10" s="570"/>
      <c r="H10" s="570"/>
      <c r="I10" s="570"/>
      <c r="J10" s="570"/>
      <c r="K10" s="570"/>
      <c r="L10" s="663">
        <f>VLOOKUP($B10,'Calc2 FD'!$C$1:$P$216,5,FALSE)</f>
        <v>104.364954427418</v>
      </c>
      <c r="M10" s="705"/>
    </row>
    <row r="11" spans="1:13">
      <c r="B11" s="654" t="s">
        <v>585</v>
      </c>
      <c r="C11" t="s">
        <v>304</v>
      </c>
      <c r="D11" s="547" t="s">
        <v>55</v>
      </c>
      <c r="E11" t="s">
        <v>742</v>
      </c>
      <c r="F11" s="570"/>
      <c r="G11" s="570"/>
      <c r="H11" s="570"/>
      <c r="I11" s="570"/>
      <c r="J11" s="570"/>
      <c r="K11" s="570"/>
      <c r="L11" s="663">
        <f>VLOOKUP($B11,'Calc2 FD'!$C$1:$P$216,5,FALSE)</f>
        <v>100.51817646009518</v>
      </c>
      <c r="M11" s="705"/>
    </row>
    <row r="12" spans="1:13">
      <c r="B12" s="654" t="s">
        <v>586</v>
      </c>
      <c r="C12" t="s">
        <v>83</v>
      </c>
      <c r="D12" s="547" t="s">
        <v>55</v>
      </c>
      <c r="E12" t="s">
        <v>742</v>
      </c>
      <c r="F12" s="570"/>
      <c r="G12" s="570"/>
      <c r="H12" s="570"/>
      <c r="I12" s="570"/>
      <c r="J12" s="570"/>
      <c r="K12" s="570"/>
      <c r="L12" s="663">
        <f>VLOOKUP($B12,'Calc2 FD'!$C$1:$P$216,5,FALSE)</f>
        <v>-0.41606835048795077</v>
      </c>
      <c r="M12" s="705"/>
    </row>
    <row r="13" spans="1:13">
      <c r="B13" s="654" t="s">
        <v>587</v>
      </c>
      <c r="C13" t="s">
        <v>176</v>
      </c>
      <c r="D13" s="547" t="s">
        <v>55</v>
      </c>
      <c r="E13" t="s">
        <v>742</v>
      </c>
      <c r="F13" s="570"/>
      <c r="G13" s="570"/>
      <c r="H13" s="570"/>
      <c r="I13" s="570"/>
      <c r="J13" s="570"/>
      <c r="K13" s="570"/>
      <c r="L13" s="663">
        <f>VLOOKUP($B13,'Calc2 FD'!$C$1:$P$216,5,FALSE)</f>
        <v>0</v>
      </c>
      <c r="M13" s="705"/>
    </row>
    <row r="14" spans="1:13">
      <c r="B14" s="654" t="s">
        <v>588</v>
      </c>
      <c r="C14" t="s">
        <v>313</v>
      </c>
      <c r="D14" s="547" t="s">
        <v>55</v>
      </c>
      <c r="E14" t="s">
        <v>742</v>
      </c>
      <c r="F14" s="570"/>
      <c r="G14" s="570"/>
      <c r="H14" s="570"/>
      <c r="I14" s="570"/>
      <c r="J14" s="570"/>
      <c r="K14" s="570"/>
      <c r="L14" s="663">
        <f>VLOOKUP($B14,'Calc2 FD'!$C$1:$P$216,5,FALSE)</f>
        <v>0</v>
      </c>
      <c r="M14" s="705"/>
    </row>
    <row r="15" spans="1:13">
      <c r="B15" s="654" t="s">
        <v>589</v>
      </c>
      <c r="C15" t="s">
        <v>305</v>
      </c>
      <c r="D15" s="547" t="s">
        <v>55</v>
      </c>
      <c r="E15" t="s">
        <v>742</v>
      </c>
      <c r="F15" s="570"/>
      <c r="G15" s="570"/>
      <c r="H15" s="570"/>
      <c r="I15" s="570"/>
      <c r="J15" s="570"/>
      <c r="K15" s="570"/>
      <c r="L15" s="663">
        <f>VLOOKUP($B15,'Calc2 FD'!$C$1:$P$216,5,FALSE)</f>
        <v>0</v>
      </c>
      <c r="M15" s="705"/>
    </row>
    <row r="16" spans="1:13">
      <c r="B16" s="22" t="s">
        <v>590</v>
      </c>
      <c r="C16" t="s">
        <v>84</v>
      </c>
      <c r="D16" s="547" t="s">
        <v>55</v>
      </c>
      <c r="E16" t="s">
        <v>742</v>
      </c>
      <c r="F16" s="570"/>
      <c r="G16" s="570"/>
      <c r="H16" s="570"/>
      <c r="I16" s="570"/>
      <c r="J16" s="570"/>
      <c r="K16" s="570"/>
      <c r="L16" s="663">
        <f>VLOOKUP($B16,'Calc2 FD'!$C$1:$P$216,5,FALSE)</f>
        <v>0</v>
      </c>
      <c r="M16" s="705"/>
    </row>
    <row r="17" spans="1:13">
      <c r="B17" s="22" t="s">
        <v>591</v>
      </c>
      <c r="C17" t="s">
        <v>605</v>
      </c>
      <c r="D17" s="547" t="s">
        <v>497</v>
      </c>
      <c r="E17" t="s">
        <v>742</v>
      </c>
      <c r="F17" s="566"/>
      <c r="G17" s="566"/>
      <c r="H17" s="566"/>
      <c r="I17" s="566"/>
      <c r="J17" s="566"/>
      <c r="K17" s="566"/>
      <c r="L17" s="552">
        <f>VLOOKUP($B17,'Calc2 FD'!$C$1:$P$216,14,FALSE)</f>
        <v>-18.111132236457149</v>
      </c>
      <c r="M17" s="686"/>
    </row>
    <row r="18" spans="1:13">
      <c r="B18" s="22" t="s">
        <v>592</v>
      </c>
      <c r="C18" t="s">
        <v>323</v>
      </c>
      <c r="D18" s="547" t="s">
        <v>497</v>
      </c>
      <c r="E18" t="s">
        <v>742</v>
      </c>
      <c r="F18" s="566"/>
      <c r="G18" s="566"/>
      <c r="H18" s="566"/>
      <c r="I18" s="566"/>
      <c r="J18" s="566"/>
      <c r="K18" s="566"/>
      <c r="L18" s="552">
        <f>VLOOKUP($B18,'Calc2 FD'!$C$1:$P$216,14,FALSE)</f>
        <v>-0.5676147252542596</v>
      </c>
      <c r="M18" s="686"/>
    </row>
    <row r="19" spans="1:13">
      <c r="B19" s="22" t="s">
        <v>593</v>
      </c>
      <c r="C19" t="s">
        <v>72</v>
      </c>
      <c r="D19" s="547" t="s">
        <v>497</v>
      </c>
      <c r="E19" t="s">
        <v>742</v>
      </c>
      <c r="F19" s="566"/>
      <c r="G19" s="566"/>
      <c r="H19" s="566"/>
      <c r="I19" s="566"/>
      <c r="J19" s="566"/>
      <c r="K19" s="566"/>
      <c r="L19" s="552">
        <f>VLOOKUP($B19,'Calc2 FD'!$C$1:$P$216,14,FALSE)</f>
        <v>-0.89658026749722097</v>
      </c>
      <c r="M19" s="686"/>
    </row>
    <row r="20" spans="1:13">
      <c r="B20" s="22" t="s">
        <v>594</v>
      </c>
      <c r="C20" t="s">
        <v>244</v>
      </c>
      <c r="D20" s="547" t="s">
        <v>497</v>
      </c>
      <c r="E20" t="s">
        <v>742</v>
      </c>
      <c r="F20" s="566"/>
      <c r="G20" s="566"/>
      <c r="H20" s="566"/>
      <c r="I20" s="566"/>
      <c r="J20" s="566"/>
      <c r="K20" s="566"/>
      <c r="L20" s="552">
        <f>VLOOKUP($B20,'Calc2 FD'!$C$1:$P$216,14,FALSE)</f>
        <v>0.32896554224296148</v>
      </c>
      <c r="M20" s="686"/>
    </row>
    <row r="21" spans="1:13">
      <c r="B21" s="22" t="s">
        <v>595</v>
      </c>
      <c r="C21" t="s">
        <v>248</v>
      </c>
      <c r="D21" s="547" t="s">
        <v>497</v>
      </c>
      <c r="E21" t="s">
        <v>742</v>
      </c>
      <c r="F21" s="566"/>
      <c r="G21" s="566"/>
      <c r="H21" s="566"/>
      <c r="I21" s="566"/>
      <c r="J21" s="566"/>
      <c r="K21" s="566"/>
      <c r="L21" s="552">
        <f>VLOOKUP($B21,'Calc2 FD'!$C$1:$P$216,14,FALSE)</f>
        <v>-2.6293681590520874</v>
      </c>
      <c r="M21" s="686"/>
    </row>
    <row r="22" spans="1:13">
      <c r="B22" s="22" t="s">
        <v>596</v>
      </c>
      <c r="C22" t="s">
        <v>606</v>
      </c>
      <c r="D22" s="547" t="s">
        <v>497</v>
      </c>
      <c r="E22" t="s">
        <v>742</v>
      </c>
      <c r="F22" s="566"/>
      <c r="G22" s="566"/>
      <c r="H22" s="566"/>
      <c r="I22" s="566"/>
      <c r="J22" s="566"/>
      <c r="K22" s="566"/>
      <c r="L22" s="552">
        <f>VLOOKUP($B22,'Calc2 FD'!$C$1:$P$216,14,FALSE)</f>
        <v>-2.3004026168091265</v>
      </c>
      <c r="M22" s="686"/>
    </row>
    <row r="23" spans="1:13">
      <c r="B23" s="22" t="s">
        <v>597</v>
      </c>
      <c r="C23" t="s">
        <v>610</v>
      </c>
      <c r="D23" s="547" t="s">
        <v>497</v>
      </c>
      <c r="E23" t="s">
        <v>742</v>
      </c>
      <c r="F23" s="566"/>
      <c r="G23" s="566"/>
      <c r="H23" s="566"/>
      <c r="I23" s="566"/>
      <c r="J23" s="566"/>
      <c r="K23" s="566"/>
      <c r="L23" s="552">
        <f>VLOOKUP($B23,'Calc2 FD'!$C$1:$P$216,14,FALSE)</f>
        <v>-2.4652393422426764</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-13.470334993772976</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-2.9656093174153852</v>
      </c>
      <c r="H33" s="552">
        <f>VLOOKUP($B33,'Profiling2 BYR'!$C$1:$V$159,17,FALSE)</f>
        <v>0</v>
      </c>
      <c r="I33" s="552">
        <f>VLOOKUP($B33,'Profiling2 BYR'!$C$1:$V$159,18,FALSE)</f>
        <v>0</v>
      </c>
      <c r="J33" s="552">
        <f>VLOOKUP($B33,'Profiling2 BYR'!$C$1:$V$159,19,FALSE)</f>
        <v>0</v>
      </c>
      <c r="K33" s="552">
        <f>VLOOKUP($B33,'Profiling2 BYR'!$C$1:$V$159,20,FALSE)</f>
        <v>0</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106.88338426709059</v>
      </c>
      <c r="M36" s="705"/>
    </row>
    <row r="37" spans="1:13">
      <c r="B37" s="654" t="s">
        <v>717</v>
      </c>
      <c r="C37" t="s">
        <v>312</v>
      </c>
      <c r="D37" s="547" t="s">
        <v>55</v>
      </c>
      <c r="E37" t="s">
        <v>742</v>
      </c>
      <c r="F37" s="570"/>
      <c r="G37" s="570"/>
      <c r="H37" s="570"/>
      <c r="I37" s="570"/>
      <c r="J37" s="570"/>
      <c r="K37" s="570"/>
      <c r="L37" s="663">
        <f>VLOOKUP($B37,'Calc2 BYR'!$C$1:$P$216,5,FALSE)</f>
        <v>104.364954427418</v>
      </c>
      <c r="M37" s="705"/>
    </row>
    <row r="38" spans="1:13">
      <c r="B38" s="654" t="s">
        <v>718</v>
      </c>
      <c r="C38" t="s">
        <v>304</v>
      </c>
      <c r="D38" s="547" t="s">
        <v>55</v>
      </c>
      <c r="E38" t="s">
        <v>742</v>
      </c>
      <c r="F38" s="570"/>
      <c r="G38" s="570"/>
      <c r="H38" s="570"/>
      <c r="I38" s="570"/>
      <c r="J38" s="570"/>
      <c r="K38" s="570"/>
      <c r="L38" s="663">
        <f>VLOOKUP($B38,'Calc2 BYR'!$C$1:$P$216,5,FALSE)</f>
        <v>101.82817452368633</v>
      </c>
      <c r="M38" s="705"/>
    </row>
    <row r="39" spans="1:13">
      <c r="B39" s="654" t="s">
        <v>719</v>
      </c>
      <c r="C39" t="s">
        <v>83</v>
      </c>
      <c r="D39" s="547" t="s">
        <v>55</v>
      </c>
      <c r="E39" t="s">
        <v>742</v>
      </c>
      <c r="F39" s="570"/>
      <c r="G39" s="570"/>
      <c r="H39" s="570"/>
      <c r="I39" s="570"/>
      <c r="J39" s="570"/>
      <c r="K39" s="570"/>
      <c r="L39" s="663">
        <f>VLOOKUP($B39,'Calc2 BYR'!$C$1:$P$216,5,FALSE)</f>
        <v>-0.78047736032739046</v>
      </c>
      <c r="M39" s="705"/>
    </row>
    <row r="40" spans="1:13">
      <c r="B40" s="654" t="s">
        <v>720</v>
      </c>
      <c r="C40" t="s">
        <v>176</v>
      </c>
      <c r="D40" s="547" t="s">
        <v>55</v>
      </c>
      <c r="E40" t="s">
        <v>742</v>
      </c>
      <c r="F40" s="570"/>
      <c r="G40" s="570"/>
      <c r="H40" s="570"/>
      <c r="I40" s="570"/>
      <c r="J40" s="570"/>
      <c r="K40" s="570"/>
      <c r="L40" s="663">
        <f>VLOOKUP($B40,'Calc2 BYR'!$C$1:$P$216,5,FALSE)</f>
        <v>0</v>
      </c>
      <c r="M40" s="705"/>
    </row>
    <row r="41" spans="1:13">
      <c r="B41" s="654" t="s">
        <v>721</v>
      </c>
      <c r="C41" t="s">
        <v>313</v>
      </c>
      <c r="D41" s="547" t="s">
        <v>55</v>
      </c>
      <c r="E41" t="s">
        <v>742</v>
      </c>
      <c r="F41" s="570"/>
      <c r="G41" s="570"/>
      <c r="H41" s="570"/>
      <c r="I41" s="570"/>
      <c r="J41" s="570"/>
      <c r="K41" s="570"/>
      <c r="L41" s="663">
        <f>VLOOKUP($B41,'Calc2 BYR'!$C$1:$P$216,5,FALSE)</f>
        <v>0</v>
      </c>
      <c r="M41" s="705"/>
    </row>
    <row r="42" spans="1:13">
      <c r="B42" s="654" t="s">
        <v>722</v>
      </c>
      <c r="C42" t="s">
        <v>305</v>
      </c>
      <c r="D42" s="547" t="s">
        <v>55</v>
      </c>
      <c r="E42" t="s">
        <v>742</v>
      </c>
      <c r="F42" s="570"/>
      <c r="G42" s="570"/>
      <c r="H42" s="570"/>
      <c r="I42" s="570"/>
      <c r="J42" s="570"/>
      <c r="K42" s="570"/>
      <c r="L42" s="663">
        <f>VLOOKUP($B42,'Calc2 BYR'!$C$1:$P$216,5,FALSE)</f>
        <v>0</v>
      </c>
      <c r="M42" s="705"/>
    </row>
    <row r="43" spans="1:13">
      <c r="B43" s="22" t="s">
        <v>723</v>
      </c>
      <c r="C43" t="s">
        <v>84</v>
      </c>
      <c r="D43" s="547" t="s">
        <v>55</v>
      </c>
      <c r="E43" t="s">
        <v>742</v>
      </c>
      <c r="F43" s="570"/>
      <c r="G43" s="570"/>
      <c r="H43" s="570"/>
      <c r="I43" s="570"/>
      <c r="J43" s="570"/>
      <c r="K43" s="570"/>
      <c r="L43" s="663">
        <f>VLOOKUP($B43,'Calc2 BYR'!$C$1:$P$216,5,FALSE)</f>
        <v>0</v>
      </c>
      <c r="M43" s="705"/>
    </row>
    <row r="44" spans="1:13">
      <c r="B44" s="22" t="s">
        <v>724</v>
      </c>
      <c r="C44" t="s">
        <v>605</v>
      </c>
      <c r="D44" s="547" t="s">
        <v>497</v>
      </c>
      <c r="E44" t="s">
        <v>742</v>
      </c>
      <c r="F44" s="566"/>
      <c r="G44" s="566"/>
      <c r="H44" s="566"/>
      <c r="I44" s="566"/>
      <c r="J44" s="566"/>
      <c r="K44" s="566"/>
      <c r="L44" s="552">
        <f>VLOOKUP($B44,'Calc2 BYR'!$C$1:$P$216,14,FALSE)</f>
        <v>-15.800507600661888</v>
      </c>
      <c r="M44" s="686"/>
    </row>
    <row r="45" spans="1:13">
      <c r="B45" s="22" t="s">
        <v>725</v>
      </c>
      <c r="C45" t="s">
        <v>323</v>
      </c>
      <c r="D45" s="547" t="s">
        <v>497</v>
      </c>
      <c r="E45" t="s">
        <v>742</v>
      </c>
      <c r="F45" s="566"/>
      <c r="G45" s="566"/>
      <c r="H45" s="566"/>
      <c r="I45" s="566"/>
      <c r="J45" s="566"/>
      <c r="K45" s="566"/>
      <c r="L45" s="552">
        <f>VLOOKUP($B45,'Calc2 BYR'!$C$1:$P$216,14,FALSE)</f>
        <v>-1.0687662983828741</v>
      </c>
      <c r="M45" s="686"/>
    </row>
    <row r="46" spans="1:13">
      <c r="B46" s="22" t="s">
        <v>726</v>
      </c>
      <c r="C46" t="s">
        <v>72</v>
      </c>
      <c r="D46" s="547" t="s">
        <v>497</v>
      </c>
      <c r="E46" t="s">
        <v>742</v>
      </c>
      <c r="F46" s="566"/>
      <c r="G46" s="566"/>
      <c r="H46" s="566"/>
      <c r="I46" s="566"/>
      <c r="J46" s="566"/>
      <c r="K46" s="566"/>
      <c r="L46" s="552">
        <f>VLOOKUP($B46,'Calc2 BYR'!$C$1:$P$216,14,FALSE)</f>
        <v>-0.89658026749722097</v>
      </c>
      <c r="M46" s="686"/>
    </row>
    <row r="47" spans="1:13">
      <c r="B47" s="22" t="s">
        <v>727</v>
      </c>
      <c r="C47" t="s">
        <v>244</v>
      </c>
      <c r="D47" s="547" t="s">
        <v>497</v>
      </c>
      <c r="E47" t="s">
        <v>742</v>
      </c>
      <c r="F47" s="566"/>
      <c r="G47" s="566"/>
      <c r="H47" s="566"/>
      <c r="I47" s="566"/>
      <c r="J47" s="566"/>
      <c r="K47" s="566"/>
      <c r="L47" s="552">
        <f>VLOOKUP($B47,'Calc2 BYR'!$C$1:$P$216,14,FALSE)</f>
        <v>-0.17218603088565307</v>
      </c>
      <c r="M47" s="686"/>
    </row>
    <row r="48" spans="1:13">
      <c r="B48" s="22" t="s">
        <v>728</v>
      </c>
      <c r="C48" t="s">
        <v>248</v>
      </c>
      <c r="D48" s="547" t="s">
        <v>497</v>
      </c>
      <c r="E48" t="s">
        <v>742</v>
      </c>
      <c r="F48" s="566"/>
      <c r="G48" s="566"/>
      <c r="H48" s="566"/>
      <c r="I48" s="566"/>
      <c r="J48" s="566"/>
      <c r="K48" s="566"/>
      <c r="L48" s="552">
        <f>VLOOKUP($B48,'Calc2 BYR'!$C$1:$P$216,14,FALSE)</f>
        <v>-2.5658259815677171</v>
      </c>
      <c r="M48" s="686"/>
    </row>
    <row r="49" spans="2:13">
      <c r="B49" s="22" t="s">
        <v>729</v>
      </c>
      <c r="C49" t="s">
        <v>606</v>
      </c>
      <c r="D49" s="547" t="s">
        <v>497</v>
      </c>
      <c r="E49" t="s">
        <v>742</v>
      </c>
      <c r="F49" s="566"/>
      <c r="G49" s="566"/>
      <c r="H49" s="566"/>
      <c r="I49" s="566"/>
      <c r="J49" s="566"/>
      <c r="K49" s="566"/>
      <c r="L49" s="552">
        <f>VLOOKUP($B49,'Calc2 BYR'!$C$1:$P$216,14,FALSE)</f>
        <v>-2.7380120124533702</v>
      </c>
      <c r="M49" s="686"/>
    </row>
    <row r="50" spans="2:13">
      <c r="B50" s="22" t="s">
        <v>730</v>
      </c>
      <c r="C50" t="s">
        <v>610</v>
      </c>
      <c r="D50" s="547" t="s">
        <v>497</v>
      </c>
      <c r="E50" t="s">
        <v>742</v>
      </c>
      <c r="F50" s="566"/>
      <c r="G50" s="566"/>
      <c r="H50" s="566"/>
      <c r="I50" s="566"/>
      <c r="J50" s="566"/>
      <c r="K50" s="566"/>
      <c r="L50" s="552">
        <f>VLOOKUP($B50,'Calc2 BYR'!$C$1:$P$216,14,FALSE)</f>
        <v>-2.9656093174153852</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777</v>
      </c>
      <c r="B1" t="s">
        <v>778</v>
      </c>
    </row>
    <row r="2" spans="1:2">
      <c r="A2" t="s">
        <v>779</v>
      </c>
      <c r="B2" t="s">
        <v>819</v>
      </c>
    </row>
    <row r="3" spans="1:2">
      <c r="A3" t="s">
        <v>775</v>
      </c>
      <c r="B3" t="s">
        <v>776</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9.7199899999999992</v>
      </c>
      <c r="J4" s="566">
        <v>9.4691895000000006</v>
      </c>
      <c r="K4" s="566">
        <v>9.5575726999999997</v>
      </c>
      <c r="L4" s="566">
        <v>9.5633368000000001</v>
      </c>
      <c r="M4" s="566">
        <v>9.1205259999999999</v>
      </c>
      <c r="N4" s="566"/>
      <c r="O4" s="566"/>
    </row>
    <row r="5" spans="1:15">
      <c r="A5" t="s">
        <v>818</v>
      </c>
      <c r="B5" t="s">
        <v>452</v>
      </c>
      <c r="C5" t="s">
        <v>178</v>
      </c>
      <c r="D5" t="s">
        <v>497</v>
      </c>
      <c r="E5" t="s">
        <v>742</v>
      </c>
      <c r="F5" s="566"/>
      <c r="G5" s="566"/>
      <c r="H5" s="566"/>
      <c r="I5" s="566">
        <v>18.846630000000001</v>
      </c>
      <c r="J5" s="566">
        <v>17.619257699999999</v>
      </c>
      <c r="K5" s="566">
        <v>16.722150200000002</v>
      </c>
      <c r="L5" s="566">
        <v>12.216910800000001</v>
      </c>
      <c r="M5" s="566">
        <v>11.413902</v>
      </c>
      <c r="N5" s="566"/>
      <c r="O5" s="566"/>
    </row>
    <row r="6" spans="1:15">
      <c r="A6" t="s">
        <v>818</v>
      </c>
      <c r="B6" t="s">
        <v>453</v>
      </c>
      <c r="C6" t="s">
        <v>123</v>
      </c>
      <c r="D6" t="s">
        <v>497</v>
      </c>
      <c r="E6" t="s">
        <v>742</v>
      </c>
      <c r="F6" s="566"/>
      <c r="G6" s="566"/>
      <c r="H6" s="566"/>
      <c r="I6" s="566">
        <v>1.8928799999999999</v>
      </c>
      <c r="J6" s="566">
        <v>1.9435382999999999</v>
      </c>
      <c r="K6" s="566">
        <v>2.5945822000000001</v>
      </c>
      <c r="L6" s="566">
        <v>2.9010120000000001</v>
      </c>
      <c r="M6" s="566">
        <v>3.209625</v>
      </c>
      <c r="N6" s="566"/>
      <c r="O6" s="566"/>
    </row>
    <row r="7" spans="1:15">
      <c r="A7" t="s">
        <v>818</v>
      </c>
      <c r="B7" t="s">
        <v>454</v>
      </c>
      <c r="C7" t="s">
        <v>122</v>
      </c>
      <c r="D7" t="s">
        <v>497</v>
      </c>
      <c r="E7" t="s">
        <v>742</v>
      </c>
      <c r="F7" s="566"/>
      <c r="G7" s="566"/>
      <c r="H7" s="566"/>
      <c r="I7" s="566">
        <v>3.0957300000000001</v>
      </c>
      <c r="J7" s="566">
        <v>3.1872851999999998</v>
      </c>
      <c r="K7" s="566">
        <v>2.4306014999999999</v>
      </c>
      <c r="L7" s="566">
        <v>2.4351210000000001</v>
      </c>
      <c r="M7" s="566">
        <v>2.5505819999999999</v>
      </c>
      <c r="N7" s="566"/>
      <c r="O7" s="566"/>
    </row>
    <row r="8" spans="1:15">
      <c r="A8" t="s">
        <v>818</v>
      </c>
      <c r="B8" t="s">
        <v>455</v>
      </c>
      <c r="C8" t="s">
        <v>190</v>
      </c>
      <c r="D8" t="s">
        <v>497</v>
      </c>
      <c r="E8" t="s">
        <v>742</v>
      </c>
      <c r="F8" s="566"/>
      <c r="G8" s="566"/>
      <c r="H8" s="566"/>
      <c r="I8" s="566">
        <v>1.127</v>
      </c>
      <c r="J8" s="566">
        <v>1.2230000000000001</v>
      </c>
      <c r="K8" s="566">
        <v>1.6080000000000001</v>
      </c>
      <c r="L8" s="566">
        <v>2.044</v>
      </c>
      <c r="M8" s="566">
        <v>2.5249999999999999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10.052</v>
      </c>
      <c r="G20" s="566">
        <v>9.8234098316132492</v>
      </c>
      <c r="H20" s="566">
        <v>7.0119999999999996</v>
      </c>
      <c r="I20" s="566">
        <v>9.4478765250558201</v>
      </c>
      <c r="J20" s="566">
        <v>9.3161871345773797</v>
      </c>
      <c r="K20" s="566">
        <v>9.4627791419835692</v>
      </c>
      <c r="L20" s="566">
        <v>9.5440467911519402</v>
      </c>
      <c r="M20" s="566">
        <v>9.1661215126140103</v>
      </c>
      <c r="N20" s="566"/>
      <c r="O20" s="566"/>
    </row>
    <row r="21" spans="1:15">
      <c r="A21" t="s">
        <v>818</v>
      </c>
      <c r="B21" t="s">
        <v>529</v>
      </c>
      <c r="C21" t="s">
        <v>512</v>
      </c>
      <c r="D21" t="s">
        <v>497</v>
      </c>
      <c r="E21" t="s">
        <v>742</v>
      </c>
      <c r="F21" s="566">
        <v>9.5239999999999991</v>
      </c>
      <c r="G21" s="566">
        <v>9.2349306665631996</v>
      </c>
      <c r="H21" s="566">
        <v>7.0819999999999999</v>
      </c>
      <c r="I21" s="566">
        <v>17.119022823507201</v>
      </c>
      <c r="J21" s="566">
        <v>15.977777194645499</v>
      </c>
      <c r="K21" s="566">
        <v>14.9652579167622</v>
      </c>
      <c r="L21" s="566">
        <v>10.8495178905568</v>
      </c>
      <c r="M21" s="566">
        <v>10.477727437214</v>
      </c>
      <c r="N21" s="566"/>
      <c r="O21" s="566"/>
    </row>
    <row r="22" spans="1:15">
      <c r="A22" t="s">
        <v>818</v>
      </c>
      <c r="B22" t="s">
        <v>1</v>
      </c>
      <c r="C22" t="s">
        <v>513</v>
      </c>
      <c r="D22" t="s">
        <v>497</v>
      </c>
      <c r="E22" t="s">
        <v>742</v>
      </c>
      <c r="F22" s="566">
        <v>3.6771272648475701</v>
      </c>
      <c r="G22" s="566">
        <v>3.0720375413269601</v>
      </c>
      <c r="H22" s="566">
        <v>3.0373148656061399</v>
      </c>
      <c r="I22" s="566">
        <v>1.2659124139942699</v>
      </c>
      <c r="J22" s="566">
        <v>1.31985418066939</v>
      </c>
      <c r="K22" s="566">
        <v>1.57951423336618</v>
      </c>
      <c r="L22" s="566">
        <v>1.6763714141083299</v>
      </c>
      <c r="M22" s="566">
        <v>1.6714490220846501</v>
      </c>
      <c r="N22" s="566"/>
      <c r="O22" s="566"/>
    </row>
    <row r="23" spans="1:15">
      <c r="A23" t="s">
        <v>818</v>
      </c>
      <c r="B23" t="s">
        <v>5</v>
      </c>
      <c r="C23" t="s">
        <v>514</v>
      </c>
      <c r="D23" t="s">
        <v>497</v>
      </c>
      <c r="E23" t="s">
        <v>742</v>
      </c>
      <c r="F23" s="566">
        <v>1.7278727351524199</v>
      </c>
      <c r="G23" s="566">
        <v>2.6695342752323601</v>
      </c>
      <c r="H23" s="566">
        <v>5.1656851343938497</v>
      </c>
      <c r="I23" s="566">
        <v>2.2520946974483298</v>
      </c>
      <c r="J23" s="566">
        <v>2.30459027730917</v>
      </c>
      <c r="K23" s="566">
        <v>1.5513926284283699</v>
      </c>
      <c r="L23" s="566">
        <v>1.47311469413213</v>
      </c>
      <c r="M23" s="566">
        <v>1.4002452586169301</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106.88338426708999</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-0.17313263285587699</v>
      </c>
      <c r="J34" s="566">
        <v>-0.166419671538171</v>
      </c>
      <c r="K34" s="566">
        <v>-0.158596222528848</v>
      </c>
      <c r="L34" s="566">
        <v>-0.135485558984277</v>
      </c>
      <c r="M34" s="566">
        <v>-0.130723418119358</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206.02619945292699</v>
      </c>
      <c r="G36" s="566">
        <v>206.62122210946501</v>
      </c>
      <c r="H36" s="566">
        <v>207.347825995314</v>
      </c>
      <c r="I36" s="566">
        <v>213.944361164323</v>
      </c>
      <c r="J36" s="566">
        <v>218.703241866833</v>
      </c>
      <c r="K36" s="566">
        <v>220.911324375215</v>
      </c>
      <c r="L36" s="566">
        <v>219.124741563155</v>
      </c>
      <c r="M36" s="566">
        <v>216.778749394724</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7.0999999999999994E-2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9.0890000000000004</v>
      </c>
      <c r="J40" s="566">
        <v>9.4920000000000009</v>
      </c>
      <c r="K40" s="566">
        <v>10.148</v>
      </c>
      <c r="L40" s="566">
        <v>10.226000000000001</v>
      </c>
      <c r="M40" s="566">
        <v>7.4286351000000002</v>
      </c>
      <c r="N40" s="566"/>
      <c r="O40" s="566"/>
    </row>
    <row r="41" spans="1:15">
      <c r="A41" t="s">
        <v>818</v>
      </c>
      <c r="B41" t="s">
        <v>425</v>
      </c>
      <c r="C41" t="s">
        <v>65</v>
      </c>
      <c r="D41" t="s">
        <v>497</v>
      </c>
      <c r="E41" t="s">
        <v>742</v>
      </c>
      <c r="F41" s="566"/>
      <c r="G41" s="566"/>
      <c r="H41" s="566"/>
      <c r="I41" s="566">
        <v>14.56</v>
      </c>
      <c r="J41" s="566">
        <v>12.743</v>
      </c>
      <c r="K41" s="566">
        <v>16.628</v>
      </c>
      <c r="L41" s="566">
        <v>13.476000000000001</v>
      </c>
      <c r="M41" s="566">
        <v>12.9588945631413</v>
      </c>
      <c r="N41" s="566"/>
      <c r="O41" s="566"/>
    </row>
    <row r="42" spans="1:15">
      <c r="A42" t="s">
        <v>818</v>
      </c>
      <c r="B42" t="s">
        <v>426</v>
      </c>
      <c r="C42" t="s">
        <v>382</v>
      </c>
      <c r="D42" t="s">
        <v>497</v>
      </c>
      <c r="E42" t="s">
        <v>742</v>
      </c>
      <c r="F42" s="566"/>
      <c r="G42" s="566"/>
      <c r="H42" s="566"/>
      <c r="I42" s="566">
        <v>3.7559999999999998</v>
      </c>
      <c r="J42" s="566">
        <v>0.74399999999999999</v>
      </c>
      <c r="K42" s="566">
        <v>1.44</v>
      </c>
      <c r="L42" s="566">
        <v>1.8380000000000001</v>
      </c>
      <c r="M42" s="566">
        <v>1.7937000160000001</v>
      </c>
      <c r="N42" s="566"/>
      <c r="O42" s="566"/>
    </row>
    <row r="43" spans="1:15">
      <c r="A43" t="s">
        <v>818</v>
      </c>
      <c r="B43" t="s">
        <v>427</v>
      </c>
      <c r="C43" t="s">
        <v>383</v>
      </c>
      <c r="D43" t="s">
        <v>497</v>
      </c>
      <c r="E43" t="s">
        <v>742</v>
      </c>
      <c r="F43" s="566"/>
      <c r="G43" s="566"/>
      <c r="H43" s="566"/>
      <c r="I43" s="566">
        <v>0.61099999999999999</v>
      </c>
      <c r="J43" s="566">
        <v>3.2759999999999998</v>
      </c>
      <c r="K43" s="566">
        <v>3.12</v>
      </c>
      <c r="L43" s="566">
        <v>3.0059999999999998</v>
      </c>
      <c r="M43" s="566">
        <v>1.9730000000000001</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2.5000000000000001E-2</v>
      </c>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9.7199899999999992</v>
      </c>
      <c r="J4" s="566">
        <v>9.4691895000000006</v>
      </c>
      <c r="K4" s="566">
        <v>9.5575726999999997</v>
      </c>
      <c r="L4" s="566">
        <v>9.5633368000000001</v>
      </c>
      <c r="M4" s="566">
        <v>9.1205259999999999</v>
      </c>
      <c r="N4" s="566"/>
      <c r="O4" s="566"/>
    </row>
    <row r="5" spans="1:15">
      <c r="B5" t="s">
        <v>452</v>
      </c>
      <c r="C5" t="s">
        <v>178</v>
      </c>
      <c r="D5" t="s">
        <v>497</v>
      </c>
      <c r="E5" t="s">
        <v>742</v>
      </c>
      <c r="F5" s="566"/>
      <c r="G5" s="566"/>
      <c r="H5" s="566"/>
      <c r="I5" s="566">
        <v>18.846630000000001</v>
      </c>
      <c r="J5" s="566">
        <v>17.619257699999999</v>
      </c>
      <c r="K5" s="566">
        <v>16.722150200000002</v>
      </c>
      <c r="L5" s="566">
        <v>12.216910800000001</v>
      </c>
      <c r="M5" s="566">
        <v>11.413902</v>
      </c>
      <c r="N5" s="566"/>
      <c r="O5" s="566"/>
    </row>
    <row r="6" spans="1:15">
      <c r="B6" t="s">
        <v>453</v>
      </c>
      <c r="C6" t="s">
        <v>123</v>
      </c>
      <c r="D6" t="s">
        <v>497</v>
      </c>
      <c r="E6" t="s">
        <v>742</v>
      </c>
      <c r="F6" s="566"/>
      <c r="G6" s="566"/>
      <c r="H6" s="566"/>
      <c r="I6" s="566">
        <v>1.8928799999999999</v>
      </c>
      <c r="J6" s="566">
        <v>1.9435382999999999</v>
      </c>
      <c r="K6" s="566">
        <v>2.5945822000000001</v>
      </c>
      <c r="L6" s="566">
        <v>2.9010120000000001</v>
      </c>
      <c r="M6" s="566">
        <v>3.209625</v>
      </c>
      <c r="N6" s="566"/>
      <c r="O6" s="566"/>
    </row>
    <row r="7" spans="1:15">
      <c r="B7" t="s">
        <v>454</v>
      </c>
      <c r="C7" t="s">
        <v>122</v>
      </c>
      <c r="D7" t="s">
        <v>497</v>
      </c>
      <c r="E7" t="s">
        <v>742</v>
      </c>
      <c r="F7" s="566"/>
      <c r="G7" s="566"/>
      <c r="H7" s="566"/>
      <c r="I7" s="566">
        <v>3.0957300000000001</v>
      </c>
      <c r="J7" s="566">
        <v>3.1872851999999998</v>
      </c>
      <c r="K7" s="566">
        <v>2.4306014999999999</v>
      </c>
      <c r="L7" s="566">
        <v>2.4351210000000001</v>
      </c>
      <c r="M7" s="566">
        <v>2.5505819999999999</v>
      </c>
      <c r="N7" s="566"/>
      <c r="O7" s="566"/>
    </row>
    <row r="8" spans="1:15">
      <c r="B8" t="s">
        <v>455</v>
      </c>
      <c r="C8" t="s">
        <v>190</v>
      </c>
      <c r="D8" t="s">
        <v>497</v>
      </c>
      <c r="E8" t="s">
        <v>742</v>
      </c>
      <c r="F8" s="566"/>
      <c r="G8" s="566"/>
      <c r="H8" s="566"/>
      <c r="I8" s="566">
        <v>1.127</v>
      </c>
      <c r="J8" s="566">
        <v>1.2230000000000001</v>
      </c>
      <c r="K8" s="566">
        <v>1.6080000000000001</v>
      </c>
      <c r="L8" s="566">
        <v>2.044</v>
      </c>
      <c r="M8" s="566">
        <v>2.5249999999999999</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10.052</v>
      </c>
      <c r="G20" s="566">
        <v>9.8234098316132492</v>
      </c>
      <c r="H20" s="566">
        <v>7.0119999999999996</v>
      </c>
      <c r="I20" s="566">
        <v>9.4478765250558201</v>
      </c>
      <c r="J20" s="566">
        <v>9.3161871345773797</v>
      </c>
      <c r="K20" s="566">
        <v>9.4627791419835692</v>
      </c>
      <c r="L20" s="566">
        <v>9.5440467911519402</v>
      </c>
      <c r="M20" s="566">
        <v>9.1661215126140103</v>
      </c>
      <c r="N20" s="566"/>
      <c r="O20" s="566"/>
    </row>
    <row r="21" spans="2:15">
      <c r="B21" t="s">
        <v>529</v>
      </c>
      <c r="C21" t="s">
        <v>512</v>
      </c>
      <c r="D21" t="s">
        <v>497</v>
      </c>
      <c r="E21" t="s">
        <v>742</v>
      </c>
      <c r="F21" s="566">
        <v>9.5239999999999991</v>
      </c>
      <c r="G21" s="566">
        <v>9.2349306665631996</v>
      </c>
      <c r="H21" s="566">
        <v>7.0819999999999999</v>
      </c>
      <c r="I21" s="566">
        <v>17.119022823507201</v>
      </c>
      <c r="J21" s="566">
        <v>15.977777194645499</v>
      </c>
      <c r="K21" s="566">
        <v>14.9652579167622</v>
      </c>
      <c r="L21" s="566">
        <v>10.8495178905568</v>
      </c>
      <c r="M21" s="566">
        <v>10.477727437214</v>
      </c>
      <c r="N21" s="566"/>
      <c r="O21" s="566"/>
    </row>
    <row r="22" spans="2:15">
      <c r="B22" t="s">
        <v>1</v>
      </c>
      <c r="C22" t="s">
        <v>513</v>
      </c>
      <c r="D22" t="s">
        <v>497</v>
      </c>
      <c r="E22" t="s">
        <v>742</v>
      </c>
      <c r="F22" s="566">
        <v>3.6771272648475701</v>
      </c>
      <c r="G22" s="566">
        <v>3.0720375413269601</v>
      </c>
      <c r="H22" s="566">
        <v>3.0373148656061399</v>
      </c>
      <c r="I22" s="566">
        <v>1.2659124139942699</v>
      </c>
      <c r="J22" s="566">
        <v>1.31985418066939</v>
      </c>
      <c r="K22" s="566">
        <v>1.57951423336618</v>
      </c>
      <c r="L22" s="566">
        <v>1.6763714141083299</v>
      </c>
      <c r="M22" s="566">
        <v>1.6714490220846501</v>
      </c>
      <c r="N22" s="566"/>
      <c r="O22" s="566"/>
    </row>
    <row r="23" spans="2:15">
      <c r="B23" t="s">
        <v>5</v>
      </c>
      <c r="C23" t="s">
        <v>514</v>
      </c>
      <c r="D23" t="s">
        <v>497</v>
      </c>
      <c r="E23" t="s">
        <v>742</v>
      </c>
      <c r="F23" s="566">
        <v>1.7278727351524199</v>
      </c>
      <c r="G23" s="566">
        <v>2.6695342752323601</v>
      </c>
      <c r="H23" s="566">
        <v>5.1656851343938497</v>
      </c>
      <c r="I23" s="566">
        <v>2.2520946974483298</v>
      </c>
      <c r="J23" s="566">
        <v>2.30459027730917</v>
      </c>
      <c r="K23" s="566">
        <v>1.5513926284283699</v>
      </c>
      <c r="L23" s="566">
        <v>1.47311469413213</v>
      </c>
      <c r="M23" s="566">
        <v>1.4002452586169301</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106.88338426708999</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-0.17313263285587699</v>
      </c>
      <c r="J34" s="566">
        <v>-0.166419671538171</v>
      </c>
      <c r="K34" s="566">
        <v>-0.158596222528848</v>
      </c>
      <c r="L34" s="566">
        <v>-0.135485558984277</v>
      </c>
      <c r="M34" s="566">
        <v>-0.130723418119358</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206.02619945292699</v>
      </c>
      <c r="G36" s="566">
        <v>206.62122210946501</v>
      </c>
      <c r="H36" s="566">
        <v>207.347825995314</v>
      </c>
      <c r="I36" s="566">
        <v>213.944361164323</v>
      </c>
      <c r="J36" s="566">
        <v>218.703241866833</v>
      </c>
      <c r="K36" s="566">
        <v>220.911324375215</v>
      </c>
      <c r="L36" s="566">
        <v>219.124741563155</v>
      </c>
      <c r="M36" s="566">
        <v>216.778749394724</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7.0999999999999994E-2</v>
      </c>
      <c r="G38" s="568">
        <v>5.5E-2</v>
      </c>
      <c r="H38" s="568">
        <v>5.5E-2</v>
      </c>
      <c r="I38" s="568">
        <v>5.5E-2</v>
      </c>
      <c r="J38" s="568">
        <v>5.5E-2</v>
      </c>
      <c r="K38" s="568">
        <v>5.5E-2</v>
      </c>
      <c r="L38" s="568">
        <v>5.5E-2</v>
      </c>
      <c r="M38" s="568">
        <v>5.5E-2</v>
      </c>
      <c r="N38" s="568">
        <v>5.5E-2</v>
      </c>
      <c r="O38" s="568"/>
    </row>
    <row r="39" spans="2:15">
      <c r="B39" t="s">
        <v>533</v>
      </c>
      <c r="C39" t="s">
        <v>504</v>
      </c>
      <c r="D39" t="s">
        <v>499</v>
      </c>
      <c r="E39" t="s">
        <v>742</v>
      </c>
      <c r="F39" s="570"/>
      <c r="G39" s="570"/>
      <c r="H39" s="570"/>
      <c r="I39" s="570"/>
      <c r="J39" s="570"/>
      <c r="K39" s="570"/>
      <c r="L39" s="570"/>
      <c r="M39" s="570"/>
      <c r="N39" s="570">
        <v>6.7799999999999999E-2</v>
      </c>
      <c r="O39" s="570"/>
    </row>
    <row r="40" spans="2:15">
      <c r="B40" t="s">
        <v>424</v>
      </c>
      <c r="C40" t="s">
        <v>8</v>
      </c>
      <c r="D40" t="s">
        <v>497</v>
      </c>
      <c r="E40" t="s">
        <v>742</v>
      </c>
      <c r="F40" s="566"/>
      <c r="G40" s="566"/>
      <c r="H40" s="566"/>
      <c r="I40" s="566">
        <v>9.0890000000000004</v>
      </c>
      <c r="J40" s="566">
        <v>9.4920000000000009</v>
      </c>
      <c r="K40" s="566">
        <v>10.148</v>
      </c>
      <c r="L40" s="566">
        <v>10.226000000000001</v>
      </c>
      <c r="M40" s="566">
        <v>7.4560000000000004</v>
      </c>
      <c r="N40" s="566"/>
      <c r="O40" s="566"/>
    </row>
    <row r="41" spans="2:15">
      <c r="B41" t="s">
        <v>425</v>
      </c>
      <c r="C41" t="s">
        <v>65</v>
      </c>
      <c r="D41" t="s">
        <v>497</v>
      </c>
      <c r="E41" t="s">
        <v>742</v>
      </c>
      <c r="F41" s="566"/>
      <c r="G41" s="566"/>
      <c r="H41" s="566"/>
      <c r="I41" s="566">
        <v>14.56</v>
      </c>
      <c r="J41" s="566">
        <v>12.743</v>
      </c>
      <c r="K41" s="566">
        <v>16.628</v>
      </c>
      <c r="L41" s="566">
        <v>13.476000000000001</v>
      </c>
      <c r="M41" s="566">
        <v>11.061</v>
      </c>
      <c r="N41" s="566"/>
      <c r="O41" s="566"/>
    </row>
    <row r="42" spans="2:15">
      <c r="B42" t="s">
        <v>426</v>
      </c>
      <c r="C42" t="s">
        <v>382</v>
      </c>
      <c r="D42" t="s">
        <v>497</v>
      </c>
      <c r="E42" t="s">
        <v>742</v>
      </c>
      <c r="F42" s="566"/>
      <c r="G42" s="566"/>
      <c r="H42" s="566"/>
      <c r="I42" s="566">
        <v>3.7559999999999998</v>
      </c>
      <c r="J42" s="566">
        <v>0.74399999999999999</v>
      </c>
      <c r="K42" s="566">
        <v>1.44</v>
      </c>
      <c r="L42" s="566">
        <v>1.8380000000000001</v>
      </c>
      <c r="M42" s="566">
        <v>1.3720000000000001</v>
      </c>
      <c r="N42" s="566"/>
      <c r="O42" s="566"/>
    </row>
    <row r="43" spans="2:15">
      <c r="B43" t="s">
        <v>427</v>
      </c>
      <c r="C43" t="s">
        <v>383</v>
      </c>
      <c r="D43" t="s">
        <v>497</v>
      </c>
      <c r="E43" t="s">
        <v>742</v>
      </c>
      <c r="F43" s="566"/>
      <c r="G43" s="566"/>
      <c r="H43" s="566"/>
      <c r="I43" s="566">
        <v>0.61099999999999999</v>
      </c>
      <c r="J43" s="566">
        <v>3.2759999999999998</v>
      </c>
      <c r="K43" s="566">
        <v>3.12</v>
      </c>
      <c r="L43" s="566">
        <v>3.0059999999999998</v>
      </c>
      <c r="M43" s="566">
        <v>2.0539999999999998</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259.17824999999999</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117.54625</v>
      </c>
      <c r="M64" s="569">
        <v>121.0726375</v>
      </c>
      <c r="N64" s="569"/>
      <c r="O64" s="569"/>
    </row>
    <row r="65" spans="2:15">
      <c r="B65" t="s">
        <v>534</v>
      </c>
      <c r="C65" t="s">
        <v>559</v>
      </c>
      <c r="D65" t="s">
        <v>522</v>
      </c>
      <c r="E65" t="s">
        <v>742</v>
      </c>
      <c r="F65" s="568"/>
      <c r="G65" s="568"/>
      <c r="H65" s="568"/>
      <c r="I65" s="568"/>
      <c r="J65" s="568"/>
      <c r="K65" s="568"/>
      <c r="L65" s="568">
        <v>2.5000000000000001E-2</v>
      </c>
      <c r="M65" s="568">
        <v>0.03</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9.7199899999999992</v>
      </c>
      <c r="K10" s="221">
        <f>INDEX('F_Inputs FD'!$B$4:$O$90,MATCH($C10,'F_Inputs FD'!$B$4:$B$90,0),MATCH(K$2,'F_Inputs FD'!$B$2:$N$2,0))</f>
        <v>9.4691895000000006</v>
      </c>
      <c r="L10" s="221">
        <f>INDEX('F_Inputs FD'!$B$4:$O$90,MATCH($C10,'F_Inputs FD'!$B$4:$B$90,0),MATCH(L$2,'F_Inputs FD'!$B$2:$N$2,0))</f>
        <v>9.5575726999999997</v>
      </c>
      <c r="M10" s="221">
        <f>INDEX('F_Inputs FD'!$B$4:$O$90,MATCH($C10,'F_Inputs FD'!$B$4:$B$90,0),MATCH(M$2,'F_Inputs FD'!$B$2:$N$2,0))</f>
        <v>9.5633368000000001</v>
      </c>
      <c r="N10" s="395">
        <f>INDEX('F_Inputs FD'!$B$4:$O$90,MATCH($C10,'F_Inputs FD'!$B$4:$B$90,0),MATCH(N$2,'F_Inputs FD'!$B$2:$N$2,0))</f>
        <v>9.1205259999999999</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18.846630000000001</v>
      </c>
      <c r="K11" s="221">
        <f>INDEX('F_Inputs FD'!$B$4:$O$90,MATCH($C11,'F_Inputs FD'!$B$4:$B$90,0),MATCH(K$2,'F_Inputs FD'!$B$2:$N$2,0))</f>
        <v>17.619257699999999</v>
      </c>
      <c r="L11" s="221">
        <f>INDEX('F_Inputs FD'!$B$4:$O$90,MATCH($C11,'F_Inputs FD'!$B$4:$B$90,0),MATCH(L$2,'F_Inputs FD'!$B$2:$N$2,0))</f>
        <v>16.722150200000002</v>
      </c>
      <c r="M11" s="221">
        <f>INDEX('F_Inputs FD'!$B$4:$O$90,MATCH($C11,'F_Inputs FD'!$B$4:$B$90,0),MATCH(M$2,'F_Inputs FD'!$B$2:$N$2,0))</f>
        <v>12.216910800000001</v>
      </c>
      <c r="N11" s="395">
        <f>INDEX('F_Inputs FD'!$B$4:$O$90,MATCH($C11,'F_Inputs FD'!$B$4:$B$90,0),MATCH(N$2,'F_Inputs FD'!$B$2:$N$2,0))</f>
        <v>11.413902</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1.8928799999999999</v>
      </c>
      <c r="K12" s="221">
        <f>INDEX('F_Inputs FD'!$B$4:$O$90,MATCH($C12,'F_Inputs FD'!$B$4:$B$90,0),MATCH(K$2,'F_Inputs FD'!$B$2:$N$2,0))</f>
        <v>1.9435382999999999</v>
      </c>
      <c r="L12" s="221">
        <f>INDEX('F_Inputs FD'!$B$4:$O$90,MATCH($C12,'F_Inputs FD'!$B$4:$B$90,0),MATCH(L$2,'F_Inputs FD'!$B$2:$N$2,0))</f>
        <v>2.5945822000000001</v>
      </c>
      <c r="M12" s="221">
        <f>INDEX('F_Inputs FD'!$B$4:$O$90,MATCH($C12,'F_Inputs FD'!$B$4:$B$90,0),MATCH(M$2,'F_Inputs FD'!$B$2:$N$2,0))</f>
        <v>2.9010120000000001</v>
      </c>
      <c r="N12" s="395">
        <f>INDEX('F_Inputs FD'!$B$4:$O$90,MATCH($C12,'F_Inputs FD'!$B$4:$B$90,0),MATCH(N$2,'F_Inputs FD'!$B$2:$N$2,0))</f>
        <v>3.209625</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3.0957300000000001</v>
      </c>
      <c r="K13" s="221">
        <f>INDEX('F_Inputs FD'!$B$4:$O$90,MATCH($C13,'F_Inputs FD'!$B$4:$B$90,0),MATCH(K$2,'F_Inputs FD'!$B$2:$N$2,0))</f>
        <v>3.1872851999999998</v>
      </c>
      <c r="L13" s="221">
        <f>INDEX('F_Inputs FD'!$B$4:$O$90,MATCH($C13,'F_Inputs FD'!$B$4:$B$90,0),MATCH(L$2,'F_Inputs FD'!$B$2:$N$2,0))</f>
        <v>2.4306014999999999</v>
      </c>
      <c r="M13" s="221">
        <f>INDEX('F_Inputs FD'!$B$4:$O$90,MATCH($C13,'F_Inputs FD'!$B$4:$B$90,0),MATCH(M$2,'F_Inputs FD'!$B$2:$N$2,0))</f>
        <v>2.4351210000000001</v>
      </c>
      <c r="N13" s="395">
        <f>INDEX('F_Inputs FD'!$B$4:$O$90,MATCH($C13,'F_Inputs FD'!$B$4:$B$90,0),MATCH(N$2,'F_Inputs FD'!$B$2:$N$2,0))</f>
        <v>2.5505819999999999</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1.127</v>
      </c>
      <c r="K14" s="221">
        <f>INDEX('F_Inputs FD'!$B$4:$O$90,MATCH($C14,'F_Inputs FD'!$B$4:$B$90,0),MATCH(K$2,'F_Inputs FD'!$B$2:$N$2,0))</f>
        <v>1.2230000000000001</v>
      </c>
      <c r="L14" s="221">
        <f>INDEX('F_Inputs FD'!$B$4:$O$90,MATCH($C14,'F_Inputs FD'!$B$4:$B$90,0),MATCH(L$2,'F_Inputs FD'!$B$2:$N$2,0))</f>
        <v>1.6080000000000001</v>
      </c>
      <c r="M14" s="221">
        <f>INDEX('F_Inputs FD'!$B$4:$O$90,MATCH($C14,'F_Inputs FD'!$B$4:$B$90,0),MATCH(M$2,'F_Inputs FD'!$B$2:$N$2,0))</f>
        <v>2.044</v>
      </c>
      <c r="N14" s="395">
        <f>INDEX('F_Inputs FD'!$B$4:$O$90,MATCH($C14,'F_Inputs FD'!$B$4:$B$90,0),MATCH(N$2,'F_Inputs FD'!$B$2:$N$2,0))</f>
        <v>2.5249999999999999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9.4478765250558201</v>
      </c>
      <c r="K30" s="221">
        <f>INDEX('F_Inputs FD'!$B$4:$O$90,MATCH($C30,'F_Inputs FD'!$B$4:$B$90,0),MATCH(K$2,'F_Inputs FD'!$B$2:$N$2,0))</f>
        <v>9.3161871345773797</v>
      </c>
      <c r="L30" s="221">
        <f>INDEX('F_Inputs FD'!$B$4:$O$90,MATCH($C30,'F_Inputs FD'!$B$4:$B$90,0),MATCH(L$2,'F_Inputs FD'!$B$2:$N$2,0))</f>
        <v>9.4627791419835692</v>
      </c>
      <c r="M30" s="221">
        <f>INDEX('F_Inputs FD'!$B$4:$O$90,MATCH($C30,'F_Inputs FD'!$B$4:$B$90,0),MATCH(M$2,'F_Inputs FD'!$B$2:$N$2,0))</f>
        <v>9.5440467911519402</v>
      </c>
      <c r="N30" s="395">
        <f>INDEX('F_Inputs FD'!$B$4:$O$90,MATCH($C30,'F_Inputs FD'!$B$4:$B$90,0),MATCH(N$2,'F_Inputs FD'!$B$2:$N$2,0))</f>
        <v>9.1661215126140103</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17.119022823507201</v>
      </c>
      <c r="K31" s="221">
        <f>INDEX('F_Inputs FD'!$B$4:$O$90,MATCH($C31,'F_Inputs FD'!$B$4:$B$90,0),MATCH(K$2,'F_Inputs FD'!$B$2:$N$2,0))</f>
        <v>15.977777194645499</v>
      </c>
      <c r="L31" s="221">
        <f>INDEX('F_Inputs FD'!$B$4:$O$90,MATCH($C31,'F_Inputs FD'!$B$4:$B$90,0),MATCH(L$2,'F_Inputs FD'!$B$2:$N$2,0))</f>
        <v>14.9652579167622</v>
      </c>
      <c r="M31" s="221">
        <f>INDEX('F_Inputs FD'!$B$4:$O$90,MATCH($C31,'F_Inputs FD'!$B$4:$B$90,0),MATCH(M$2,'F_Inputs FD'!$B$2:$N$2,0))</f>
        <v>10.8495178905568</v>
      </c>
      <c r="N31" s="395">
        <f>INDEX('F_Inputs FD'!$B$4:$O$90,MATCH($C31,'F_Inputs FD'!$B$4:$B$90,0),MATCH(N$2,'F_Inputs FD'!$B$2:$N$2,0))</f>
        <v>10.477727437214</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1.2659124139942699</v>
      </c>
      <c r="K32" s="221">
        <f>INDEX('F_Inputs FD'!$B$4:$O$90,MATCH($C32,'F_Inputs FD'!$B$4:$B$90,0),MATCH(K$2,'F_Inputs FD'!$B$2:$N$2,0))</f>
        <v>1.31985418066939</v>
      </c>
      <c r="L32" s="221">
        <f>INDEX('F_Inputs FD'!$B$4:$O$90,MATCH($C32,'F_Inputs FD'!$B$4:$B$90,0),MATCH(L$2,'F_Inputs FD'!$B$2:$N$2,0))</f>
        <v>1.57951423336618</v>
      </c>
      <c r="M32" s="221">
        <f>INDEX('F_Inputs FD'!$B$4:$O$90,MATCH($C32,'F_Inputs FD'!$B$4:$B$90,0),MATCH(M$2,'F_Inputs FD'!$B$2:$N$2,0))</f>
        <v>1.6763714141083299</v>
      </c>
      <c r="N32" s="395">
        <f>INDEX('F_Inputs FD'!$B$4:$O$90,MATCH($C32,'F_Inputs FD'!$B$4:$B$90,0),MATCH(N$2,'F_Inputs FD'!$B$2:$N$2,0))</f>
        <v>1.6714490220846501</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2.2520946974483298</v>
      </c>
      <c r="K33" s="221">
        <f>INDEX('F_Inputs FD'!$B$4:$O$90,MATCH($C33,'F_Inputs FD'!$B$4:$B$90,0),MATCH(K$2,'F_Inputs FD'!$B$2:$N$2,0))</f>
        <v>2.30459027730917</v>
      </c>
      <c r="L33" s="221">
        <f>INDEX('F_Inputs FD'!$B$4:$O$90,MATCH($C33,'F_Inputs FD'!$B$4:$B$90,0),MATCH(L$2,'F_Inputs FD'!$B$2:$N$2,0))</f>
        <v>1.5513926284283699</v>
      </c>
      <c r="M33" s="221">
        <f>INDEX('F_Inputs FD'!$B$4:$O$90,MATCH($C33,'F_Inputs FD'!$B$4:$B$90,0),MATCH(M$2,'F_Inputs FD'!$B$2:$N$2,0))</f>
        <v>1.47311469413213</v>
      </c>
      <c r="N33" s="395">
        <f>INDEX('F_Inputs FD'!$B$4:$O$90,MATCH($C33,'F_Inputs FD'!$B$4:$B$90,0),MATCH(N$2,'F_Inputs FD'!$B$2:$N$2,0))</f>
        <v>1.4002452586169301</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-0.17313263285587699</v>
      </c>
      <c r="K49" s="221">
        <f>IF(INDEX('F_Inputs FD'!$B$4:$O$90,MATCH($C49,'F_Inputs FD'!$B$4:$B$90,0),MATCH(K$2,'F_Inputs FD'!$B$2:$N$2,0))="","",INDEX('F_Inputs FD'!$B$4:$O$90,MATCH($C49,'F_Inputs FD'!$B$4:$B$90,0),MATCH(K$2,'F_Inputs FD'!$B$2:$N$2,0)))</f>
        <v>-0.166419671538171</v>
      </c>
      <c r="L49" s="221">
        <f>IF(INDEX('F_Inputs FD'!$B$4:$O$90,MATCH($C49,'F_Inputs FD'!$B$4:$B$90,0),MATCH(L$2,'F_Inputs FD'!$B$2:$N$2,0))="","",INDEX('F_Inputs FD'!$B$4:$O$90,MATCH($C49,'F_Inputs FD'!$B$4:$B$90,0),MATCH(L$2,'F_Inputs FD'!$B$2:$N$2,0)))</f>
        <v>-0.158596222528848</v>
      </c>
      <c r="M49" s="221">
        <f>IF(INDEX('F_Inputs FD'!$B$4:$O$90,MATCH($C49,'F_Inputs FD'!$B$4:$B$90,0),MATCH(M$2,'F_Inputs FD'!$B$2:$N$2,0))="","",INDEX('F_Inputs FD'!$B$4:$O$90,MATCH($C49,'F_Inputs FD'!$B$4:$B$90,0),MATCH(M$2,'F_Inputs FD'!$B$2:$N$2,0)))</f>
        <v>-0.135485558984277</v>
      </c>
      <c r="N49" s="395">
        <f>IF(INDEX('F_Inputs FD'!$B$4:$O$90,MATCH($C49,'F_Inputs FD'!$B$4:$B$90,0),MATCH(N$2,'F_Inputs FD'!$B$2:$N$2,0))="","",INDEX('F_Inputs FD'!$B$4:$O$90,MATCH($C49,'F_Inputs FD'!$B$4:$B$90,0),MATCH(N$2,'F_Inputs FD'!$B$2:$N$2,0)))</f>
        <v>-0.130723418119358</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207.347825995314</v>
      </c>
      <c r="J54" s="221">
        <f>INDEX('F_Inputs FD'!$B$4:$O$90,MATCH($C54,'F_Inputs FD'!$B$4:$B$90,0),MATCH(J$2,'F_Inputs FD'!$B$2:$N$2,0))</f>
        <v>213.944361164323</v>
      </c>
      <c r="K54" s="221">
        <f>INDEX('F_Inputs FD'!$B$4:$O$90,MATCH($C54,'F_Inputs FD'!$B$4:$B$90,0),MATCH(K$2,'F_Inputs FD'!$B$2:$N$2,0))</f>
        <v>218.703241866833</v>
      </c>
      <c r="L54" s="221">
        <f>INDEX('F_Inputs FD'!$B$4:$O$90,MATCH($C54,'F_Inputs FD'!$B$4:$B$90,0),MATCH(L$2,'F_Inputs FD'!$B$2:$N$2,0))</f>
        <v>220.911324375215</v>
      </c>
      <c r="M54" s="221">
        <f>INDEX('F_Inputs FD'!$B$4:$O$90,MATCH($C54,'F_Inputs FD'!$B$4:$B$90,0),MATCH(M$2,'F_Inputs FD'!$B$2:$N$2,0))</f>
        <v>219.124741563155</v>
      </c>
      <c r="N54" s="395">
        <f>INDEX('F_Inputs FD'!$B$4:$O$90,MATCH($C54,'F_Inputs FD'!$B$4:$B$90,0),MATCH(N$2,'F_Inputs FD'!$B$2:$N$2,0))</f>
        <v>216.778749394724</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9.0890000000000004</v>
      </c>
      <c r="K65" s="221">
        <f>INDEX('F_Inputs FD'!$B$4:$O$90,MATCH($C65,'F_Inputs FD'!$B$4:$B$90,0),MATCH(K$2,'F_Inputs FD'!$B$2:$N$2,0))</f>
        <v>9.4920000000000009</v>
      </c>
      <c r="L65" s="221">
        <f>INDEX('F_Inputs FD'!$B$4:$O$90,MATCH($C65,'F_Inputs FD'!$B$4:$B$90,0),MATCH(L$2,'F_Inputs FD'!$B$2:$N$2,0))</f>
        <v>10.148</v>
      </c>
      <c r="M65" s="221">
        <f>INDEX('F_Inputs FD'!$B$4:$O$90,MATCH($C65,'F_Inputs FD'!$B$4:$B$90,0),MATCH(M$2,'F_Inputs FD'!$B$2:$N$2,0))</f>
        <v>10.226000000000001</v>
      </c>
      <c r="N65" s="395">
        <f>INDEX('F_Inputs FD'!$B$4:$O$90,MATCH($C65,'F_Inputs FD'!$B$4:$B$90,0),MATCH(N$2,'F_Inputs FD'!$B$2:$N$2,0))</f>
        <v>7.4560000000000004</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14.56</v>
      </c>
      <c r="K66" s="221">
        <f>INDEX('F_Inputs FD'!$B$4:$O$90,MATCH($C66,'F_Inputs FD'!$B$4:$B$90,0),MATCH(K$2,'F_Inputs FD'!$B$2:$N$2,0))</f>
        <v>12.743</v>
      </c>
      <c r="L66" s="221">
        <f>INDEX('F_Inputs FD'!$B$4:$O$90,MATCH($C66,'F_Inputs FD'!$B$4:$B$90,0),MATCH(L$2,'F_Inputs FD'!$B$2:$N$2,0))</f>
        <v>16.628</v>
      </c>
      <c r="M66" s="221">
        <f>INDEX('F_Inputs FD'!$B$4:$O$90,MATCH($C66,'F_Inputs FD'!$B$4:$B$90,0),MATCH(M$2,'F_Inputs FD'!$B$2:$N$2,0))</f>
        <v>13.476000000000001</v>
      </c>
      <c r="N66" s="395">
        <f>INDEX('F_Inputs FD'!$B$4:$O$90,MATCH($C66,'F_Inputs FD'!$B$4:$B$90,0),MATCH(N$2,'F_Inputs FD'!$B$2:$N$2,0))</f>
        <v>11.061</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3.7559999999999998</v>
      </c>
      <c r="K67" s="221">
        <f>INDEX('F_Inputs FD'!$B$4:$O$90,MATCH($C67,'F_Inputs FD'!$B$4:$B$90,0),MATCH(K$2,'F_Inputs FD'!$B$2:$N$2,0))</f>
        <v>0.74399999999999999</v>
      </c>
      <c r="L67" s="221">
        <f>INDEX('F_Inputs FD'!$B$4:$O$90,MATCH($C67,'F_Inputs FD'!$B$4:$B$90,0),MATCH(L$2,'F_Inputs FD'!$B$2:$N$2,0))</f>
        <v>1.44</v>
      </c>
      <c r="M67" s="221">
        <f>INDEX('F_Inputs FD'!$B$4:$O$90,MATCH($C67,'F_Inputs FD'!$B$4:$B$90,0),MATCH(M$2,'F_Inputs FD'!$B$2:$N$2,0))</f>
        <v>1.8380000000000001</v>
      </c>
      <c r="N67" s="395">
        <f>INDEX('F_Inputs FD'!$B$4:$O$90,MATCH($C67,'F_Inputs FD'!$B$4:$B$90,0),MATCH(N$2,'F_Inputs FD'!$B$2:$N$2,0))</f>
        <v>1.3720000000000001</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0.61099999999999999</v>
      </c>
      <c r="K68" s="221">
        <f>INDEX('F_Inputs FD'!$B$4:$O$90,MATCH($C68,'F_Inputs FD'!$B$4:$B$90,0),MATCH(K$2,'F_Inputs FD'!$B$2:$N$2,0))</f>
        <v>3.2759999999999998</v>
      </c>
      <c r="L68" s="221">
        <f>INDEX('F_Inputs FD'!$B$4:$O$90,MATCH($C68,'F_Inputs FD'!$B$4:$B$90,0),MATCH(L$2,'F_Inputs FD'!$B$2:$N$2,0))</f>
        <v>3.12</v>
      </c>
      <c r="M68" s="221">
        <f>INDEX('F_Inputs FD'!$B$4:$O$90,MATCH($C68,'F_Inputs FD'!$B$4:$B$90,0),MATCH(M$2,'F_Inputs FD'!$B$2:$N$2,0))</f>
        <v>3.0059999999999998</v>
      </c>
      <c r="N68" s="395">
        <f>INDEX('F_Inputs FD'!$B$4:$O$90,MATCH($C68,'F_Inputs FD'!$B$4:$B$90,0),MATCH(N$2,'F_Inputs FD'!$B$2:$N$2,0))</f>
        <v>2.0539999999999998</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703">
        <v>-0.53000000000000103</v>
      </c>
      <c r="K85" s="703">
        <v>-0.622</v>
      </c>
      <c r="L85" s="703">
        <v>-0.88699999999999701</v>
      </c>
      <c r="M85" s="703">
        <v>-0.81599999999999895</v>
      </c>
      <c r="N85" s="704">
        <v>-0.48999999999999799</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259.17824999999999</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117.54625</v>
      </c>
      <c r="N106" s="565">
        <f>INDEX('F_Inputs FD'!$B$4:$O$90,MATCH($C106,'F_Inputs FD'!$B$4:$B$90,0),MATCH(N$2,'F_Inputs FD'!$B$2:$N$2,0))</f>
        <v>121.0726375</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2.5000000000000001E-2</v>
      </c>
      <c r="N107" s="416">
        <f>INDEX('F_Inputs FD'!$B$4:$O$90,MATCH($C107,'F_Inputs FD'!$B$4:$B$90,0),MATCH(N$2,'F_Inputs FD'!$B$2:$N$2,0))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781</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0</v>
      </c>
      <c r="R154" s="137"/>
    </row>
    <row r="155" spans="1:18" s="138" customFormat="1">
      <c r="A155" s="397"/>
      <c r="B155" s="153"/>
      <c r="C155" s="423"/>
      <c r="D155" s="153" t="s">
        <v>16</v>
      </c>
      <c r="E155" s="153" t="s">
        <v>579</v>
      </c>
      <c r="F155" s="402"/>
      <c r="G155" s="402"/>
      <c r="H155" s="402"/>
      <c r="I155" s="402"/>
      <c r="J155" s="403"/>
      <c r="K155" s="403"/>
      <c r="L155" s="403"/>
      <c r="M155" s="403"/>
      <c r="N155" s="404"/>
      <c r="O155" s="572">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259.17824999999999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2.9574615995763942E-2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0.8048193344413237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117.54625</v>
      </c>
      <c r="N17" s="375">
        <f>IF('Input FD'!N106=0,M17*(1+'Input FD'!N107),'Input FD'!N106)</f>
        <v>121.0726375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1.0561208445642407</v>
      </c>
      <c r="N18" s="377">
        <f t="shared" si="4"/>
        <v>1.087804469901168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87.512449881778281</v>
      </c>
      <c r="N20" s="375">
        <f>((N17/'Input FD'!$G$117)/(N13/'Input FD'!$G$116))*100</f>
        <v>87.548606946815497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0.87512449881778276</v>
      </c>
      <c r="N21" s="377">
        <f t="shared" si="5"/>
        <v>0.87548606946815499</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9.6104599366307806</v>
      </c>
      <c r="K39" s="156">
        <f>IF(OR(K$5&lt;4,K$5&gt;8),'Input FD'!K30,'Input FD'!K30*$G$95/100)</f>
        <v>9.476504374455935</v>
      </c>
      <c r="L39" s="156">
        <f>IF(OR(L$5&lt;4,L$5&gt;8),'Input FD'!L30,'Input FD'!L30*$G$95/100)</f>
        <v>9.6256190046557766</v>
      </c>
      <c r="M39" s="156">
        <f>IF(OR(M$5&lt;4,M$5&gt;8),'Input FD'!M30,'Input FD'!M30*$G$95/100)</f>
        <v>9.7082851449684195</v>
      </c>
      <c r="N39" s="365">
        <f>IF(OR(N$5&lt;4,N$5&gt;8),'Input FD'!N30,'Input FD'!N30*$G$95/100)</f>
        <v>9.3238563541394299</v>
      </c>
      <c r="O39" s="157"/>
      <c r="P39" s="158"/>
      <c r="Q39" s="148"/>
      <c r="R39" s="147" t="s">
        <v>242</v>
      </c>
    </row>
    <row r="40" spans="1:23" s="37" customFormat="1">
      <c r="C40" s="131"/>
      <c r="D40" s="153" t="s">
        <v>57</v>
      </c>
      <c r="E40" s="154" t="s">
        <v>61</v>
      </c>
      <c r="F40" s="155"/>
      <c r="G40" s="148"/>
      <c r="H40" s="148"/>
      <c r="I40" s="148"/>
      <c r="J40" s="156">
        <f>IF(OR(J$5&lt;4,J$5&gt;8),'Input FD'!J31,'Input FD'!J31*$G$95/100)</f>
        <v>17.413614854435437</v>
      </c>
      <c r="K40" s="156">
        <f>IF(OR(K$5&lt;4,K$5&gt;8),'Input FD'!K31,'Input FD'!K31*$G$95/100)</f>
        <v>16.252730145057253</v>
      </c>
      <c r="L40" s="156">
        <f>IF(OR(L$5&lt;4,L$5&gt;8),'Input FD'!L31,'Input FD'!L31*$G$95/100)</f>
        <v>15.222786969005185</v>
      </c>
      <c r="M40" s="156">
        <f>IF(OR(M$5&lt;4,M$5&gt;8),'Input FD'!M31,'Input FD'!M31*$G$95/100)</f>
        <v>11.036221392440243</v>
      </c>
      <c r="N40" s="365">
        <f>IF(OR(N$5&lt;4,N$5&gt;8),'Input FD'!N31,'Input FD'!N31*$G$95/100)</f>
        <v>10.658032997704456</v>
      </c>
      <c r="O40" s="157"/>
      <c r="P40" s="158"/>
      <c r="Q40" s="148"/>
      <c r="R40" s="147" t="s">
        <v>242</v>
      </c>
    </row>
    <row r="41" spans="1:23" s="37" customFormat="1">
      <c r="C41" s="131"/>
      <c r="D41" s="153" t="s">
        <v>57</v>
      </c>
      <c r="E41" s="154" t="s">
        <v>63</v>
      </c>
      <c r="F41" s="155"/>
      <c r="G41" s="148"/>
      <c r="H41" s="148"/>
      <c r="I41" s="148"/>
      <c r="J41" s="156">
        <f>IF(OR(J$5&lt;4,J$5&gt;8),'Input FD'!J32,'Input FD'!J32*$G$95/100)</f>
        <v>1.2876968179792769</v>
      </c>
      <c r="K41" s="156">
        <f>IF(OR(K$5&lt;4,K$5&gt;8),'Input FD'!K32,'Input FD'!K32*$G$95/100)</f>
        <v>1.3425668394245736</v>
      </c>
      <c r="L41" s="156">
        <f>IF(OR(L$5&lt;4,L$5&gt;8),'Input FD'!L32,'Input FD'!L32*$G$95/100)</f>
        <v>1.6066952419251761</v>
      </c>
      <c r="M41" s="156">
        <f>IF(OR(M$5&lt;4,M$5&gt;8),'Input FD'!M32,'Input FD'!M32*$G$95/100)</f>
        <v>1.7052191856525141</v>
      </c>
      <c r="N41" s="365">
        <f>IF(OR(N$5&lt;4,N$5&gt;8),'Input FD'!N32,'Input FD'!N32*$G$95/100)</f>
        <v>1.7002120868393038</v>
      </c>
      <c r="O41" s="157"/>
      <c r="P41" s="158"/>
      <c r="Q41" s="148"/>
      <c r="R41" s="147" t="s">
        <v>242</v>
      </c>
    </row>
    <row r="42" spans="1:23" s="37" customFormat="1">
      <c r="C42" s="131"/>
      <c r="D42" s="153" t="s">
        <v>57</v>
      </c>
      <c r="E42" s="154" t="s">
        <v>62</v>
      </c>
      <c r="F42" s="155"/>
      <c r="G42" s="148"/>
      <c r="H42" s="148"/>
      <c r="I42" s="148"/>
      <c r="J42" s="156">
        <f>IF(OR(J$5&lt;4,J$5&gt;8),'Input FD'!J33,'Input FD'!J33*$G$95/100)</f>
        <v>2.2908497804693648</v>
      </c>
      <c r="K42" s="156">
        <f>IF(OR(K$5&lt;4,K$5&gt;8),'Input FD'!K33,'Input FD'!K33*$G$95/100)</f>
        <v>2.3442487284514697</v>
      </c>
      <c r="L42" s="156">
        <f>IF(OR(L$5&lt;4,L$5&gt;8),'Input FD'!L33,'Input FD'!L33*$G$95/100)</f>
        <v>1.5780897074548803</v>
      </c>
      <c r="M42" s="156">
        <f>IF(OR(M$5&lt;4,M$5&gt;8),'Input FD'!M33,'Input FD'!M33*$G$95/100)</f>
        <v>1.4984647304051526</v>
      </c>
      <c r="N42" s="365">
        <f>IF(OR(N$5&lt;4,N$5&gt;8),'Input FD'!N33,'Input FD'!N33*$G$95/100)</f>
        <v>1.42434132407501</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32.428229999999999</v>
      </c>
      <c r="K55" s="156">
        <f>SUM('Input FD'!K10:K13)-'Input FD'!K14-'Input FD'!K17+'Input FD'!K15+'Input FD'!K16</f>
        <v>30.996270699999997</v>
      </c>
      <c r="L55" s="156">
        <f>SUM('Input FD'!L10:L13)-'Input FD'!L14-'Input FD'!L17+'Input FD'!L15+'Input FD'!L16</f>
        <v>29.696906600000002</v>
      </c>
      <c r="M55" s="156">
        <f>SUM('Input FD'!M10:M13)-'Input FD'!M14-'Input FD'!M17+'Input FD'!M15+'Input FD'!M16</f>
        <v>25.072380600000002</v>
      </c>
      <c r="N55" s="365">
        <f>SUM('Input FD'!N10:N13)-'Input FD'!N14-'Input FD'!N17+'Input FD'!N15+'Input FD'!N16</f>
        <v>23.769634999999997</v>
      </c>
      <c r="O55" s="157"/>
      <c r="P55" s="158"/>
      <c r="Q55" s="148"/>
      <c r="R55" s="147" t="s">
        <v>242</v>
      </c>
    </row>
    <row r="56" spans="1:18" s="37" customFormat="1">
      <c r="C56" s="131"/>
      <c r="D56" s="153" t="s">
        <v>57</v>
      </c>
      <c r="E56" s="154" t="s">
        <v>114</v>
      </c>
      <c r="F56" s="155"/>
      <c r="G56" s="148"/>
      <c r="H56" s="148"/>
      <c r="I56" s="148"/>
      <c r="J56" s="156">
        <f>SUM('Input FD'!J30:J35)</f>
        <v>30.08490646000562</v>
      </c>
      <c r="K56" s="156">
        <f>SUM('Input FD'!K30:K35)</f>
        <v>28.918408787201439</v>
      </c>
      <c r="L56" s="156">
        <f>SUM('Input FD'!L30:L35)</f>
        <v>27.558943920540319</v>
      </c>
      <c r="M56" s="156">
        <f>SUM('Input FD'!M30:M35)</f>
        <v>23.543050789949199</v>
      </c>
      <c r="N56" s="365">
        <f>SUM('Input FD'!N30:N35)</f>
        <v>22.715543230529594</v>
      </c>
      <c r="O56" s="157"/>
      <c r="P56" s="158"/>
      <c r="Q56" s="148"/>
      <c r="R56" s="147" t="s">
        <v>242</v>
      </c>
    </row>
    <row r="57" spans="1:18" s="37" customFormat="1">
      <c r="C57" s="131"/>
      <c r="D57" s="153" t="s">
        <v>57</v>
      </c>
      <c r="E57" s="154" t="s">
        <v>115</v>
      </c>
      <c r="F57" s="155"/>
      <c r="G57" s="148"/>
      <c r="H57" s="148"/>
      <c r="I57" s="148"/>
      <c r="J57" s="156">
        <f>SUM(J39:J44)</f>
        <v>30.602621389514862</v>
      </c>
      <c r="K57" s="156">
        <f t="shared" ref="K57:N57" si="7">SUM(K39:K44)</f>
        <v>29.41605008738923</v>
      </c>
      <c r="L57" s="156">
        <f t="shared" si="7"/>
        <v>28.033190923041015</v>
      </c>
      <c r="M57" s="156">
        <f t="shared" si="7"/>
        <v>23.948190453466328</v>
      </c>
      <c r="N57" s="365">
        <f t="shared" si="7"/>
        <v>23.106442762758199</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-0.53000000000000103</v>
      </c>
      <c r="K59" s="156">
        <f>'Input FD'!K85+'Input FD'!K82</f>
        <v>-0.622</v>
      </c>
      <c r="L59" s="156">
        <f>'Input FD'!L85+'Input FD'!L82</f>
        <v>-0.88699999999999701</v>
      </c>
      <c r="M59" s="156">
        <f>'Input FD'!M85+'Input FD'!M82</f>
        <v>-0.81599999999999895</v>
      </c>
      <c r="N59" s="365">
        <f>'Input FD'!N85+'Input FD'!N82</f>
        <v>-0.48999999999999799</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31.898229999999998</v>
      </c>
      <c r="K62" s="156">
        <f t="shared" ref="K62:N62" si="8">K55+K59</f>
        <v>30.374270699999997</v>
      </c>
      <c r="L62" s="156">
        <f t="shared" si="8"/>
        <v>28.809906600000005</v>
      </c>
      <c r="M62" s="156">
        <f t="shared" si="8"/>
        <v>24.256380600000004</v>
      </c>
      <c r="N62" s="365">
        <f t="shared" si="8"/>
        <v>23.279634999999999</v>
      </c>
      <c r="O62" s="157"/>
      <c r="P62" s="158"/>
      <c r="Q62" s="148"/>
      <c r="R62" s="147" t="s">
        <v>242</v>
      </c>
    </row>
    <row r="63" spans="1:18" s="37" customFormat="1">
      <c r="C63" s="131"/>
      <c r="D63" s="153" t="s">
        <v>57</v>
      </c>
      <c r="E63" s="154" t="s">
        <v>182</v>
      </c>
      <c r="F63" s="155"/>
      <c r="G63" s="148"/>
      <c r="H63" s="148"/>
      <c r="I63" s="148"/>
      <c r="J63" s="156">
        <f>J56+J60</f>
        <v>30.08490646000562</v>
      </c>
      <c r="K63" s="156">
        <f t="shared" ref="K63:N63" si="9">K56+K60</f>
        <v>28.918408787201439</v>
      </c>
      <c r="L63" s="156">
        <f t="shared" si="9"/>
        <v>27.558943920540319</v>
      </c>
      <c r="M63" s="156">
        <f t="shared" si="9"/>
        <v>23.543050789949199</v>
      </c>
      <c r="N63" s="365">
        <f t="shared" si="9"/>
        <v>22.715543230529594</v>
      </c>
      <c r="O63" s="157"/>
      <c r="P63" s="158"/>
      <c r="Q63" s="148"/>
      <c r="R63" s="147" t="s">
        <v>242</v>
      </c>
    </row>
    <row r="64" spans="1:18" s="37" customFormat="1">
      <c r="C64" s="131"/>
      <c r="D64" s="153" t="s">
        <v>57</v>
      </c>
      <c r="E64" s="154" t="s">
        <v>250</v>
      </c>
      <c r="F64" s="155"/>
      <c r="G64" s="148"/>
      <c r="H64" s="148"/>
      <c r="I64" s="148"/>
      <c r="J64" s="156">
        <f>J63*$G$107/100</f>
        <v>30.413204574133264</v>
      </c>
      <c r="K64" s="156">
        <f t="shared" ref="K64:N64" si="10">K63*$G$107/100</f>
        <v>29.233977628375388</v>
      </c>
      <c r="L64" s="156">
        <f t="shared" si="10"/>
        <v>27.859677756242636</v>
      </c>
      <c r="M64" s="156">
        <f t="shared" si="10"/>
        <v>23.799961649400487</v>
      </c>
      <c r="N64" s="365">
        <f t="shared" si="10"/>
        <v>22.96342400801786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28.343356773257149</v>
      </c>
      <c r="K79" s="156">
        <f t="shared" ref="K79:N79" si="14">K62*K$21</f>
        <v>26.37113942659726</v>
      </c>
      <c r="L79" s="156">
        <f t="shared" si="14"/>
        <v>25.063215520775234</v>
      </c>
      <c r="M79" s="156">
        <f t="shared" si="14"/>
        <v>21.227352915708391</v>
      </c>
      <c r="N79" s="365">
        <f t="shared" si="14"/>
        <v>20.380996144803291</v>
      </c>
      <c r="P79" s="136"/>
      <c r="Q79" s="131"/>
      <c r="R79" s="147" t="s">
        <v>242</v>
      </c>
    </row>
    <row r="80" spans="1:18" s="37" customFormat="1">
      <c r="C80" s="131"/>
      <c r="D80" s="153" t="s">
        <v>57</v>
      </c>
      <c r="E80" s="132" t="s">
        <v>317</v>
      </c>
      <c r="F80" s="161"/>
      <c r="G80" s="162"/>
      <c r="H80" s="162"/>
      <c r="I80" s="163"/>
      <c r="J80" s="156">
        <f>J63*J$21</f>
        <v>26.732117653111413</v>
      </c>
      <c r="K80" s="156">
        <f t="shared" ref="K80:N80" si="15">K63*K$21</f>
        <v>25.107150642554345</v>
      </c>
      <c r="L80" s="156">
        <f t="shared" si="15"/>
        <v>23.974938919290363</v>
      </c>
      <c r="M80" s="156">
        <f t="shared" si="15"/>
        <v>20.603100523195899</v>
      </c>
      <c r="N80" s="365">
        <f t="shared" si="15"/>
        <v>19.887141658730311</v>
      </c>
      <c r="P80" s="136"/>
      <c r="Q80" s="131"/>
      <c r="R80" s="147" t="s">
        <v>242</v>
      </c>
    </row>
    <row r="81" spans="1:18" s="37" customFormat="1">
      <c r="C81" s="131"/>
      <c r="D81" s="153" t="s">
        <v>57</v>
      </c>
      <c r="E81" s="132" t="s">
        <v>318</v>
      </c>
      <c r="F81" s="161"/>
      <c r="G81" s="162"/>
      <c r="H81" s="162"/>
      <c r="I81" s="163"/>
      <c r="J81" s="156">
        <f>J64*J$21</f>
        <v>27.02382884137193</v>
      </c>
      <c r="K81" s="156">
        <f t="shared" ref="K81:N81" si="16">K64*K$21</f>
        <v>25.381129563447018</v>
      </c>
      <c r="L81" s="156">
        <f t="shared" si="16"/>
        <v>24.236562708747442</v>
      </c>
      <c r="M81" s="156">
        <f t="shared" si="16"/>
        <v>20.82792951031405</v>
      </c>
      <c r="N81" s="365">
        <f t="shared" si="16"/>
        <v>20.104157826310221</v>
      </c>
      <c r="P81" s="136"/>
      <c r="Q81" s="131"/>
      <c r="R81" s="147" t="s">
        <v>242</v>
      </c>
    </row>
    <row r="82" spans="1:18" s="37" customFormat="1">
      <c r="C82" s="131"/>
      <c r="D82" s="153" t="s">
        <v>57</v>
      </c>
      <c r="E82" s="132" t="s">
        <v>110</v>
      </c>
      <c r="F82" s="164"/>
      <c r="G82" s="164"/>
      <c r="H82" s="164"/>
      <c r="I82" s="164"/>
      <c r="J82" s="156">
        <f>SUM('Input FD'!J65:J70)*J$15</f>
        <v>25.803749346874238</v>
      </c>
      <c r="K82" s="156">
        <f>SUM('Input FD'!K65:K70)*K$15</f>
        <v>23.074642919841303</v>
      </c>
      <c r="L82" s="156">
        <f>SUM('Input FD'!L65:L70)*L$15</f>
        <v>26.714737781410761</v>
      </c>
      <c r="M82" s="156">
        <f>SUM('Input FD'!M65:M70)*M$15</f>
        <v>23.653830971928038</v>
      </c>
      <c r="N82" s="365">
        <f>SUM('Input FD'!N65:N70)*N$15</f>
        <v>17.660150655645964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106.88338426709059</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101.72084606677265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0.26558307866454711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-0.57548004374233486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104.364954427418</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101.0912386068545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0.27817522786291005</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100.51817646009518</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-0.41606835048795077</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-0.48390600414970181</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-0.17313263285587699</v>
      </c>
      <c r="K127" s="156">
        <f>IF('Input FD'!K49&lt;&gt;"",'Input FD'!K49,K56*$G$97/100)</f>
        <v>-0.166419671538171</v>
      </c>
      <c r="L127" s="156">
        <f>IF('Input FD'!L49&lt;&gt;"",'Input FD'!L49,L56*$G$97/100)</f>
        <v>-0.158596222528848</v>
      </c>
      <c r="M127" s="156">
        <f>IF('Input FD'!M49&lt;&gt;"",'Input FD'!M49,M56*$G$97/100)</f>
        <v>-0.135485558984277</v>
      </c>
      <c r="N127" s="365">
        <f>IF('Input FD'!N49&lt;&gt;"",'Input FD'!N49,N56*$G$97/100)</f>
        <v>-0.130723418119358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0.2804514998768291</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30.626096895787541</v>
      </c>
      <c r="K138" s="156">
        <f>(K57+'Input FD'!K83)*K$29</f>
        <v>30.763353057144556</v>
      </c>
      <c r="L138" s="156">
        <f>(L57+'Input FD'!L83)*L$29</f>
        <v>30.401891490031993</v>
      </c>
      <c r="M138" s="156">
        <f>(M57+'Input FD'!M83)*M$29</f>
        <v>26.750875354649796</v>
      </c>
      <c r="N138" s="365">
        <f>(N57+'Input FD'!N83)*N$29</f>
        <v>26.584935449718675</v>
      </c>
      <c r="O138" s="109"/>
      <c r="P138" s="136"/>
      <c r="Q138" s="104"/>
      <c r="R138" s="147" t="s">
        <v>87</v>
      </c>
    </row>
    <row r="139" spans="1:18" s="37" customFormat="1">
      <c r="C139" s="131"/>
      <c r="D139" s="131" t="s">
        <v>57</v>
      </c>
      <c r="E139" s="132" t="s">
        <v>110</v>
      </c>
      <c r="F139" s="131"/>
      <c r="G139" s="131"/>
      <c r="H139" s="182"/>
      <c r="I139" s="148"/>
      <c r="J139" s="156">
        <f>SUM('Input FD'!J65:J70)</f>
        <v>28.016000000000002</v>
      </c>
      <c r="K139" s="156">
        <f>SUM('Input FD'!K65:K70)</f>
        <v>26.254999999999999</v>
      </c>
      <c r="L139" s="156">
        <f>SUM('Input FD'!L65:L70)</f>
        <v>31.336000000000002</v>
      </c>
      <c r="M139" s="156">
        <f>SUM('Input FD'!M65:M70)</f>
        <v>28.546000000000003</v>
      </c>
      <c r="N139" s="365">
        <f>SUM('Input FD'!N65:N70)</f>
        <v>21.942999999999998</v>
      </c>
      <c r="P139" s="136"/>
      <c r="Q139" s="131"/>
      <c r="R139" s="147" t="s">
        <v>87</v>
      </c>
    </row>
    <row r="140" spans="1:18" s="37" customFormat="1">
      <c r="C140" s="131"/>
      <c r="D140" s="131" t="s">
        <v>57</v>
      </c>
      <c r="E140" s="132" t="s">
        <v>192</v>
      </c>
      <c r="F140" s="131"/>
      <c r="G140" s="131"/>
      <c r="H140" s="131"/>
      <c r="I140" s="181"/>
      <c r="J140" s="205">
        <f>(J139-J138)*J$15</f>
        <v>-2.4039936489847293</v>
      </c>
      <c r="K140" s="205">
        <f>(K139-K138)*K$15</f>
        <v>-3.9622409807726355</v>
      </c>
      <c r="L140" s="205">
        <f>(L139-L138)*L$15</f>
        <v>0.7963512861622315</v>
      </c>
      <c r="M140" s="205">
        <f>(M139-M138)*M$15</f>
        <v>1.4874789790042755</v>
      </c>
      <c r="N140" s="675">
        <f>(N139-N138)*N$15</f>
        <v>-3.7359193991621718</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207.347825995314</v>
      </c>
      <c r="J148" s="156">
        <f>'Input FD'!J$54</f>
        <v>213.944361164323</v>
      </c>
      <c r="K148" s="156">
        <f>'Input FD'!K$54</f>
        <v>218.703241866833</v>
      </c>
      <c r="L148" s="156">
        <f>'Input FD'!L$54</f>
        <v>220.911324375215</v>
      </c>
      <c r="M148" s="156">
        <f>'Input FD'!M$54</f>
        <v>219.124741563155</v>
      </c>
      <c r="N148" s="365">
        <f>'Input FD'!N$54</f>
        <v>216.778749394724</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-7.8183237637530301</v>
      </c>
      <c r="Q149" s="161"/>
      <c r="R149" s="147" t="s">
        <v>242</v>
      </c>
    </row>
    <row r="150" spans="1:24" s="37" customFormat="1">
      <c r="A150" s="109"/>
      <c r="B150" s="109"/>
      <c r="C150" s="104"/>
      <c r="D150" s="104" t="s">
        <v>57</v>
      </c>
      <c r="E150" s="177" t="s">
        <v>386</v>
      </c>
      <c r="F150" s="131"/>
      <c r="G150" s="104"/>
      <c r="H150" s="104"/>
      <c r="I150" s="205"/>
      <c r="J150" s="156">
        <f>IF(J5=8,J148+$P$149,J148)</f>
        <v>213.944361164323</v>
      </c>
      <c r="K150" s="156">
        <f>IF(K5=8,K148+$P$149,K148)</f>
        <v>218.703241866833</v>
      </c>
      <c r="L150" s="156">
        <f>IF(L5=8,L148+$P$149,L148)</f>
        <v>220.911324375215</v>
      </c>
      <c r="M150" s="156">
        <f>IF(M5=8,M148+$P$149,M148)</f>
        <v>219.124741563155</v>
      </c>
      <c r="N150" s="365">
        <f>IF(N5=8,N148+$P$149,N148)</f>
        <v>208.96042563097097</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29.4077731854556</v>
      </c>
      <c r="L161" s="360">
        <f t="shared" si="21"/>
        <v>58.08784249001576</v>
      </c>
      <c r="M161" s="360">
        <f t="shared" si="21"/>
        <v>85.685783864121802</v>
      </c>
      <c r="N161" s="363">
        <f t="shared" si="21"/>
        <v>109.3771560544121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29.4077731854556</v>
      </c>
      <c r="K162" s="360">
        <f t="shared" ref="K162:N162" si="22">K161+K138*K$26</f>
        <v>58.08784249001576</v>
      </c>
      <c r="L162" s="360">
        <f t="shared" si="22"/>
        <v>85.685783864121802</v>
      </c>
      <c r="M162" s="360">
        <f t="shared" si="22"/>
        <v>109.3771560544121</v>
      </c>
      <c r="N162" s="363">
        <f t="shared" si="22"/>
        <v>132.34731299754765</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14.7038865927278</v>
      </c>
      <c r="K163" s="360">
        <f t="shared" ref="K163:N163" si="23">(K162+K161)/2</f>
        <v>43.747807837735678</v>
      </c>
      <c r="L163" s="360">
        <f t="shared" si="23"/>
        <v>71.886813177068774</v>
      </c>
      <c r="M163" s="360">
        <f t="shared" si="23"/>
        <v>97.531469959266957</v>
      </c>
      <c r="N163" s="363">
        <f t="shared" si="23"/>
        <v>120.86223452597987</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25.803749346874238</v>
      </c>
      <c r="L171" s="360">
        <f t="shared" si="30"/>
        <v>48.878392266715537</v>
      </c>
      <c r="M171" s="360">
        <f t="shared" si="30"/>
        <v>75.593130048126298</v>
      </c>
      <c r="N171" s="363">
        <f t="shared" si="30"/>
        <v>99.246961020054329</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25.803749346874238</v>
      </c>
      <c r="K172" s="360">
        <f t="shared" ref="K172:N172" si="31">K171+K139*K$15</f>
        <v>48.878392266715537</v>
      </c>
      <c r="L172" s="360">
        <f t="shared" si="31"/>
        <v>75.593130048126298</v>
      </c>
      <c r="M172" s="360">
        <f t="shared" si="31"/>
        <v>99.246961020054329</v>
      </c>
      <c r="N172" s="363">
        <f t="shared" si="31"/>
        <v>116.90711167570029</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12.901874673437119</v>
      </c>
      <c r="K173" s="360">
        <f t="shared" ref="K173" si="32">(K172+K171)/2</f>
        <v>37.341070806794889</v>
      </c>
      <c r="L173" s="360">
        <f t="shared" ref="L173" si="33">(L172+L171)/2</f>
        <v>62.235761157420917</v>
      </c>
      <c r="M173" s="360">
        <f t="shared" ref="M173" si="34">(M172+M171)/2</f>
        <v>87.42004553409032</v>
      </c>
      <c r="N173" s="363">
        <f t="shared" ref="N173" si="35">(N172+N171)/2</f>
        <v>108.07703634787731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-3.6040238385813623</v>
      </c>
      <c r="K181" s="156">
        <f>(K$139*K$15)-(K$138*K$26)</f>
        <v>-5.6054263847188608</v>
      </c>
      <c r="L181" s="156">
        <f>(L$139*L$15)-(L$138*L$26)</f>
        <v>-0.88320359269528126</v>
      </c>
      <c r="M181" s="156">
        <f>(M$139*M$15)-(M$138*M$26)</f>
        <v>-3.7541218362260764E-2</v>
      </c>
      <c r="N181" s="365">
        <f>(N$139*N$15)-(N$138*N$26)</f>
        <v>-5.3100062874895713</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-9.9110655560987471E-2</v>
      </c>
      <c r="K184" s="156">
        <f>(K173-K163)*'Input FD'!$O$59</f>
        <v>-0.3523705367017434</v>
      </c>
      <c r="L184" s="156">
        <f>(L173-L163)*'Input FD'!$O$59</f>
        <v>-0.53080786108063216</v>
      </c>
      <c r="M184" s="156">
        <f>(M173-M163)*'Input FD'!$O$59</f>
        <v>-0.55612834338471506</v>
      </c>
      <c r="N184" s="365">
        <f>(N173-N163)*'Input FD'!$O$59</f>
        <v>-0.70318589979564083</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6.3524340778068483E-2</v>
      </c>
      <c r="K187" s="156">
        <f>$P$130*K63/SUM($J$63:$N$63)</f>
        <v>6.1061278584986875E-2</v>
      </c>
      <c r="L187" s="156">
        <f>$P$130*L63/SUM($J$63:$N$63)</f>
        <v>5.8190765772178327E-2</v>
      </c>
      <c r="M187" s="156">
        <f>$P$130*M63/SUM($J$63:$N$63)</f>
        <v>4.9711199312661179E-2</v>
      </c>
      <c r="N187" s="365">
        <f>$P$130*N63/SUM($J$63:$N$63)</f>
        <v>4.7963915428934287E-2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-3.5586314782918987E-2</v>
      </c>
      <c r="K190" s="156">
        <f t="shared" ref="K190:N190" si="42">K187+K184</f>
        <v>-0.29130925811675651</v>
      </c>
      <c r="L190" s="156">
        <f t="shared" si="42"/>
        <v>-0.47261709530845386</v>
      </c>
      <c r="M190" s="156">
        <f t="shared" si="42"/>
        <v>-0.50641714407205385</v>
      </c>
      <c r="N190" s="365">
        <f t="shared" si="42"/>
        <v>-0.65522198436670653</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-4.408520397798088E-2</v>
      </c>
      <c r="K193" s="156">
        <f>IF('Input FD'!$O$156=0,(K190/(1+'Input FD'!$O$60)^K$6),(K190/(1+'Input FD'!$O$59)^K$6))</f>
        <v>-0.34206738380125001</v>
      </c>
      <c r="L193" s="156">
        <f>IF('Input FD'!$O$156=0,(L190/(1+'Input FD'!$O$60)^L$6),(L190/(1+'Input FD'!$O$59)^L$6))</f>
        <v>-0.52603464250569176</v>
      </c>
      <c r="M193" s="156">
        <f>IF('Input FD'!$O$156=0,(M190/(1+'Input FD'!$O$60)^M$6),(M190/(1+'Input FD'!$O$59)^M$6))</f>
        <v>-0.53427008699601675</v>
      </c>
      <c r="N193" s="664">
        <f>IF('Input FD'!$O$156=0,(N190/(1+'Input FD'!$O$60)^N$6),(N190/(1+'Input FD'!$O$59)^N$6))</f>
        <v>-0.65522198436670653</v>
      </c>
      <c r="O193" s="109"/>
      <c r="P193" s="622">
        <f>SUM(J193:N193)</f>
        <v>-2.1016793016476458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-5.1711304941771986E-2</v>
      </c>
      <c r="K196" s="156">
        <f t="shared" ref="K196:N197" si="44">K193*$L$13/$G$13</f>
        <v>-0.40124008053168014</v>
      </c>
      <c r="L196" s="156">
        <f t="shared" si="44"/>
        <v>-0.61703100709558512</v>
      </c>
      <c r="M196" s="156">
        <f t="shared" si="44"/>
        <v>-0.62669106405217623</v>
      </c>
      <c r="N196" s="365">
        <f t="shared" si="44"/>
        <v>-0.768565885621463</v>
      </c>
      <c r="O196" s="109"/>
      <c r="P196" s="622">
        <f>P193*$L$13/$G$13</f>
        <v>-2.4652393422426764</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-9.17078039341426</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-0.5676147252542596</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-0.89658026749722097</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0.32896554224296148</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-2.6293681590520874</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-2.3004026168091265</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-2.4652393422426764</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2016-09-30T09:38:22Z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