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I83" i="11"/>
  <c r="I79" i="11"/>
  <c r="J83" i="11"/>
  <c r="J79" i="11"/>
  <c r="K83" i="11"/>
  <c r="K79" i="11"/>
  <c r="L83" i="11"/>
  <c r="L79" i="11"/>
  <c r="L7" i="11"/>
  <c r="K7" i="11"/>
  <c r="K57" i="11" s="1"/>
  <c r="J7" i="11"/>
  <c r="J12" i="11" s="1"/>
  <c r="I7" i="11"/>
  <c r="M57" i="11"/>
  <c r="L57" i="11"/>
  <c r="J57" i="11"/>
  <c r="I57" i="11"/>
  <c r="H7" i="11"/>
  <c r="H57" i="11" s="1"/>
  <c r="H63" i="11" s="1"/>
  <c r="M38" i="11"/>
  <c r="M34" i="11"/>
  <c r="I38" i="11"/>
  <c r="I34" i="11"/>
  <c r="J38" i="11"/>
  <c r="J34" i="11"/>
  <c r="K38" i="11"/>
  <c r="K34" i="11"/>
  <c r="L38" i="11"/>
  <c r="L34" i="11"/>
  <c r="M12" i="11"/>
  <c r="L12" i="11"/>
  <c r="K12" i="11"/>
  <c r="I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B5" i="30" l="1"/>
  <c r="B23" i="30"/>
  <c r="F23" i="30"/>
  <c r="F5" i="30"/>
  <c r="C5" i="30"/>
  <c r="C23" i="30"/>
  <c r="D23" i="30"/>
  <c r="D31" i="30" s="1"/>
  <c r="D5" i="30"/>
  <c r="D13" i="30" s="1"/>
  <c r="E23" i="30"/>
  <c r="E31" i="30" s="1"/>
  <c r="E5" i="30"/>
  <c r="J80" i="11"/>
  <c r="J81" i="11" s="1"/>
  <c r="J89" i="11" s="1"/>
  <c r="C24" i="30" s="1"/>
  <c r="C32" i="30" s="1"/>
  <c r="C31" i="30"/>
  <c r="C13" i="30"/>
  <c r="M80" i="11"/>
  <c r="M81" i="11" s="1"/>
  <c r="F31" i="30"/>
  <c r="F13" i="30"/>
  <c r="K80" i="11"/>
  <c r="K81" i="11" s="1"/>
  <c r="K89" i="11" s="1"/>
  <c r="D24" i="30" s="1"/>
  <c r="D32" i="30" s="1"/>
  <c r="L80" i="11"/>
  <c r="L81" i="11" s="1"/>
  <c r="L89" i="11" s="1"/>
  <c r="E24" i="30" s="1"/>
  <c r="E32" i="30" s="1"/>
  <c r="E13" i="30"/>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M82" i="11"/>
  <c r="M89" i="11"/>
  <c r="F24" i="30" s="1"/>
  <c r="F32" i="30" s="1"/>
  <c r="I63" i="11"/>
  <c r="J63" i="11" s="1"/>
  <c r="K63" i="11" s="1"/>
  <c r="L63" i="11" s="1"/>
  <c r="M63" i="11" s="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J82" i="11" l="1"/>
  <c r="K82" i="11"/>
  <c r="I87" i="11"/>
  <c r="B13" i="30"/>
  <c r="H13" i="30" s="1"/>
  <c r="J13" i="30" s="1"/>
  <c r="L13" i="30" s="1"/>
  <c r="H5" i="30"/>
  <c r="L82" i="11"/>
  <c r="L86" i="11" s="1"/>
  <c r="B31" i="30"/>
  <c r="H31" i="30" s="1"/>
  <c r="J31" i="30" s="1"/>
  <c r="L31" i="30" s="1"/>
  <c r="H23" i="30"/>
  <c r="J40" i="11"/>
  <c r="I62" i="11"/>
  <c r="J62" i="11" s="1"/>
  <c r="J85" i="11"/>
  <c r="J87" i="11" s="1"/>
  <c r="K40" i="11"/>
  <c r="J42" i="11"/>
  <c r="I17" i="11"/>
  <c r="J17" i="11" s="1"/>
  <c r="H20" i="11"/>
  <c r="J41" i="11"/>
  <c r="M86" i="11"/>
  <c r="I89" i="11"/>
  <c r="B24" i="30" s="1"/>
  <c r="J86" i="11"/>
  <c r="J44" i="11"/>
  <c r="C6" i="30" s="1"/>
  <c r="C14" i="30" s="1"/>
  <c r="J28" i="11"/>
  <c r="M41" i="11"/>
  <c r="K85" i="11"/>
  <c r="K87" i="11" s="1"/>
  <c r="L40" i="11"/>
  <c r="I86" i="11"/>
  <c r="B22" i="30" s="1"/>
  <c r="I41" i="11"/>
  <c r="M85" i="11"/>
  <c r="M87" i="11" s="1"/>
  <c r="I42" i="11"/>
  <c r="I18" i="11"/>
  <c r="J18" i="11" s="1"/>
  <c r="K18" i="11" s="1"/>
  <c r="L18" i="11" s="1"/>
  <c r="M18" i="11" s="1"/>
  <c r="L85" i="11"/>
  <c r="L87" i="11" s="1"/>
  <c r="M73" i="11"/>
  <c r="L73" i="11"/>
  <c r="K86"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I65" i="11"/>
  <c r="I66" i="11" s="1"/>
  <c r="C4" i="30" l="1"/>
  <c r="C12" i="30" s="1"/>
  <c r="B4" i="30"/>
  <c r="B12" i="30" s="1"/>
  <c r="F4" i="30"/>
  <c r="F12" i="30" s="1"/>
  <c r="D22" i="30"/>
  <c r="B30" i="30"/>
  <c r="F22" i="30"/>
  <c r="F30" i="30" s="1"/>
  <c r="B32" i="30"/>
  <c r="H32" i="30" s="1"/>
  <c r="J32" i="30" s="1"/>
  <c r="L32" i="30" s="1"/>
  <c r="H24" i="30"/>
  <c r="B14" i="30"/>
  <c r="H14" i="30" s="1"/>
  <c r="J14" i="30" s="1"/>
  <c r="L14" i="30" s="1"/>
  <c r="H6" i="30"/>
  <c r="E22" i="30"/>
  <c r="E30" i="30" s="1"/>
  <c r="C22" i="30"/>
  <c r="C30" i="30" s="1"/>
  <c r="J43" i="11"/>
  <c r="L88" i="11"/>
  <c r="L90" i="11" s="1"/>
  <c r="J88" i="11"/>
  <c r="J90" i="11" s="1"/>
  <c r="M88" i="11"/>
  <c r="M90" i="11" s="1"/>
  <c r="J45" i="11"/>
  <c r="I20" i="11"/>
  <c r="I21" i="11" s="1"/>
  <c r="I29" i="11" s="1"/>
  <c r="M43" i="11"/>
  <c r="M45" i="11" s="1"/>
  <c r="K88" i="11"/>
  <c r="K90"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M49" i="11" s="1"/>
  <c r="E3" i="30"/>
  <c r="M46" i="11"/>
  <c r="F3" i="30"/>
  <c r="D29" i="30"/>
  <c r="D33" i="30" s="1"/>
  <c r="D25" i="30"/>
  <c r="D26" i="30" s="1"/>
  <c r="B15" i="30"/>
  <c r="L91" i="11"/>
  <c r="E21" i="30"/>
  <c r="H21" i="30" s="1"/>
  <c r="D11" i="30"/>
  <c r="D15" i="30" s="1"/>
  <c r="D7" i="30"/>
  <c r="D8" i="30" s="1"/>
  <c r="B8" i="30"/>
  <c r="M94" i="11"/>
  <c r="H3" i="30" l="1"/>
  <c r="E11" i="30"/>
  <c r="E15" i="30" s="1"/>
  <c r="E7" i="30"/>
  <c r="F11" i="30"/>
  <c r="F15" i="30" s="1"/>
  <c r="F7" i="30"/>
  <c r="F8" i="30" s="1"/>
  <c r="F29" i="30"/>
  <c r="F33" i="30" s="1"/>
  <c r="F25" i="30"/>
  <c r="F26" i="30" s="1"/>
  <c r="E29" i="30"/>
  <c r="E33" i="30" s="1"/>
  <c r="H33" i="30" s="1"/>
  <c r="J33" i="30" s="1"/>
  <c r="L33" i="30" s="1"/>
  <c r="E25" i="30"/>
  <c r="M95" i="11"/>
  <c r="M50" i="11"/>
  <c r="H34" i="30" l="1"/>
  <c r="H15" i="30"/>
  <c r="J15" i="30" s="1"/>
  <c r="L15" i="30" s="1"/>
  <c r="H29" i="30"/>
  <c r="J29" i="30" s="1"/>
  <c r="E26" i="30"/>
  <c r="H25" i="30"/>
  <c r="H26" i="30" s="1"/>
  <c r="E8" i="30"/>
  <c r="H7" i="30"/>
  <c r="H8" i="30" s="1"/>
  <c r="H11" i="30"/>
  <c r="J11" i="30" s="1"/>
  <c r="M51" i="11"/>
  <c r="H16" i="30"/>
  <c r="M96" i="11"/>
  <c r="H5" i="32" l="1"/>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<sst xmlns="http://schemas.openxmlformats.org/spreadsheetml/2006/main" count="1162" uniqueCount="485">
  <si>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</si>
  <si>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</si>
  <si>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</si>
  <si>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</si>
  <si>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</si>
  <si>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</si>
  <si>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</si>
  <si>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</si>
  <si>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</si>
  <si>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</si>
  <si>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</si>
  <si>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</si>
  <si>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</si>
  <si>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</si>
  <si>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</si>
  <si>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</si>
  <si>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</si>
  <si>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</si>
  <si>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</si>
  <si>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</si>
  <si>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</si>
  <si>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</si>
  <si>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</si>
  <si>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</si>
  <si>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</si>
  <si>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</si>
  <si>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</si>
  <si>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</si>
  <si>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</si>
  <si>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</si>
  <si>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</si>
  <si>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</si>
  <si>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</si>
  <si>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</si>
  <si>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</si>
  <si>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</si>
  <si>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</si>
  <si>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</si>
  <si>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</si>
  <si>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</si>
  <si>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</si>
  <si>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</si>
  <si>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</si>
  <si>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</si>
  <si>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</si>
  <si>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</si>
  <si>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</si>
  <si>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</si>
  <si>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</si>
  <si>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</si>
  <si>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</si>
  <si>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</si>
  <si>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</si>
  <si>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</si>
  <si>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</si>
  <si>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</si>
  <si>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</si>
  <si>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</si>
  <si>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</si>
  <si>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</si>
  <si>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</si>
  <si>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</si>
  <si>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</si>
  <si>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</si>
  <si>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</si>
  <si>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</si>
  <si>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</si>
  <si>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</si>
  <si>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</si>
  <si>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</si>
  <si>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</si>
  <si>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</si>
  <si>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</si>
  <si>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</si>
  <si>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</si>
  <si>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</si>
  <si>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</si>
  <si>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</si>
  <si>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</si>
  <si>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</si>
  <si>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</si>
  <si>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</si>
  <si>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</si>
  <si>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</si>
  <si>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</si>
  <si>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</si>
  <si>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</si>
  <si>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</si>
  <si>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</si>
  <si>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</si>
  <si>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</si>
  <si>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</si>
  <si>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</si>
  <si>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</si>
  <si>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</si>
  <si>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</si>
  <si>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</si>
  <si>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</si>
  <si>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</si>
  <si>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</si>
  <si>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</si>
  <si>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</si>
  <si>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</si>
  <si>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</si>
  <si>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</si>
  <si>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</si>
  <si>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</si>
  <si>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</si>
  <si>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</si>
  <si>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</si>
  <si>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</si>
  <si>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</si>
  <si>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</si>
  <si>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</si>
  <si>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</si>
  <si>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</si>
  <si>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</si>
  <si>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</si>
  <si>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</si>
  <si>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</si>
  <si>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</si>
  <si>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</si>
  <si>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</si>
  <si>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</si>
  <si>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</si>
  <si>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</si>
  <si>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</si>
  <si>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</si>
  <si>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</si>
  <si>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</si>
  <si>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</si>
  <si>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</si>
  <si>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</si>
  <si>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</si>
  <si>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</si>
  <si>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</si>
  <si>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</si>
  <si>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</si>
  <si>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</si>
  <si>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</si>
  <si>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</si>
  <si>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</si>
  <si>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</si>
  <si>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</si>
  <si>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</si>
  <si>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</si>
  <si>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</si>
  <si>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</si>
  <si>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</si>
  <si>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</si>
  <si>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</si>
  <si>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</si>
  <si>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</si>
  <si>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</si>
  <si>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</si>
  <si>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</si>
  <si>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</si>
  <si>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</si>
  <si>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</si>
  <si>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</si>
  <si>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</si>
  <si>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</si>
  <si>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</si>
  <si>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</si>
  <si>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</si>
  <si>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</si>
  <si>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</si>
  <si>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</si>
  <si>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</si>
  <si>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</si>
  <si>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</si>
  <si>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</si>
  <si>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</si>
  <si>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</si>
  <si>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</si>
  <si>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</si>
  <si>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</si>
  <si>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</si>
  <si>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</si>
  <si>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</si>
  <si>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</si>
  <si>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</si>
  <si>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</si>
  <si>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</si>
  <si>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</si>
  <si>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</si>
  <si>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</si>
  <si>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</si>
  <si>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</si>
  <si>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</si>
  <si>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</si>
  <si>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</si>
  <si>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</si>
  <si>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</si>
  <si>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</si>
  <si>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</si>
  <si>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</si>
  <si>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</si>
  <si>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</si>
  <si>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</si>
  <si>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</si>
  <si>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</si>
  <si>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</si>
  <si>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</si>
  <si>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</si>
  <si>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</si>
  <si>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</si>
  <si>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</si>
  <si>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</si>
  <si>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</si>
  <si>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</si>
  <si>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</si>
  <si>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</si>
  <si>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</si>
  <si>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</si>
  <si>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</si>
  <si>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</si>
  <si>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</si>
  <si>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</si>
  <si>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</si>
  <si>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</si>
  <si>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</si>
  <si>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</si>
  <si>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</si>
  <si>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</si>
  <si>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</si>
  <si>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</si>
  <si>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</si>
  <si>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</si>
  <si>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</si>
  <si>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</si>
  <si>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</si>
  <si>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</si>
  <si>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</si>
  <si>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</si>
  <si>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</si>
  <si>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</si>
  <si>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</si>
  <si>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</si>
  <si>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</si>
  <si>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</si>
  <si>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</si>
  <si>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</si>
  <si>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</si>
  <si>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</si>
  <si>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</si>
  <si>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</si>
  <si>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</si>
  <si>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</si>
  <si>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</si>
  <si>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</si>
  <si>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</si>
  <si>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</si>
  <si>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</si>
  <si>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</si>
  <si>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</si>
  <si>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</si>
  <si>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</si>
  <si>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</si>
  <si>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</si>
  <si>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</si>
  <si>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</si>
  <si>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</si>
  <si>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</si>
  <si>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</si>
  <si>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</si>
  <si>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</si>
  <si>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</si>
  <si>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</si>
  <si>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</si>
  <si>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</si>
  <si>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</si>
  <si>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</si>
  <si>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</si>
  <si>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</si>
  <si>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</si>
  <si>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</si>
  <si>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</si>
  <si>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</si>
  <si>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</si>
  <si>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</si>
  <si>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</si>
  <si>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</si>
  <si>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</si>
  <si>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</si>
  <si>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</si>
  <si>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</si>
  <si>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</si>
  <si>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</si>
  <si>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</si>
  <si>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</si>
  <si>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</si>
  <si>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</si>
  <si>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</si>
  <si>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</si>
  <si>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</si>
  <si>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</si>
  <si>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</si>
  <si>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</si>
  <si>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</si>
  <si>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</si>
  <si>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</si>
  <si>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</si>
  <si>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</si>
  <si>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</si>
  <si>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</si>
  <si>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</si>
  <si>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</si>
  <si>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</si>
  <si>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</si>
  <si>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</si>
  <si>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</si>
  <si>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</si>
  <si>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</si>
  <si>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</si>
  <si>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</si>
  <si>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</si>
  <si>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</si>
  <si>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</si>
  <si>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</si>
  <si>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</si>
  <si>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</si>
  <si>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</si>
  <si>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</si>
  <si>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</si>
  <si>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</si>
  <si>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</si>
  <si>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</si>
  <si>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</si>
  <si>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</si>
  <si>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</si>
  <si>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</si>
  <si>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</si>
  <si>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</si>
  <si>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</si>
  <si>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</si>
  <si>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</si>
  <si>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</si>
  <si>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</si>
  <si>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</si>
  <si>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</si>
  <si>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</si>
  <si>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</si>
  <si>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</si>
  <si>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</si>
  <si>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</si>
  <si>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</si>
  <si>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</si>
  <si>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</si>
  <si>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</si>
  <si>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</si>
  <si>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</si>
  <si>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</si>
  <si>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</si>
  <si>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</si>
  <si>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</si>
  <si>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</si>
  <si>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</si>
  <si>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</si>
  <si>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</si>
  <si>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</si>
  <si>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</si>
  <si>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</si>
  <si>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</si>
  <si>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</si>
  <si>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</si>
  <si>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</si>
  <si>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</si>
  <si>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</si>
  <si>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</si>
  <si>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</si>
  <si>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</si>
  <si>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</si>
  <si>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</si>
  <si>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</si>
  <si>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</si>
  <si>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</si>
  <si>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</si>
  <si>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</si>
  <si>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</si>
  <si>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</si>
  <si>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</si>
  <si>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</si>
  <si>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</si>
  <si>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</si>
  <si>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</si>
  <si>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</si>
  <si>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</si>
  <si>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</si>
  <si>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</si>
  <si>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</si>
  <si>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</si>
  <si>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</si>
  <si>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</si>
  <si>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</si>
  <si>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</si>
  <si>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</si>
  <si>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Pl14L010OUT</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</si>
  <si>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</si>
  <si>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</si>
  <si>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</si>
  <si>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</si>
  <si>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</si>
  <si>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</si>
  <si>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</si>
  <si>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</si>
  <si>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</si>
  <si>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</si>
  <si>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</si>
  <si>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</si>
  <si>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</si>
  <si>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</si>
  <si>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</si>
  <si>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</si>
  <si>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</si>
  <si>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</si>
  <si>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</si>
  <si>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</si>
  <si>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</si>
  <si>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</si>
  <si>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</si>
  <si>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</si>
  <si>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</si>
  <si>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</si>
  <si>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</si>
  <si>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</si>
  <si>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</si>
  <si>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</si>
  <si>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</si>
  <si>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</si>
  <si>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</si>
  <si>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</si>
  <si>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</si>
  <si>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</si>
  <si>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</si>
  <si>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</si>
  <si>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</si>
  <si>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</si>
  <si>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</si>
  <si>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</si>
  <si>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</si>
  <si>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</si>
  <si>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</si>
  <si>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</si>
  <si>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</si>
  <si>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</si>
  <si>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</si>
  <si>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</si>
  <si>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</si>
  <si>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30_XLSPF</t>
  </si>
  <si>
    <t>Anglian Water Services_XLSPF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</si>
  <si>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</si>
  <si>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</si>
  <si>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</si>
  <si>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</si>
  <si>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</si>
  <si>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</si>
  <si>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</si>
  <si>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</si>
  <si>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</si>
  <si>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</si>
  <si>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</si>
  <si>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</si>
  <si>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</si>
  <si>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</si>
  <si>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</si>
  <si>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</si>
  <si>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</si>
  <si>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</si>
  <si>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OFWAT\Salim.Lorgat_XLSPF</t>
  </si>
  <si>
    <t>PL14L010_BY_XLSPF</t>
  </si>
  <si>
    <t>1948_XLSPF</t>
  </si>
  <si>
    <t>09/05/2016 17:19:55_XLSPF</t>
  </si>
  <si>
    <t>F_Outputs_TABLE_ID</t>
  </si>
  <si>
    <t>F_Outputs_TEAM</t>
  </si>
  <si>
    <t>F_Outputs_USER</t>
  </si>
  <si>
    <t>F_Outputs_NAME</t>
  </si>
  <si>
    <t>PL14L010OUT_BY_XLSPF</t>
  </si>
  <si>
    <t>F_Outputs_TITLE</t>
  </si>
  <si>
    <t>9327_XLSPF</t>
  </si>
  <si>
    <t>09/05/2016 17:33:23_XLSPF</t>
  </si>
  <si>
    <t>http://fnttest202:8082/Fountain/rest-services_XLSPF</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</si>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</sst>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7">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xf numFmtId="43" fontId="1" fillId="0" borderId="0" applyFont="0" applyFill="0" applyBorder="0" applyAlignment="0" applyProtection="0"/>
    <xf numFmtId="0" fontId="1" fillId="0" borderId="46">
      <alignment vertical="top"/>
    </xf>
  </cellStyleXfs>
  <cellXfs count="337">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3" fillId="0" borderId="0" xfId="62" applyFont="1"/>
    <xf numFmtId="0" fontId="43" fillId="0" borderId="0" xfId="62" applyFont="1" applyAlignment="1">
      <alignment vertical="center"/>
    </xf>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1" fillId="0" borderId="0" xfId="61" applyAlignment="1"/>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43" fillId="0" borderId="36" xfId="62" applyFont="1" applyBorder="1"/>
    <xf numFmtId="0" fontId="43" fillId="0" borderId="36" xfId="62" applyFont="1" applyBorder="1" applyAlignment="1">
      <alignment vertical="top"/>
    </xf>
    <xf numFmtId="0" fontId="11" fillId="0" borderId="0" xfId="62" applyFont="1" applyAlignment="1">
      <alignment vertical="top" wrapText="1"/>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12" fillId="0" borderId="0" xfId="62" applyFont="1" applyFill="1" applyAlignment="1">
      <alignment vertical="top"/>
    </xf>
    <xf numFmtId="0" fontId="12" fillId="0" borderId="0" xfId="62" applyFont="1" applyAlignment="1">
      <alignment vertical="top" wrapText="1"/>
    </xf>
    <xf numFmtId="0" fontId="11" fillId="0" borderId="0" xfId="62" applyFont="1" applyAlignment="1">
      <alignment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3" fillId="25" borderId="36" xfId="62" applyFont="1" applyFill="1" applyBorder="1" applyAlignment="1">
      <alignment horizontal="center" vertical="top" wrapText="1"/>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43" fillId="0" borderId="0" xfId="62" applyFont="1" applyAlignment="1">
      <alignment horizontal="left" vertical="top" wrapText="1"/>
    </xf>
    <xf numFmtId="0" fontId="43" fillId="0" borderId="0" xfId="62" quotePrefix="1" applyFont="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xf numFmtId="0" fontId="1" fillId="0" borderId="0" xfId="61" applyFont="1" applyAlignment="1">
      <alignment vertical="top" wrapText="1"/>
    </xf>
    <xf numFmtId="14" fontId="1" fillId="0" borderId="36" xfId="61" applyNumberFormat="1" applyFont="1" applyFill="1" applyBorder="1" applyAlignment="1">
      <alignment vertical="top" wrapText="1"/>
    </xf>
    <xf numFmtId="0" fontId="1" fillId="0" borderId="36" xfId="61" quotePrefix="1" applyFont="1" applyBorder="1" applyAlignment="1">
      <alignment horizontal="left" vertical="top" wrapText="1"/>
    </xf>
    <xf numFmtId="0" fontId="1" fillId="0" borderId="36" xfId="61" applyFont="1" applyBorder="1" applyAlignment="1">
      <alignment horizontal="left" vertical="top" wrapText="1"/>
    </xf>
    <xf numFmtId="0" fontId="1" fillId="0" borderId="36" xfId="61" applyFont="1" applyBorder="1" applyAlignment="1">
      <alignment vertical="top" wrapText="1"/>
    </xf>
    <xf numFmtId="0" fontId="1" fillId="0" borderId="36" xfId="62" applyFont="1" applyBorder="1" applyAlignment="1">
      <alignment vertical="top" wrapText="1"/>
    </xf>
    <xf numFmtId="0" fontId="11" fillId="0" borderId="0" xfId="62" applyFont="1"/>
    <xf numFmtId="0" fontId="11" fillId="0" borderId="0" xfId="61" applyFont="1" applyAlignment="1"/>
  </cellXfs>
  <cellStyles count="87">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2 2" xfId="85"/>
    <cellStyle name="Comma 3" xfId="66"/>
    <cellStyle name="Comma 3 2" xfId="67"/>
    <cellStyle name="Comma_pr0931_revcorrectmech merged updated annex" xfId="34"/>
    <cellStyle name="Explanatory Text" xfId="35" builtinId="53" customBuiltin="1"/>
    <cellStyle name="Fountain Col Header" xfId="80"/>
    <cellStyle name="Fountain Error" xfId="82"/>
    <cellStyle name="Fountain Error 2" xfId="86"/>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9.109375" customWidth="1"/>
    <col min="3" max="3" width="102.21875" bestFit="1" customWidth="1"/>
    <col min="4" max="4" width="5.77734375" customWidth="1"/>
    <col min="5" max="5" width="28.44140625" bestFit="1" customWidth="1"/>
    <col min="6" max="11" width="8.44140625" customWidth="1"/>
  </cols>
  <sheetData>
    <row r="1" spans="1:11">
      <c r="A1" s="235"/>
      <c r="B1" s="263"/>
      <c r="C1" s="264" t="s">
        <v>397</v>
      </c>
      <c r="D1" s="263"/>
      <c r="E1" s="235"/>
      <c r="F1" s="235"/>
      <c r="G1" s="235"/>
      <c r="H1" s="235"/>
      <c r="I1" s="235"/>
      <c r="J1" s="235"/>
    </row>
    <row r="2" spans="1:11">
      <c r="A2" s="236" t="s">
        <v>286</v>
      </c>
      <c r="B2" s="236" t="s">
        <v>224</v>
      </c>
      <c r="C2" s="236" t="s">
        <v>223</v>
      </c>
      <c r="D2" s="236" t="s">
        <v>287</v>
      </c>
      <c r="E2" s="236" t="s">
        <v>288</v>
      </c>
      <c r="F2" s="236" t="s">
        <v>248</v>
      </c>
      <c r="G2" s="236" t="s">
        <v>249</v>
      </c>
      <c r="H2" s="236" t="s">
        <v>250</v>
      </c>
      <c r="I2" s="236" t="s">
        <v>251</v>
      </c>
      <c r="J2" s="236" t="s">
        <v>252</v>
      </c>
      <c r="K2" s="236" t="s">
        <v>367</v>
      </c>
    </row>
    <row r="3" spans="1:11">
      <c r="A3" s="235"/>
      <c r="B3" s="235"/>
      <c r="C3" s="235"/>
      <c r="D3" s="235"/>
      <c r="E3" s="235"/>
      <c r="F3" s="235"/>
      <c r="G3" s="235"/>
      <c r="H3" s="235"/>
      <c r="I3" s="235"/>
      <c r="J3" s="235"/>
    </row>
    <row r="4" spans="1:11">
      <c r="A4" s="235"/>
      <c r="B4" s="246" t="s">
        <v>383</v>
      </c>
      <c r="C4" s="235" t="s">
        <v>137</v>
      </c>
      <c r="D4" s="235" t="s">
        <v>78</v>
      </c>
      <c r="E4" s="235" t="s">
        <v>434</v>
      </c>
      <c r="F4" s="265">
        <f>+Calc!$M51</f>
        <v>-1.0820761264950929</v>
      </c>
      <c r="G4" s="265">
        <f>+Calc!$M51</f>
        <v>-1.0820761264950929</v>
      </c>
      <c r="H4" s="265">
        <f>+Calc!$M51</f>
        <v>-1.0820761264950929</v>
      </c>
      <c r="I4" s="265">
        <f>+Calc!$M51</f>
        <v>-1.0820761264950929</v>
      </c>
      <c r="J4" s="265">
        <f>+Calc!$M51</f>
        <v>-1.0820761264950929</v>
      </c>
    </row>
    <row r="5" spans="1:11">
      <c r="B5" s="266" t="s">
        <v>427</v>
      </c>
      <c r="C5" s="267" t="s">
        <v>425</v>
      </c>
      <c r="D5" s="268" t="s">
        <v>78</v>
      </c>
      <c r="E5" s="267" t="s">
        <v>434</v>
      </c>
      <c r="F5" s="269">
        <f>'RCM report'!$J$11</f>
        <v>0.40741227413944281</v>
      </c>
      <c r="G5" s="269">
        <f>'RCM report'!$J$11</f>
        <v>0.40741227413944281</v>
      </c>
      <c r="H5" s="269">
        <f>'RCM report'!$J$11</f>
        <v>0.40741227413944281</v>
      </c>
      <c r="I5" s="269">
        <f>'RCM report'!$J$11</f>
        <v>0.40741227413944281</v>
      </c>
      <c r="J5" s="269">
        <f>'RCM report'!$J$11</f>
        <v>0.40741227413944281</v>
      </c>
    </row>
    <row r="6" spans="1:11">
      <c r="B6" s="266" t="s">
        <v>428</v>
      </c>
      <c r="C6" s="267" t="s">
        <v>426</v>
      </c>
      <c r="D6" s="268" t="s">
        <v>78</v>
      </c>
      <c r="E6" s="267" t="s">
        <v>434</v>
      </c>
      <c r="F6" s="269">
        <f>'RCM report'!$J$12+'RCM report'!$J$13+'RCM report'!$J$14</f>
        <v>-1.4894884006345359</v>
      </c>
      <c r="G6" s="269">
        <f>'RCM report'!$J$12+'RCM report'!$J$13+'RCM report'!$J$14</f>
        <v>-1.4894884006345359</v>
      </c>
      <c r="H6" s="269">
        <f>'RCM report'!$J$12+'RCM report'!$J$13+'RCM report'!$J$14</f>
        <v>-1.4894884006345359</v>
      </c>
      <c r="I6" s="269">
        <f>'RCM report'!$J$12+'RCM report'!$J$13+'RCM report'!$J$14</f>
        <v>-1.4894884006345359</v>
      </c>
      <c r="J6" s="269">
        <f>'RCM report'!$J$12+'RCM report'!$J$13+'RCM report'!$J$14</f>
        <v>-1.4894884006345359</v>
      </c>
    </row>
    <row r="7" spans="1:11">
      <c r="B7" s="246" t="s">
        <v>384</v>
      </c>
      <c r="C7" s="235" t="s">
        <v>156</v>
      </c>
      <c r="D7" s="235" t="s">
        <v>78</v>
      </c>
      <c r="E7" s="235" t="s">
        <v>434</v>
      </c>
      <c r="F7" s="237">
        <f>+Calc!$M96</f>
        <v>-14.207574764649731</v>
      </c>
      <c r="G7" s="237">
        <f>+Calc!$M96</f>
        <v>-14.207574764649731</v>
      </c>
      <c r="H7" s="237">
        <f>+Calc!$M96</f>
        <v>-14.207574764649731</v>
      </c>
      <c r="I7" s="237">
        <f>+Calc!$M96</f>
        <v>-14.207574764649731</v>
      </c>
      <c r="J7" s="237">
        <f>+Calc!$M96</f>
        <v>-14.207574764649731</v>
      </c>
    </row>
    <row r="8" spans="1:11">
      <c r="B8" s="266" t="s">
        <v>429</v>
      </c>
      <c r="C8" s="268" t="s">
        <v>431</v>
      </c>
      <c r="D8" s="268" t="s">
        <v>78</v>
      </c>
      <c r="E8" s="268" t="s">
        <v>434</v>
      </c>
      <c r="F8" s="269">
        <f>'RCM report'!$J$29</f>
        <v>-12.114089491595314</v>
      </c>
      <c r="G8" s="269">
        <f>'RCM report'!$J$29</f>
        <v>-12.114089491595314</v>
      </c>
      <c r="H8" s="269">
        <f>'RCM report'!$J$29</f>
        <v>-12.114089491595314</v>
      </c>
      <c r="I8" s="269">
        <f>'RCM report'!$J$29</f>
        <v>-12.114089491595314</v>
      </c>
      <c r="J8" s="269">
        <f>'RCM report'!$J$29</f>
        <v>-12.114089491595314</v>
      </c>
    </row>
    <row r="9" spans="1:11">
      <c r="B9" s="266" t="s">
        <v>430</v>
      </c>
      <c r="C9" s="268" t="s">
        <v>432</v>
      </c>
      <c r="D9" s="268" t="s">
        <v>78</v>
      </c>
      <c r="E9" s="268" t="s">
        <v>434</v>
      </c>
      <c r="F9" s="269">
        <f>'RCM report'!$J$30+'RCM report'!$J$31+'RCM report'!$J$32</f>
        <v>-2.0934852730544193</v>
      </c>
      <c r="G9" s="269">
        <f>'RCM report'!$J$30+'RCM report'!$J$31+'RCM report'!$J$32</f>
        <v>-2.0934852730544193</v>
      </c>
      <c r="H9" s="269">
        <f>'RCM report'!$J$30+'RCM report'!$J$31+'RCM report'!$J$32</f>
        <v>-2.0934852730544193</v>
      </c>
      <c r="I9" s="269">
        <f>'RCM report'!$J$30+'RCM report'!$J$31+'RCM report'!$J$32</f>
        <v>-2.0934852730544193</v>
      </c>
      <c r="J9" s="269">
        <f>'RCM report'!$J$30+'RCM report'!$J$31+'RCM report'!$J$32</f>
        <v>-2.0934852730544193</v>
      </c>
    </row>
    <row r="10" spans="1:11">
      <c r="B10" s="246" t="s">
        <v>385</v>
      </c>
      <c r="C10" s="235" t="s">
        <v>366</v>
      </c>
      <c r="D10" s="235" t="s">
        <v>362</v>
      </c>
      <c r="E10" s="235" t="s">
        <v>434</v>
      </c>
      <c r="F10" s="249"/>
      <c r="G10" s="249"/>
      <c r="H10" s="249"/>
      <c r="I10" s="249"/>
      <c r="J10" s="249"/>
      <c r="K10" s="252">
        <f>Input!M60</f>
        <v>3.5999999999999997E-2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0" zoomScaleNormal="80" workbookViewId="0">
      <pane ySplit="2" topLeftCell="A3" activePane="bottomLeft" state="frozen"/>
      <selection pane="bottomLeft" activeCell="A3" sqref="A3"/>
    </sheetView>
  </sheetViews>
  <sheetFormatPr defaultColWidth="9.109375" defaultRowHeight="15"/>
  <cols>
    <col min="1" max="1" width="2.5546875" style="86" customWidth="1"/>
    <col min="2" max="2" width="13.109375" style="86" customWidth="1"/>
    <col min="3" max="3" width="12.33203125" style="86" customWidth="1"/>
    <col min="4" max="4" width="10.109375" style="86" customWidth="1"/>
    <col min="5" max="6" width="20.6640625" style="86" customWidth="1"/>
    <col min="7" max="8" width="16.88671875" style="86" customWidth="1"/>
    <col min="9" max="13" width="10.88671875" style="86" customWidth="1"/>
    <col min="14" max="16384" width="9.109375" style="86"/>
  </cols>
  <sheetData>
    <row r="1" spans="1:14" ht="15.6">
      <c r="A1" s="271" t="s">
        <v>272</v>
      </c>
      <c r="B1" s="270"/>
      <c r="C1" s="270"/>
      <c r="D1" s="270"/>
      <c r="E1" s="270"/>
      <c r="F1" s="270"/>
      <c r="G1" s="270"/>
      <c r="H1" s="270"/>
      <c r="I1" s="270"/>
      <c r="J1" s="270"/>
      <c r="K1" s="270"/>
      <c r="L1" s="270"/>
      <c r="M1" s="270"/>
      <c r="N1" s="270"/>
    </row>
    <row r="2" spans="1:14" ht="15.6">
      <c r="A2" s="271" t="s">
        <v>483</v>
      </c>
      <c r="B2" s="270"/>
      <c r="C2" s="270"/>
      <c r="D2" s="270"/>
      <c r="E2" s="270"/>
      <c r="F2" s="270"/>
      <c r="G2" s="270"/>
      <c r="H2" s="270"/>
      <c r="I2" s="270"/>
      <c r="J2" s="270"/>
      <c r="K2" s="270"/>
      <c r="L2" s="270"/>
      <c r="M2" s="270"/>
      <c r="N2" s="270"/>
    </row>
    <row r="3" spans="1:14" ht="15.6">
      <c r="A3" s="271"/>
      <c r="B3" s="270"/>
      <c r="C3" s="270"/>
      <c r="D3" s="270"/>
      <c r="E3" s="270"/>
      <c r="F3" s="270"/>
      <c r="G3" s="270"/>
      <c r="H3" s="270"/>
      <c r="I3" s="270"/>
      <c r="J3" s="270"/>
      <c r="K3" s="270"/>
      <c r="L3" s="270"/>
      <c r="M3" s="270"/>
      <c r="N3" s="270"/>
    </row>
    <row r="4" spans="1:14" ht="15.6">
      <c r="A4" s="273" t="s">
        <v>222</v>
      </c>
      <c r="B4" s="270"/>
      <c r="C4" s="270"/>
      <c r="D4" s="270"/>
      <c r="E4" s="270"/>
      <c r="F4" s="270"/>
      <c r="G4" s="270"/>
      <c r="H4" s="270"/>
      <c r="I4" s="270"/>
      <c r="J4" s="270"/>
      <c r="K4" s="270"/>
      <c r="L4" s="270"/>
      <c r="M4" s="270"/>
      <c r="N4" s="270"/>
    </row>
    <row r="5" spans="1:14" ht="15.6">
      <c r="A5" s="271"/>
      <c r="B5" s="270"/>
      <c r="C5" s="270"/>
      <c r="D5" s="270"/>
      <c r="E5" s="270"/>
      <c r="F5" s="270"/>
      <c r="G5" s="270"/>
      <c r="H5" s="270"/>
      <c r="I5" s="270"/>
      <c r="J5" s="270"/>
      <c r="K5" s="270"/>
      <c r="L5" s="270"/>
      <c r="M5" s="270"/>
      <c r="N5" s="270"/>
    </row>
    <row r="6" spans="1:14" ht="31.2" customHeight="1">
      <c r="A6" s="274"/>
      <c r="B6" s="275" t="s">
        <v>86</v>
      </c>
      <c r="C6" s="275" t="s">
        <v>229</v>
      </c>
      <c r="D6" s="303" t="s">
        <v>219</v>
      </c>
      <c r="E6" s="304"/>
      <c r="F6" s="304"/>
      <c r="G6" s="304"/>
      <c r="H6" s="304"/>
      <c r="I6" s="304"/>
      <c r="J6" s="304"/>
      <c r="K6" s="304"/>
      <c r="L6" s="304"/>
      <c r="M6" s="305"/>
      <c r="N6" s="275" t="s">
        <v>220</v>
      </c>
    </row>
    <row r="7" spans="1:14" s="210" customFormat="1" ht="197.4" customHeight="1">
      <c r="A7" s="329"/>
      <c r="B7" s="330">
        <v>42382</v>
      </c>
      <c r="C7" s="334" t="s">
        <v>409</v>
      </c>
      <c r="D7" s="331" t="s">
        <v>482</v>
      </c>
      <c r="E7" s="332"/>
      <c r="F7" s="332"/>
      <c r="G7" s="332"/>
      <c r="H7" s="332"/>
      <c r="I7" s="332"/>
      <c r="J7" s="332"/>
      <c r="K7" s="332"/>
      <c r="L7" s="332"/>
      <c r="M7" s="332"/>
      <c r="N7" s="333" t="s">
        <v>247</v>
      </c>
    </row>
    <row r="9" spans="1:14" ht="15.6">
      <c r="A9" s="273" t="s">
        <v>221</v>
      </c>
      <c r="B9" s="270"/>
      <c r="C9" s="270"/>
      <c r="D9" s="270"/>
      <c r="E9" s="270"/>
      <c r="F9" s="270"/>
      <c r="G9" s="270"/>
      <c r="H9" s="270"/>
      <c r="I9" s="270"/>
      <c r="J9" s="270"/>
      <c r="K9" s="270"/>
      <c r="L9" s="270"/>
      <c r="M9" s="270"/>
      <c r="N9" s="270"/>
    </row>
    <row r="10" spans="1:14" ht="15.6">
      <c r="A10" s="271"/>
      <c r="B10" s="270"/>
      <c r="C10" s="270"/>
      <c r="D10" s="270"/>
      <c r="E10" s="270"/>
      <c r="F10" s="270"/>
      <c r="G10" s="270"/>
      <c r="H10" s="270"/>
      <c r="I10" s="270"/>
      <c r="J10" s="270"/>
      <c r="K10" s="270"/>
      <c r="L10" s="270"/>
      <c r="M10" s="270"/>
      <c r="N10" s="270"/>
    </row>
    <row r="11" spans="1:14" ht="31.2" customHeight="1">
      <c r="A11" s="274"/>
      <c r="B11" s="275" t="s">
        <v>86</v>
      </c>
      <c r="C11" s="275" t="s">
        <v>229</v>
      </c>
      <c r="D11" s="303" t="s">
        <v>219</v>
      </c>
      <c r="E11" s="304"/>
      <c r="F11" s="304"/>
      <c r="G11" s="304"/>
      <c r="H11" s="304"/>
      <c r="I11" s="304"/>
      <c r="J11" s="304"/>
      <c r="K11" s="304"/>
      <c r="L11" s="304"/>
      <c r="M11" s="305"/>
      <c r="N11" s="275" t="s">
        <v>220</v>
      </c>
    </row>
    <row r="12" spans="1:14">
      <c r="A12" s="274"/>
      <c r="B12" s="278"/>
      <c r="C12" s="292"/>
      <c r="D12" s="320"/>
      <c r="E12" s="321"/>
      <c r="F12" s="321"/>
      <c r="G12" s="321"/>
      <c r="H12" s="321"/>
      <c r="I12" s="321"/>
      <c r="J12" s="321"/>
      <c r="K12" s="321"/>
      <c r="L12" s="321"/>
      <c r="M12" s="322"/>
      <c r="N12" s="276"/>
    </row>
    <row r="13" spans="1:14">
      <c r="A13" s="274"/>
      <c r="B13" s="278"/>
      <c r="C13" s="293"/>
      <c r="D13" s="320"/>
      <c r="E13" s="321"/>
      <c r="F13" s="321"/>
      <c r="G13" s="321"/>
      <c r="H13" s="321"/>
      <c r="I13" s="321"/>
      <c r="J13" s="321"/>
      <c r="K13" s="321"/>
      <c r="L13" s="321"/>
      <c r="M13" s="322"/>
      <c r="N13" s="276"/>
    </row>
    <row r="14" spans="1:14">
      <c r="A14" s="274"/>
      <c r="B14" s="278"/>
      <c r="C14" s="293"/>
      <c r="D14" s="320"/>
      <c r="E14" s="321"/>
      <c r="F14" s="321"/>
      <c r="G14" s="321"/>
      <c r="H14" s="321"/>
      <c r="I14" s="321"/>
      <c r="J14" s="321"/>
      <c r="K14" s="321"/>
      <c r="L14" s="321"/>
      <c r="M14" s="322"/>
      <c r="N14" s="276"/>
    </row>
    <row r="15" spans="1:14" ht="15.6">
      <c r="A15" s="274"/>
      <c r="B15" s="277"/>
      <c r="C15" s="292"/>
      <c r="D15" s="320"/>
      <c r="E15" s="321"/>
      <c r="F15" s="321"/>
      <c r="G15" s="321"/>
      <c r="H15" s="321"/>
      <c r="I15" s="321"/>
      <c r="J15" s="321"/>
      <c r="K15" s="321"/>
      <c r="L15" s="321"/>
      <c r="M15" s="322"/>
      <c r="N15" s="277"/>
    </row>
    <row r="17" spans="1:14" ht="25.5" customHeight="1">
      <c r="A17" s="273" t="s">
        <v>218</v>
      </c>
      <c r="B17" s="270"/>
      <c r="C17" s="270"/>
      <c r="D17" s="270"/>
      <c r="E17" s="270"/>
      <c r="F17" s="270"/>
      <c r="G17" s="270"/>
      <c r="H17" s="270"/>
      <c r="I17" s="270"/>
      <c r="J17" s="270"/>
      <c r="K17" s="270"/>
      <c r="L17" s="270"/>
      <c r="M17" s="270"/>
      <c r="N17" s="270"/>
    </row>
    <row r="18" spans="1:14" ht="37.5" customHeight="1">
      <c r="A18" s="323" t="s">
        <v>217</v>
      </c>
      <c r="B18" s="323"/>
      <c r="C18" s="323"/>
      <c r="D18" s="323"/>
      <c r="E18" s="323"/>
      <c r="F18" s="323"/>
      <c r="G18" s="323"/>
      <c r="H18" s="323"/>
      <c r="I18" s="323"/>
      <c r="J18" s="323"/>
      <c r="K18" s="323"/>
      <c r="L18" s="323"/>
      <c r="M18" s="323"/>
      <c r="N18" s="270"/>
    </row>
    <row r="19" spans="1:14" s="335" customFormat="1" ht="145.80000000000001" customHeight="1">
      <c r="A19" s="294"/>
      <c r="B19" s="302" t="s">
        <v>484</v>
      </c>
      <c r="C19" s="302"/>
      <c r="D19" s="302"/>
      <c r="E19" s="302"/>
      <c r="F19" s="302"/>
      <c r="G19" s="302"/>
      <c r="H19" s="302"/>
      <c r="I19" s="302"/>
      <c r="J19" s="302"/>
      <c r="K19" s="302"/>
      <c r="L19" s="302"/>
      <c r="M19" s="302"/>
      <c r="N19" s="336"/>
    </row>
    <row r="20" spans="1:14">
      <c r="A20" s="274"/>
      <c r="B20" s="279"/>
      <c r="C20" s="274"/>
      <c r="D20" s="274"/>
      <c r="E20" s="274"/>
      <c r="F20" s="274"/>
      <c r="G20" s="274"/>
      <c r="H20" s="274"/>
      <c r="I20" s="274"/>
      <c r="J20" s="274"/>
      <c r="K20" s="274"/>
      <c r="L20" s="274"/>
      <c r="M20" s="274"/>
      <c r="N20" s="270"/>
    </row>
    <row r="21" spans="1:14" ht="15.6">
      <c r="A21" s="273" t="s">
        <v>216</v>
      </c>
      <c r="B21" s="270"/>
      <c r="C21" s="270"/>
      <c r="D21" s="270"/>
      <c r="E21" s="270"/>
      <c r="F21" s="270"/>
      <c r="G21" s="270"/>
      <c r="H21" s="270"/>
      <c r="I21" s="270"/>
      <c r="J21" s="270"/>
      <c r="K21" s="270"/>
      <c r="L21" s="270"/>
      <c r="M21" s="270"/>
    </row>
    <row r="22" spans="1:14" ht="15.6" customHeight="1">
      <c r="A22" s="280" t="s">
        <v>215</v>
      </c>
      <c r="B22" s="301" t="s">
        <v>273</v>
      </c>
      <c r="C22" s="301"/>
      <c r="D22" s="301"/>
      <c r="E22" s="301"/>
      <c r="F22" s="301"/>
      <c r="G22" s="301"/>
      <c r="H22" s="301"/>
      <c r="I22" s="301"/>
      <c r="J22" s="301"/>
      <c r="K22" s="301"/>
      <c r="L22" s="301"/>
      <c r="M22" s="301"/>
    </row>
    <row r="23" spans="1:14" ht="12.75" customHeight="1">
      <c r="A23" s="281" t="s">
        <v>215</v>
      </c>
      <c r="B23" s="301" t="s">
        <v>274</v>
      </c>
      <c r="C23" s="301"/>
      <c r="D23" s="301"/>
      <c r="E23" s="301"/>
      <c r="F23" s="301"/>
      <c r="G23" s="301"/>
      <c r="H23" s="301"/>
      <c r="I23" s="301"/>
      <c r="J23" s="301"/>
      <c r="K23" s="301"/>
      <c r="L23" s="301"/>
      <c r="M23" s="301"/>
    </row>
    <row r="24" spans="1:14" ht="15.6">
      <c r="A24" s="281" t="s">
        <v>215</v>
      </c>
      <c r="B24" s="300" t="s">
        <v>275</v>
      </c>
      <c r="C24" s="300"/>
      <c r="D24" s="300"/>
      <c r="E24" s="300"/>
      <c r="F24" s="300"/>
      <c r="G24" s="300"/>
      <c r="H24" s="300"/>
      <c r="I24" s="300"/>
      <c r="J24" s="300"/>
      <c r="K24" s="300"/>
      <c r="L24" s="300"/>
      <c r="M24" s="300"/>
    </row>
    <row r="25" spans="1:14" ht="15.6">
      <c r="A25" s="281" t="s">
        <v>215</v>
      </c>
      <c r="B25" s="300" t="s">
        <v>276</v>
      </c>
      <c r="C25" s="300"/>
      <c r="D25" s="300"/>
      <c r="E25" s="300"/>
      <c r="F25" s="300"/>
      <c r="G25" s="300"/>
      <c r="H25" s="300"/>
      <c r="I25" s="300"/>
      <c r="J25" s="300"/>
      <c r="K25" s="300"/>
      <c r="L25" s="300"/>
      <c r="M25" s="300"/>
    </row>
    <row r="26" spans="1:14">
      <c r="A26" s="282"/>
      <c r="B26" s="283"/>
      <c r="C26" s="283"/>
      <c r="D26" s="283"/>
      <c r="E26" s="283"/>
      <c r="F26" s="283"/>
      <c r="G26" s="283"/>
      <c r="H26" s="283"/>
      <c r="I26" s="283"/>
      <c r="J26" s="283"/>
      <c r="K26" s="283"/>
      <c r="L26" s="283"/>
      <c r="M26" s="283"/>
    </row>
    <row r="27" spans="1:14" ht="15.6">
      <c r="A27" s="273" t="s">
        <v>214</v>
      </c>
      <c r="B27" s="284"/>
      <c r="C27" s="284"/>
      <c r="D27" s="284"/>
      <c r="E27" s="284"/>
      <c r="F27" s="284"/>
      <c r="G27" s="284"/>
      <c r="H27" s="284"/>
      <c r="I27" s="284"/>
      <c r="J27" s="284"/>
      <c r="K27" s="284"/>
      <c r="L27" s="284"/>
      <c r="M27" s="284"/>
    </row>
    <row r="28" spans="1:14">
      <c r="A28" s="282"/>
      <c r="B28" s="272" t="s">
        <v>213</v>
      </c>
      <c r="C28" s="272" t="s">
        <v>212</v>
      </c>
      <c r="D28" s="270"/>
      <c r="E28" s="270"/>
      <c r="F28" s="270"/>
      <c r="G28" s="270"/>
      <c r="H28" s="270"/>
      <c r="I28" s="270"/>
      <c r="J28" s="270"/>
      <c r="K28" s="270"/>
      <c r="L28" s="270"/>
      <c r="M28" s="270"/>
    </row>
    <row r="30" spans="1:14" ht="15.6">
      <c r="A30" s="285" t="s">
        <v>211</v>
      </c>
      <c r="B30" s="270"/>
      <c r="C30" s="270"/>
      <c r="D30" s="270"/>
      <c r="E30" s="270"/>
      <c r="F30" s="270"/>
      <c r="G30" s="270"/>
      <c r="H30" s="270"/>
      <c r="I30" s="270"/>
      <c r="J30" s="270"/>
      <c r="K30" s="270"/>
      <c r="L30" s="270"/>
      <c r="M30" s="270"/>
    </row>
    <row r="31" spans="1:14">
      <c r="A31" s="286" t="s">
        <v>210</v>
      </c>
      <c r="B31" s="270"/>
      <c r="C31" s="270"/>
      <c r="D31" s="270"/>
      <c r="E31" s="270"/>
      <c r="F31" s="270"/>
      <c r="G31" s="270"/>
      <c r="H31" s="270"/>
      <c r="I31" s="270"/>
      <c r="J31" s="270"/>
      <c r="K31" s="270"/>
      <c r="L31" s="270"/>
      <c r="M31" s="270"/>
    </row>
    <row r="32" spans="1:14">
      <c r="A32" s="286"/>
      <c r="B32" s="270"/>
      <c r="C32" s="270"/>
      <c r="D32" s="270"/>
      <c r="E32" s="270"/>
      <c r="F32" s="270"/>
      <c r="G32" s="270"/>
      <c r="H32" s="270"/>
      <c r="I32" s="270"/>
      <c r="J32" s="270"/>
      <c r="K32" s="270"/>
      <c r="L32" s="270"/>
      <c r="M32" s="270"/>
    </row>
    <row r="33" spans="1:13" ht="18" customHeight="1">
      <c r="A33" s="286"/>
      <c r="B33" s="297" t="s">
        <v>209</v>
      </c>
      <c r="C33" s="298"/>
      <c r="D33" s="299"/>
      <c r="E33" s="295" t="s">
        <v>31</v>
      </c>
      <c r="F33" s="295"/>
      <c r="G33" s="296" t="s">
        <v>208</v>
      </c>
      <c r="H33" s="296"/>
      <c r="I33" s="295" t="s">
        <v>207</v>
      </c>
      <c r="J33" s="295"/>
      <c r="K33" s="295"/>
      <c r="L33" s="295"/>
      <c r="M33" s="295"/>
    </row>
    <row r="34" spans="1:13" s="87" customFormat="1" ht="84" customHeight="1">
      <c r="A34" s="287"/>
      <c r="B34" s="317" t="s">
        <v>115</v>
      </c>
      <c r="C34" s="318"/>
      <c r="D34" s="319"/>
      <c r="E34" s="313" t="s">
        <v>254</v>
      </c>
      <c r="F34" s="314"/>
      <c r="G34" s="313"/>
      <c r="H34" s="314"/>
      <c r="I34" s="309" t="s">
        <v>255</v>
      </c>
      <c r="J34" s="310"/>
      <c r="K34" s="310"/>
      <c r="L34" s="310"/>
      <c r="M34" s="311"/>
    </row>
    <row r="35" spans="1:13">
      <c r="A35" s="288"/>
      <c r="B35" s="306"/>
      <c r="C35" s="307"/>
      <c r="D35" s="308"/>
      <c r="E35" s="306"/>
      <c r="F35" s="308"/>
      <c r="G35" s="315"/>
      <c r="H35" s="316"/>
      <c r="I35" s="306"/>
      <c r="J35" s="307"/>
      <c r="K35" s="307"/>
      <c r="L35" s="307"/>
      <c r="M35" s="308"/>
    </row>
    <row r="36" spans="1:13" ht="61.5" customHeight="1">
      <c r="A36" s="288"/>
      <c r="B36" s="317" t="s">
        <v>62</v>
      </c>
      <c r="C36" s="318"/>
      <c r="D36" s="319"/>
      <c r="E36" s="312" t="s">
        <v>254</v>
      </c>
      <c r="F36" s="312"/>
      <c r="G36" s="312"/>
      <c r="H36" s="312"/>
      <c r="I36" s="309" t="s">
        <v>256</v>
      </c>
      <c r="J36" s="310"/>
      <c r="K36" s="310"/>
      <c r="L36" s="310"/>
      <c r="M36" s="311"/>
    </row>
    <row r="37" spans="1:13">
      <c r="A37" s="288"/>
      <c r="B37" s="306"/>
      <c r="C37" s="307"/>
      <c r="D37" s="308"/>
      <c r="E37" s="306"/>
      <c r="F37" s="308"/>
      <c r="G37" s="315"/>
      <c r="H37" s="316"/>
      <c r="I37" s="306"/>
      <c r="J37" s="307"/>
      <c r="K37" s="307"/>
      <c r="L37" s="307"/>
      <c r="M37" s="308"/>
    </row>
    <row r="38" spans="1:13" ht="39.75" customHeight="1">
      <c r="A38" s="288"/>
      <c r="B38" s="317" t="s">
        <v>42</v>
      </c>
      <c r="C38" s="318"/>
      <c r="D38" s="319"/>
      <c r="E38" s="312" t="s">
        <v>254</v>
      </c>
      <c r="F38" s="312"/>
      <c r="G38" s="312"/>
      <c r="H38" s="312"/>
      <c r="I38" s="309" t="s">
        <v>257</v>
      </c>
      <c r="J38" s="310"/>
      <c r="K38" s="310"/>
      <c r="L38" s="310"/>
      <c r="M38" s="311"/>
    </row>
    <row r="39" spans="1:13">
      <c r="A39" s="288"/>
      <c r="B39" s="306"/>
      <c r="C39" s="307"/>
      <c r="D39" s="308"/>
      <c r="E39" s="306"/>
      <c r="F39" s="308"/>
      <c r="G39" s="315"/>
      <c r="H39" s="316"/>
      <c r="I39" s="306"/>
      <c r="J39" s="307"/>
      <c r="K39" s="307"/>
      <c r="L39" s="307"/>
      <c r="M39" s="308"/>
    </row>
    <row r="40" spans="1:13">
      <c r="A40" s="288"/>
      <c r="B40" s="289"/>
      <c r="C40" s="289"/>
      <c r="D40" s="289"/>
      <c r="E40" s="289"/>
      <c r="F40" s="289"/>
      <c r="G40" s="290"/>
      <c r="H40" s="290"/>
      <c r="I40" s="289"/>
      <c r="J40" s="289"/>
      <c r="K40" s="289"/>
      <c r="L40" s="289"/>
      <c r="M40" s="289"/>
    </row>
    <row r="41" spans="1:13" ht="15.6">
      <c r="A41" s="271" t="s">
        <v>206</v>
      </c>
      <c r="B41" s="270"/>
      <c r="C41" s="270"/>
      <c r="D41" s="270"/>
      <c r="E41" s="270"/>
      <c r="F41" s="270"/>
      <c r="G41" s="270"/>
      <c r="H41" s="270"/>
      <c r="I41" s="270"/>
      <c r="J41" s="270"/>
      <c r="K41" s="270"/>
      <c r="L41" s="270"/>
      <c r="M41" s="270"/>
    </row>
    <row r="43" spans="1:13" ht="44.25" customHeight="1">
      <c r="A43" s="324"/>
      <c r="B43" s="324"/>
      <c r="C43" s="324"/>
      <c r="D43" s="324"/>
      <c r="E43" s="324"/>
      <c r="F43" s="324"/>
      <c r="G43" s="324"/>
      <c r="H43" s="324"/>
      <c r="I43" s="324"/>
      <c r="J43" s="324"/>
      <c r="K43" s="324"/>
      <c r="L43" s="324"/>
      <c r="M43" s="324"/>
    </row>
    <row r="44" spans="1:13" ht="15.6">
      <c r="A44" s="271"/>
      <c r="B44" s="270"/>
      <c r="C44" s="270"/>
      <c r="D44" s="270"/>
      <c r="E44" s="270"/>
      <c r="F44" s="270"/>
      <c r="G44" s="270"/>
      <c r="H44" s="270"/>
      <c r="I44" s="270"/>
      <c r="J44" s="270"/>
      <c r="K44" s="270"/>
      <c r="L44" s="270"/>
      <c r="M44" s="270"/>
    </row>
    <row r="45" spans="1:13">
      <c r="A45" s="270"/>
      <c r="B45" s="272" t="s">
        <v>205</v>
      </c>
      <c r="C45" s="270"/>
      <c r="D45" s="270"/>
      <c r="E45" s="270"/>
      <c r="F45" s="270"/>
      <c r="G45" s="270"/>
      <c r="H45" s="270"/>
      <c r="I45" s="270"/>
      <c r="J45" s="270"/>
      <c r="K45" s="270"/>
      <c r="L45" s="270"/>
      <c r="M45" s="270"/>
    </row>
    <row r="49" spans="1:13">
      <c r="A49" s="270"/>
      <c r="B49" s="291"/>
      <c r="C49" s="270"/>
      <c r="D49" s="270"/>
      <c r="E49" s="270"/>
      <c r="F49" s="270"/>
      <c r="G49" s="270"/>
      <c r="H49" s="270"/>
      <c r="I49" s="270"/>
      <c r="J49" s="270"/>
      <c r="K49" s="270"/>
      <c r="L49" s="270"/>
      <c r="M49" s="270"/>
    </row>
    <row r="50" spans="1:13">
      <c r="A50" s="270"/>
      <c r="B50" s="291"/>
      <c r="C50" s="270"/>
      <c r="D50" s="270"/>
      <c r="E50" s="270"/>
      <c r="F50" s="270"/>
      <c r="G50" s="270"/>
      <c r="H50" s="270"/>
      <c r="I50" s="270"/>
      <c r="J50" s="270"/>
      <c r="K50" s="270"/>
      <c r="L50" s="270"/>
      <c r="M50" s="270"/>
    </row>
  </sheetData>
  <mergeCells count="42">
    <mergeCell ref="D7:M7"/>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D6:M6"/>
    <mergeCell ref="B37:D37"/>
    <mergeCell ref="I34:M34"/>
    <mergeCell ref="I35:M35"/>
    <mergeCell ref="I38:M38"/>
    <mergeCell ref="G38:H38"/>
    <mergeCell ref="G34:H34"/>
    <mergeCell ref="G35:H35"/>
    <mergeCell ref="E34:F34"/>
    <mergeCell ref="B34:D34"/>
    <mergeCell ref="B35:D35"/>
    <mergeCell ref="E35:F35"/>
    <mergeCell ref="D12:M12"/>
    <mergeCell ref="D13:M13"/>
    <mergeCell ref="D14:M14"/>
    <mergeCell ref="D15:M15"/>
    <mergeCell ref="B22:M22"/>
    <mergeCell ref="B24:M24"/>
    <mergeCell ref="B23:M23"/>
    <mergeCell ref="B19:M19"/>
    <mergeCell ref="D11:M11"/>
    <mergeCell ref="A18:M18"/>
    <mergeCell ref="E33:F33"/>
    <mergeCell ref="G33:H33"/>
    <mergeCell ref="B33:D33"/>
    <mergeCell ref="I33:M33"/>
    <mergeCell ref="B25:M25"/>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10" customWidth="1"/>
    <col min="2" max="20" width="12.6640625" style="210" customWidth="1"/>
    <col min="21" max="16384" width="9.109375" style="210"/>
  </cols>
  <sheetData>
    <row r="1" spans="1:21" ht="24.6">
      <c r="A1" s="325" t="s">
        <v>228</v>
      </c>
      <c r="B1" s="325"/>
      <c r="C1" s="325"/>
      <c r="D1" s="325"/>
      <c r="E1" s="325"/>
      <c r="F1" s="325"/>
      <c r="G1" s="325"/>
      <c r="H1" s="325"/>
      <c r="I1" s="325"/>
      <c r="J1" s="325"/>
      <c r="K1" s="325"/>
      <c r="L1" s="325"/>
      <c r="M1" s="325"/>
      <c r="N1" s="325"/>
      <c r="O1" s="325"/>
      <c r="P1" s="325"/>
      <c r="Q1" s="325"/>
      <c r="R1" s="325"/>
      <c r="S1" s="325"/>
      <c r="T1" s="325"/>
      <c r="U1" s="325"/>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1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88" t="s">
        <v>268</v>
      </c>
      <c r="C5" s="90"/>
      <c r="D5" s="89"/>
      <c r="E5" s="89"/>
      <c r="F5" s="89"/>
      <c r="G5" s="89"/>
      <c r="H5" s="90" t="s">
        <v>269</v>
      </c>
      <c r="I5" s="89"/>
      <c r="J5" s="91"/>
      <c r="K5" s="89"/>
      <c r="L5" s="89"/>
      <c r="M5" s="89"/>
      <c r="N5" s="90" t="s">
        <v>270</v>
      </c>
      <c r="O5" s="89"/>
      <c r="P5" s="89"/>
      <c r="Q5" s="89"/>
      <c r="R5" s="89"/>
      <c r="S5" s="92"/>
      <c r="T5" s="78"/>
    </row>
    <row r="6" spans="1:21" ht="15.6">
      <c r="A6" s="79"/>
      <c r="B6" s="93"/>
      <c r="C6" s="94"/>
      <c r="D6" s="89"/>
      <c r="E6" s="89"/>
      <c r="F6" s="89"/>
      <c r="G6" s="89"/>
      <c r="H6" s="94"/>
      <c r="I6" s="89"/>
      <c r="J6" s="95"/>
      <c r="K6" s="89"/>
      <c r="L6" s="89"/>
      <c r="M6" s="89"/>
      <c r="N6" s="96"/>
      <c r="O6" s="89"/>
      <c r="P6" s="89"/>
      <c r="Q6" s="89"/>
      <c r="R6" s="89"/>
      <c r="S6" s="92"/>
      <c r="T6" s="78"/>
    </row>
    <row r="7" spans="1:21" ht="15.6">
      <c r="A7" s="79"/>
      <c r="B7" s="97" t="s">
        <v>258</v>
      </c>
      <c r="C7" s="98"/>
      <c r="D7" s="89"/>
      <c r="E7" s="89"/>
      <c r="F7" s="89"/>
      <c r="G7" s="89"/>
      <c r="H7" s="98" t="s">
        <v>259</v>
      </c>
      <c r="I7" s="89"/>
      <c r="J7" s="95"/>
      <c r="K7" s="89"/>
      <c r="L7" s="89"/>
      <c r="M7" s="96"/>
      <c r="N7" s="98" t="s">
        <v>258</v>
      </c>
      <c r="O7" s="96"/>
      <c r="P7" s="89"/>
      <c r="Q7" s="89"/>
      <c r="R7" s="89"/>
      <c r="S7" s="99"/>
      <c r="T7" s="78"/>
    </row>
    <row r="8" spans="1:21" ht="15.6">
      <c r="A8" s="79"/>
      <c r="B8" s="93"/>
      <c r="C8" s="94"/>
      <c r="D8" s="89"/>
      <c r="E8" s="89"/>
      <c r="F8" s="89"/>
      <c r="G8" s="89"/>
      <c r="H8" s="89"/>
      <c r="I8" s="89"/>
      <c r="J8" s="95"/>
      <c r="K8" s="89"/>
      <c r="L8" s="89"/>
      <c r="M8" s="96"/>
      <c r="N8" s="89"/>
      <c r="O8" s="96"/>
      <c r="P8" s="89"/>
      <c r="Q8" s="89"/>
      <c r="R8" s="89"/>
      <c r="S8" s="99"/>
      <c r="T8" s="78"/>
    </row>
    <row r="9" spans="1:21" ht="15.6">
      <c r="A9" s="79"/>
      <c r="B9" s="93" t="s">
        <v>40</v>
      </c>
      <c r="C9" s="94"/>
      <c r="D9" s="89"/>
      <c r="E9" s="89"/>
      <c r="F9" s="89"/>
      <c r="G9" s="89"/>
      <c r="H9" s="100" t="s">
        <v>266</v>
      </c>
      <c r="I9" s="89"/>
      <c r="J9" s="95"/>
      <c r="K9" s="89"/>
      <c r="L9" s="89"/>
      <c r="M9" s="96"/>
      <c r="N9" s="96"/>
      <c r="O9" s="96"/>
      <c r="P9" s="89"/>
      <c r="Q9" s="89"/>
      <c r="R9" s="89"/>
      <c r="S9" s="99"/>
      <c r="T9" s="78"/>
    </row>
    <row r="10" spans="1:21" ht="15.6">
      <c r="A10" s="79"/>
      <c r="B10" s="93" t="s">
        <v>39</v>
      </c>
      <c r="C10" s="94"/>
      <c r="D10" s="89"/>
      <c r="E10" s="89"/>
      <c r="F10" s="89"/>
      <c r="G10" s="89"/>
      <c r="H10" s="96" t="s">
        <v>45</v>
      </c>
      <c r="I10" s="89"/>
      <c r="J10" s="95"/>
      <c r="K10" s="89"/>
      <c r="L10" s="89"/>
      <c r="M10" s="89"/>
      <c r="N10" s="96" t="s">
        <v>43</v>
      </c>
      <c r="O10" s="89"/>
      <c r="P10" s="89"/>
      <c r="Q10" s="89"/>
      <c r="R10" s="89"/>
      <c r="S10" s="99"/>
      <c r="T10" s="78"/>
    </row>
    <row r="11" spans="1:21" ht="15.6">
      <c r="A11" s="79"/>
      <c r="B11" s="93" t="s">
        <v>37</v>
      </c>
      <c r="C11" s="94"/>
      <c r="D11" s="89"/>
      <c r="E11" s="89"/>
      <c r="F11" s="89"/>
      <c r="G11" s="89"/>
      <c r="H11" s="96" t="s">
        <v>46</v>
      </c>
      <c r="I11" s="89"/>
      <c r="J11" s="95"/>
      <c r="K11" s="89"/>
      <c r="L11" s="89"/>
      <c r="M11" s="89"/>
      <c r="N11" s="89"/>
      <c r="O11" s="89"/>
      <c r="P11" s="89"/>
      <c r="Q11" s="89"/>
      <c r="R11" s="89"/>
      <c r="S11" s="99"/>
      <c r="T11" s="78"/>
    </row>
    <row r="12" spans="1:21" ht="15.6">
      <c r="A12" s="79"/>
      <c r="B12" s="93" t="s">
        <v>104</v>
      </c>
      <c r="C12" s="94"/>
      <c r="D12" s="89"/>
      <c r="E12" s="89"/>
      <c r="F12" s="89"/>
      <c r="G12" s="89"/>
      <c r="H12" s="96" t="s">
        <v>47</v>
      </c>
      <c r="I12" s="89"/>
      <c r="J12" s="95"/>
      <c r="K12" s="89"/>
      <c r="L12" s="89"/>
      <c r="M12" s="89"/>
      <c r="N12" s="98" t="s">
        <v>261</v>
      </c>
      <c r="O12" s="89"/>
      <c r="P12" s="89"/>
      <c r="Q12" s="89"/>
      <c r="R12" s="89"/>
      <c r="S12" s="99"/>
      <c r="T12" s="78"/>
    </row>
    <row r="13" spans="1:21" ht="15.6">
      <c r="A13" s="79"/>
      <c r="B13" s="93" t="s">
        <v>105</v>
      </c>
      <c r="C13" s="94"/>
      <c r="D13" s="89"/>
      <c r="E13" s="89"/>
      <c r="F13" s="89"/>
      <c r="G13" s="89"/>
      <c r="H13" s="96" t="s">
        <v>48</v>
      </c>
      <c r="I13" s="89"/>
      <c r="J13" s="95"/>
      <c r="K13" s="89"/>
      <c r="L13" s="89"/>
      <c r="M13" s="89"/>
      <c r="N13" s="96"/>
      <c r="O13" s="89"/>
      <c r="P13" s="89"/>
      <c r="Q13" s="89"/>
      <c r="R13" s="89"/>
      <c r="S13" s="99"/>
      <c r="T13" s="78"/>
    </row>
    <row r="14" spans="1:21" ht="15.6">
      <c r="A14" s="79"/>
      <c r="B14" s="93" t="s">
        <v>102</v>
      </c>
      <c r="C14" s="94"/>
      <c r="D14" s="89"/>
      <c r="E14" s="89"/>
      <c r="F14" s="89"/>
      <c r="G14" s="89"/>
      <c r="H14" s="96" t="s">
        <v>49</v>
      </c>
      <c r="I14" s="89"/>
      <c r="J14" s="95"/>
      <c r="K14" s="89"/>
      <c r="L14" s="89"/>
      <c r="M14" s="89"/>
      <c r="N14" s="96" t="s">
        <v>44</v>
      </c>
      <c r="O14" s="89"/>
      <c r="P14" s="89"/>
      <c r="Q14" s="89"/>
      <c r="R14" s="89"/>
      <c r="S14" s="99"/>
      <c r="T14" s="78"/>
    </row>
    <row r="15" spans="1:21" ht="15.6">
      <c r="A15" s="79"/>
      <c r="B15" s="93" t="s">
        <v>103</v>
      </c>
      <c r="C15" s="94"/>
      <c r="D15" s="89"/>
      <c r="E15" s="89"/>
      <c r="F15" s="89"/>
      <c r="G15" s="89"/>
      <c r="H15" s="96" t="s">
        <v>285</v>
      </c>
      <c r="I15" s="89"/>
      <c r="J15" s="95"/>
      <c r="K15" s="89"/>
      <c r="L15" s="89"/>
      <c r="M15" s="89"/>
      <c r="N15" s="89"/>
      <c r="O15" s="89"/>
      <c r="P15" s="89"/>
      <c r="Q15" s="89"/>
      <c r="R15" s="89"/>
      <c r="S15" s="99"/>
      <c r="T15" s="78"/>
    </row>
    <row r="16" spans="1:21" ht="15.6">
      <c r="A16" s="79"/>
      <c r="B16" s="93" t="s">
        <v>35</v>
      </c>
      <c r="C16" s="94"/>
      <c r="D16" s="89"/>
      <c r="E16" s="89"/>
      <c r="F16" s="89"/>
      <c r="G16" s="89"/>
      <c r="H16" s="96" t="s">
        <v>284</v>
      </c>
      <c r="I16" s="89"/>
      <c r="J16" s="95"/>
      <c r="K16" s="89"/>
      <c r="L16" s="89"/>
      <c r="M16" s="89"/>
      <c r="N16" s="98" t="s">
        <v>263</v>
      </c>
      <c r="O16" s="89"/>
      <c r="P16" s="89"/>
      <c r="Q16" s="89"/>
      <c r="R16" s="89"/>
      <c r="S16" s="99"/>
      <c r="T16" s="78"/>
    </row>
    <row r="17" spans="1:20" ht="15.6">
      <c r="A17" s="79"/>
      <c r="B17" s="93" t="s">
        <v>38</v>
      </c>
      <c r="C17" s="94"/>
      <c r="D17" s="89"/>
      <c r="E17" s="89"/>
      <c r="F17" s="89"/>
      <c r="G17" s="89"/>
      <c r="H17" s="96" t="s">
        <v>53</v>
      </c>
      <c r="I17" s="89"/>
      <c r="J17" s="95"/>
      <c r="K17" s="89"/>
      <c r="L17" s="89"/>
      <c r="M17" s="89"/>
      <c r="N17" s="89"/>
      <c r="O17" s="89"/>
      <c r="P17" s="89"/>
      <c r="Q17" s="89"/>
      <c r="R17" s="89"/>
      <c r="S17" s="99"/>
      <c r="T17" s="78"/>
    </row>
    <row r="18" spans="1:20" ht="15.6">
      <c r="A18" s="79"/>
      <c r="B18" s="93" t="s">
        <v>41</v>
      </c>
      <c r="C18" s="94"/>
      <c r="D18" s="89"/>
      <c r="E18" s="89"/>
      <c r="F18" s="89"/>
      <c r="G18" s="89"/>
      <c r="H18" s="96" t="s">
        <v>54</v>
      </c>
      <c r="I18" s="89"/>
      <c r="J18" s="95"/>
      <c r="K18" s="89"/>
      <c r="L18" s="89"/>
      <c r="M18" s="89"/>
      <c r="N18" s="96" t="s">
        <v>202</v>
      </c>
      <c r="O18" s="89"/>
      <c r="P18" s="89"/>
      <c r="Q18" s="89"/>
      <c r="R18" s="89"/>
      <c r="S18" s="99"/>
      <c r="T18" s="78"/>
    </row>
    <row r="19" spans="1:20" ht="15.6">
      <c r="A19" s="79"/>
      <c r="B19" s="93"/>
      <c r="C19" s="94"/>
      <c r="D19" s="89"/>
      <c r="E19" s="89"/>
      <c r="F19" s="89"/>
      <c r="G19" s="89"/>
      <c r="H19" s="96" t="s">
        <v>55</v>
      </c>
      <c r="I19" s="89"/>
      <c r="J19" s="95"/>
      <c r="K19" s="89"/>
      <c r="L19" s="89"/>
      <c r="M19" s="89"/>
      <c r="N19" s="96" t="s">
        <v>194</v>
      </c>
      <c r="O19" s="89"/>
      <c r="P19" s="89"/>
      <c r="Q19" s="89"/>
      <c r="R19" s="89"/>
      <c r="S19" s="99"/>
      <c r="T19" s="78"/>
    </row>
    <row r="20" spans="1:20" ht="15.6">
      <c r="A20" s="79"/>
      <c r="B20" s="239" t="s">
        <v>333</v>
      </c>
      <c r="C20" s="90"/>
      <c r="D20" s="89"/>
      <c r="E20" s="89"/>
      <c r="F20" s="89"/>
      <c r="G20" s="89"/>
      <c r="H20" s="96" t="s">
        <v>56</v>
      </c>
      <c r="I20" s="89"/>
      <c r="J20" s="95"/>
      <c r="K20" s="89"/>
      <c r="L20" s="89"/>
      <c r="M20" s="89"/>
      <c r="N20" s="96" t="s">
        <v>79</v>
      </c>
      <c r="O20" s="89"/>
      <c r="P20" s="89"/>
      <c r="Q20" s="89"/>
      <c r="R20" s="89"/>
      <c r="S20" s="99"/>
      <c r="T20" s="78"/>
    </row>
    <row r="21" spans="1:20" ht="15.6">
      <c r="A21" s="79"/>
      <c r="B21" s="88"/>
      <c r="C21" s="90"/>
      <c r="D21" s="89"/>
      <c r="E21" s="89"/>
      <c r="F21" s="89"/>
      <c r="G21" s="89"/>
      <c r="H21" s="96" t="s">
        <v>57</v>
      </c>
      <c r="I21" s="89"/>
      <c r="J21" s="95"/>
      <c r="K21" s="89"/>
      <c r="L21" s="89"/>
      <c r="M21" s="89"/>
      <c r="N21" s="96" t="s">
        <v>80</v>
      </c>
      <c r="O21" s="89"/>
      <c r="P21" s="89"/>
      <c r="Q21" s="89"/>
      <c r="R21" s="89"/>
      <c r="S21" s="99"/>
      <c r="T21" s="78"/>
    </row>
    <row r="22" spans="1:20" ht="15.6">
      <c r="A22" s="79"/>
      <c r="B22" s="93" t="str">
        <f>"Water: Non-households – under 50ML threshold"</f>
        <v>Water: Non-households – under 50ML threshold</v>
      </c>
      <c r="C22" s="94"/>
      <c r="D22" s="89"/>
      <c r="E22" s="89"/>
      <c r="F22" s="89"/>
      <c r="G22" s="89"/>
      <c r="H22" s="96" t="s">
        <v>58</v>
      </c>
      <c r="I22" s="89"/>
      <c r="J22" s="95"/>
      <c r="K22" s="89"/>
      <c r="L22" s="89"/>
      <c r="M22" s="89"/>
      <c r="N22" s="98"/>
      <c r="O22" s="89"/>
      <c r="P22" s="89"/>
      <c r="Q22" s="89"/>
      <c r="R22" s="89"/>
      <c r="S22" s="99"/>
      <c r="T22" s="78"/>
    </row>
    <row r="23" spans="1:20" ht="15.6">
      <c r="A23" s="79"/>
      <c r="B23" s="93" t="str">
        <f>"Water: Non-households – over 50ML threshold"</f>
        <v>Water: Non-households – over 50ML threshold</v>
      </c>
      <c r="C23" s="94"/>
      <c r="D23" s="89"/>
      <c r="E23" s="89"/>
      <c r="F23" s="89"/>
      <c r="G23" s="89"/>
      <c r="H23" s="96" t="s">
        <v>282</v>
      </c>
      <c r="I23" s="89"/>
      <c r="J23" s="95"/>
      <c r="K23" s="89"/>
      <c r="L23" s="89"/>
      <c r="M23" s="89"/>
      <c r="N23" s="98" t="s">
        <v>264</v>
      </c>
      <c r="O23" s="89"/>
      <c r="P23" s="89"/>
      <c r="Q23" s="89"/>
      <c r="R23" s="89"/>
      <c r="S23" s="99"/>
      <c r="T23" s="78"/>
    </row>
    <row r="24" spans="1:20" ht="15.6">
      <c r="A24" s="79"/>
      <c r="B24" s="93" t="str">
        <f>"Sewerage: Non-households – under 50ML threshold"</f>
        <v>Sewerage: Non-households – under 50ML threshold</v>
      </c>
      <c r="C24" s="94"/>
      <c r="D24" s="89"/>
      <c r="E24" s="89"/>
      <c r="F24" s="89"/>
      <c r="G24" s="89"/>
      <c r="H24" s="96" t="s">
        <v>283</v>
      </c>
      <c r="I24" s="89"/>
      <c r="J24" s="95"/>
      <c r="K24" s="89"/>
      <c r="L24" s="89"/>
      <c r="M24" s="89"/>
      <c r="N24" s="98"/>
      <c r="O24" s="89"/>
      <c r="P24" s="89"/>
      <c r="Q24" s="89"/>
      <c r="R24" s="89"/>
      <c r="S24" s="99"/>
      <c r="T24" s="78"/>
    </row>
    <row r="25" spans="1:20" ht="15.6">
      <c r="A25" s="79"/>
      <c r="B25" s="93" t="str">
        <f>"Sewerage: Non-households – over 50ML threshold"</f>
        <v>Sewerage: Non-households – over 50ML threshold</v>
      </c>
      <c r="C25" s="94"/>
      <c r="D25" s="89"/>
      <c r="E25" s="89"/>
      <c r="F25" s="89"/>
      <c r="G25" s="89"/>
      <c r="H25" s="89"/>
      <c r="I25" s="89"/>
      <c r="J25" s="95"/>
      <c r="K25" s="89"/>
      <c r="L25" s="89"/>
      <c r="M25" s="89"/>
      <c r="N25" s="96" t="s">
        <v>168</v>
      </c>
      <c r="O25" s="89"/>
      <c r="P25" s="89"/>
      <c r="Q25" s="89"/>
      <c r="R25" s="89"/>
      <c r="S25" s="99"/>
      <c r="T25" s="78"/>
    </row>
    <row r="26" spans="1:20" ht="15.6">
      <c r="A26" s="79"/>
      <c r="B26" s="93"/>
      <c r="C26" s="94"/>
      <c r="D26" s="89"/>
      <c r="E26" s="89"/>
      <c r="F26" s="89"/>
      <c r="G26" s="89"/>
      <c r="H26" s="100" t="s">
        <v>267</v>
      </c>
      <c r="I26" s="89"/>
      <c r="J26" s="95"/>
      <c r="K26" s="89"/>
      <c r="L26" s="89"/>
      <c r="M26" s="89"/>
      <c r="N26" s="96" t="s">
        <v>81</v>
      </c>
      <c r="O26" s="89"/>
      <c r="P26" s="89"/>
      <c r="Q26" s="89"/>
      <c r="R26" s="89"/>
      <c r="S26" s="99"/>
      <c r="T26" s="78"/>
    </row>
    <row r="27" spans="1:20" ht="15.6">
      <c r="A27" s="79"/>
      <c r="B27" s="93"/>
      <c r="C27" s="94"/>
      <c r="D27" s="89"/>
      <c r="E27" s="89"/>
      <c r="F27" s="89"/>
      <c r="G27" s="89"/>
      <c r="H27" s="96" t="s">
        <v>51</v>
      </c>
      <c r="I27" s="89"/>
      <c r="J27" s="95"/>
      <c r="K27" s="89"/>
      <c r="L27" s="89"/>
      <c r="M27" s="89"/>
      <c r="N27" s="98"/>
      <c r="O27" s="89"/>
      <c r="P27" s="89"/>
      <c r="Q27" s="89"/>
      <c r="R27" s="89"/>
      <c r="S27" s="99"/>
      <c r="T27" s="78"/>
    </row>
    <row r="28" spans="1:20" ht="15.6">
      <c r="A28" s="79"/>
      <c r="B28" s="93"/>
      <c r="C28" s="94"/>
      <c r="D28" s="89"/>
      <c r="E28" s="89"/>
      <c r="F28" s="89"/>
      <c r="G28" s="89"/>
      <c r="H28" s="96" t="s">
        <v>52</v>
      </c>
      <c r="I28" s="89"/>
      <c r="J28" s="95"/>
      <c r="K28" s="89"/>
      <c r="L28" s="89"/>
      <c r="M28" s="89"/>
      <c r="N28" s="98"/>
      <c r="O28" s="89"/>
      <c r="P28" s="89"/>
      <c r="Q28" s="89"/>
      <c r="R28" s="89"/>
      <c r="S28" s="99"/>
      <c r="T28" s="78"/>
    </row>
    <row r="29" spans="1:20" ht="15.6">
      <c r="A29" s="79"/>
      <c r="B29" s="93"/>
      <c r="C29" s="94"/>
      <c r="D29" s="89"/>
      <c r="E29" s="89"/>
      <c r="F29" s="89"/>
      <c r="G29" s="89"/>
      <c r="H29" s="96" t="s">
        <v>50</v>
      </c>
      <c r="I29" s="89"/>
      <c r="J29" s="95"/>
      <c r="K29" s="89"/>
      <c r="L29" s="89"/>
      <c r="M29" s="89"/>
      <c r="N29" s="98"/>
      <c r="O29" s="89"/>
      <c r="P29" s="89"/>
      <c r="Q29" s="89"/>
      <c r="R29" s="89"/>
      <c r="S29" s="99"/>
      <c r="T29" s="78"/>
    </row>
    <row r="30" spans="1:20" ht="15.6">
      <c r="A30" s="79"/>
      <c r="B30" s="93"/>
      <c r="C30" s="94"/>
      <c r="D30" s="89"/>
      <c r="E30" s="89"/>
      <c r="F30" s="89"/>
      <c r="G30" s="89"/>
      <c r="H30" s="96" t="s">
        <v>60</v>
      </c>
      <c r="I30" s="89"/>
      <c r="J30" s="95"/>
      <c r="K30" s="89"/>
      <c r="L30" s="89"/>
      <c r="M30" s="89"/>
      <c r="N30" s="98"/>
      <c r="O30" s="89"/>
      <c r="P30" s="89"/>
      <c r="Q30" s="89"/>
      <c r="R30" s="89"/>
      <c r="S30" s="99"/>
      <c r="T30" s="78"/>
    </row>
    <row r="31" spans="1:20" ht="15.6">
      <c r="A31" s="79"/>
      <c r="B31" s="93"/>
      <c r="C31" s="94"/>
      <c r="D31" s="89"/>
      <c r="E31" s="89"/>
      <c r="F31" s="89"/>
      <c r="G31" s="89"/>
      <c r="H31" s="96" t="s">
        <v>61</v>
      </c>
      <c r="I31" s="89"/>
      <c r="J31" s="95"/>
      <c r="K31" s="89"/>
      <c r="L31" s="89"/>
      <c r="M31" s="89"/>
      <c r="N31" s="98"/>
      <c r="O31" s="89"/>
      <c r="P31" s="89"/>
      <c r="Q31" s="89"/>
      <c r="R31" s="89"/>
      <c r="S31" s="99"/>
      <c r="T31" s="78"/>
    </row>
    <row r="32" spans="1:20" ht="15.6">
      <c r="A32" s="79"/>
      <c r="B32" s="93"/>
      <c r="C32" s="94"/>
      <c r="D32" s="89"/>
      <c r="E32" s="89"/>
      <c r="F32" s="89"/>
      <c r="G32" s="89"/>
      <c r="H32" s="96" t="s">
        <v>59</v>
      </c>
      <c r="I32" s="89"/>
      <c r="J32" s="95"/>
      <c r="K32" s="89"/>
      <c r="L32" s="89"/>
      <c r="M32" s="89"/>
      <c r="N32" s="98"/>
      <c r="O32" s="89"/>
      <c r="P32" s="89"/>
      <c r="Q32" s="89"/>
      <c r="R32" s="89"/>
      <c r="S32" s="99"/>
      <c r="T32" s="78"/>
    </row>
    <row r="33" spans="1:20" ht="22.8">
      <c r="A33" s="55"/>
      <c r="B33" s="101"/>
      <c r="C33" s="102"/>
      <c r="D33" s="102"/>
      <c r="E33" s="102"/>
      <c r="F33" s="102"/>
      <c r="G33" s="102"/>
      <c r="H33" s="102"/>
      <c r="I33" s="102"/>
      <c r="J33" s="102"/>
      <c r="K33" s="102"/>
      <c r="L33" s="102"/>
      <c r="M33" s="102"/>
      <c r="N33" s="102"/>
      <c r="O33" s="102"/>
      <c r="P33" s="102"/>
      <c r="Q33" s="102"/>
      <c r="R33" s="102"/>
      <c r="S33" s="10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13"/>
      <c r="D35" s="72"/>
      <c r="E35" s="72"/>
      <c r="F35" s="72"/>
      <c r="G35" s="72"/>
      <c r="H35" s="72"/>
      <c r="I35" s="72"/>
      <c r="J35" s="72"/>
      <c r="K35" s="72"/>
      <c r="L35" s="72"/>
      <c r="M35" s="72"/>
      <c r="N35" s="72"/>
      <c r="O35" s="72"/>
      <c r="P35" s="72"/>
      <c r="Q35" s="72"/>
      <c r="R35" s="72"/>
      <c r="S35" s="71"/>
      <c r="T35" s="54"/>
    </row>
    <row r="36" spans="1:20" ht="22.8">
      <c r="A36" s="55"/>
      <c r="B36" s="211"/>
      <c r="C36" s="214"/>
      <c r="D36" s="69"/>
      <c r="E36" s="69"/>
      <c r="F36" s="69"/>
      <c r="G36" s="69"/>
      <c r="H36" s="69"/>
      <c r="I36" s="69"/>
      <c r="J36" s="69"/>
      <c r="K36" s="69"/>
      <c r="L36" s="69"/>
      <c r="M36" s="69"/>
      <c r="N36" s="69"/>
      <c r="O36" s="69"/>
      <c r="P36" s="69"/>
      <c r="Q36" s="69"/>
      <c r="R36" s="69"/>
      <c r="S36" s="68"/>
      <c r="T36" s="54"/>
    </row>
    <row r="37" spans="1:20" ht="22.8">
      <c r="A37" s="55"/>
      <c r="B37" s="211"/>
      <c r="C37" s="214"/>
      <c r="D37" s="69"/>
      <c r="E37" s="69"/>
      <c r="F37" s="69"/>
      <c r="G37" s="69"/>
      <c r="H37" s="69"/>
      <c r="I37" s="69"/>
      <c r="J37" s="69"/>
      <c r="K37" s="69"/>
      <c r="L37" s="69"/>
      <c r="M37" s="69"/>
      <c r="N37" s="69"/>
      <c r="O37" s="69"/>
      <c r="P37" s="69"/>
      <c r="Q37" s="69"/>
      <c r="R37" s="69"/>
      <c r="S37" s="68"/>
      <c r="T37" s="54"/>
    </row>
    <row r="38" spans="1:20" ht="22.8">
      <c r="A38" s="55"/>
      <c r="B38" s="211"/>
      <c r="C38" s="214"/>
      <c r="D38" s="69"/>
      <c r="E38" s="69"/>
      <c r="F38" s="69"/>
      <c r="G38" s="69"/>
      <c r="H38" s="69"/>
      <c r="I38" s="69"/>
      <c r="J38" s="69"/>
      <c r="K38" s="69"/>
      <c r="L38" s="69"/>
      <c r="M38" s="69"/>
      <c r="N38" s="69"/>
      <c r="O38" s="69"/>
      <c r="P38" s="69"/>
      <c r="Q38" s="69"/>
      <c r="R38" s="69"/>
      <c r="S38" s="68"/>
      <c r="T38" s="54"/>
    </row>
    <row r="39" spans="1:20" ht="22.8">
      <c r="A39" s="55"/>
      <c r="B39" s="211"/>
      <c r="C39" s="214"/>
      <c r="D39" s="69"/>
      <c r="E39" s="69"/>
      <c r="F39" s="69"/>
      <c r="G39" s="69"/>
      <c r="H39" s="327" t="s">
        <v>280</v>
      </c>
      <c r="I39" s="328"/>
      <c r="J39" s="69"/>
      <c r="K39" s="69"/>
      <c r="L39" s="69"/>
      <c r="M39" s="326" t="s">
        <v>281</v>
      </c>
      <c r="N39" s="326"/>
      <c r="O39" s="69"/>
      <c r="P39" s="69"/>
      <c r="Q39" s="69"/>
      <c r="R39" s="69"/>
      <c r="S39" s="68"/>
      <c r="T39" s="54"/>
    </row>
    <row r="40" spans="1:20" ht="23.25" customHeight="1">
      <c r="A40" s="55"/>
      <c r="B40" s="211"/>
      <c r="C40" s="214"/>
      <c r="D40" s="69"/>
      <c r="E40" s="69"/>
      <c r="F40" s="69"/>
      <c r="G40" s="69"/>
      <c r="H40" s="328"/>
      <c r="I40" s="328"/>
      <c r="J40" s="69"/>
      <c r="K40" s="229"/>
      <c r="L40" s="229"/>
      <c r="M40" s="326"/>
      <c r="N40" s="326"/>
      <c r="O40" s="69"/>
      <c r="P40" s="69"/>
      <c r="Q40" s="229"/>
      <c r="R40" s="229"/>
      <c r="S40" s="68"/>
      <c r="T40" s="54"/>
    </row>
    <row r="41" spans="1:20" ht="22.8">
      <c r="A41" s="55"/>
      <c r="B41" s="211"/>
      <c r="C41" s="214"/>
      <c r="D41" s="69"/>
      <c r="E41" s="69"/>
      <c r="F41" s="69"/>
      <c r="G41" s="69"/>
      <c r="H41" s="69"/>
      <c r="I41" s="69"/>
      <c r="J41" s="69"/>
      <c r="K41" s="230"/>
      <c r="L41" s="229"/>
      <c r="M41" s="229"/>
      <c r="N41" s="69"/>
      <c r="O41" s="69"/>
      <c r="P41" s="69"/>
      <c r="Q41" s="229"/>
      <c r="R41" s="229"/>
      <c r="S41" s="68"/>
      <c r="T41" s="54"/>
    </row>
    <row r="42" spans="1:20" ht="22.8">
      <c r="A42" s="55"/>
      <c r="B42" s="211"/>
      <c r="C42" s="214"/>
      <c r="D42" s="69"/>
      <c r="E42" s="69"/>
      <c r="F42" s="69"/>
      <c r="G42" s="69"/>
      <c r="H42" s="69"/>
      <c r="I42" s="69"/>
      <c r="J42" s="69"/>
      <c r="K42" s="69"/>
      <c r="L42" s="69"/>
      <c r="M42" s="69"/>
      <c r="N42" s="69"/>
      <c r="O42" s="69"/>
      <c r="P42" s="69"/>
      <c r="Q42" s="69"/>
      <c r="R42" s="69"/>
      <c r="S42" s="68"/>
      <c r="T42" s="54"/>
    </row>
    <row r="43" spans="1:20" ht="22.8">
      <c r="A43" s="55"/>
      <c r="B43" s="211"/>
      <c r="C43" s="214"/>
      <c r="D43" s="69"/>
      <c r="E43" s="69"/>
      <c r="F43" s="69"/>
      <c r="G43" s="69"/>
      <c r="H43" s="69"/>
      <c r="I43" s="69"/>
      <c r="J43" s="69"/>
      <c r="K43" s="69"/>
      <c r="L43" s="69"/>
      <c r="M43" s="69"/>
      <c r="N43" s="69"/>
      <c r="O43" s="69"/>
      <c r="P43" s="69"/>
      <c r="Q43" s="69"/>
      <c r="R43" s="69"/>
      <c r="S43" s="68"/>
      <c r="T43" s="54"/>
    </row>
    <row r="44" spans="1:20" ht="22.8">
      <c r="A44" s="55"/>
      <c r="B44" s="211"/>
      <c r="C44" s="216"/>
      <c r="D44" s="217"/>
      <c r="E44" s="217"/>
      <c r="F44" s="217"/>
      <c r="G44" s="217"/>
      <c r="H44" s="217"/>
      <c r="I44" s="217"/>
      <c r="J44" s="217"/>
      <c r="K44" s="217"/>
      <c r="L44" s="217"/>
      <c r="M44" s="217"/>
      <c r="N44" s="217"/>
      <c r="O44" s="217"/>
      <c r="P44" s="217"/>
      <c r="Q44" s="217"/>
      <c r="R44" s="218"/>
      <c r="S44" s="68"/>
      <c r="T44" s="54"/>
    </row>
    <row r="45" spans="1:20" ht="22.8">
      <c r="A45" s="55"/>
      <c r="B45" s="211"/>
      <c r="C45" s="219"/>
      <c r="D45" s="223" t="s">
        <v>279</v>
      </c>
      <c r="E45" s="220"/>
      <c r="F45" s="220"/>
      <c r="G45" s="220"/>
      <c r="H45" s="220"/>
      <c r="I45" s="220"/>
      <c r="J45" s="220"/>
      <c r="K45" s="220"/>
      <c r="L45" s="220"/>
      <c r="M45" s="220"/>
      <c r="N45" s="220"/>
      <c r="O45" s="220"/>
      <c r="P45" s="220"/>
      <c r="Q45" s="220"/>
      <c r="R45" s="221"/>
      <c r="S45" s="68"/>
      <c r="T45" s="54"/>
    </row>
    <row r="46" spans="1:20" ht="22.8">
      <c r="A46" s="55"/>
      <c r="B46" s="211"/>
      <c r="C46" s="219"/>
      <c r="D46" s="220"/>
      <c r="E46" s="220"/>
      <c r="F46" s="220"/>
      <c r="G46" s="220"/>
      <c r="H46" s="220"/>
      <c r="I46" s="220"/>
      <c r="J46" s="220"/>
      <c r="K46" s="220"/>
      <c r="L46" s="220"/>
      <c r="M46" s="220"/>
      <c r="N46" s="220"/>
      <c r="O46" s="220"/>
      <c r="P46" s="220"/>
      <c r="Q46" s="220"/>
      <c r="R46" s="221"/>
      <c r="S46" s="68"/>
      <c r="T46" s="54"/>
    </row>
    <row r="47" spans="1:20" ht="22.8">
      <c r="A47" s="55"/>
      <c r="B47" s="70"/>
      <c r="C47" s="222"/>
      <c r="D47" s="220"/>
      <c r="E47" s="220"/>
      <c r="F47" s="220"/>
      <c r="G47" s="220"/>
      <c r="H47" s="220"/>
      <c r="I47" s="220"/>
      <c r="J47" s="220"/>
      <c r="K47" s="220"/>
      <c r="L47" s="220"/>
      <c r="M47" s="220"/>
      <c r="N47" s="220"/>
      <c r="O47" s="220"/>
      <c r="P47" s="220"/>
      <c r="Q47" s="220"/>
      <c r="R47" s="221"/>
      <c r="S47" s="68"/>
      <c r="T47" s="54"/>
    </row>
    <row r="48" spans="1:20" ht="22.8">
      <c r="A48" s="55"/>
      <c r="B48" s="70"/>
      <c r="C48" s="222"/>
      <c r="D48" s="220"/>
      <c r="E48" s="220"/>
      <c r="F48" s="220"/>
      <c r="G48" s="220"/>
      <c r="H48" s="220"/>
      <c r="I48" s="220"/>
      <c r="J48" s="220"/>
      <c r="K48" s="220"/>
      <c r="L48" s="220"/>
      <c r="M48" s="220"/>
      <c r="N48" s="220"/>
      <c r="O48" s="220"/>
      <c r="P48" s="220"/>
      <c r="Q48" s="220"/>
      <c r="R48" s="221"/>
      <c r="S48" s="68"/>
      <c r="T48" s="54"/>
    </row>
    <row r="49" spans="1:20" ht="22.8">
      <c r="A49" s="55"/>
      <c r="B49" s="70"/>
      <c r="C49" s="222"/>
      <c r="D49" s="220"/>
      <c r="E49" s="220"/>
      <c r="F49" s="220"/>
      <c r="G49" s="220"/>
      <c r="H49" s="220"/>
      <c r="I49" s="220"/>
      <c r="J49" s="220"/>
      <c r="K49" s="220"/>
      <c r="L49" s="220"/>
      <c r="M49" s="220"/>
      <c r="N49" s="220"/>
      <c r="O49" s="220"/>
      <c r="P49" s="220"/>
      <c r="Q49" s="220"/>
      <c r="R49" s="221"/>
      <c r="S49" s="68"/>
      <c r="T49" s="54"/>
    </row>
    <row r="50" spans="1:20" ht="22.8">
      <c r="A50" s="55"/>
      <c r="B50" s="70"/>
      <c r="C50" s="222"/>
      <c r="D50" s="220"/>
      <c r="E50" s="220"/>
      <c r="F50" s="220"/>
      <c r="G50" s="220"/>
      <c r="H50" s="220"/>
      <c r="I50" s="220"/>
      <c r="J50" s="220"/>
      <c r="K50" s="220"/>
      <c r="L50" s="220"/>
      <c r="M50" s="220"/>
      <c r="N50" s="220"/>
      <c r="O50" s="220"/>
      <c r="P50" s="220"/>
      <c r="Q50" s="220"/>
      <c r="R50" s="221"/>
      <c r="S50" s="68"/>
      <c r="T50" s="54"/>
    </row>
    <row r="51" spans="1:20" ht="22.8">
      <c r="A51" s="55"/>
      <c r="B51" s="70"/>
      <c r="C51" s="222"/>
      <c r="D51" s="220"/>
      <c r="E51" s="220"/>
      <c r="F51" s="220"/>
      <c r="G51" s="220"/>
      <c r="H51" s="220"/>
      <c r="I51" s="220"/>
      <c r="J51" s="220"/>
      <c r="K51" s="220"/>
      <c r="L51" s="220"/>
      <c r="M51" s="220"/>
      <c r="N51" s="220"/>
      <c r="O51" s="220"/>
      <c r="P51" s="220"/>
      <c r="Q51" s="220"/>
      <c r="R51" s="221"/>
      <c r="S51" s="68"/>
      <c r="T51" s="54"/>
    </row>
    <row r="52" spans="1:20" ht="22.8">
      <c r="A52" s="55"/>
      <c r="B52" s="70"/>
      <c r="C52" s="222"/>
      <c r="D52" s="220"/>
      <c r="E52" s="220"/>
      <c r="F52" s="220"/>
      <c r="G52" s="220"/>
      <c r="H52" s="220"/>
      <c r="I52" s="220"/>
      <c r="J52" s="220"/>
      <c r="K52" s="220"/>
      <c r="L52" s="220"/>
      <c r="M52" s="220"/>
      <c r="N52" s="220"/>
      <c r="O52" s="220"/>
      <c r="P52" s="220"/>
      <c r="Q52" s="220"/>
      <c r="R52" s="221"/>
      <c r="S52" s="68"/>
      <c r="T52" s="54"/>
    </row>
    <row r="53" spans="1:20" ht="22.8">
      <c r="A53" s="55"/>
      <c r="B53" s="70"/>
      <c r="C53" s="222"/>
      <c r="D53" s="220"/>
      <c r="E53" s="220"/>
      <c r="F53" s="220"/>
      <c r="G53" s="220"/>
      <c r="H53" s="220"/>
      <c r="I53" s="220"/>
      <c r="J53" s="220"/>
      <c r="K53" s="220"/>
      <c r="L53" s="220"/>
      <c r="M53" s="220"/>
      <c r="N53" s="220"/>
      <c r="O53" s="220"/>
      <c r="P53" s="220"/>
      <c r="Q53" s="220"/>
      <c r="R53" s="221"/>
      <c r="S53" s="68"/>
      <c r="T53" s="54"/>
    </row>
    <row r="54" spans="1:20" ht="22.8">
      <c r="A54" s="55"/>
      <c r="B54" s="70"/>
      <c r="C54" s="222"/>
      <c r="D54" s="220"/>
      <c r="E54" s="220"/>
      <c r="F54" s="220"/>
      <c r="G54" s="220"/>
      <c r="H54" s="220"/>
      <c r="I54" s="220"/>
      <c r="J54" s="220"/>
      <c r="K54" s="220"/>
      <c r="L54" s="220"/>
      <c r="M54" s="220"/>
      <c r="N54" s="220"/>
      <c r="O54" s="220"/>
      <c r="P54" s="220"/>
      <c r="Q54" s="220"/>
      <c r="R54" s="221"/>
      <c r="S54" s="68"/>
      <c r="T54" s="54"/>
    </row>
    <row r="55" spans="1:20" ht="22.8">
      <c r="A55" s="55"/>
      <c r="B55" s="70"/>
      <c r="C55" s="222"/>
      <c r="D55" s="220"/>
      <c r="E55" s="220"/>
      <c r="F55" s="220"/>
      <c r="G55" s="220"/>
      <c r="H55" s="220"/>
      <c r="I55" s="220"/>
      <c r="J55" s="220"/>
      <c r="K55" s="220"/>
      <c r="L55" s="220"/>
      <c r="M55" s="220"/>
      <c r="N55" s="220"/>
      <c r="O55" s="220"/>
      <c r="P55" s="220"/>
      <c r="Q55" s="220"/>
      <c r="R55" s="221"/>
      <c r="S55" s="68"/>
      <c r="T55" s="54"/>
    </row>
    <row r="56" spans="1:20" ht="22.8">
      <c r="A56" s="55"/>
      <c r="B56" s="70"/>
      <c r="C56" s="222"/>
      <c r="D56" s="220"/>
      <c r="E56" s="220"/>
      <c r="F56" s="220"/>
      <c r="G56" s="220"/>
      <c r="H56" s="220"/>
      <c r="I56" s="220"/>
      <c r="J56" s="220"/>
      <c r="K56" s="220"/>
      <c r="L56" s="220"/>
      <c r="M56" s="220"/>
      <c r="N56" s="220"/>
      <c r="O56" s="220"/>
      <c r="P56" s="220"/>
      <c r="Q56" s="220"/>
      <c r="R56" s="221"/>
      <c r="S56" s="68"/>
      <c r="T56" s="54"/>
    </row>
    <row r="57" spans="1:20" ht="22.8">
      <c r="A57" s="55"/>
      <c r="B57" s="70"/>
      <c r="C57" s="222"/>
      <c r="D57" s="220" t="s">
        <v>277</v>
      </c>
      <c r="E57" s="220"/>
      <c r="F57" s="220"/>
      <c r="G57" s="220"/>
      <c r="H57" s="220"/>
      <c r="I57" s="220"/>
      <c r="J57" s="223" t="s">
        <v>278</v>
      </c>
      <c r="K57" s="220"/>
      <c r="L57" s="224" t="s">
        <v>278</v>
      </c>
      <c r="M57" s="220"/>
      <c r="N57" s="220"/>
      <c r="O57" s="220"/>
      <c r="P57" s="220"/>
      <c r="Q57" s="224" t="s">
        <v>277</v>
      </c>
      <c r="R57" s="225"/>
      <c r="S57" s="68"/>
      <c r="T57" s="54"/>
    </row>
    <row r="58" spans="1:20" ht="22.8">
      <c r="A58" s="55"/>
      <c r="B58" s="70"/>
      <c r="C58" s="222"/>
      <c r="D58" s="220"/>
      <c r="E58" s="220"/>
      <c r="F58" s="220"/>
      <c r="G58" s="220"/>
      <c r="H58" s="220"/>
      <c r="I58" s="220"/>
      <c r="J58" s="220"/>
      <c r="K58" s="220"/>
      <c r="L58" s="220"/>
      <c r="M58" s="220"/>
      <c r="N58" s="220"/>
      <c r="O58" s="220"/>
      <c r="P58" s="220"/>
      <c r="Q58" s="220"/>
      <c r="R58" s="221"/>
      <c r="S58" s="68"/>
      <c r="T58" s="54"/>
    </row>
    <row r="59" spans="1:20" ht="22.8">
      <c r="A59" s="55"/>
      <c r="B59" s="70"/>
      <c r="C59" s="222"/>
      <c r="D59" s="220"/>
      <c r="E59" s="220"/>
      <c r="F59" s="220"/>
      <c r="G59" s="220"/>
      <c r="H59" s="220"/>
      <c r="I59" s="220"/>
      <c r="J59" s="220"/>
      <c r="K59" s="220"/>
      <c r="L59" s="220"/>
      <c r="M59" s="220"/>
      <c r="N59" s="220"/>
      <c r="O59" s="220"/>
      <c r="P59" s="220"/>
      <c r="Q59" s="220"/>
      <c r="R59" s="221"/>
      <c r="S59" s="68"/>
      <c r="T59" s="54"/>
    </row>
    <row r="60" spans="1:20" ht="22.8">
      <c r="A60" s="55"/>
      <c r="B60" s="70"/>
      <c r="C60" s="222"/>
      <c r="D60" s="220"/>
      <c r="E60" s="220"/>
      <c r="F60" s="220"/>
      <c r="G60" s="220"/>
      <c r="H60" s="220"/>
      <c r="I60" s="220"/>
      <c r="J60" s="220"/>
      <c r="K60" s="220"/>
      <c r="L60" s="220"/>
      <c r="M60" s="220"/>
      <c r="N60" s="220"/>
      <c r="O60" s="220"/>
      <c r="P60" s="220"/>
      <c r="Q60" s="220"/>
      <c r="R60" s="221"/>
      <c r="S60" s="68"/>
      <c r="T60" s="54"/>
    </row>
    <row r="61" spans="1:20" ht="22.8">
      <c r="A61" s="55"/>
      <c r="B61" s="70"/>
      <c r="C61" s="222"/>
      <c r="D61" s="220"/>
      <c r="E61" s="220"/>
      <c r="F61" s="220"/>
      <c r="G61" s="220"/>
      <c r="H61" s="220"/>
      <c r="I61" s="220"/>
      <c r="J61" s="220"/>
      <c r="K61" s="220"/>
      <c r="L61" s="220"/>
      <c r="M61" s="220"/>
      <c r="N61" s="220"/>
      <c r="O61" s="220"/>
      <c r="P61" s="220"/>
      <c r="Q61" s="220"/>
      <c r="R61" s="221"/>
      <c r="S61" s="68"/>
      <c r="T61" s="54"/>
    </row>
    <row r="62" spans="1:20" ht="22.8">
      <c r="A62" s="55"/>
      <c r="B62" s="70"/>
      <c r="C62" s="222"/>
      <c r="D62" s="220"/>
      <c r="E62" s="220"/>
      <c r="F62" s="220"/>
      <c r="G62" s="220"/>
      <c r="H62" s="220"/>
      <c r="I62" s="220"/>
      <c r="J62" s="220"/>
      <c r="K62" s="220"/>
      <c r="L62" s="220"/>
      <c r="M62" s="220"/>
      <c r="N62" s="220"/>
      <c r="O62" s="220"/>
      <c r="P62" s="220"/>
      <c r="Q62" s="220"/>
      <c r="R62" s="221"/>
      <c r="S62" s="68"/>
      <c r="T62" s="54"/>
    </row>
    <row r="63" spans="1:20" ht="22.8">
      <c r="A63" s="55"/>
      <c r="B63" s="70"/>
      <c r="C63" s="222"/>
      <c r="D63" s="220"/>
      <c r="E63" s="220"/>
      <c r="F63" s="220"/>
      <c r="G63" s="220"/>
      <c r="H63" s="220"/>
      <c r="I63" s="220"/>
      <c r="J63" s="220"/>
      <c r="K63" s="220"/>
      <c r="L63" s="220"/>
      <c r="M63" s="220"/>
      <c r="N63" s="220"/>
      <c r="O63" s="220"/>
      <c r="P63" s="220"/>
      <c r="Q63" s="220"/>
      <c r="R63" s="221"/>
      <c r="S63" s="68"/>
      <c r="T63" s="54"/>
    </row>
    <row r="64" spans="1:20" ht="22.8">
      <c r="A64" s="55"/>
      <c r="B64" s="70"/>
      <c r="C64" s="222"/>
      <c r="D64" s="220"/>
      <c r="E64" s="220"/>
      <c r="F64" s="220"/>
      <c r="G64" s="220"/>
      <c r="H64" s="220"/>
      <c r="I64" s="220"/>
      <c r="J64" s="220"/>
      <c r="K64" s="220"/>
      <c r="L64" s="220"/>
      <c r="M64" s="220"/>
      <c r="N64" s="220"/>
      <c r="O64" s="220"/>
      <c r="P64" s="220"/>
      <c r="Q64" s="220"/>
      <c r="R64" s="221"/>
      <c r="S64" s="68"/>
      <c r="T64" s="54"/>
    </row>
    <row r="65" spans="1:20" ht="22.8">
      <c r="A65" s="55"/>
      <c r="B65" s="70"/>
      <c r="C65" s="222"/>
      <c r="D65" s="220"/>
      <c r="E65" s="220"/>
      <c r="F65" s="220"/>
      <c r="G65" s="220"/>
      <c r="H65" s="220"/>
      <c r="I65" s="220"/>
      <c r="J65" s="220"/>
      <c r="K65" s="220"/>
      <c r="L65" s="220"/>
      <c r="M65" s="220"/>
      <c r="N65" s="220"/>
      <c r="O65" s="220"/>
      <c r="P65" s="220"/>
      <c r="Q65" s="220"/>
      <c r="R65" s="221"/>
      <c r="S65" s="68"/>
      <c r="T65" s="54"/>
    </row>
    <row r="66" spans="1:20" ht="22.8">
      <c r="A66" s="55"/>
      <c r="B66" s="70"/>
      <c r="C66" s="222"/>
      <c r="D66" s="220"/>
      <c r="E66" s="220"/>
      <c r="F66" s="220"/>
      <c r="G66" s="220"/>
      <c r="H66" s="220"/>
      <c r="I66" s="220"/>
      <c r="J66" s="220"/>
      <c r="K66" s="220"/>
      <c r="L66" s="220"/>
      <c r="M66" s="220"/>
      <c r="N66" s="220"/>
      <c r="O66" s="220"/>
      <c r="P66" s="220"/>
      <c r="Q66" s="220"/>
      <c r="R66" s="221"/>
      <c r="S66" s="68"/>
      <c r="T66" s="54"/>
    </row>
    <row r="67" spans="1:20" ht="22.8">
      <c r="A67" s="55"/>
      <c r="B67" s="70"/>
      <c r="C67" s="222"/>
      <c r="D67" s="220"/>
      <c r="E67" s="220"/>
      <c r="F67" s="220"/>
      <c r="G67" s="220"/>
      <c r="H67" s="220"/>
      <c r="I67" s="220"/>
      <c r="J67" s="220"/>
      <c r="K67" s="220"/>
      <c r="L67" s="220"/>
      <c r="M67" s="220"/>
      <c r="N67" s="220"/>
      <c r="O67" s="220"/>
      <c r="P67" s="220"/>
      <c r="Q67" s="220"/>
      <c r="R67" s="221"/>
      <c r="S67" s="68"/>
      <c r="T67" s="54"/>
    </row>
    <row r="68" spans="1:20" ht="22.8">
      <c r="A68" s="55"/>
      <c r="B68" s="70"/>
      <c r="C68" s="222"/>
      <c r="D68" s="220"/>
      <c r="E68" s="220"/>
      <c r="F68" s="220"/>
      <c r="G68" s="220"/>
      <c r="H68" s="220"/>
      <c r="I68" s="220"/>
      <c r="J68" s="220"/>
      <c r="K68" s="220"/>
      <c r="L68" s="220"/>
      <c r="M68" s="220"/>
      <c r="N68" s="220"/>
      <c r="O68" s="220"/>
      <c r="P68" s="220"/>
      <c r="Q68" s="220"/>
      <c r="R68" s="221"/>
      <c r="S68" s="68"/>
      <c r="T68" s="54"/>
    </row>
    <row r="69" spans="1:20" ht="22.8">
      <c r="A69" s="55"/>
      <c r="B69" s="70"/>
      <c r="C69" s="222"/>
      <c r="D69" s="220"/>
      <c r="E69" s="220"/>
      <c r="F69" s="220"/>
      <c r="G69" s="220"/>
      <c r="H69" s="220"/>
      <c r="I69" s="220"/>
      <c r="J69" s="220"/>
      <c r="K69" s="220"/>
      <c r="L69" s="220"/>
      <c r="M69" s="220"/>
      <c r="N69" s="220"/>
      <c r="O69" s="220"/>
      <c r="P69" s="220"/>
      <c r="Q69" s="220"/>
      <c r="R69" s="221"/>
      <c r="S69" s="68"/>
      <c r="T69" s="54"/>
    </row>
    <row r="70" spans="1:20" ht="22.8">
      <c r="A70" s="55"/>
      <c r="B70" s="70"/>
      <c r="C70" s="222"/>
      <c r="D70" s="220"/>
      <c r="E70" s="220"/>
      <c r="F70" s="220"/>
      <c r="G70" s="220"/>
      <c r="H70" s="220"/>
      <c r="I70" s="220"/>
      <c r="J70" s="220"/>
      <c r="K70" s="220"/>
      <c r="L70" s="220"/>
      <c r="M70" s="220"/>
      <c r="N70" s="220"/>
      <c r="O70" s="220"/>
      <c r="P70" s="220"/>
      <c r="Q70" s="220"/>
      <c r="R70" s="221"/>
      <c r="S70" s="68"/>
      <c r="T70" s="54"/>
    </row>
    <row r="71" spans="1:20" ht="22.8">
      <c r="A71" s="55"/>
      <c r="B71" s="70"/>
      <c r="C71" s="222"/>
      <c r="D71" s="220"/>
      <c r="E71" s="220"/>
      <c r="F71" s="220"/>
      <c r="G71" s="220"/>
      <c r="H71" s="220"/>
      <c r="I71" s="220"/>
      <c r="J71" s="220"/>
      <c r="K71" s="220"/>
      <c r="L71" s="220"/>
      <c r="M71" s="220"/>
      <c r="N71" s="220"/>
      <c r="O71" s="220"/>
      <c r="P71" s="220"/>
      <c r="Q71" s="220"/>
      <c r="R71" s="221"/>
      <c r="S71" s="68"/>
      <c r="T71" s="54"/>
    </row>
    <row r="72" spans="1:20" ht="22.8">
      <c r="A72" s="55"/>
      <c r="B72" s="70"/>
      <c r="C72" s="222"/>
      <c r="D72" s="220"/>
      <c r="E72" s="220"/>
      <c r="F72" s="220"/>
      <c r="G72" s="220"/>
      <c r="H72" s="220"/>
      <c r="I72" s="220"/>
      <c r="J72" s="220"/>
      <c r="K72" s="220"/>
      <c r="L72" s="220"/>
      <c r="M72" s="220"/>
      <c r="N72" s="220"/>
      <c r="O72" s="220"/>
      <c r="P72" s="220"/>
      <c r="Q72" s="220"/>
      <c r="R72" s="221"/>
      <c r="S72" s="68"/>
      <c r="T72" s="54"/>
    </row>
    <row r="73" spans="1:20" ht="22.8">
      <c r="A73" s="55"/>
      <c r="B73" s="70"/>
      <c r="C73" s="222"/>
      <c r="D73" s="220"/>
      <c r="E73" s="220"/>
      <c r="F73" s="220"/>
      <c r="G73" s="220"/>
      <c r="H73" s="220"/>
      <c r="I73" s="220"/>
      <c r="J73" s="220"/>
      <c r="K73" s="220"/>
      <c r="L73" s="220"/>
      <c r="M73" s="220"/>
      <c r="N73" s="220"/>
      <c r="O73" s="220"/>
      <c r="P73" s="220"/>
      <c r="Q73" s="220"/>
      <c r="R73" s="221"/>
      <c r="S73" s="68"/>
      <c r="T73" s="54"/>
    </row>
    <row r="74" spans="1:20" ht="22.8">
      <c r="A74" s="55"/>
      <c r="B74" s="70"/>
      <c r="C74" s="222"/>
      <c r="D74" s="220"/>
      <c r="E74" s="220"/>
      <c r="F74" s="220"/>
      <c r="G74" s="220"/>
      <c r="H74" s="220"/>
      <c r="I74" s="220"/>
      <c r="J74" s="220"/>
      <c r="K74" s="220"/>
      <c r="L74" s="220"/>
      <c r="M74" s="220"/>
      <c r="N74" s="220"/>
      <c r="O74" s="220"/>
      <c r="P74" s="220"/>
      <c r="Q74" s="220"/>
      <c r="R74" s="221"/>
      <c r="S74" s="68"/>
      <c r="T74" s="54"/>
    </row>
    <row r="75" spans="1:20" ht="22.8">
      <c r="A75" s="55"/>
      <c r="B75" s="70"/>
      <c r="C75" s="222"/>
      <c r="D75" s="220"/>
      <c r="E75" s="220"/>
      <c r="F75" s="220"/>
      <c r="G75" s="220"/>
      <c r="H75" s="220"/>
      <c r="I75" s="220"/>
      <c r="J75" s="220"/>
      <c r="K75" s="220"/>
      <c r="L75" s="220"/>
      <c r="M75" s="220"/>
      <c r="N75" s="220"/>
      <c r="O75" s="220"/>
      <c r="P75" s="220"/>
      <c r="Q75" s="220"/>
      <c r="R75" s="221"/>
      <c r="S75" s="68"/>
      <c r="T75" s="54"/>
    </row>
    <row r="76" spans="1:20" ht="22.8">
      <c r="A76" s="55"/>
      <c r="B76" s="70"/>
      <c r="C76" s="222"/>
      <c r="D76" s="220"/>
      <c r="E76" s="220"/>
      <c r="F76" s="220"/>
      <c r="G76" s="220"/>
      <c r="H76" s="220"/>
      <c r="I76" s="220"/>
      <c r="J76" s="220"/>
      <c r="K76" s="220"/>
      <c r="L76" s="220"/>
      <c r="M76" s="220"/>
      <c r="N76" s="220"/>
      <c r="O76" s="220"/>
      <c r="P76" s="220"/>
      <c r="Q76" s="220"/>
      <c r="R76" s="221"/>
      <c r="S76" s="68"/>
      <c r="T76" s="54"/>
    </row>
    <row r="77" spans="1:20" ht="22.8">
      <c r="A77" s="55"/>
      <c r="B77" s="70"/>
      <c r="C77" s="222"/>
      <c r="D77" s="220"/>
      <c r="E77" s="220"/>
      <c r="F77" s="220"/>
      <c r="G77" s="220"/>
      <c r="H77" s="220"/>
      <c r="I77" s="220"/>
      <c r="J77" s="220"/>
      <c r="K77" s="220"/>
      <c r="L77" s="220"/>
      <c r="M77" s="220"/>
      <c r="N77" s="220"/>
      <c r="O77" s="220"/>
      <c r="P77" s="220"/>
      <c r="Q77" s="220"/>
      <c r="R77" s="221"/>
      <c r="S77" s="68"/>
      <c r="T77" s="54"/>
    </row>
    <row r="78" spans="1:20" ht="22.8">
      <c r="A78" s="55"/>
      <c r="B78" s="70"/>
      <c r="C78" s="222"/>
      <c r="D78" s="220"/>
      <c r="E78" s="220"/>
      <c r="F78" s="220"/>
      <c r="G78" s="220"/>
      <c r="H78" s="220"/>
      <c r="I78" s="220"/>
      <c r="J78" s="220"/>
      <c r="K78" s="220"/>
      <c r="L78" s="220"/>
      <c r="M78" s="220"/>
      <c r="N78" s="220"/>
      <c r="O78" s="220"/>
      <c r="P78" s="220"/>
      <c r="Q78" s="220"/>
      <c r="R78" s="221"/>
      <c r="S78" s="68"/>
      <c r="T78" s="54"/>
    </row>
    <row r="79" spans="1:20" ht="22.8">
      <c r="A79" s="55"/>
      <c r="B79" s="70"/>
      <c r="C79" s="222"/>
      <c r="D79" s="220"/>
      <c r="E79" s="220"/>
      <c r="F79" s="220"/>
      <c r="G79" s="220"/>
      <c r="H79" s="220"/>
      <c r="I79" s="220"/>
      <c r="J79" s="220"/>
      <c r="K79" s="220"/>
      <c r="L79" s="220"/>
      <c r="M79" s="220"/>
      <c r="N79" s="220"/>
      <c r="O79" s="220"/>
      <c r="P79" s="220"/>
      <c r="Q79" s="220"/>
      <c r="R79" s="221"/>
      <c r="S79" s="68"/>
      <c r="T79" s="54"/>
    </row>
    <row r="80" spans="1:20" ht="22.8">
      <c r="A80" s="55"/>
      <c r="B80" s="70"/>
      <c r="C80" s="222"/>
      <c r="D80" s="220"/>
      <c r="E80" s="220"/>
      <c r="F80" s="220"/>
      <c r="G80" s="220"/>
      <c r="H80" s="220"/>
      <c r="I80" s="220"/>
      <c r="J80" s="220"/>
      <c r="K80" s="220"/>
      <c r="L80" s="220"/>
      <c r="M80" s="220"/>
      <c r="N80" s="220"/>
      <c r="O80" s="220"/>
      <c r="P80" s="220"/>
      <c r="Q80" s="220"/>
      <c r="R80" s="221"/>
      <c r="S80" s="68"/>
      <c r="T80" s="54"/>
    </row>
    <row r="81" spans="1:20" ht="22.8">
      <c r="A81" s="55"/>
      <c r="B81" s="70"/>
      <c r="C81" s="222"/>
      <c r="D81" s="220"/>
      <c r="E81" s="220"/>
      <c r="F81" s="220"/>
      <c r="G81" s="220"/>
      <c r="H81" s="220"/>
      <c r="I81" s="220"/>
      <c r="J81" s="220"/>
      <c r="K81" s="220"/>
      <c r="L81" s="220"/>
      <c r="M81" s="220"/>
      <c r="N81" s="220"/>
      <c r="O81" s="220"/>
      <c r="P81" s="220"/>
      <c r="Q81" s="220"/>
      <c r="R81" s="221"/>
      <c r="S81" s="68"/>
      <c r="T81" s="54"/>
    </row>
    <row r="82" spans="1:20" ht="22.8">
      <c r="A82" s="55"/>
      <c r="B82" s="70"/>
      <c r="C82" s="222"/>
      <c r="D82" s="220"/>
      <c r="E82" s="220"/>
      <c r="F82" s="220"/>
      <c r="G82" s="220"/>
      <c r="H82" s="220"/>
      <c r="I82" s="220"/>
      <c r="J82" s="220"/>
      <c r="K82" s="220"/>
      <c r="L82" s="220"/>
      <c r="M82" s="220"/>
      <c r="N82" s="220"/>
      <c r="O82" s="220"/>
      <c r="P82" s="220"/>
      <c r="Q82" s="220"/>
      <c r="R82" s="221"/>
      <c r="S82" s="68"/>
      <c r="T82" s="54"/>
    </row>
    <row r="83" spans="1:20" ht="22.8">
      <c r="A83" s="55"/>
      <c r="B83" s="70"/>
      <c r="C83" s="222"/>
      <c r="D83" s="220"/>
      <c r="E83" s="220"/>
      <c r="F83" s="220"/>
      <c r="G83" s="220"/>
      <c r="H83" s="220"/>
      <c r="I83" s="220"/>
      <c r="J83" s="220"/>
      <c r="K83" s="220"/>
      <c r="L83" s="220"/>
      <c r="M83" s="220"/>
      <c r="N83" s="220"/>
      <c r="O83" s="220"/>
      <c r="P83" s="220"/>
      <c r="Q83" s="220"/>
      <c r="R83" s="221"/>
      <c r="S83" s="68"/>
      <c r="T83" s="54"/>
    </row>
    <row r="84" spans="1:20" ht="22.8">
      <c r="A84" s="55"/>
      <c r="B84" s="70"/>
      <c r="C84" s="222"/>
      <c r="D84" s="220"/>
      <c r="E84" s="220"/>
      <c r="F84" s="220"/>
      <c r="G84" s="220"/>
      <c r="H84" s="220"/>
      <c r="I84" s="220"/>
      <c r="J84" s="220"/>
      <c r="K84" s="220"/>
      <c r="L84" s="220"/>
      <c r="M84" s="220"/>
      <c r="N84" s="220"/>
      <c r="O84" s="220"/>
      <c r="P84" s="220"/>
      <c r="Q84" s="220"/>
      <c r="R84" s="221"/>
      <c r="S84" s="68"/>
      <c r="T84" s="54"/>
    </row>
    <row r="85" spans="1:20" ht="22.8">
      <c r="A85" s="55"/>
      <c r="B85" s="70"/>
      <c r="C85" s="222"/>
      <c r="D85" s="220"/>
      <c r="E85" s="220"/>
      <c r="F85" s="220"/>
      <c r="G85" s="220"/>
      <c r="H85" s="220"/>
      <c r="I85" s="220"/>
      <c r="J85" s="220"/>
      <c r="K85" s="220"/>
      <c r="L85" s="220"/>
      <c r="M85" s="220"/>
      <c r="N85" s="220"/>
      <c r="O85" s="220"/>
      <c r="P85" s="220"/>
      <c r="Q85" s="220"/>
      <c r="R85" s="221"/>
      <c r="S85" s="68"/>
      <c r="T85" s="54"/>
    </row>
    <row r="86" spans="1:20" ht="22.8">
      <c r="A86" s="55"/>
      <c r="B86" s="70"/>
      <c r="C86" s="222"/>
      <c r="D86" s="220"/>
      <c r="E86" s="220"/>
      <c r="F86" s="220"/>
      <c r="G86" s="220"/>
      <c r="H86" s="220"/>
      <c r="I86" s="220"/>
      <c r="J86" s="220"/>
      <c r="K86" s="220"/>
      <c r="L86" s="220"/>
      <c r="M86" s="220"/>
      <c r="N86" s="220"/>
      <c r="O86" s="220"/>
      <c r="P86" s="220"/>
      <c r="Q86" s="220"/>
      <c r="R86" s="221"/>
      <c r="S86" s="68"/>
      <c r="T86" s="54"/>
    </row>
    <row r="87" spans="1:20" ht="22.8">
      <c r="A87" s="55"/>
      <c r="B87" s="70"/>
      <c r="C87" s="222"/>
      <c r="D87" s="220"/>
      <c r="E87" s="220"/>
      <c r="F87" s="220"/>
      <c r="G87" s="220"/>
      <c r="H87" s="220"/>
      <c r="I87" s="220"/>
      <c r="J87" s="220"/>
      <c r="K87" s="220"/>
      <c r="L87" s="220"/>
      <c r="M87" s="220"/>
      <c r="N87" s="220"/>
      <c r="O87" s="220"/>
      <c r="P87" s="220"/>
      <c r="Q87" s="220"/>
      <c r="R87" s="221"/>
      <c r="S87" s="68"/>
      <c r="T87" s="54"/>
    </row>
    <row r="88" spans="1:20" ht="22.8">
      <c r="A88" s="55"/>
      <c r="B88" s="70"/>
      <c r="C88" s="222"/>
      <c r="D88" s="220"/>
      <c r="E88" s="220"/>
      <c r="F88" s="220"/>
      <c r="G88" s="220"/>
      <c r="H88" s="220"/>
      <c r="I88" s="220"/>
      <c r="J88" s="220"/>
      <c r="K88" s="220"/>
      <c r="L88" s="220"/>
      <c r="M88" s="220"/>
      <c r="N88" s="220"/>
      <c r="O88" s="220"/>
      <c r="P88" s="220"/>
      <c r="Q88" s="220"/>
      <c r="R88" s="221"/>
      <c r="S88" s="68"/>
      <c r="T88" s="54"/>
    </row>
    <row r="89" spans="1:20" ht="22.8">
      <c r="A89" s="55"/>
      <c r="B89" s="70"/>
      <c r="C89" s="222"/>
      <c r="D89" s="220"/>
      <c r="E89" s="220"/>
      <c r="F89" s="220"/>
      <c r="G89" s="220"/>
      <c r="H89" s="220"/>
      <c r="I89" s="220"/>
      <c r="J89" s="220"/>
      <c r="K89" s="220"/>
      <c r="L89" s="220"/>
      <c r="M89" s="220"/>
      <c r="N89" s="220"/>
      <c r="O89" s="220"/>
      <c r="P89" s="220"/>
      <c r="Q89" s="220"/>
      <c r="R89" s="221"/>
      <c r="S89" s="68"/>
      <c r="T89" s="54"/>
    </row>
    <row r="90" spans="1:20" ht="22.8">
      <c r="A90" s="55"/>
      <c r="B90" s="70"/>
      <c r="C90" s="222"/>
      <c r="D90" s="220"/>
      <c r="E90" s="220"/>
      <c r="F90" s="220"/>
      <c r="G90" s="220"/>
      <c r="H90" s="220"/>
      <c r="I90" s="220"/>
      <c r="J90" s="220"/>
      <c r="K90" s="220"/>
      <c r="L90" s="220"/>
      <c r="M90" s="220"/>
      <c r="N90" s="220"/>
      <c r="O90" s="220"/>
      <c r="P90" s="220"/>
      <c r="Q90" s="220"/>
      <c r="R90" s="221"/>
      <c r="S90" s="68"/>
      <c r="T90" s="54"/>
    </row>
    <row r="91" spans="1:20" ht="22.8">
      <c r="A91" s="55"/>
      <c r="B91" s="70"/>
      <c r="C91" s="222"/>
      <c r="D91" s="220"/>
      <c r="E91" s="220"/>
      <c r="F91" s="220"/>
      <c r="G91" s="220"/>
      <c r="H91" s="220"/>
      <c r="I91" s="220"/>
      <c r="J91" s="220"/>
      <c r="K91" s="220"/>
      <c r="L91" s="220"/>
      <c r="M91" s="220"/>
      <c r="N91" s="220"/>
      <c r="O91" s="220"/>
      <c r="P91" s="220"/>
      <c r="Q91" s="220"/>
      <c r="R91" s="221"/>
      <c r="S91" s="68"/>
      <c r="T91" s="54"/>
    </row>
    <row r="92" spans="1:20" ht="22.8">
      <c r="A92" s="55"/>
      <c r="B92" s="70"/>
      <c r="C92" s="226"/>
      <c r="D92" s="227"/>
      <c r="E92" s="227"/>
      <c r="F92" s="227"/>
      <c r="G92" s="227"/>
      <c r="H92" s="227"/>
      <c r="I92" s="227"/>
      <c r="J92" s="227"/>
      <c r="K92" s="227"/>
      <c r="L92" s="227"/>
      <c r="M92" s="227"/>
      <c r="N92" s="227"/>
      <c r="O92" s="227"/>
      <c r="P92" s="227"/>
      <c r="Q92" s="227"/>
      <c r="R92" s="22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1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1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07" customWidth="1"/>
    <col min="2" max="2" width="1.6640625" style="107" customWidth="1"/>
    <col min="3" max="3" width="24.33203125" style="9" bestFit="1" customWidth="1"/>
    <col min="4" max="4" width="10" style="140" bestFit="1" customWidth="1"/>
    <col min="5" max="5" width="89.44140625" style="9" bestFit="1" customWidth="1"/>
    <col min="6" max="6" width="14.44140625" style="107" customWidth="1"/>
    <col min="7" max="7" width="37.33203125" style="107" bestFit="1" customWidth="1"/>
    <col min="8" max="8" width="22.44140625" style="107" customWidth="1"/>
    <col min="9" max="9" width="6.109375" style="107" bestFit="1" customWidth="1"/>
    <col min="10" max="10" width="24.5546875" style="107" bestFit="1" customWidth="1"/>
    <col min="11" max="16384" width="9.109375" style="107"/>
  </cols>
  <sheetData>
    <row r="1" spans="3:11" ht="15.6">
      <c r="C1" s="104" t="s">
        <v>65</v>
      </c>
      <c r="D1" s="105"/>
      <c r="E1" s="106" t="s">
        <v>66</v>
      </c>
    </row>
    <row r="2" spans="3:11" ht="15.6">
      <c r="C2" s="108"/>
      <c r="D2" s="109"/>
      <c r="E2" s="110"/>
    </row>
    <row r="3" spans="3:11" ht="15.6">
      <c r="C3" s="111"/>
      <c r="D3" s="112" t="s">
        <v>64</v>
      </c>
      <c r="E3" s="113"/>
      <c r="F3" s="114" t="s">
        <v>21</v>
      </c>
      <c r="G3" s="114" t="s">
        <v>31</v>
      </c>
      <c r="H3" s="114" t="s">
        <v>19</v>
      </c>
      <c r="I3" s="114" t="s">
        <v>20</v>
      </c>
      <c r="J3" s="115" t="s">
        <v>30</v>
      </c>
    </row>
    <row r="4" spans="3:11" ht="15.6">
      <c r="C4" s="116"/>
      <c r="D4" s="117"/>
      <c r="E4" s="116"/>
    </row>
    <row r="5" spans="3:11">
      <c r="C5" s="118" t="s">
        <v>98</v>
      </c>
      <c r="D5" s="118"/>
      <c r="E5" s="118" t="s">
        <v>99</v>
      </c>
      <c r="F5" s="118"/>
      <c r="G5" s="118"/>
      <c r="H5" s="118"/>
      <c r="I5" s="118"/>
      <c r="J5" s="118"/>
      <c r="K5" s="118"/>
    </row>
    <row r="6" spans="3:11" ht="15.6">
      <c r="C6" s="119"/>
      <c r="D6" s="119"/>
      <c r="E6" s="120" t="s">
        <v>115</v>
      </c>
    </row>
    <row r="7" spans="3:11">
      <c r="C7" s="232" t="s">
        <v>316</v>
      </c>
      <c r="D7" s="118" t="s">
        <v>78</v>
      </c>
      <c r="E7" s="118" t="str">
        <f>"Water: Non-households – under "&amp;Threshold&amp;"ML threshold"</f>
        <v>Water: Non-households – under 50ML threshold</v>
      </c>
      <c r="F7" s="107" t="s">
        <v>231</v>
      </c>
      <c r="G7" s="232" t="s">
        <v>315</v>
      </c>
      <c r="H7" s="118"/>
      <c r="J7" s="107" t="s">
        <v>363</v>
      </c>
    </row>
    <row r="8" spans="3:11">
      <c r="C8" s="232" t="s">
        <v>317</v>
      </c>
      <c r="D8" s="118" t="s">
        <v>78</v>
      </c>
      <c r="E8" s="118" t="str">
        <f>"Water: Non-households – over "&amp;Threshold&amp;"ML threshold"</f>
        <v>Water: Non-households – over 50ML threshold</v>
      </c>
      <c r="F8" s="107" t="s">
        <v>231</v>
      </c>
      <c r="G8" s="232" t="s">
        <v>315</v>
      </c>
      <c r="H8" s="118"/>
      <c r="J8" s="107" t="s">
        <v>363</v>
      </c>
    </row>
    <row r="9" spans="3:11">
      <c r="C9" s="232"/>
      <c r="D9" s="118"/>
      <c r="E9" s="118"/>
      <c r="I9" s="118"/>
    </row>
    <row r="10" spans="3:11">
      <c r="C10" s="232" t="s">
        <v>33</v>
      </c>
      <c r="D10" s="118" t="s">
        <v>78</v>
      </c>
      <c r="E10" s="121" t="s">
        <v>40</v>
      </c>
      <c r="F10" s="118" t="s">
        <v>33</v>
      </c>
      <c r="G10" s="118" t="s">
        <v>311</v>
      </c>
      <c r="H10" s="118" t="s">
        <v>1</v>
      </c>
      <c r="I10" s="107">
        <v>54</v>
      </c>
    </row>
    <row r="11" spans="3:11">
      <c r="C11" s="232" t="s">
        <v>27</v>
      </c>
      <c r="D11" s="122" t="s">
        <v>36</v>
      </c>
      <c r="E11" s="122" t="s">
        <v>39</v>
      </c>
      <c r="F11" s="118" t="s">
        <v>27</v>
      </c>
      <c r="G11" s="118" t="s">
        <v>311</v>
      </c>
      <c r="H11" s="118" t="s">
        <v>2</v>
      </c>
      <c r="I11" s="107">
        <v>30</v>
      </c>
    </row>
    <row r="12" spans="3:11">
      <c r="C12" s="232" t="s">
        <v>180</v>
      </c>
      <c r="D12" s="122" t="s">
        <v>36</v>
      </c>
      <c r="E12" s="122" t="s">
        <v>37</v>
      </c>
      <c r="F12" s="118" t="s">
        <v>0</v>
      </c>
      <c r="G12" s="118" t="s">
        <v>311</v>
      </c>
      <c r="H12" s="118" t="s">
        <v>2</v>
      </c>
      <c r="I12" s="107">
        <v>31</v>
      </c>
    </row>
    <row r="13" spans="3:11">
      <c r="C13" s="232" t="s">
        <v>22</v>
      </c>
      <c r="D13" s="122" t="s">
        <v>36</v>
      </c>
      <c r="E13" s="121" t="s">
        <v>104</v>
      </c>
      <c r="F13" s="118" t="s">
        <v>22</v>
      </c>
      <c r="G13" s="118" t="s">
        <v>311</v>
      </c>
      <c r="H13" s="118" t="s">
        <v>1</v>
      </c>
      <c r="I13" s="107">
        <v>71</v>
      </c>
    </row>
    <row r="14" spans="3:11">
      <c r="C14" s="232" t="s">
        <v>23</v>
      </c>
      <c r="D14" s="122" t="s">
        <v>36</v>
      </c>
      <c r="E14" s="121" t="s">
        <v>105</v>
      </c>
      <c r="F14" s="118" t="s">
        <v>23</v>
      </c>
      <c r="G14" s="118" t="s">
        <v>311</v>
      </c>
      <c r="H14" s="118" t="s">
        <v>1</v>
      </c>
      <c r="I14" s="107">
        <v>72</v>
      </c>
    </row>
    <row r="15" spans="3:11">
      <c r="C15" s="232"/>
      <c r="D15" s="118"/>
      <c r="E15" s="118"/>
      <c r="I15" s="118"/>
    </row>
    <row r="16" spans="3:11">
      <c r="C16" s="232" t="s">
        <v>318</v>
      </c>
      <c r="D16" s="123" t="s">
        <v>78</v>
      </c>
      <c r="E16" s="118" t="str">
        <f>"Sewerage: Non-households – under "&amp;Threshold&amp;"ML threshold"</f>
        <v>Sewerage: Non-households – under 50ML threshold</v>
      </c>
      <c r="F16" s="107" t="s">
        <v>231</v>
      </c>
      <c r="G16" s="232" t="s">
        <v>315</v>
      </c>
      <c r="H16" s="118"/>
      <c r="J16" s="107" t="s">
        <v>363</v>
      </c>
    </row>
    <row r="17" spans="3:10">
      <c r="C17" s="232" t="s">
        <v>319</v>
      </c>
      <c r="D17" s="123" t="s">
        <v>78</v>
      </c>
      <c r="E17" s="118" t="str">
        <f>"Sewerage: Non-households – over "&amp;Threshold&amp;"ML threshold"</f>
        <v>Sewerage: Non-households – over 50ML threshold</v>
      </c>
      <c r="F17" s="107" t="s">
        <v>231</v>
      </c>
      <c r="G17" s="232" t="s">
        <v>315</v>
      </c>
      <c r="H17" s="118"/>
      <c r="J17" s="107" t="s">
        <v>363</v>
      </c>
    </row>
    <row r="18" spans="3:10">
      <c r="C18" s="118"/>
      <c r="D18" s="123"/>
      <c r="E18" s="118"/>
      <c r="I18" s="118"/>
    </row>
    <row r="19" spans="3:10">
      <c r="C19" s="118" t="s">
        <v>34</v>
      </c>
      <c r="D19" s="123" t="s">
        <v>78</v>
      </c>
      <c r="E19" s="121" t="s">
        <v>102</v>
      </c>
      <c r="F19" s="118" t="s">
        <v>34</v>
      </c>
      <c r="G19" s="118" t="s">
        <v>311</v>
      </c>
      <c r="H19" s="118" t="s">
        <v>1</v>
      </c>
      <c r="I19" s="118">
        <v>57</v>
      </c>
    </row>
    <row r="20" spans="3:10">
      <c r="C20" s="118" t="s">
        <v>28</v>
      </c>
      <c r="D20" s="124" t="s">
        <v>68</v>
      </c>
      <c r="E20" s="122" t="s">
        <v>103</v>
      </c>
      <c r="F20" s="118" t="s">
        <v>28</v>
      </c>
      <c r="G20" s="118" t="s">
        <v>311</v>
      </c>
      <c r="H20" s="118" t="s">
        <v>2</v>
      </c>
      <c r="I20" s="118">
        <v>32</v>
      </c>
    </row>
    <row r="21" spans="3:10">
      <c r="C21" s="118" t="s">
        <v>29</v>
      </c>
      <c r="D21" s="124" t="s">
        <v>68</v>
      </c>
      <c r="E21" s="122" t="s">
        <v>35</v>
      </c>
      <c r="F21" s="118" t="s">
        <v>29</v>
      </c>
      <c r="G21" s="118" t="s">
        <v>311</v>
      </c>
      <c r="H21" s="118" t="s">
        <v>2</v>
      </c>
      <c r="I21" s="118">
        <v>33</v>
      </c>
    </row>
    <row r="22" spans="3:10">
      <c r="C22" s="118" t="s">
        <v>24</v>
      </c>
      <c r="D22" s="124" t="s">
        <v>68</v>
      </c>
      <c r="E22" s="121" t="s">
        <v>38</v>
      </c>
      <c r="F22" s="118" t="s">
        <v>24</v>
      </c>
      <c r="G22" s="118" t="s">
        <v>311</v>
      </c>
      <c r="H22" s="118" t="s">
        <v>1</v>
      </c>
      <c r="I22" s="118">
        <v>73</v>
      </c>
    </row>
    <row r="23" spans="3:10">
      <c r="C23" s="118" t="s">
        <v>25</v>
      </c>
      <c r="D23" s="124" t="s">
        <v>68</v>
      </c>
      <c r="E23" s="121" t="s">
        <v>41</v>
      </c>
      <c r="F23" s="118" t="s">
        <v>25</v>
      </c>
      <c r="G23" s="118" t="s">
        <v>311</v>
      </c>
      <c r="H23" s="118" t="s">
        <v>1</v>
      </c>
      <c r="I23" s="118">
        <v>74</v>
      </c>
    </row>
    <row r="24" spans="3:10">
      <c r="C24" s="118"/>
      <c r="D24" s="123"/>
      <c r="E24" s="118"/>
      <c r="I24" s="118"/>
    </row>
    <row r="25" spans="3:10">
      <c r="C25" s="118"/>
      <c r="D25" s="118"/>
      <c r="E25" s="125"/>
      <c r="I25" s="118"/>
    </row>
    <row r="26" spans="3:10" ht="15.6">
      <c r="C26" s="119"/>
      <c r="D26" s="119"/>
      <c r="E26" s="120" t="s">
        <v>62</v>
      </c>
      <c r="I26" s="118"/>
    </row>
    <row r="27" spans="3:10">
      <c r="C27" s="118" t="s">
        <v>3</v>
      </c>
      <c r="D27" s="118" t="s">
        <v>78</v>
      </c>
      <c r="E27" s="125" t="s">
        <v>45</v>
      </c>
      <c r="F27" s="118" t="s">
        <v>3</v>
      </c>
      <c r="G27" s="118" t="s">
        <v>307</v>
      </c>
      <c r="H27" s="118" t="s">
        <v>308</v>
      </c>
      <c r="I27" s="118">
        <v>1</v>
      </c>
      <c r="J27" s="118" t="s">
        <v>234</v>
      </c>
    </row>
    <row r="28" spans="3:10">
      <c r="C28" s="118" t="s">
        <v>4</v>
      </c>
      <c r="D28" s="118" t="s">
        <v>78</v>
      </c>
      <c r="E28" s="125" t="s">
        <v>46</v>
      </c>
      <c r="F28" s="118" t="s">
        <v>4</v>
      </c>
      <c r="G28" s="118" t="s">
        <v>307</v>
      </c>
      <c r="H28" s="118" t="s">
        <v>308</v>
      </c>
      <c r="I28" s="118">
        <v>2</v>
      </c>
      <c r="J28" s="118" t="s">
        <v>234</v>
      </c>
    </row>
    <row r="29" spans="3:10">
      <c r="C29" s="118" t="s">
        <v>5</v>
      </c>
      <c r="D29" s="118" t="s">
        <v>78</v>
      </c>
      <c r="E29" s="125" t="s">
        <v>47</v>
      </c>
      <c r="F29" s="118" t="s">
        <v>5</v>
      </c>
      <c r="G29" s="118" t="s">
        <v>307</v>
      </c>
      <c r="H29" s="118" t="s">
        <v>308</v>
      </c>
      <c r="I29" s="118">
        <v>3</v>
      </c>
      <c r="J29" s="118" t="s">
        <v>234</v>
      </c>
    </row>
    <row r="30" spans="3:10">
      <c r="C30" s="118" t="s">
        <v>6</v>
      </c>
      <c r="D30" s="118" t="s">
        <v>78</v>
      </c>
      <c r="E30" s="125" t="s">
        <v>48</v>
      </c>
      <c r="F30" s="118" t="s">
        <v>6</v>
      </c>
      <c r="G30" s="118" t="s">
        <v>307</v>
      </c>
      <c r="H30" s="118" t="s">
        <v>308</v>
      </c>
      <c r="I30" s="118">
        <v>4</v>
      </c>
      <c r="J30" s="118" t="s">
        <v>234</v>
      </c>
    </row>
    <row r="31" spans="3:10">
      <c r="C31" s="118" t="s">
        <v>7</v>
      </c>
      <c r="D31" s="118" t="s">
        <v>78</v>
      </c>
      <c r="E31" s="118" t="s">
        <v>49</v>
      </c>
      <c r="F31" s="118" t="s">
        <v>7</v>
      </c>
      <c r="G31" s="118" t="s">
        <v>307</v>
      </c>
      <c r="H31" s="118" t="s">
        <v>308</v>
      </c>
      <c r="I31" s="118">
        <v>5</v>
      </c>
      <c r="J31" s="118" t="s">
        <v>234</v>
      </c>
    </row>
    <row r="32" spans="3:10">
      <c r="C32" s="126" t="s">
        <v>353</v>
      </c>
      <c r="D32" s="118" t="s">
        <v>78</v>
      </c>
      <c r="E32" s="118" t="s">
        <v>233</v>
      </c>
      <c r="F32" s="118" t="s">
        <v>231</v>
      </c>
      <c r="G32" s="118" t="s">
        <v>307</v>
      </c>
      <c r="H32" s="118" t="s">
        <v>308</v>
      </c>
      <c r="I32" s="127">
        <v>6</v>
      </c>
      <c r="J32" s="118" t="s">
        <v>234</v>
      </c>
    </row>
    <row r="33" spans="3:10">
      <c r="C33" s="126" t="s">
        <v>354</v>
      </c>
      <c r="D33" s="118" t="s">
        <v>78</v>
      </c>
      <c r="E33" s="118" t="s">
        <v>170</v>
      </c>
      <c r="F33" s="118" t="s">
        <v>231</v>
      </c>
      <c r="G33" s="118" t="s">
        <v>307</v>
      </c>
      <c r="H33" s="118" t="s">
        <v>308</v>
      </c>
      <c r="I33" s="118">
        <v>7</v>
      </c>
      <c r="J33" s="118" t="s">
        <v>234</v>
      </c>
    </row>
    <row r="34" spans="3:10">
      <c r="C34" s="128"/>
      <c r="D34" s="129"/>
      <c r="E34" s="128"/>
      <c r="I34" s="118"/>
    </row>
    <row r="35" spans="3:10">
      <c r="C35" s="240"/>
      <c r="D35" s="130" t="s">
        <v>77</v>
      </c>
      <c r="E35" s="125" t="s">
        <v>51</v>
      </c>
      <c r="F35" s="107" t="s">
        <v>336</v>
      </c>
      <c r="G35" s="118" t="s">
        <v>307</v>
      </c>
      <c r="H35" s="118" t="s">
        <v>334</v>
      </c>
      <c r="I35" s="118"/>
      <c r="J35" s="118" t="s">
        <v>338</v>
      </c>
    </row>
    <row r="36" spans="3:10">
      <c r="C36" s="118" t="s">
        <v>8</v>
      </c>
      <c r="D36" s="130" t="s">
        <v>77</v>
      </c>
      <c r="E36" s="125" t="s">
        <v>52</v>
      </c>
      <c r="F36" s="118" t="s">
        <v>8</v>
      </c>
      <c r="G36" s="118" t="s">
        <v>307</v>
      </c>
      <c r="H36" s="118" t="s">
        <v>308</v>
      </c>
      <c r="I36" s="118">
        <v>9</v>
      </c>
      <c r="J36" s="118" t="s">
        <v>234</v>
      </c>
    </row>
    <row r="37" spans="3:10">
      <c r="C37" s="232" t="s">
        <v>330</v>
      </c>
      <c r="D37" s="130" t="s">
        <v>77</v>
      </c>
      <c r="E37" s="118" t="s">
        <v>50</v>
      </c>
      <c r="F37" s="118" t="s">
        <v>231</v>
      </c>
      <c r="G37" s="118" t="s">
        <v>307</v>
      </c>
      <c r="H37" s="118" t="s">
        <v>308</v>
      </c>
      <c r="I37" s="118">
        <v>10</v>
      </c>
      <c r="J37" s="118" t="s">
        <v>234</v>
      </c>
    </row>
    <row r="38" spans="3:10">
      <c r="C38" s="118"/>
      <c r="D38" s="130"/>
      <c r="E38" s="118"/>
    </row>
    <row r="39" spans="3:10">
      <c r="C39" s="118" t="s">
        <v>9</v>
      </c>
      <c r="D39" s="123" t="s">
        <v>78</v>
      </c>
      <c r="E39" s="125" t="s">
        <v>53</v>
      </c>
      <c r="F39" s="118" t="s">
        <v>9</v>
      </c>
      <c r="G39" s="118" t="s">
        <v>309</v>
      </c>
      <c r="H39" s="118" t="s">
        <v>310</v>
      </c>
      <c r="I39" s="118">
        <v>1</v>
      </c>
      <c r="J39" s="118" t="s">
        <v>234</v>
      </c>
    </row>
    <row r="40" spans="3:10">
      <c r="C40" s="118" t="s">
        <v>11</v>
      </c>
      <c r="D40" s="123" t="s">
        <v>78</v>
      </c>
      <c r="E40" s="125" t="s">
        <v>54</v>
      </c>
      <c r="F40" s="118" t="s">
        <v>11</v>
      </c>
      <c r="G40" s="232" t="s">
        <v>309</v>
      </c>
      <c r="H40" s="118" t="s">
        <v>310</v>
      </c>
      <c r="I40" s="118">
        <v>2</v>
      </c>
      <c r="J40" s="118" t="s">
        <v>234</v>
      </c>
    </row>
    <row r="41" spans="3:10">
      <c r="C41" s="118" t="s">
        <v>12</v>
      </c>
      <c r="D41" s="123" t="s">
        <v>78</v>
      </c>
      <c r="E41" s="125" t="s">
        <v>55</v>
      </c>
      <c r="F41" s="118" t="s">
        <v>12</v>
      </c>
      <c r="G41" s="232" t="s">
        <v>309</v>
      </c>
      <c r="H41" s="118" t="s">
        <v>310</v>
      </c>
      <c r="I41" s="118">
        <v>3</v>
      </c>
      <c r="J41" s="118" t="s">
        <v>234</v>
      </c>
    </row>
    <row r="42" spans="3:10">
      <c r="C42" s="118" t="s">
        <v>13</v>
      </c>
      <c r="D42" s="123" t="s">
        <v>78</v>
      </c>
      <c r="E42" s="125" t="s">
        <v>56</v>
      </c>
      <c r="F42" s="118" t="s">
        <v>13</v>
      </c>
      <c r="G42" s="232" t="s">
        <v>309</v>
      </c>
      <c r="H42" s="118" t="s">
        <v>310</v>
      </c>
      <c r="I42" s="118">
        <v>4</v>
      </c>
      <c r="J42" s="118" t="s">
        <v>234</v>
      </c>
    </row>
    <row r="43" spans="3:10">
      <c r="C43" s="118" t="s">
        <v>10</v>
      </c>
      <c r="D43" s="123" t="s">
        <v>78</v>
      </c>
      <c r="E43" s="125" t="s">
        <v>57</v>
      </c>
      <c r="F43" s="118" t="s">
        <v>10</v>
      </c>
      <c r="G43" s="232" t="s">
        <v>309</v>
      </c>
      <c r="H43" s="118" t="s">
        <v>310</v>
      </c>
      <c r="I43" s="118">
        <v>5</v>
      </c>
      <c r="J43" s="118" t="s">
        <v>234</v>
      </c>
    </row>
    <row r="44" spans="3:10">
      <c r="C44" s="118" t="s">
        <v>14</v>
      </c>
      <c r="D44" s="123" t="s">
        <v>78</v>
      </c>
      <c r="E44" s="118" t="s">
        <v>58</v>
      </c>
      <c r="F44" s="118" t="s">
        <v>14</v>
      </c>
      <c r="G44" s="232" t="s">
        <v>309</v>
      </c>
      <c r="H44" s="118" t="s">
        <v>310</v>
      </c>
      <c r="I44" s="127">
        <v>6</v>
      </c>
      <c r="J44" s="118" t="s">
        <v>234</v>
      </c>
    </row>
    <row r="45" spans="3:10">
      <c r="C45" s="126" t="s">
        <v>355</v>
      </c>
      <c r="D45" s="118" t="s">
        <v>78</v>
      </c>
      <c r="E45" s="118" t="s">
        <v>232</v>
      </c>
      <c r="F45" s="118" t="s">
        <v>231</v>
      </c>
      <c r="G45" s="232" t="s">
        <v>309</v>
      </c>
      <c r="H45" s="118" t="s">
        <v>310</v>
      </c>
      <c r="I45" s="118">
        <v>7</v>
      </c>
      <c r="J45" s="118" t="s">
        <v>234</v>
      </c>
    </row>
    <row r="46" spans="3:10">
      <c r="C46" s="126" t="s">
        <v>356</v>
      </c>
      <c r="D46" s="118" t="s">
        <v>78</v>
      </c>
      <c r="E46" s="118" t="s">
        <v>171</v>
      </c>
      <c r="F46" s="118" t="s">
        <v>231</v>
      </c>
      <c r="G46" s="232" t="s">
        <v>309</v>
      </c>
      <c r="H46" s="118" t="s">
        <v>310</v>
      </c>
      <c r="I46" s="118">
        <v>8</v>
      </c>
      <c r="J46" s="118" t="s">
        <v>234</v>
      </c>
    </row>
    <row r="47" spans="3:10">
      <c r="C47" s="129"/>
      <c r="D47" s="131"/>
      <c r="E47" s="129"/>
      <c r="I47" s="129"/>
    </row>
    <row r="48" spans="3:10">
      <c r="C48" s="240"/>
      <c r="D48" s="132" t="s">
        <v>77</v>
      </c>
      <c r="E48" s="125" t="s">
        <v>60</v>
      </c>
      <c r="F48" s="107" t="s">
        <v>337</v>
      </c>
      <c r="G48" s="232" t="s">
        <v>309</v>
      </c>
      <c r="H48" s="118" t="s">
        <v>335</v>
      </c>
      <c r="I48" s="118"/>
      <c r="J48" s="118" t="s">
        <v>338</v>
      </c>
    </row>
    <row r="49" spans="1:11">
      <c r="C49" s="118" t="s">
        <v>16</v>
      </c>
      <c r="D49" s="132" t="s">
        <v>77</v>
      </c>
      <c r="E49" s="125" t="s">
        <v>61</v>
      </c>
      <c r="F49" s="118" t="s">
        <v>16</v>
      </c>
      <c r="G49" s="232" t="s">
        <v>309</v>
      </c>
      <c r="H49" s="118" t="s">
        <v>310</v>
      </c>
      <c r="I49" s="118">
        <v>10</v>
      </c>
      <c r="J49" s="118" t="s">
        <v>234</v>
      </c>
    </row>
    <row r="50" spans="1:11">
      <c r="C50" s="232" t="s">
        <v>352</v>
      </c>
      <c r="D50" s="132" t="s">
        <v>77</v>
      </c>
      <c r="E50" s="118" t="s">
        <v>59</v>
      </c>
      <c r="F50" s="118" t="s">
        <v>231</v>
      </c>
      <c r="G50" s="232" t="s">
        <v>309</v>
      </c>
      <c r="H50" s="118" t="s">
        <v>310</v>
      </c>
      <c r="I50" s="118">
        <v>11</v>
      </c>
      <c r="J50" s="118" t="s">
        <v>234</v>
      </c>
    </row>
    <row r="51" spans="1:11">
      <c r="C51" s="118"/>
      <c r="D51" s="130"/>
      <c r="E51" s="118"/>
      <c r="I51" s="118"/>
    </row>
    <row r="52" spans="1:11" ht="15.6">
      <c r="C52" s="119"/>
      <c r="D52" s="119"/>
      <c r="E52" s="120" t="s">
        <v>42</v>
      </c>
      <c r="I52" s="118"/>
    </row>
    <row r="53" spans="1:11">
      <c r="C53" s="118" t="s">
        <v>18</v>
      </c>
      <c r="D53" s="133" t="s">
        <v>67</v>
      </c>
      <c r="E53" s="118" t="s">
        <v>81</v>
      </c>
      <c r="F53" s="118" t="s">
        <v>231</v>
      </c>
      <c r="G53" s="118" t="s">
        <v>230</v>
      </c>
      <c r="H53" s="118" t="s">
        <v>235</v>
      </c>
      <c r="I53" s="118">
        <v>15</v>
      </c>
      <c r="J53" s="118" t="s">
        <v>234</v>
      </c>
    </row>
    <row r="54" spans="1:11">
      <c r="C54" s="118" t="s">
        <v>17</v>
      </c>
      <c r="D54" s="124" t="s">
        <v>68</v>
      </c>
      <c r="E54" s="118" t="s">
        <v>202</v>
      </c>
      <c r="F54" s="118" t="s">
        <v>17</v>
      </c>
      <c r="G54" s="232" t="s">
        <v>311</v>
      </c>
      <c r="H54" s="107" t="s">
        <v>236</v>
      </c>
      <c r="I54" s="118">
        <v>29</v>
      </c>
      <c r="J54" s="118" t="s">
        <v>246</v>
      </c>
    </row>
    <row r="55" spans="1:11">
      <c r="C55" s="232" t="s">
        <v>312</v>
      </c>
      <c r="D55" s="124" t="s">
        <v>68</v>
      </c>
      <c r="E55" s="118" t="s">
        <v>194</v>
      </c>
      <c r="F55" s="118" t="s">
        <v>312</v>
      </c>
      <c r="G55" s="232" t="s">
        <v>313</v>
      </c>
      <c r="H55" s="107" t="s">
        <v>314</v>
      </c>
      <c r="I55" s="107">
        <v>22</v>
      </c>
      <c r="J55" s="107" t="s">
        <v>246</v>
      </c>
    </row>
    <row r="56" spans="1:11">
      <c r="C56" s="107"/>
      <c r="D56" s="124"/>
      <c r="E56" s="118"/>
      <c r="I56" s="118"/>
    </row>
    <row r="57" spans="1:11">
      <c r="C57" s="118" t="s">
        <v>26</v>
      </c>
      <c r="D57" s="133" t="s">
        <v>67</v>
      </c>
      <c r="E57" s="118" t="s">
        <v>43</v>
      </c>
      <c r="F57" s="118" t="s">
        <v>26</v>
      </c>
      <c r="G57" s="232" t="s">
        <v>311</v>
      </c>
      <c r="I57" s="118"/>
    </row>
    <row r="58" spans="1:11">
      <c r="C58" s="232" t="s">
        <v>324</v>
      </c>
      <c r="D58" s="133" t="s">
        <v>67</v>
      </c>
      <c r="E58" s="125" t="s">
        <v>79</v>
      </c>
      <c r="F58" s="118" t="s">
        <v>231</v>
      </c>
      <c r="G58" s="107" t="s">
        <v>364</v>
      </c>
      <c r="I58" s="118"/>
    </row>
    <row r="59" spans="1:11">
      <c r="C59" s="232" t="s">
        <v>325</v>
      </c>
      <c r="D59" s="133" t="s">
        <v>67</v>
      </c>
      <c r="E59" s="125" t="s">
        <v>80</v>
      </c>
      <c r="F59" s="118" t="s">
        <v>231</v>
      </c>
      <c r="G59" s="107" t="s">
        <v>364</v>
      </c>
      <c r="I59" s="118"/>
    </row>
    <row r="60" spans="1:11">
      <c r="C60" s="134" t="s">
        <v>326</v>
      </c>
      <c r="D60" s="133" t="s">
        <v>67</v>
      </c>
      <c r="E60" s="232" t="s">
        <v>44</v>
      </c>
      <c r="F60" s="118" t="s">
        <v>231</v>
      </c>
      <c r="G60" s="107" t="s">
        <v>271</v>
      </c>
      <c r="I60" s="134"/>
    </row>
    <row r="61" spans="1:11">
      <c r="C61" s="134" t="s">
        <v>327</v>
      </c>
      <c r="D61" s="124" t="s">
        <v>32</v>
      </c>
      <c r="E61" s="232" t="s">
        <v>168</v>
      </c>
      <c r="F61" s="118" t="s">
        <v>231</v>
      </c>
      <c r="G61" s="107" t="s">
        <v>364</v>
      </c>
    </row>
    <row r="62" spans="1:11">
      <c r="A62" s="9"/>
      <c r="B62" s="9"/>
      <c r="C62" s="134"/>
      <c r="D62" s="124"/>
      <c r="E62" s="118"/>
      <c r="F62" s="9"/>
      <c r="H62" s="9"/>
      <c r="I62" s="9"/>
      <c r="J62" s="9"/>
      <c r="K62" s="9"/>
    </row>
    <row r="63" spans="1:11" ht="15.6">
      <c r="A63" s="119"/>
      <c r="B63" s="119"/>
      <c r="C63" s="119"/>
      <c r="D63" s="119"/>
      <c r="E63" s="120" t="s">
        <v>227</v>
      </c>
      <c r="F63" s="9"/>
      <c r="G63" s="9"/>
      <c r="H63" s="9"/>
      <c r="I63" s="9"/>
      <c r="J63" s="9"/>
      <c r="K63" s="9"/>
    </row>
    <row r="64" spans="1:11">
      <c r="A64" s="9"/>
      <c r="B64" s="9"/>
      <c r="C64" s="134"/>
      <c r="D64" s="124"/>
      <c r="E64" s="118"/>
      <c r="F64" s="9"/>
      <c r="G64" s="9"/>
      <c r="H64" s="9"/>
      <c r="I64" s="9"/>
      <c r="J64" s="9"/>
      <c r="K64" s="9"/>
    </row>
    <row r="65" spans="1:11">
      <c r="A65" s="9"/>
      <c r="B65" s="9"/>
      <c r="C65" s="134"/>
      <c r="D65" s="124"/>
      <c r="E65" s="118"/>
      <c r="F65" s="9"/>
      <c r="G65" s="9"/>
      <c r="H65" s="9"/>
      <c r="I65" s="9"/>
      <c r="J65" s="9"/>
      <c r="K65" s="9"/>
    </row>
    <row r="66" spans="1:11">
      <c r="A66" s="9"/>
      <c r="B66" s="9"/>
      <c r="C66" s="135"/>
      <c r="D66" s="136"/>
      <c r="E66" s="136"/>
      <c r="F66" s="9"/>
      <c r="G66" s="9"/>
      <c r="H66" s="9"/>
      <c r="I66" s="9"/>
      <c r="J66" s="9"/>
      <c r="K66" s="9"/>
    </row>
    <row r="67" spans="1:11">
      <c r="A67" s="9"/>
      <c r="B67" s="9"/>
      <c r="C67" s="135"/>
      <c r="D67" s="136"/>
      <c r="E67" s="136"/>
      <c r="F67" s="9"/>
      <c r="G67" s="9"/>
      <c r="H67" s="9"/>
      <c r="I67" s="9"/>
      <c r="J67" s="9"/>
      <c r="K67" s="9"/>
    </row>
    <row r="68" spans="1:11">
      <c r="A68" s="137"/>
      <c r="B68" s="137"/>
      <c r="C68" s="138"/>
      <c r="D68" s="139"/>
      <c r="E68" s="139"/>
      <c r="F68" s="137"/>
      <c r="G68" s="137"/>
      <c r="H68" s="137"/>
      <c r="I68" s="137"/>
      <c r="J68" s="137"/>
      <c r="K68" s="137"/>
    </row>
    <row r="69" spans="1:11">
      <c r="A69" s="9"/>
      <c r="B69" s="9"/>
      <c r="F69" s="9"/>
      <c r="G69" s="9"/>
      <c r="H69" s="9"/>
      <c r="I69" s="9"/>
      <c r="J69" s="9"/>
      <c r="K69" s="9"/>
    </row>
    <row r="126" spans="3:5" ht="15.6">
      <c r="C126" s="2"/>
      <c r="D126" s="14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s>
  <sheetData>
    <row r="1" spans="1:2">
      <c r="A1" t="s">
        <v>447</v>
      </c>
      <c r="B1" t="s">
        <v>448</v>
      </c>
    </row>
    <row r="2" spans="1:2">
      <c r="A2" t="s">
        <v>462</v>
      </c>
      <c r="B2" t="s">
        <v>472</v>
      </c>
    </row>
    <row r="3" spans="1:2">
      <c r="A3" t="s">
        <v>468</v>
      </c>
      <c r="B3" t="s">
        <v>480</v>
      </c>
    </row>
    <row r="4" spans="1:2">
      <c r="A4" t="s">
        <v>433</v>
      </c>
      <c r="B4" t="s">
        <v>481</v>
      </c>
    </row>
    <row r="5" spans="1:2">
      <c r="A5" t="s">
        <v>435</v>
      </c>
      <c r="B5" t="s">
        <v>449</v>
      </c>
    </row>
    <row r="6" spans="1:2">
      <c r="A6" t="s">
        <v>437</v>
      </c>
      <c r="B6" t="s">
        <v>450</v>
      </c>
    </row>
    <row r="7" spans="1:2">
      <c r="A7" t="s">
        <v>438</v>
      </c>
      <c r="B7" t="s">
        <v>439</v>
      </c>
    </row>
    <row r="8" spans="1:2">
      <c r="A8" t="s">
        <v>440</v>
      </c>
      <c r="B8" t="s">
        <v>441</v>
      </c>
    </row>
    <row r="9" spans="1:2">
      <c r="A9" t="s">
        <v>442</v>
      </c>
      <c r="B9" t="s">
        <v>439</v>
      </c>
    </row>
    <row r="10" spans="1:2">
      <c r="A10" t="s">
        <v>443</v>
      </c>
      <c r="B10" t="s">
        <v>441</v>
      </c>
    </row>
    <row r="11" spans="1:2">
      <c r="A11" t="s">
        <v>444</v>
      </c>
      <c r="B11" t="s">
        <v>445</v>
      </c>
    </row>
    <row r="12" spans="1:2">
      <c r="A12" t="s">
        <v>446</v>
      </c>
      <c r="B12" t="s">
        <v>436</v>
      </c>
    </row>
    <row r="13" spans="1:2">
      <c r="A13" t="s">
        <v>451</v>
      </c>
      <c r="B13" t="s">
        <v>452</v>
      </c>
    </row>
    <row r="14" spans="1:2">
      <c r="A14" t="s">
        <v>453</v>
      </c>
      <c r="B14" t="s">
        <v>454</v>
      </c>
    </row>
    <row r="15" spans="1:2">
      <c r="A15" t="s">
        <v>455</v>
      </c>
      <c r="B15" t="s">
        <v>469</v>
      </c>
    </row>
    <row r="16" spans="1:2">
      <c r="A16" t="s">
        <v>456</v>
      </c>
      <c r="B16" t="s">
        <v>457</v>
      </c>
    </row>
    <row r="17" spans="1:2">
      <c r="A17" t="s">
        <v>458</v>
      </c>
      <c r="B17" t="s">
        <v>459</v>
      </c>
    </row>
    <row r="18" spans="1:2">
      <c r="A18" t="s">
        <v>463</v>
      </c>
      <c r="B18" t="s">
        <v>470</v>
      </c>
    </row>
    <row r="19" spans="1:2">
      <c r="A19" t="s">
        <v>464</v>
      </c>
      <c r="B19" t="s">
        <v>470</v>
      </c>
    </row>
    <row r="20" spans="1:2">
      <c r="A20" t="s">
        <v>465</v>
      </c>
      <c r="B20" t="s">
        <v>466</v>
      </c>
    </row>
    <row r="21" spans="1:2">
      <c r="A21" t="s">
        <v>467</v>
      </c>
      <c r="B21" t="s">
        <v>471</v>
      </c>
    </row>
    <row r="22" spans="1:2">
      <c r="A22" t="s">
        <v>473</v>
      </c>
      <c r="B22" t="s">
        <v>479</v>
      </c>
    </row>
    <row r="23" spans="1:2">
      <c r="A23" t="s">
        <v>474</v>
      </c>
      <c r="B23" t="s">
        <v>459</v>
      </c>
    </row>
    <row r="24" spans="1:2">
      <c r="A24" t="s">
        <v>475</v>
      </c>
      <c r="B24" t="s">
        <v>459</v>
      </c>
    </row>
    <row r="25" spans="1:2">
      <c r="A25" t="s">
        <v>476</v>
      </c>
      <c r="B25" t="s">
        <v>477</v>
      </c>
    </row>
    <row r="26" spans="1:2">
      <c r="A26" t="s">
        <v>478</v>
      </c>
      <c r="B26" t="s">
        <v>459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460</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434</v>
      </c>
      <c r="F4" s="245"/>
      <c r="G4" s="245"/>
      <c r="H4" s="245">
        <v>74.723003293766595</v>
      </c>
      <c r="I4" s="245">
        <v>72.180173408600893</v>
      </c>
      <c r="J4" s="245">
        <v>74.587559404474604</v>
      </c>
      <c r="K4" s="245">
        <v>78.259532513673804</v>
      </c>
      <c r="L4" s="245">
        <v>81.225519275413703</v>
      </c>
      <c r="M4" s="245">
        <v>83.360571474510493</v>
      </c>
      <c r="N4" s="245"/>
    </row>
    <row r="5" spans="1:14">
      <c r="B5" t="s">
        <v>317</v>
      </c>
      <c r="C5" t="s">
        <v>321</v>
      </c>
      <c r="D5" t="s">
        <v>78</v>
      </c>
      <c r="E5" t="s">
        <v>434</v>
      </c>
      <c r="F5" s="245"/>
      <c r="G5" s="245"/>
      <c r="H5" s="245">
        <v>5.56856224161172</v>
      </c>
      <c r="I5" s="245">
        <v>5.3745380834557004</v>
      </c>
      <c r="J5" s="245">
        <v>5.56473160477156</v>
      </c>
      <c r="K5" s="245">
        <v>5.8512700850113104</v>
      </c>
      <c r="L5" s="245">
        <v>6.0818374665961699</v>
      </c>
      <c r="M5" s="245">
        <v>6.2450518167447697</v>
      </c>
      <c r="N5" s="245"/>
    </row>
    <row r="6" spans="1:14">
      <c r="B6" t="s">
        <v>33</v>
      </c>
      <c r="C6" t="s">
        <v>289</v>
      </c>
      <c r="D6" t="s">
        <v>78</v>
      </c>
      <c r="E6" t="s">
        <v>434</v>
      </c>
      <c r="F6" s="245"/>
      <c r="G6" s="245"/>
      <c r="H6" s="245"/>
      <c r="I6" s="245">
        <v>378.38477090415898</v>
      </c>
      <c r="J6" s="245">
        <v>388.40701844918601</v>
      </c>
      <c r="K6" s="245">
        <v>402.86798232529901</v>
      </c>
      <c r="L6" s="245">
        <v>414.35029411423699</v>
      </c>
      <c r="M6" s="245">
        <v>422.78873375968698</v>
      </c>
      <c r="N6" s="245"/>
    </row>
    <row r="7" spans="1:14">
      <c r="B7" t="s">
        <v>357</v>
      </c>
      <c r="C7" t="s">
        <v>358</v>
      </c>
      <c r="D7" t="s">
        <v>78</v>
      </c>
      <c r="E7" t="s">
        <v>434</v>
      </c>
      <c r="F7" s="245"/>
      <c r="G7" s="245"/>
      <c r="H7" s="245"/>
      <c r="I7" s="245">
        <v>0</v>
      </c>
      <c r="J7" s="245">
        <v>0</v>
      </c>
      <c r="K7" s="245">
        <v>0</v>
      </c>
      <c r="L7" s="245">
        <v>0</v>
      </c>
      <c r="M7" s="245">
        <v>0</v>
      </c>
      <c r="N7" s="245"/>
    </row>
    <row r="8" spans="1:14">
      <c r="B8" t="s">
        <v>386</v>
      </c>
      <c r="C8" t="s">
        <v>290</v>
      </c>
      <c r="D8">
        <v>0</v>
      </c>
      <c r="E8" t="s">
        <v>434</v>
      </c>
      <c r="F8" s="245">
        <v>707.476</v>
      </c>
      <c r="G8" s="245">
        <v>670.08199999999999</v>
      </c>
      <c r="H8" s="245">
        <v>634.73900000000003</v>
      </c>
      <c r="I8" s="245">
        <v>586.61500000000001</v>
      </c>
      <c r="J8" s="245">
        <v>531.12599999999998</v>
      </c>
      <c r="K8" s="245">
        <v>468.32299999999998</v>
      </c>
      <c r="L8" s="245">
        <v>409.53899999999999</v>
      </c>
      <c r="M8" s="245">
        <v>366.47399999999999</v>
      </c>
      <c r="N8" s="245"/>
    </row>
    <row r="9" spans="1:14">
      <c r="B9" t="s">
        <v>180</v>
      </c>
      <c r="C9" t="s">
        <v>291</v>
      </c>
      <c r="D9">
        <v>0</v>
      </c>
      <c r="E9" t="s">
        <v>434</v>
      </c>
      <c r="F9" s="245">
        <v>1096.9380000000001</v>
      </c>
      <c r="G9" s="245">
        <v>1150.6310000000001</v>
      </c>
      <c r="H9" s="245">
        <v>1195.817</v>
      </c>
      <c r="I9" s="245">
        <v>1258.2329999999999</v>
      </c>
      <c r="J9" s="245">
        <v>1332.143</v>
      </c>
      <c r="K9" s="245">
        <v>1418.569</v>
      </c>
      <c r="L9" s="245">
        <v>1501.9</v>
      </c>
      <c r="M9" s="245">
        <v>1568.204</v>
      </c>
      <c r="N9" s="245"/>
    </row>
    <row r="10" spans="1:14">
      <c r="B10" t="s">
        <v>387</v>
      </c>
      <c r="C10" t="s">
        <v>292</v>
      </c>
      <c r="D10">
        <v>0</v>
      </c>
      <c r="E10" t="s">
        <v>434</v>
      </c>
      <c r="F10" s="245">
        <v>4.6379999999999999</v>
      </c>
      <c r="G10" s="245">
        <v>4.6379999999999999</v>
      </c>
      <c r="H10" s="245">
        <v>4.6379999999999999</v>
      </c>
      <c r="I10" s="245">
        <v>4.6379999999999999</v>
      </c>
      <c r="J10" s="245">
        <v>4.6379999999999999</v>
      </c>
      <c r="K10" s="245">
        <v>4.6379999999999999</v>
      </c>
      <c r="L10" s="245">
        <v>4.6379999999999999</v>
      </c>
      <c r="M10" s="245">
        <v>4.6379999999999999</v>
      </c>
      <c r="N10" s="245"/>
    </row>
    <row r="11" spans="1:14">
      <c r="B11" t="s">
        <v>388</v>
      </c>
      <c r="C11" t="s">
        <v>293</v>
      </c>
      <c r="D11">
        <v>0</v>
      </c>
      <c r="E11" t="s">
        <v>434</v>
      </c>
      <c r="F11" s="245">
        <v>108.958</v>
      </c>
      <c r="G11" s="245">
        <v>108.961</v>
      </c>
      <c r="H11" s="245">
        <v>108.961</v>
      </c>
      <c r="I11" s="245">
        <v>108.961</v>
      </c>
      <c r="J11" s="245">
        <v>108.961</v>
      </c>
      <c r="K11" s="245">
        <v>108.961</v>
      </c>
      <c r="L11" s="245">
        <v>108.961</v>
      </c>
      <c r="M11" s="245">
        <v>108.961</v>
      </c>
      <c r="N11" s="245"/>
    </row>
    <row r="12" spans="1:14">
      <c r="B12" t="s">
        <v>318</v>
      </c>
      <c r="C12" t="s">
        <v>322</v>
      </c>
      <c r="D12" t="s">
        <v>78</v>
      </c>
      <c r="E12" t="s">
        <v>434</v>
      </c>
      <c r="F12" s="245"/>
      <c r="G12" s="245"/>
      <c r="H12" s="245">
        <v>70.781654735154902</v>
      </c>
      <c r="I12" s="245">
        <v>68.872182591840797</v>
      </c>
      <c r="J12" s="245">
        <v>68.987907870915194</v>
      </c>
      <c r="K12" s="245">
        <v>71.621375959377403</v>
      </c>
      <c r="L12" s="245">
        <v>73.939016696157296</v>
      </c>
      <c r="M12" s="245">
        <v>76.630218684055095</v>
      </c>
      <c r="N12" s="245"/>
    </row>
    <row r="13" spans="1:14">
      <c r="B13" t="s">
        <v>319</v>
      </c>
      <c r="C13" t="s">
        <v>323</v>
      </c>
      <c r="D13" t="s">
        <v>78</v>
      </c>
      <c r="E13" t="s">
        <v>434</v>
      </c>
      <c r="F13" s="245"/>
      <c r="G13" s="245"/>
      <c r="H13" s="245">
        <v>4.1953756085003304</v>
      </c>
      <c r="I13" s="245">
        <v>4.03608360492525</v>
      </c>
      <c r="J13" s="245">
        <v>4.0192598009628204</v>
      </c>
      <c r="K13" s="245">
        <v>4.1529356515964198</v>
      </c>
      <c r="L13" s="245">
        <v>4.2661537261695397</v>
      </c>
      <c r="M13" s="245">
        <v>4.4003789861354896</v>
      </c>
      <c r="N13" s="245"/>
    </row>
    <row r="14" spans="1:14">
      <c r="B14" t="s">
        <v>34</v>
      </c>
      <c r="C14" t="s">
        <v>294</v>
      </c>
      <c r="D14" t="s">
        <v>78</v>
      </c>
      <c r="E14" t="s">
        <v>434</v>
      </c>
      <c r="F14" s="245"/>
      <c r="G14" s="245"/>
      <c r="H14" s="245"/>
      <c r="I14" s="245">
        <v>577.36762666552397</v>
      </c>
      <c r="J14" s="245">
        <v>579.53464527036499</v>
      </c>
      <c r="K14" s="245">
        <v>597.78962499154795</v>
      </c>
      <c r="L14" s="245">
        <v>614.48065316533405</v>
      </c>
      <c r="M14" s="245">
        <v>633.98968007536905</v>
      </c>
      <c r="N14" s="245"/>
    </row>
    <row r="15" spans="1:14">
      <c r="B15" t="s">
        <v>359</v>
      </c>
      <c r="C15" t="s">
        <v>360</v>
      </c>
      <c r="D15" t="s">
        <v>78</v>
      </c>
      <c r="E15" t="s">
        <v>434</v>
      </c>
      <c r="F15" s="245"/>
      <c r="G15" s="245"/>
      <c r="H15" s="245"/>
      <c r="I15" s="245">
        <v>0</v>
      </c>
      <c r="J15" s="245">
        <v>0</v>
      </c>
      <c r="K15" s="245">
        <v>0</v>
      </c>
      <c r="L15" s="245">
        <v>0</v>
      </c>
      <c r="M15" s="245">
        <v>0</v>
      </c>
      <c r="N15" s="245"/>
    </row>
    <row r="16" spans="1:14">
      <c r="B16" t="s">
        <v>389</v>
      </c>
      <c r="C16" t="s">
        <v>295</v>
      </c>
      <c r="D16">
        <v>0</v>
      </c>
      <c r="E16" t="s">
        <v>434</v>
      </c>
      <c r="F16" s="245">
        <v>927.64099999999996</v>
      </c>
      <c r="G16" s="245">
        <v>875.73800000000006</v>
      </c>
      <c r="H16" s="245">
        <v>826.41600000000005</v>
      </c>
      <c r="I16" s="245">
        <v>762.73500000000001</v>
      </c>
      <c r="J16" s="245">
        <v>690.726</v>
      </c>
      <c r="K16" s="245">
        <v>611.70000000000005</v>
      </c>
      <c r="L16" s="245">
        <v>536.89200000000005</v>
      </c>
      <c r="M16" s="245">
        <v>478.06200000000001</v>
      </c>
      <c r="N16" s="245"/>
    </row>
    <row r="17" spans="2:14">
      <c r="B17" t="s">
        <v>390</v>
      </c>
      <c r="C17" t="s">
        <v>296</v>
      </c>
      <c r="D17">
        <v>0</v>
      </c>
      <c r="E17" t="s">
        <v>434</v>
      </c>
      <c r="F17" s="245">
        <v>1419.694</v>
      </c>
      <c r="G17" s="245">
        <v>1491.6310000000001</v>
      </c>
      <c r="H17" s="245">
        <v>1552.7929999999999</v>
      </c>
      <c r="I17" s="245">
        <v>1633.8789999999999</v>
      </c>
      <c r="J17" s="245">
        <v>1728.43</v>
      </c>
      <c r="K17" s="245">
        <v>1837.0889999999999</v>
      </c>
      <c r="L17" s="245">
        <v>1942.567</v>
      </c>
      <c r="M17" s="245">
        <v>2030.421</v>
      </c>
      <c r="N17" s="245"/>
    </row>
    <row r="18" spans="2:14">
      <c r="B18" t="s">
        <v>391</v>
      </c>
      <c r="C18" t="s">
        <v>297</v>
      </c>
      <c r="D18">
        <v>0</v>
      </c>
      <c r="E18" t="s">
        <v>434</v>
      </c>
      <c r="F18" s="245">
        <v>6.548</v>
      </c>
      <c r="G18" s="245">
        <v>6.548</v>
      </c>
      <c r="H18" s="245">
        <v>6.548</v>
      </c>
      <c r="I18" s="245">
        <v>6.548</v>
      </c>
      <c r="J18" s="245">
        <v>6.548</v>
      </c>
      <c r="K18" s="245">
        <v>6.548</v>
      </c>
      <c r="L18" s="245">
        <v>6.548</v>
      </c>
      <c r="M18" s="245">
        <v>6.548</v>
      </c>
      <c r="N18" s="245"/>
    </row>
    <row r="19" spans="2:14">
      <c r="B19" t="s">
        <v>392</v>
      </c>
      <c r="C19" t="s">
        <v>298</v>
      </c>
      <c r="D19">
        <v>0</v>
      </c>
      <c r="E19" t="s">
        <v>434</v>
      </c>
      <c r="F19" s="245">
        <v>106.879</v>
      </c>
      <c r="G19" s="245">
        <v>106.879</v>
      </c>
      <c r="H19" s="245">
        <v>106.879</v>
      </c>
      <c r="I19" s="245">
        <v>106.879</v>
      </c>
      <c r="J19" s="245">
        <v>106.879</v>
      </c>
      <c r="K19" s="245">
        <v>106.879</v>
      </c>
      <c r="L19" s="245">
        <v>106.879</v>
      </c>
      <c r="M19" s="245">
        <v>106.879</v>
      </c>
      <c r="N19" s="245"/>
    </row>
    <row r="20" spans="2:14">
      <c r="B20" t="s">
        <v>398</v>
      </c>
      <c r="C20" t="s">
        <v>45</v>
      </c>
      <c r="D20" t="s">
        <v>78</v>
      </c>
      <c r="E20" t="s">
        <v>434</v>
      </c>
      <c r="F20" s="245"/>
      <c r="G20" s="245"/>
      <c r="H20" s="245"/>
      <c r="I20" s="245">
        <v>128.273</v>
      </c>
      <c r="J20" s="245">
        <v>126.371</v>
      </c>
      <c r="K20" s="245">
        <v>126.919</v>
      </c>
      <c r="L20" s="245">
        <v>121.11199999999999</v>
      </c>
      <c r="M20" s="245">
        <v>114.31100000000001</v>
      </c>
      <c r="N20" s="245"/>
    </row>
    <row r="21" spans="2:14">
      <c r="B21" t="s">
        <v>4</v>
      </c>
      <c r="C21" t="s">
        <v>461</v>
      </c>
      <c r="D21" t="s">
        <v>78</v>
      </c>
      <c r="E21" t="s">
        <v>434</v>
      </c>
      <c r="F21" s="245"/>
      <c r="G21" s="245"/>
      <c r="H21" s="245"/>
      <c r="I21" s="245">
        <v>0.93400000000000005</v>
      </c>
      <c r="J21" s="245">
        <v>0.88900000000000001</v>
      </c>
      <c r="K21" s="245">
        <v>0.83499999999999996</v>
      </c>
      <c r="L21" s="245">
        <v>0.66200000000000003</v>
      </c>
      <c r="M21" s="245">
        <v>0.54</v>
      </c>
      <c r="N21" s="245"/>
    </row>
    <row r="22" spans="2:14">
      <c r="B22" t="s">
        <v>399</v>
      </c>
      <c r="C22" t="s">
        <v>47</v>
      </c>
      <c r="D22" t="s">
        <v>78</v>
      </c>
      <c r="E22" t="s">
        <v>434</v>
      </c>
      <c r="F22" s="245"/>
      <c r="G22" s="245"/>
      <c r="H22" s="245"/>
      <c r="I22" s="245">
        <v>188.05500000000001</v>
      </c>
      <c r="J22" s="245">
        <v>206.684</v>
      </c>
      <c r="K22" s="245">
        <v>209.21700000000001</v>
      </c>
      <c r="L22" s="245">
        <v>239.90899999999999</v>
      </c>
      <c r="M22" s="245">
        <v>251.65700000000001</v>
      </c>
      <c r="N22" s="245"/>
    </row>
    <row r="23" spans="2:14">
      <c r="B23" t="s">
        <v>6</v>
      </c>
      <c r="C23" t="s">
        <v>299</v>
      </c>
      <c r="D23" t="s">
        <v>78</v>
      </c>
      <c r="E23" t="s">
        <v>434</v>
      </c>
      <c r="F23" s="245"/>
      <c r="G23" s="245"/>
      <c r="H23" s="245"/>
      <c r="I23" s="245">
        <v>76.986999999999995</v>
      </c>
      <c r="J23" s="245">
        <v>82.72</v>
      </c>
      <c r="K23" s="245">
        <v>74.813000000000002</v>
      </c>
      <c r="L23" s="245">
        <v>77.476754</v>
      </c>
      <c r="M23" s="245">
        <v>86.614000000000004</v>
      </c>
      <c r="N23" s="245"/>
    </row>
    <row r="24" spans="2:14">
      <c r="B24" t="s">
        <v>7</v>
      </c>
      <c r="C24" t="s">
        <v>300</v>
      </c>
      <c r="D24" t="s">
        <v>78</v>
      </c>
      <c r="E24" t="s">
        <v>434</v>
      </c>
      <c r="F24" s="245"/>
      <c r="G24" s="245"/>
      <c r="H24" s="245">
        <v>0.996</v>
      </c>
      <c r="I24" s="245">
        <v>1.248</v>
      </c>
      <c r="J24" s="245">
        <v>-4.1089000000000001E-2</v>
      </c>
      <c r="K24" s="245">
        <v>-1.0141720000000001</v>
      </c>
      <c r="L24" s="245">
        <v>4.7562E-2</v>
      </c>
      <c r="M24" s="245">
        <v>0.69751996400000005</v>
      </c>
      <c r="N24" s="245"/>
    </row>
    <row r="25" spans="2:14">
      <c r="B25" t="s">
        <v>331</v>
      </c>
      <c r="C25" t="s">
        <v>393</v>
      </c>
      <c r="D25" t="s">
        <v>78</v>
      </c>
      <c r="E25" t="s">
        <v>434</v>
      </c>
      <c r="F25" s="245"/>
      <c r="G25" s="245"/>
      <c r="H25" s="245"/>
      <c r="I25" s="245">
        <v>0</v>
      </c>
      <c r="J25" s="245">
        <v>0</v>
      </c>
      <c r="K25" s="245">
        <v>0</v>
      </c>
      <c r="L25" s="245">
        <v>0</v>
      </c>
      <c r="M25" s="245">
        <v>0</v>
      </c>
      <c r="N25" s="245"/>
    </row>
    <row r="26" spans="2:14">
      <c r="B26" t="s">
        <v>332</v>
      </c>
      <c r="C26" t="s">
        <v>170</v>
      </c>
      <c r="D26" t="s">
        <v>78</v>
      </c>
      <c r="E26" t="s">
        <v>434</v>
      </c>
      <c r="F26" s="245"/>
      <c r="G26" s="245"/>
      <c r="H26" s="245"/>
      <c r="I26" s="245">
        <v>0</v>
      </c>
      <c r="J26" s="245">
        <v>0</v>
      </c>
      <c r="K26" s="245">
        <v>0</v>
      </c>
      <c r="L26" s="245">
        <v>0</v>
      </c>
      <c r="M26" s="245">
        <v>0</v>
      </c>
      <c r="N26" s="245"/>
    </row>
    <row r="27" spans="2:14">
      <c r="B27" t="s">
        <v>400</v>
      </c>
      <c r="C27" t="s">
        <v>52</v>
      </c>
      <c r="D27" t="s">
        <v>406</v>
      </c>
      <c r="E27" t="s">
        <v>434</v>
      </c>
      <c r="F27" s="245"/>
      <c r="G27" s="245"/>
      <c r="H27" s="245">
        <v>112.669</v>
      </c>
      <c r="I27" s="245">
        <v>111.892</v>
      </c>
      <c r="J27" s="245">
        <v>111.08</v>
      </c>
      <c r="K27" s="245">
        <v>110.416</v>
      </c>
      <c r="L27" s="245">
        <v>108.922</v>
      </c>
      <c r="M27" s="245">
        <v>108.291</v>
      </c>
      <c r="N27" s="245"/>
    </row>
    <row r="28" spans="2:14">
      <c r="B28" t="s">
        <v>330</v>
      </c>
      <c r="C28" t="s">
        <v>50</v>
      </c>
      <c r="D28" t="s">
        <v>406</v>
      </c>
      <c r="E28" t="s">
        <v>434</v>
      </c>
      <c r="F28" s="245"/>
      <c r="G28" s="245"/>
      <c r="H28" s="245"/>
      <c r="I28" s="245">
        <v>0.26600000000000001</v>
      </c>
      <c r="J28" s="245">
        <v>0.50800000000000001</v>
      </c>
      <c r="K28" s="245">
        <v>0.78300000000000003</v>
      </c>
      <c r="L28" s="245">
        <v>1.4590000000000001</v>
      </c>
      <c r="M28" s="245">
        <v>2.109</v>
      </c>
      <c r="N28" s="245"/>
    </row>
    <row r="29" spans="2:14">
      <c r="B29" t="s">
        <v>401</v>
      </c>
      <c r="C29" t="s">
        <v>53</v>
      </c>
      <c r="D29" t="s">
        <v>78</v>
      </c>
      <c r="E29" t="s">
        <v>434</v>
      </c>
      <c r="F29" s="245"/>
      <c r="G29" s="245"/>
      <c r="H29" s="245"/>
      <c r="I29" s="245">
        <v>204.97800000000001</v>
      </c>
      <c r="J29" s="245">
        <v>197.67</v>
      </c>
      <c r="K29" s="245">
        <v>197.93600000000001</v>
      </c>
      <c r="L29" s="245">
        <v>191.64699999999999</v>
      </c>
      <c r="M29" s="245">
        <v>187.749</v>
      </c>
      <c r="N29" s="245"/>
    </row>
    <row r="30" spans="2:14">
      <c r="B30" t="s">
        <v>11</v>
      </c>
      <c r="C30" t="s">
        <v>301</v>
      </c>
      <c r="D30" t="s">
        <v>78</v>
      </c>
      <c r="E30" t="s">
        <v>434</v>
      </c>
      <c r="F30" s="245"/>
      <c r="G30" s="245"/>
      <c r="H30" s="245"/>
      <c r="I30" s="245">
        <v>2.2290000000000001</v>
      </c>
      <c r="J30" s="245">
        <v>1.657</v>
      </c>
      <c r="K30" s="245">
        <v>1.62</v>
      </c>
      <c r="L30" s="245">
        <v>1.47</v>
      </c>
      <c r="M30" s="245">
        <v>1.294</v>
      </c>
      <c r="N30" s="245"/>
    </row>
    <row r="31" spans="2:14">
      <c r="B31" t="s">
        <v>402</v>
      </c>
      <c r="C31" t="s">
        <v>55</v>
      </c>
      <c r="D31" t="s">
        <v>78</v>
      </c>
      <c r="E31" t="s">
        <v>434</v>
      </c>
      <c r="F31" s="245"/>
      <c r="G31" s="245"/>
      <c r="H31" s="245"/>
      <c r="I31" s="245">
        <v>321.53800000000001</v>
      </c>
      <c r="J31" s="245">
        <v>346.68200000000002</v>
      </c>
      <c r="K31" s="245">
        <v>348.28699999999998</v>
      </c>
      <c r="L31" s="245">
        <v>390.16219999999998</v>
      </c>
      <c r="M31" s="245">
        <v>410.62099999999998</v>
      </c>
      <c r="N31" s="245"/>
    </row>
    <row r="32" spans="2:14">
      <c r="B32" t="s">
        <v>13</v>
      </c>
      <c r="C32" t="s">
        <v>302</v>
      </c>
      <c r="D32" t="s">
        <v>78</v>
      </c>
      <c r="E32" t="s">
        <v>434</v>
      </c>
      <c r="F32" s="245"/>
      <c r="G32" s="245"/>
      <c r="H32" s="245"/>
      <c r="I32" s="245">
        <v>67.718000000000004</v>
      </c>
      <c r="J32" s="245">
        <v>65.19</v>
      </c>
      <c r="K32" s="245">
        <v>92.668000000000006</v>
      </c>
      <c r="L32" s="245">
        <v>76.985699999999994</v>
      </c>
      <c r="M32" s="245">
        <v>83.924000000000007</v>
      </c>
      <c r="N32" s="245"/>
    </row>
    <row r="33" spans="2:14">
      <c r="B33" t="s">
        <v>10</v>
      </c>
      <c r="C33" t="s">
        <v>303</v>
      </c>
      <c r="D33" t="s">
        <v>78</v>
      </c>
      <c r="E33" t="s">
        <v>434</v>
      </c>
      <c r="F33" s="245"/>
      <c r="G33" s="245"/>
      <c r="H33" s="245"/>
      <c r="I33" s="245">
        <v>7.7110000000000003</v>
      </c>
      <c r="J33" s="245">
        <v>8.3629999999999995</v>
      </c>
      <c r="K33" s="245">
        <v>7.1360000000000001</v>
      </c>
      <c r="L33" s="245">
        <v>7.3327</v>
      </c>
      <c r="M33" s="245">
        <v>8.2829999999999995</v>
      </c>
      <c r="N33" s="245"/>
    </row>
    <row r="34" spans="2:14">
      <c r="B34" t="s">
        <v>14</v>
      </c>
      <c r="C34" t="s">
        <v>304</v>
      </c>
      <c r="D34" t="s">
        <v>78</v>
      </c>
      <c r="E34" t="s">
        <v>434</v>
      </c>
      <c r="F34" s="245"/>
      <c r="G34" s="245"/>
      <c r="H34" s="245">
        <v>1.4590000000000001</v>
      </c>
      <c r="I34" s="245">
        <v>1.4650000000000001</v>
      </c>
      <c r="J34" s="245">
        <v>0.58867599999999998</v>
      </c>
      <c r="K34" s="245">
        <v>-0.123419</v>
      </c>
      <c r="L34" s="245">
        <v>0.654617</v>
      </c>
      <c r="M34" s="245">
        <v>0.74319357200000002</v>
      </c>
      <c r="N34" s="245"/>
    </row>
    <row r="35" spans="2:14">
      <c r="B35" t="s">
        <v>355</v>
      </c>
      <c r="C35" t="s">
        <v>394</v>
      </c>
      <c r="D35" t="s">
        <v>78</v>
      </c>
      <c r="E35" t="s">
        <v>434</v>
      </c>
      <c r="F35" s="245"/>
      <c r="G35" s="245"/>
      <c r="H35" s="245"/>
      <c r="I35" s="245">
        <v>0</v>
      </c>
      <c r="J35" s="245">
        <v>0</v>
      </c>
      <c r="K35" s="245">
        <v>0</v>
      </c>
      <c r="L35" s="245">
        <v>0</v>
      </c>
      <c r="M35" s="245">
        <v>0</v>
      </c>
      <c r="N35" s="245"/>
    </row>
    <row r="36" spans="2:14">
      <c r="B36" t="s">
        <v>356</v>
      </c>
      <c r="C36" t="s">
        <v>171</v>
      </c>
      <c r="D36" t="s">
        <v>78</v>
      </c>
      <c r="E36" t="s">
        <v>434</v>
      </c>
      <c r="F36" s="245"/>
      <c r="G36" s="245"/>
      <c r="H36" s="245"/>
      <c r="I36" s="245">
        <v>0</v>
      </c>
      <c r="J36" s="245">
        <v>0</v>
      </c>
      <c r="K36" s="245">
        <v>0</v>
      </c>
      <c r="L36" s="245">
        <v>0</v>
      </c>
      <c r="M36" s="245">
        <v>0</v>
      </c>
      <c r="N36" s="245"/>
    </row>
    <row r="37" spans="2:14">
      <c r="B37" t="s">
        <v>403</v>
      </c>
      <c r="C37" t="s">
        <v>407</v>
      </c>
      <c r="D37" t="s">
        <v>406</v>
      </c>
      <c r="E37" t="s">
        <v>434</v>
      </c>
      <c r="F37" s="245"/>
      <c r="G37" s="245"/>
      <c r="H37" s="245">
        <v>112.41500000000001</v>
      </c>
      <c r="I37" s="245">
        <v>111.41200000000001</v>
      </c>
      <c r="J37" s="245">
        <v>110.553</v>
      </c>
      <c r="K37" s="245">
        <v>110.304</v>
      </c>
      <c r="L37" s="245">
        <v>109.126</v>
      </c>
      <c r="M37" s="245">
        <v>109.182</v>
      </c>
      <c r="N37" s="245"/>
    </row>
    <row r="38" spans="2:14">
      <c r="B38" t="s">
        <v>352</v>
      </c>
      <c r="C38" t="s">
        <v>59</v>
      </c>
      <c r="D38" t="s">
        <v>406</v>
      </c>
      <c r="E38" t="s">
        <v>434</v>
      </c>
      <c r="F38" s="245"/>
      <c r="G38" s="245"/>
      <c r="H38" s="245"/>
      <c r="I38" s="245">
        <v>0.14899999999999999</v>
      </c>
      <c r="J38" s="245">
        <v>0.34499999999999997</v>
      </c>
      <c r="K38" s="245">
        <v>0.70399999999999996</v>
      </c>
      <c r="L38" s="245">
        <v>1.2929999999999999</v>
      </c>
      <c r="M38" s="245">
        <v>1.9430000000000001</v>
      </c>
      <c r="N38" s="245"/>
    </row>
    <row r="39" spans="2:14">
      <c r="B39" t="s">
        <v>346</v>
      </c>
      <c r="C39" t="s">
        <v>340</v>
      </c>
      <c r="D39" t="s">
        <v>406</v>
      </c>
      <c r="E39" t="s">
        <v>434</v>
      </c>
      <c r="F39" s="245"/>
      <c r="G39" s="245"/>
      <c r="H39" s="245"/>
      <c r="I39" s="245">
        <v>132.48400000000001</v>
      </c>
      <c r="J39" s="245">
        <v>128.56700000000001</v>
      </c>
      <c r="K39" s="245">
        <v>122.422</v>
      </c>
      <c r="L39" s="245">
        <v>115.05200000000001</v>
      </c>
      <c r="M39" s="245">
        <v>109.224</v>
      </c>
      <c r="N39" s="245"/>
    </row>
    <row r="40" spans="2:14">
      <c r="B40" t="s">
        <v>347</v>
      </c>
      <c r="C40" t="s">
        <v>341</v>
      </c>
      <c r="D40" t="s">
        <v>406</v>
      </c>
      <c r="E40" t="s">
        <v>434</v>
      </c>
      <c r="F40" s="245"/>
      <c r="G40" s="245"/>
      <c r="H40" s="245"/>
      <c r="I40" s="245">
        <v>98.088999999999999</v>
      </c>
      <c r="J40" s="245">
        <v>102.279</v>
      </c>
      <c r="K40" s="245">
        <v>109.82599999999999</v>
      </c>
      <c r="L40" s="245">
        <v>117.932</v>
      </c>
      <c r="M40" s="245">
        <v>124.236</v>
      </c>
      <c r="N40" s="245"/>
    </row>
    <row r="41" spans="2:14">
      <c r="B41" t="s">
        <v>348</v>
      </c>
      <c r="C41" t="s">
        <v>342</v>
      </c>
      <c r="D41" t="s">
        <v>406</v>
      </c>
      <c r="E41" t="s">
        <v>434</v>
      </c>
      <c r="F41" s="245"/>
      <c r="G41" s="245"/>
      <c r="H41" s="245"/>
      <c r="I41" s="245">
        <v>325.209</v>
      </c>
      <c r="J41" s="245">
        <v>315.14499999999998</v>
      </c>
      <c r="K41" s="245">
        <v>303.37099999999998</v>
      </c>
      <c r="L41" s="245">
        <v>292.30700000000002</v>
      </c>
      <c r="M41" s="245">
        <v>282.48200000000003</v>
      </c>
      <c r="N41" s="245"/>
    </row>
    <row r="42" spans="2:14">
      <c r="B42" t="s">
        <v>349</v>
      </c>
      <c r="C42" t="s">
        <v>343</v>
      </c>
      <c r="D42" t="s">
        <v>406</v>
      </c>
      <c r="E42" t="s">
        <v>434</v>
      </c>
      <c r="F42" s="245"/>
      <c r="G42" s="245"/>
      <c r="H42" s="245"/>
      <c r="I42" s="245">
        <v>463.697</v>
      </c>
      <c r="J42" s="245">
        <v>477.41699999999997</v>
      </c>
      <c r="K42" s="245">
        <v>493.53100000000001</v>
      </c>
      <c r="L42" s="245">
        <v>505.98099999999999</v>
      </c>
      <c r="M42" s="245">
        <v>519.30600000000004</v>
      </c>
      <c r="N42" s="245"/>
    </row>
    <row r="43" spans="2:14">
      <c r="B43" t="s">
        <v>350</v>
      </c>
      <c r="C43" t="s">
        <v>344</v>
      </c>
      <c r="D43" t="s">
        <v>406</v>
      </c>
      <c r="E43" t="s">
        <v>434</v>
      </c>
      <c r="F43" s="245"/>
      <c r="G43" s="245"/>
      <c r="H43" s="245"/>
      <c r="I43" s="245">
        <v>480.96499999999997</v>
      </c>
      <c r="J43" s="245">
        <v>449.88799999999998</v>
      </c>
      <c r="K43" s="245">
        <v>407.28300000000002</v>
      </c>
      <c r="L43" s="245">
        <v>369.65300000000002</v>
      </c>
      <c r="M43" s="245">
        <v>338.98399999999998</v>
      </c>
      <c r="N43" s="245"/>
    </row>
    <row r="44" spans="2:14">
      <c r="B44" t="s">
        <v>351</v>
      </c>
      <c r="C44" t="s">
        <v>345</v>
      </c>
      <c r="D44" t="s">
        <v>406</v>
      </c>
      <c r="E44" t="s">
        <v>434</v>
      </c>
      <c r="F44" s="245"/>
      <c r="G44" s="245"/>
      <c r="H44" s="245"/>
      <c r="I44" s="245">
        <v>1165.944</v>
      </c>
      <c r="J44" s="245">
        <v>1208.136</v>
      </c>
      <c r="K44" s="245">
        <v>1265.0989999999999</v>
      </c>
      <c r="L44" s="245">
        <v>1314.7380000000001</v>
      </c>
      <c r="M44" s="245">
        <v>1361.1289999999999</v>
      </c>
      <c r="N44" s="245"/>
    </row>
    <row r="45" spans="2:14">
      <c r="B45" t="s">
        <v>18</v>
      </c>
      <c r="C45" t="s">
        <v>81</v>
      </c>
      <c r="D45" t="s">
        <v>362</v>
      </c>
      <c r="E45" t="s">
        <v>434</v>
      </c>
      <c r="F45" s="249"/>
      <c r="G45" s="249"/>
      <c r="H45" s="249"/>
      <c r="I45" s="249">
        <v>0.28000000000000003</v>
      </c>
      <c r="J45" s="249">
        <v>0.26</v>
      </c>
      <c r="K45" s="249">
        <v>0.24</v>
      </c>
      <c r="L45" s="249">
        <v>0.23</v>
      </c>
      <c r="M45" s="249">
        <v>0.21</v>
      </c>
      <c r="N45" s="249"/>
    </row>
    <row r="46" spans="2:14">
      <c r="B46" t="s">
        <v>17</v>
      </c>
      <c r="C46" t="s">
        <v>305</v>
      </c>
      <c r="D46" t="s">
        <v>365</v>
      </c>
      <c r="E46" t="s">
        <v>434</v>
      </c>
      <c r="F46" s="250">
        <v>208.59166666666599</v>
      </c>
      <c r="G46" s="250">
        <v>214.78333333333299</v>
      </c>
      <c r="H46" s="250">
        <v>212.98333333333301</v>
      </c>
      <c r="I46" s="250">
        <v>217.23333333333301</v>
      </c>
      <c r="J46" s="250">
        <v>223.74350000000001</v>
      </c>
      <c r="K46" s="250">
        <v>229.78457449999999</v>
      </c>
      <c r="L46" s="250">
        <v>235.52918886249901</v>
      </c>
      <c r="M46" s="250">
        <v>241.41741858406201</v>
      </c>
      <c r="N46" s="250"/>
    </row>
    <row r="47" spans="2:14">
      <c r="B47" t="s">
        <v>408</v>
      </c>
      <c r="C47" t="s">
        <v>305</v>
      </c>
      <c r="D47" t="s">
        <v>361</v>
      </c>
      <c r="E47" t="s">
        <v>434</v>
      </c>
      <c r="F47" s="250">
        <v>208.59166666666701</v>
      </c>
      <c r="G47" s="250">
        <v>214.78333333333299</v>
      </c>
      <c r="H47" s="250">
        <v>215.76666666666699</v>
      </c>
      <c r="I47" s="250">
        <v>226.47499999999999</v>
      </c>
      <c r="J47" s="250">
        <v>237.34166666666701</v>
      </c>
      <c r="K47" s="250">
        <v>244.67500000000001</v>
      </c>
      <c r="L47" s="250">
        <v>251.73333333333301</v>
      </c>
      <c r="M47" s="250">
        <v>256.66666666666703</v>
      </c>
      <c r="N47" s="250"/>
    </row>
    <row r="48" spans="2:14">
      <c r="B48" t="s">
        <v>26</v>
      </c>
      <c r="C48" t="s">
        <v>306</v>
      </c>
      <c r="D48" t="s">
        <v>362</v>
      </c>
      <c r="E48" t="s">
        <v>434</v>
      </c>
      <c r="F48" s="249">
        <v>4.9000000000000002E-2</v>
      </c>
      <c r="G48" s="249">
        <v>4.4999999999999998E-2</v>
      </c>
      <c r="H48" s="249">
        <v>4.4999999999999998E-2</v>
      </c>
      <c r="I48" s="249">
        <v>4.4999999999999998E-2</v>
      </c>
      <c r="J48" s="249">
        <v>4.4999999999999998E-2</v>
      </c>
      <c r="K48" s="249">
        <v>4.4999999999999998E-2</v>
      </c>
      <c r="L48" s="249">
        <v>4.4999999999999998E-2</v>
      </c>
      <c r="M48" s="249">
        <v>4.4999999999999998E-2</v>
      </c>
      <c r="N48" s="249"/>
    </row>
    <row r="49" spans="2:14">
      <c r="B49" t="s">
        <v>324</v>
      </c>
      <c r="C49" t="s">
        <v>328</v>
      </c>
      <c r="D49" t="s">
        <v>362</v>
      </c>
      <c r="E49" t="s">
        <v>434</v>
      </c>
      <c r="F49" s="249"/>
      <c r="G49" s="249"/>
      <c r="H49" s="249"/>
      <c r="I49" s="249">
        <v>0.42</v>
      </c>
      <c r="J49" s="249">
        <v>0.42</v>
      </c>
      <c r="K49" s="249">
        <v>0.42</v>
      </c>
      <c r="L49" s="249">
        <v>0.42</v>
      </c>
      <c r="M49" s="249">
        <v>0.42</v>
      </c>
      <c r="N49" s="249"/>
    </row>
    <row r="50" spans="2:14">
      <c r="B50" t="s">
        <v>325</v>
      </c>
      <c r="C50" t="s">
        <v>329</v>
      </c>
      <c r="D50" t="s">
        <v>362</v>
      </c>
      <c r="E50" t="s">
        <v>434</v>
      </c>
      <c r="F50" s="249"/>
      <c r="G50" s="249"/>
      <c r="H50" s="249"/>
      <c r="I50" s="249">
        <v>0</v>
      </c>
      <c r="J50" s="249">
        <v>0.5</v>
      </c>
      <c r="K50" s="249">
        <v>1</v>
      </c>
      <c r="L50" s="249">
        <v>1.5</v>
      </c>
      <c r="M50" s="249">
        <v>0</v>
      </c>
      <c r="N50" s="249"/>
    </row>
    <row r="51" spans="2:14">
      <c r="B51" t="s">
        <v>327</v>
      </c>
      <c r="C51" t="s">
        <v>168</v>
      </c>
      <c r="D51" t="s">
        <v>361</v>
      </c>
      <c r="E51" t="s">
        <v>434</v>
      </c>
      <c r="F51" s="251">
        <v>50</v>
      </c>
      <c r="G51" s="251"/>
      <c r="H51" s="251"/>
      <c r="I51" s="251"/>
      <c r="J51" s="251"/>
      <c r="K51" s="251"/>
      <c r="L51" s="251"/>
      <c r="M51" s="251"/>
      <c r="N51" s="251"/>
    </row>
    <row r="52" spans="2:14">
      <c r="B52" t="s">
        <v>404</v>
      </c>
      <c r="C52" t="s">
        <v>395</v>
      </c>
      <c r="D52">
        <v>0</v>
      </c>
      <c r="E52" t="s">
        <v>434</v>
      </c>
      <c r="F52" s="245">
        <v>1811.9649999999999</v>
      </c>
      <c r="G52" s="245">
        <v>1837.586</v>
      </c>
      <c r="H52" s="245">
        <v>1859.8129999999901</v>
      </c>
      <c r="I52" s="245">
        <v>1877.481</v>
      </c>
      <c r="J52" s="245">
        <v>1890.9459999999999</v>
      </c>
      <c r="K52" s="245"/>
      <c r="L52" s="245"/>
      <c r="M52" s="245"/>
      <c r="N52" s="245"/>
    </row>
    <row r="53" spans="2:14">
      <c r="B53" t="s">
        <v>405</v>
      </c>
      <c r="C53" t="s">
        <v>396</v>
      </c>
      <c r="D53">
        <v>0</v>
      </c>
      <c r="E53" t="s">
        <v>434</v>
      </c>
      <c r="F53" s="245">
        <v>2347.335</v>
      </c>
      <c r="G53" s="245">
        <v>2385.9830000000002</v>
      </c>
      <c r="H53" s="245">
        <v>2412.5100000000002</v>
      </c>
      <c r="I53" s="245">
        <v>2435.8150000000001</v>
      </c>
      <c r="J53" s="245">
        <v>2450.5859999999998</v>
      </c>
      <c r="K53" s="245">
        <v>2469.2840000000001</v>
      </c>
      <c r="L53" s="245"/>
      <c r="M53" s="245"/>
      <c r="N53" s="245"/>
    </row>
    <row r="54" spans="2:14">
      <c r="B54" t="s">
        <v>385</v>
      </c>
      <c r="C54" t="s">
        <v>366</v>
      </c>
      <c r="D54" t="s">
        <v>362</v>
      </c>
      <c r="E54" t="s">
        <v>434</v>
      </c>
      <c r="F54" s="249"/>
      <c r="G54" s="249"/>
      <c r="H54" s="249"/>
      <c r="I54" s="249"/>
      <c r="J54" s="249"/>
      <c r="K54" s="249"/>
      <c r="L54" s="249"/>
      <c r="M54" s="249"/>
      <c r="N54" s="249">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40" zoomScaleNormal="40"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42"/>
      <c r="B1" s="241">
        <f>+F_Inputs!A4</f>
        <v>0</v>
      </c>
      <c r="C1" s="143" t="s">
        <v>66</v>
      </c>
      <c r="D1" s="241"/>
      <c r="E1" s="241"/>
      <c r="F1" s="144"/>
      <c r="G1" s="144"/>
      <c r="H1" s="144"/>
      <c r="I1" s="144"/>
      <c r="J1" s="144"/>
      <c r="K1" s="144"/>
      <c r="L1" s="144"/>
      <c r="M1" s="145"/>
    </row>
    <row r="2" spans="1:14" s="53" customFormat="1" ht="18" customHeight="1">
      <c r="A2" s="146"/>
      <c r="B2" s="147" t="s">
        <v>224</v>
      </c>
      <c r="C2" s="149" t="s">
        <v>64</v>
      </c>
      <c r="D2" s="148" t="s">
        <v>237</v>
      </c>
      <c r="E2" s="231"/>
      <c r="F2" s="150" t="s">
        <v>69</v>
      </c>
      <c r="G2" s="150" t="s">
        <v>70</v>
      </c>
      <c r="H2" s="150" t="s">
        <v>71</v>
      </c>
      <c r="I2" s="233" t="s">
        <v>72</v>
      </c>
      <c r="J2" s="233" t="s">
        <v>73</v>
      </c>
      <c r="K2" s="233" t="s">
        <v>74</v>
      </c>
      <c r="L2" s="233" t="s">
        <v>75</v>
      </c>
      <c r="M2" s="233" t="s">
        <v>76</v>
      </c>
    </row>
    <row r="3" spans="1:14" s="53" customFormat="1" ht="15.6">
      <c r="A3" s="151"/>
      <c r="B3" s="152"/>
      <c r="C3" s="153"/>
      <c r="D3" s="152"/>
      <c r="E3" s="152"/>
      <c r="F3" s="154"/>
      <c r="G3" s="154"/>
      <c r="H3" s="154"/>
      <c r="I3" s="234"/>
      <c r="J3" s="234"/>
      <c r="K3" s="234"/>
      <c r="L3" s="234"/>
      <c r="M3" s="234"/>
    </row>
    <row r="4" spans="1:14" s="53" customFormat="1" ht="15">
      <c r="A4" s="155"/>
      <c r="B4" s="156" t="s">
        <v>225</v>
      </c>
      <c r="C4" s="158" t="s">
        <v>226</v>
      </c>
      <c r="D4" s="157"/>
      <c r="E4" s="157"/>
      <c r="F4" s="157">
        <v>2007</v>
      </c>
      <c r="G4" s="157">
        <v>2008</v>
      </c>
      <c r="H4" s="157">
        <v>2009</v>
      </c>
      <c r="I4" s="238">
        <v>2010</v>
      </c>
      <c r="J4" s="238">
        <v>2011</v>
      </c>
      <c r="K4" s="238">
        <v>2012</v>
      </c>
      <c r="L4" s="238">
        <v>2013</v>
      </c>
      <c r="M4" s="238">
        <v>2014</v>
      </c>
    </row>
    <row r="5" spans="1:14" s="53" customFormat="1" ht="15">
      <c r="A5" s="155"/>
      <c r="B5" s="118" t="s">
        <v>98</v>
      </c>
      <c r="C5" s="118" t="s">
        <v>99</v>
      </c>
      <c r="D5" s="232"/>
      <c r="E5" s="232"/>
      <c r="F5" s="118"/>
      <c r="G5" s="118"/>
      <c r="H5" s="118"/>
      <c r="I5" s="159">
        <v>1</v>
      </c>
      <c r="J5" s="159">
        <v>2</v>
      </c>
      <c r="K5" s="159">
        <v>3</v>
      </c>
      <c r="L5" s="159">
        <v>4</v>
      </c>
      <c r="M5" s="159">
        <v>5</v>
      </c>
    </row>
    <row r="6" spans="1:14" ht="15.6">
      <c r="A6" s="119"/>
      <c r="B6" s="119"/>
      <c r="C6" s="120" t="s">
        <v>381</v>
      </c>
      <c r="D6" s="119"/>
      <c r="E6" s="119"/>
      <c r="F6" s="119"/>
      <c r="G6" s="119"/>
      <c r="H6" s="119"/>
      <c r="I6" s="119"/>
      <c r="J6" s="119"/>
      <c r="K6" s="119"/>
      <c r="L6" s="119"/>
      <c r="M6" s="119"/>
    </row>
    <row r="7" spans="1:14" ht="15">
      <c r="A7" s="9"/>
      <c r="B7" s="232" t="s">
        <v>316</v>
      </c>
      <c r="C7" s="118" t="str">
        <f>"Water: Non-households – under "&amp;Threshold&amp;"ML threshold"</f>
        <v>Water: Non-households – under 50ML threshold</v>
      </c>
      <c r="D7" s="232" t="s">
        <v>238</v>
      </c>
      <c r="E7" s="232"/>
      <c r="F7" s="118"/>
      <c r="G7" s="160"/>
      <c r="H7" s="162">
        <f>F_Inputs!H4</f>
        <v>74.723003293766595</v>
      </c>
      <c r="I7" s="162">
        <f>F_Inputs!I4</f>
        <v>72.180173408600893</v>
      </c>
      <c r="J7" s="162">
        <f>F_Inputs!J4</f>
        <v>74.587559404474604</v>
      </c>
      <c r="K7" s="162">
        <f>F_Inputs!K4</f>
        <v>78.259532513673804</v>
      </c>
      <c r="L7" s="162">
        <f>F_Inputs!L4</f>
        <v>81.225519275413703</v>
      </c>
      <c r="M7" s="162">
        <f>F_Inputs!M4</f>
        <v>83.360571474510493</v>
      </c>
    </row>
    <row r="8" spans="1:14" ht="15">
      <c r="A8" s="9"/>
      <c r="B8" s="232" t="s">
        <v>317</v>
      </c>
      <c r="C8" s="118" t="str">
        <f>"Water: Non-households – over "&amp;Threshold&amp;"ML threshold"</f>
        <v>Water: Non-households – over 50ML threshold</v>
      </c>
      <c r="D8" s="232" t="s">
        <v>238</v>
      </c>
      <c r="E8" s="232"/>
      <c r="F8" s="118"/>
      <c r="G8" s="160"/>
      <c r="H8" s="162">
        <f>F_Inputs!H5</f>
        <v>5.56856224161172</v>
      </c>
      <c r="I8" s="162">
        <f>F_Inputs!I5</f>
        <v>5.3745380834557004</v>
      </c>
      <c r="J8" s="162">
        <f>F_Inputs!J5</f>
        <v>5.56473160477156</v>
      </c>
      <c r="K8" s="162">
        <f>F_Inputs!K5</f>
        <v>5.8512700850113104</v>
      </c>
      <c r="L8" s="162">
        <f>F_Inputs!L5</f>
        <v>6.0818374665961699</v>
      </c>
      <c r="M8" s="162">
        <f>F_Inputs!M5</f>
        <v>6.2450518167447697</v>
      </c>
    </row>
    <row r="9" spans="1:14" ht="15">
      <c r="A9" s="9"/>
      <c r="B9" s="232"/>
      <c r="C9" s="118"/>
      <c r="D9" s="232"/>
      <c r="E9" s="232"/>
      <c r="F9" s="118"/>
      <c r="G9" s="160"/>
      <c r="H9" s="161"/>
      <c r="I9" s="161"/>
      <c r="J9" s="161"/>
      <c r="K9" s="161"/>
      <c r="L9" s="161"/>
      <c r="M9" s="161"/>
      <c r="N9" s="3"/>
    </row>
    <row r="10" spans="1:14" ht="15">
      <c r="A10" s="9"/>
      <c r="B10" s="232" t="s">
        <v>33</v>
      </c>
      <c r="C10" s="121" t="s">
        <v>40</v>
      </c>
      <c r="D10" s="232" t="s">
        <v>238</v>
      </c>
      <c r="E10" s="232"/>
      <c r="F10" s="118"/>
      <c r="G10" s="160"/>
      <c r="H10" s="161"/>
      <c r="I10" s="248">
        <f>F_Inputs!I6+F_Inputs!I7</f>
        <v>378.38477090415898</v>
      </c>
      <c r="J10" s="248">
        <f>F_Inputs!J6+F_Inputs!J7</f>
        <v>388.40701844918601</v>
      </c>
      <c r="K10" s="248">
        <f>F_Inputs!K6+F_Inputs!K7</f>
        <v>402.86798232529901</v>
      </c>
      <c r="L10" s="248">
        <f>F_Inputs!L6+F_Inputs!L7</f>
        <v>414.35029411423699</v>
      </c>
      <c r="M10" s="248">
        <f>F_Inputs!M6+F_Inputs!M7</f>
        <v>422.78873375968698</v>
      </c>
    </row>
    <row r="11" spans="1:14" ht="15">
      <c r="A11" s="9"/>
      <c r="B11" s="232" t="s">
        <v>27</v>
      </c>
      <c r="C11" s="122" t="s">
        <v>39</v>
      </c>
      <c r="D11" s="122" t="s">
        <v>239</v>
      </c>
      <c r="E11" s="122"/>
      <c r="F11" s="118"/>
      <c r="G11" s="160"/>
      <c r="H11" s="162">
        <f>F_Inputs!H8</f>
        <v>634.73900000000003</v>
      </c>
      <c r="I11" s="162">
        <f>F_Inputs!I8</f>
        <v>586.61500000000001</v>
      </c>
      <c r="J11" s="162">
        <f>F_Inputs!J8</f>
        <v>531.12599999999998</v>
      </c>
      <c r="K11" s="162">
        <f>F_Inputs!K8</f>
        <v>468.32299999999998</v>
      </c>
      <c r="L11" s="162">
        <f>F_Inputs!L8</f>
        <v>409.53899999999999</v>
      </c>
      <c r="M11" s="162">
        <f>F_Inputs!M8</f>
        <v>366.47399999999999</v>
      </c>
    </row>
    <row r="12" spans="1:14" ht="15">
      <c r="A12" s="9"/>
      <c r="B12" s="232" t="s">
        <v>180</v>
      </c>
      <c r="C12" s="122" t="s">
        <v>37</v>
      </c>
      <c r="D12" s="122" t="s">
        <v>239</v>
      </c>
      <c r="E12" s="122"/>
      <c r="F12" s="118"/>
      <c r="G12" s="160"/>
      <c r="H12" s="162">
        <f>F_Inputs!H9</f>
        <v>1195.817</v>
      </c>
      <c r="I12" s="162">
        <f>F_Inputs!I9</f>
        <v>1258.2329999999999</v>
      </c>
      <c r="J12" s="162">
        <f>F_Inputs!J9</f>
        <v>1332.143</v>
      </c>
      <c r="K12" s="162">
        <f>F_Inputs!K9</f>
        <v>1418.569</v>
      </c>
      <c r="L12" s="162">
        <f>F_Inputs!L9</f>
        <v>1501.9</v>
      </c>
      <c r="M12" s="162">
        <f>F_Inputs!M9</f>
        <v>1568.204</v>
      </c>
    </row>
    <row r="13" spans="1:14" ht="15">
      <c r="A13" s="9"/>
      <c r="B13" s="232" t="s">
        <v>22</v>
      </c>
      <c r="C13" s="121" t="s">
        <v>104</v>
      </c>
      <c r="D13" s="122" t="s">
        <v>239</v>
      </c>
      <c r="E13" s="122"/>
      <c r="F13" s="118"/>
      <c r="G13" s="160"/>
      <c r="H13" s="162">
        <f>F_Inputs!H10</f>
        <v>4.6379999999999999</v>
      </c>
      <c r="I13" s="162">
        <f>F_Inputs!I10</f>
        <v>4.6379999999999999</v>
      </c>
      <c r="J13" s="162">
        <f>F_Inputs!J10</f>
        <v>4.6379999999999999</v>
      </c>
      <c r="K13" s="162">
        <f>F_Inputs!K10</f>
        <v>4.6379999999999999</v>
      </c>
      <c r="L13" s="162">
        <f>F_Inputs!L10</f>
        <v>4.6379999999999999</v>
      </c>
      <c r="M13" s="162">
        <f>F_Inputs!M10</f>
        <v>4.6379999999999999</v>
      </c>
    </row>
    <row r="14" spans="1:14" ht="15">
      <c r="A14" s="9"/>
      <c r="B14" s="232" t="s">
        <v>23</v>
      </c>
      <c r="C14" s="121" t="s">
        <v>105</v>
      </c>
      <c r="D14" s="122" t="s">
        <v>239</v>
      </c>
      <c r="E14" s="122"/>
      <c r="F14" s="118"/>
      <c r="G14" s="160"/>
      <c r="H14" s="162">
        <f>F_Inputs!H11</f>
        <v>108.961</v>
      </c>
      <c r="I14" s="162">
        <f>F_Inputs!I11</f>
        <v>108.961</v>
      </c>
      <c r="J14" s="162">
        <f>F_Inputs!J11</f>
        <v>108.961</v>
      </c>
      <c r="K14" s="162">
        <f>F_Inputs!K11</f>
        <v>108.961</v>
      </c>
      <c r="L14" s="162">
        <f>F_Inputs!L11</f>
        <v>108.961</v>
      </c>
      <c r="M14" s="162">
        <f>F_Inputs!M11</f>
        <v>108.961</v>
      </c>
    </row>
    <row r="15" spans="1:14" ht="15">
      <c r="A15" s="9"/>
      <c r="B15" s="232"/>
      <c r="C15" s="118"/>
      <c r="D15" s="232"/>
      <c r="E15" s="232"/>
      <c r="F15" s="118"/>
      <c r="G15" s="160"/>
      <c r="H15" s="161"/>
      <c r="I15" s="161"/>
      <c r="J15" s="161"/>
      <c r="K15" s="161"/>
      <c r="L15" s="161"/>
      <c r="M15" s="161"/>
    </row>
    <row r="16" spans="1:14" s="5" customFormat="1" ht="15">
      <c r="A16" s="140"/>
      <c r="B16" s="232" t="s">
        <v>318</v>
      </c>
      <c r="C16" s="118" t="str">
        <f>"Sewerage: Non-households – under "&amp;Threshold&amp;"ML threshold"</f>
        <v>Sewerage: Non-households – under 50ML threshold</v>
      </c>
      <c r="D16" s="123" t="s">
        <v>238</v>
      </c>
      <c r="E16" s="123"/>
      <c r="F16" s="118"/>
      <c r="G16" s="160"/>
      <c r="H16" s="162">
        <f>F_Inputs!H12</f>
        <v>70.781654735154902</v>
      </c>
      <c r="I16" s="162">
        <f>F_Inputs!I12</f>
        <v>68.872182591840797</v>
      </c>
      <c r="J16" s="162">
        <f>F_Inputs!J12</f>
        <v>68.987907870915194</v>
      </c>
      <c r="K16" s="162">
        <f>F_Inputs!K12</f>
        <v>71.621375959377403</v>
      </c>
      <c r="L16" s="162">
        <f>F_Inputs!L12</f>
        <v>73.939016696157296</v>
      </c>
      <c r="M16" s="162">
        <f>F_Inputs!M12</f>
        <v>76.630218684055095</v>
      </c>
    </row>
    <row r="17" spans="1:13" s="5" customFormat="1" ht="15">
      <c r="A17" s="140"/>
      <c r="B17" s="232" t="s">
        <v>319</v>
      </c>
      <c r="C17" s="118" t="str">
        <f>"Sewerage: Non-households – over "&amp;Threshold&amp;"ML threshold"</f>
        <v>Sewerage: Non-households – over 50ML threshold</v>
      </c>
      <c r="D17" s="123" t="s">
        <v>238</v>
      </c>
      <c r="E17" s="123"/>
      <c r="F17" s="118"/>
      <c r="G17" s="160"/>
      <c r="H17" s="162">
        <f>F_Inputs!H13</f>
        <v>4.1953756085003304</v>
      </c>
      <c r="I17" s="162">
        <f>F_Inputs!I13</f>
        <v>4.03608360492525</v>
      </c>
      <c r="J17" s="162">
        <f>F_Inputs!J13</f>
        <v>4.0192598009628204</v>
      </c>
      <c r="K17" s="162">
        <f>F_Inputs!K13</f>
        <v>4.1529356515964198</v>
      </c>
      <c r="L17" s="162">
        <f>F_Inputs!L13</f>
        <v>4.2661537261695397</v>
      </c>
      <c r="M17" s="162">
        <f>F_Inputs!M13</f>
        <v>4.4003789861354896</v>
      </c>
    </row>
    <row r="18" spans="1:13" s="5" customFormat="1" ht="15">
      <c r="A18" s="140"/>
      <c r="B18" s="118"/>
      <c r="C18" s="118"/>
      <c r="D18" s="123"/>
      <c r="E18" s="123"/>
      <c r="F18" s="118"/>
      <c r="G18" s="160"/>
      <c r="H18" s="161"/>
      <c r="I18" s="161"/>
      <c r="J18" s="161"/>
      <c r="K18" s="161"/>
      <c r="L18" s="161"/>
      <c r="M18" s="161"/>
    </row>
    <row r="19" spans="1:13" s="5" customFormat="1" ht="15">
      <c r="A19" s="140"/>
      <c r="B19" s="118" t="s">
        <v>34</v>
      </c>
      <c r="C19" s="121" t="s">
        <v>102</v>
      </c>
      <c r="D19" s="123" t="s">
        <v>238</v>
      </c>
      <c r="E19" s="123"/>
      <c r="F19" s="118"/>
      <c r="G19" s="160"/>
      <c r="H19" s="161"/>
      <c r="I19" s="163">
        <f>F_Inputs!I14+F_Inputs!I15</f>
        <v>577.36762666552397</v>
      </c>
      <c r="J19" s="163">
        <f>F_Inputs!J14+F_Inputs!J15</f>
        <v>579.53464527036499</v>
      </c>
      <c r="K19" s="163">
        <f>F_Inputs!K14+F_Inputs!K15</f>
        <v>597.78962499154795</v>
      </c>
      <c r="L19" s="163">
        <f>F_Inputs!L14+F_Inputs!L15</f>
        <v>614.48065316533405</v>
      </c>
      <c r="M19" s="163">
        <f>F_Inputs!M14+F_Inputs!M15</f>
        <v>633.98968007536905</v>
      </c>
    </row>
    <row r="20" spans="1:13" s="5" customFormat="1" ht="15">
      <c r="A20" s="140"/>
      <c r="B20" s="118" t="s">
        <v>28</v>
      </c>
      <c r="C20" s="122" t="s">
        <v>103</v>
      </c>
      <c r="D20" s="122" t="s">
        <v>239</v>
      </c>
      <c r="E20" s="122"/>
      <c r="F20" s="118"/>
      <c r="G20" s="160"/>
      <c r="H20" s="163">
        <f>F_Inputs!H16</f>
        <v>826.41600000000005</v>
      </c>
      <c r="I20" s="162">
        <f>F_Inputs!I16</f>
        <v>762.73500000000001</v>
      </c>
      <c r="J20" s="162">
        <f>F_Inputs!J16</f>
        <v>690.726</v>
      </c>
      <c r="K20" s="162">
        <f>F_Inputs!K16</f>
        <v>611.70000000000005</v>
      </c>
      <c r="L20" s="162">
        <f>F_Inputs!L16</f>
        <v>536.89200000000005</v>
      </c>
      <c r="M20" s="162">
        <f>F_Inputs!M16</f>
        <v>478.06200000000001</v>
      </c>
    </row>
    <row r="21" spans="1:13" s="5" customFormat="1" ht="15">
      <c r="A21" s="140"/>
      <c r="B21" s="118" t="s">
        <v>29</v>
      </c>
      <c r="C21" s="122" t="s">
        <v>35</v>
      </c>
      <c r="D21" s="122" t="s">
        <v>239</v>
      </c>
      <c r="E21" s="122"/>
      <c r="F21" s="118"/>
      <c r="G21" s="160"/>
      <c r="H21" s="162">
        <f>F_Inputs!H17</f>
        <v>1552.7929999999999</v>
      </c>
      <c r="I21" s="162">
        <f>F_Inputs!I17</f>
        <v>1633.8789999999999</v>
      </c>
      <c r="J21" s="162">
        <f>F_Inputs!J17</f>
        <v>1728.43</v>
      </c>
      <c r="K21" s="162">
        <f>F_Inputs!K17</f>
        <v>1837.0889999999999</v>
      </c>
      <c r="L21" s="162">
        <f>F_Inputs!L17</f>
        <v>1942.567</v>
      </c>
      <c r="M21" s="162">
        <f>F_Inputs!M17</f>
        <v>2030.421</v>
      </c>
    </row>
    <row r="22" spans="1:13" s="5" customFormat="1" ht="15">
      <c r="A22" s="140"/>
      <c r="B22" s="118" t="s">
        <v>24</v>
      </c>
      <c r="C22" s="121" t="s">
        <v>38</v>
      </c>
      <c r="D22" s="122" t="s">
        <v>239</v>
      </c>
      <c r="E22" s="122"/>
      <c r="F22" s="118"/>
      <c r="G22" s="160"/>
      <c r="H22" s="163">
        <f>F_Inputs!H18</f>
        <v>6.548</v>
      </c>
      <c r="I22" s="162">
        <f>F_Inputs!I18</f>
        <v>6.548</v>
      </c>
      <c r="J22" s="162">
        <f>F_Inputs!J18</f>
        <v>6.548</v>
      </c>
      <c r="K22" s="162">
        <f>F_Inputs!K18</f>
        <v>6.548</v>
      </c>
      <c r="L22" s="162">
        <f>F_Inputs!L18</f>
        <v>6.548</v>
      </c>
      <c r="M22" s="162">
        <f>F_Inputs!M18</f>
        <v>6.548</v>
      </c>
    </row>
    <row r="23" spans="1:13" s="5" customFormat="1" ht="15">
      <c r="A23" s="140"/>
      <c r="B23" s="118" t="s">
        <v>25</v>
      </c>
      <c r="C23" s="121" t="s">
        <v>41</v>
      </c>
      <c r="D23" s="122" t="s">
        <v>239</v>
      </c>
      <c r="E23" s="122"/>
      <c r="F23" s="118"/>
      <c r="G23" s="160"/>
      <c r="H23" s="162">
        <f>F_Inputs!H19</f>
        <v>106.879</v>
      </c>
      <c r="I23" s="162">
        <f>F_Inputs!I19</f>
        <v>106.879</v>
      </c>
      <c r="J23" s="162">
        <f>F_Inputs!J19</f>
        <v>106.879</v>
      </c>
      <c r="K23" s="162">
        <f>F_Inputs!K19</f>
        <v>106.879</v>
      </c>
      <c r="L23" s="162">
        <f>F_Inputs!L19</f>
        <v>106.879</v>
      </c>
      <c r="M23" s="162">
        <f>F_Inputs!M19</f>
        <v>106.879</v>
      </c>
    </row>
    <row r="24" spans="1:13" s="5" customFormat="1" ht="15">
      <c r="A24" s="140"/>
      <c r="B24" s="118"/>
      <c r="C24" s="118"/>
      <c r="D24" s="123"/>
      <c r="E24" s="123"/>
      <c r="F24" s="118"/>
      <c r="G24" s="160"/>
      <c r="H24" s="161"/>
      <c r="I24" s="161"/>
      <c r="J24" s="161"/>
      <c r="K24" s="161"/>
      <c r="L24" s="161"/>
      <c r="M24" s="161"/>
    </row>
    <row r="25" spans="1:13" ht="15">
      <c r="A25" s="9"/>
      <c r="B25" s="118"/>
      <c r="C25" s="125"/>
      <c r="D25" s="232"/>
      <c r="E25" s="232"/>
      <c r="F25" s="118"/>
      <c r="G25" s="118"/>
      <c r="H25" s="118"/>
      <c r="I25" s="172"/>
      <c r="J25" s="172"/>
      <c r="K25" s="172"/>
      <c r="L25" s="172"/>
      <c r="M25" s="172"/>
    </row>
    <row r="26" spans="1:13" ht="15.6">
      <c r="A26" s="119"/>
      <c r="B26" s="119"/>
      <c r="C26" s="120" t="s">
        <v>382</v>
      </c>
      <c r="D26" s="119"/>
      <c r="E26" s="119"/>
      <c r="F26" s="119"/>
      <c r="G26" s="119"/>
      <c r="H26" s="119"/>
      <c r="I26" s="119"/>
      <c r="J26" s="119"/>
      <c r="K26" s="119"/>
      <c r="L26" s="119"/>
      <c r="M26" s="119"/>
    </row>
    <row r="27" spans="1:13" ht="15">
      <c r="A27" s="9"/>
      <c r="B27" s="118" t="s">
        <v>3</v>
      </c>
      <c r="C27" s="125" t="s">
        <v>45</v>
      </c>
      <c r="D27" s="123" t="s">
        <v>238</v>
      </c>
      <c r="E27" s="123"/>
      <c r="F27" s="118"/>
      <c r="G27" s="118"/>
      <c r="H27" s="118"/>
      <c r="I27" s="165">
        <f>F_Inputs!I20</f>
        <v>128.273</v>
      </c>
      <c r="J27" s="165">
        <f>F_Inputs!J20</f>
        <v>126.371</v>
      </c>
      <c r="K27" s="165">
        <f>F_Inputs!K20</f>
        <v>126.919</v>
      </c>
      <c r="L27" s="165">
        <f>F_Inputs!L20</f>
        <v>121.11199999999999</v>
      </c>
      <c r="M27" s="165">
        <f>F_Inputs!M20</f>
        <v>114.31100000000001</v>
      </c>
    </row>
    <row r="28" spans="1:13" ht="15">
      <c r="A28" s="9"/>
      <c r="B28" s="118" t="s">
        <v>4</v>
      </c>
      <c r="C28" s="125" t="s">
        <v>46</v>
      </c>
      <c r="D28" s="123" t="s">
        <v>238</v>
      </c>
      <c r="E28" s="123"/>
      <c r="F28" s="118"/>
      <c r="G28" s="118"/>
      <c r="H28" s="118"/>
      <c r="I28" s="165">
        <f>F_Inputs!I21</f>
        <v>0.93400000000000005</v>
      </c>
      <c r="J28" s="165">
        <f>F_Inputs!J21</f>
        <v>0.88900000000000001</v>
      </c>
      <c r="K28" s="165">
        <f>F_Inputs!K21</f>
        <v>0.83499999999999996</v>
      </c>
      <c r="L28" s="165">
        <f>F_Inputs!L21</f>
        <v>0.66200000000000003</v>
      </c>
      <c r="M28" s="165">
        <f>F_Inputs!M21</f>
        <v>0.54</v>
      </c>
    </row>
    <row r="29" spans="1:13" ht="15">
      <c r="A29" s="9"/>
      <c r="B29" s="118" t="s">
        <v>5</v>
      </c>
      <c r="C29" s="125" t="s">
        <v>47</v>
      </c>
      <c r="D29" s="123" t="s">
        <v>238</v>
      </c>
      <c r="E29" s="123"/>
      <c r="F29" s="118"/>
      <c r="G29" s="118"/>
      <c r="H29" s="118"/>
      <c r="I29" s="165">
        <f>F_Inputs!I22</f>
        <v>188.05500000000001</v>
      </c>
      <c r="J29" s="165">
        <f>F_Inputs!J22</f>
        <v>206.684</v>
      </c>
      <c r="K29" s="165">
        <f>F_Inputs!K22</f>
        <v>209.21700000000001</v>
      </c>
      <c r="L29" s="165">
        <f>F_Inputs!L22</f>
        <v>239.90899999999999</v>
      </c>
      <c r="M29" s="165">
        <f>F_Inputs!M22</f>
        <v>251.65700000000001</v>
      </c>
    </row>
    <row r="30" spans="1:13" ht="15">
      <c r="A30" s="9"/>
      <c r="B30" s="118" t="s">
        <v>6</v>
      </c>
      <c r="C30" s="125" t="s">
        <v>48</v>
      </c>
      <c r="D30" s="123" t="s">
        <v>238</v>
      </c>
      <c r="E30" s="123"/>
      <c r="F30" s="118"/>
      <c r="G30" s="118"/>
      <c r="H30" s="118"/>
      <c r="I30" s="165">
        <f>F_Inputs!I23</f>
        <v>76.986999999999995</v>
      </c>
      <c r="J30" s="165">
        <f>F_Inputs!J23</f>
        <v>82.72</v>
      </c>
      <c r="K30" s="165">
        <f>F_Inputs!K23</f>
        <v>74.813000000000002</v>
      </c>
      <c r="L30" s="165">
        <f>F_Inputs!L23</f>
        <v>77.476754</v>
      </c>
      <c r="M30" s="165">
        <f>F_Inputs!M23</f>
        <v>86.614000000000004</v>
      </c>
    </row>
    <row r="31" spans="1:13" ht="15">
      <c r="A31" s="9"/>
      <c r="B31" s="118" t="s">
        <v>7</v>
      </c>
      <c r="C31" s="118" t="s">
        <v>49</v>
      </c>
      <c r="D31" s="123" t="s">
        <v>238</v>
      </c>
      <c r="E31" s="123"/>
      <c r="F31" s="166"/>
      <c r="G31" s="167"/>
      <c r="H31" s="162">
        <f>F_Inputs!H24</f>
        <v>0.996</v>
      </c>
      <c r="I31" s="162">
        <f>F_Inputs!I24</f>
        <v>1.248</v>
      </c>
      <c r="J31" s="162">
        <f>F_Inputs!J24</f>
        <v>-4.1089000000000001E-2</v>
      </c>
      <c r="K31" s="162">
        <f>F_Inputs!K24</f>
        <v>-1.0141720000000001</v>
      </c>
      <c r="L31" s="162">
        <f>F_Inputs!L24</f>
        <v>4.7562E-2</v>
      </c>
      <c r="M31" s="162">
        <f>F_Inputs!M24</f>
        <v>0.69751996400000005</v>
      </c>
    </row>
    <row r="32" spans="1:13" s="3" customFormat="1" ht="15">
      <c r="A32" s="128"/>
      <c r="B32" s="126" t="s">
        <v>331</v>
      </c>
      <c r="C32" s="118" t="s">
        <v>233</v>
      </c>
      <c r="D32" s="123" t="s">
        <v>238</v>
      </c>
      <c r="E32" s="123"/>
      <c r="F32" s="166"/>
      <c r="G32" s="167"/>
      <c r="H32" s="161"/>
      <c r="I32" s="162">
        <f>F_Inputs!I25</f>
        <v>0</v>
      </c>
      <c r="J32" s="162">
        <f>F_Inputs!J25</f>
        <v>0</v>
      </c>
      <c r="K32" s="162">
        <f>F_Inputs!K25</f>
        <v>0</v>
      </c>
      <c r="L32" s="162">
        <f>F_Inputs!L25</f>
        <v>0</v>
      </c>
      <c r="M32" s="162">
        <f>F_Inputs!M25</f>
        <v>0</v>
      </c>
    </row>
    <row r="33" spans="1:14" s="3" customFormat="1" ht="15">
      <c r="A33" s="128"/>
      <c r="B33" s="126" t="s">
        <v>332</v>
      </c>
      <c r="C33" s="118" t="s">
        <v>170</v>
      </c>
      <c r="D33" s="123" t="s">
        <v>238</v>
      </c>
      <c r="E33" s="123"/>
      <c r="F33" s="166"/>
      <c r="G33" s="167"/>
      <c r="H33" s="161"/>
      <c r="I33" s="162">
        <f>F_Inputs!I26</f>
        <v>0</v>
      </c>
      <c r="J33" s="162">
        <f>F_Inputs!J26</f>
        <v>0</v>
      </c>
      <c r="K33" s="162">
        <f>F_Inputs!K26</f>
        <v>0</v>
      </c>
      <c r="L33" s="162">
        <f>F_Inputs!L26</f>
        <v>0</v>
      </c>
      <c r="M33" s="162">
        <f>F_Inputs!M26</f>
        <v>0</v>
      </c>
    </row>
    <row r="34" spans="1:14" ht="15">
      <c r="A34" s="9"/>
      <c r="B34" s="9"/>
      <c r="C34" s="9"/>
      <c r="D34" s="140"/>
      <c r="E34" s="140"/>
      <c r="F34" s="9"/>
      <c r="G34" s="168"/>
      <c r="H34" s="206"/>
      <c r="I34" s="206"/>
      <c r="J34" s="206"/>
      <c r="K34" s="206"/>
      <c r="L34" s="206"/>
      <c r="M34" s="206"/>
      <c r="N34" s="3"/>
    </row>
    <row r="35" spans="1:14" ht="15">
      <c r="A35" s="9"/>
      <c r="B35" s="118" t="s">
        <v>380</v>
      </c>
      <c r="C35" s="125" t="s">
        <v>51</v>
      </c>
      <c r="D35" s="122" t="s">
        <v>239</v>
      </c>
      <c r="E35" s="122"/>
      <c r="F35" s="118"/>
      <c r="G35" s="161"/>
      <c r="H35" s="244">
        <f>F_Inputs!H52</f>
        <v>1859.8129999999901</v>
      </c>
      <c r="I35" s="244">
        <f>+F_Inputs!I39+F_Inputs!I40+F_Inputs!I43+F_Inputs!I44</f>
        <v>1877.482</v>
      </c>
      <c r="J35" s="244">
        <f>+F_Inputs!J39+F_Inputs!J40+F_Inputs!J43+F_Inputs!J44</f>
        <v>1888.87</v>
      </c>
      <c r="K35" s="244">
        <f>+F_Inputs!K39+F_Inputs!K40+F_Inputs!K43+F_Inputs!K44</f>
        <v>1904.6299999999999</v>
      </c>
      <c r="L35" s="244">
        <f>+F_Inputs!L39+F_Inputs!L40+F_Inputs!L43+F_Inputs!L44</f>
        <v>1917.375</v>
      </c>
      <c r="M35" s="244">
        <f>+F_Inputs!M39+F_Inputs!M40+F_Inputs!M43+F_Inputs!M44</f>
        <v>1933.5729999999999</v>
      </c>
    </row>
    <row r="36" spans="1:14" ht="15">
      <c r="A36" s="9"/>
      <c r="B36" s="118" t="s">
        <v>8</v>
      </c>
      <c r="C36" s="125" t="s">
        <v>52</v>
      </c>
      <c r="D36" s="122" t="s">
        <v>239</v>
      </c>
      <c r="E36" s="122"/>
      <c r="F36" s="118"/>
      <c r="G36" s="161"/>
      <c r="H36" s="162">
        <f>F_Inputs!H27</f>
        <v>112.669</v>
      </c>
      <c r="I36" s="162">
        <f>F_Inputs!I27</f>
        <v>111.892</v>
      </c>
      <c r="J36" s="162">
        <f>F_Inputs!J27</f>
        <v>111.08</v>
      </c>
      <c r="K36" s="162">
        <f>F_Inputs!K27</f>
        <v>110.416</v>
      </c>
      <c r="L36" s="162">
        <f>F_Inputs!L27</f>
        <v>108.922</v>
      </c>
      <c r="M36" s="162">
        <f>F_Inputs!M27</f>
        <v>108.291</v>
      </c>
    </row>
    <row r="37" spans="1:14" ht="15">
      <c r="A37" s="9"/>
      <c r="B37" s="118" t="s">
        <v>330</v>
      </c>
      <c r="C37" s="118" t="s">
        <v>50</v>
      </c>
      <c r="D37" s="122" t="s">
        <v>239</v>
      </c>
      <c r="E37" s="122"/>
      <c r="F37" s="118"/>
      <c r="G37" s="161"/>
      <c r="H37" s="161"/>
      <c r="I37" s="162">
        <f>F_Inputs!I28</f>
        <v>0.26600000000000001</v>
      </c>
      <c r="J37" s="162">
        <f>F_Inputs!J28</f>
        <v>0.50800000000000001</v>
      </c>
      <c r="K37" s="162">
        <f>F_Inputs!K28</f>
        <v>0.78300000000000003</v>
      </c>
      <c r="L37" s="162">
        <f>F_Inputs!L28</f>
        <v>1.4590000000000001</v>
      </c>
      <c r="M37" s="162">
        <f>F_Inputs!M28</f>
        <v>2.109</v>
      </c>
    </row>
    <row r="38" spans="1:14" ht="15">
      <c r="A38" s="9"/>
      <c r="B38" s="118"/>
      <c r="C38" s="118"/>
      <c r="D38" s="130"/>
      <c r="E38" s="130"/>
      <c r="F38" s="118"/>
      <c r="G38" s="161"/>
      <c r="H38" s="161"/>
      <c r="I38" s="161"/>
      <c r="J38" s="161"/>
      <c r="K38" s="161"/>
      <c r="L38" s="161"/>
      <c r="M38" s="161"/>
      <c r="N38" s="3"/>
    </row>
    <row r="39" spans="1:14" s="5" customFormat="1" ht="15">
      <c r="A39" s="140"/>
      <c r="B39" s="118" t="s">
        <v>9</v>
      </c>
      <c r="C39" s="125" t="s">
        <v>53</v>
      </c>
      <c r="D39" s="123" t="s">
        <v>238</v>
      </c>
      <c r="E39" s="123"/>
      <c r="F39" s="118"/>
      <c r="G39" s="161"/>
      <c r="H39" s="161"/>
      <c r="I39" s="165">
        <f>F_Inputs!I29</f>
        <v>204.97800000000001</v>
      </c>
      <c r="J39" s="165">
        <f>F_Inputs!J29</f>
        <v>197.67</v>
      </c>
      <c r="K39" s="165">
        <f>F_Inputs!K29</f>
        <v>197.93600000000001</v>
      </c>
      <c r="L39" s="165">
        <f>F_Inputs!L29</f>
        <v>191.64699999999999</v>
      </c>
      <c r="M39" s="165">
        <f>F_Inputs!M29</f>
        <v>187.749</v>
      </c>
    </row>
    <row r="40" spans="1:14" s="5" customFormat="1" ht="15">
      <c r="A40" s="140"/>
      <c r="B40" s="118" t="s">
        <v>11</v>
      </c>
      <c r="C40" s="125" t="s">
        <v>54</v>
      </c>
      <c r="D40" s="123" t="s">
        <v>238</v>
      </c>
      <c r="E40" s="123"/>
      <c r="F40" s="118"/>
      <c r="G40" s="161"/>
      <c r="H40" s="161"/>
      <c r="I40" s="165">
        <f>F_Inputs!I30</f>
        <v>2.2290000000000001</v>
      </c>
      <c r="J40" s="165">
        <f>F_Inputs!J30</f>
        <v>1.657</v>
      </c>
      <c r="K40" s="165">
        <f>F_Inputs!K30</f>
        <v>1.62</v>
      </c>
      <c r="L40" s="165">
        <f>F_Inputs!L30</f>
        <v>1.47</v>
      </c>
      <c r="M40" s="165">
        <f>F_Inputs!M30</f>
        <v>1.294</v>
      </c>
    </row>
    <row r="41" spans="1:14" s="5" customFormat="1" ht="15">
      <c r="A41" s="140"/>
      <c r="B41" s="118" t="s">
        <v>12</v>
      </c>
      <c r="C41" s="125" t="s">
        <v>55</v>
      </c>
      <c r="D41" s="123" t="s">
        <v>238</v>
      </c>
      <c r="E41" s="123"/>
      <c r="F41" s="118"/>
      <c r="G41" s="161"/>
      <c r="H41" s="161"/>
      <c r="I41" s="165">
        <f>F_Inputs!I31</f>
        <v>321.53800000000001</v>
      </c>
      <c r="J41" s="165">
        <f>F_Inputs!J31</f>
        <v>346.68200000000002</v>
      </c>
      <c r="K41" s="165">
        <f>F_Inputs!K31</f>
        <v>348.28699999999998</v>
      </c>
      <c r="L41" s="165">
        <f>F_Inputs!L31</f>
        <v>390.16219999999998</v>
      </c>
      <c r="M41" s="165">
        <f>F_Inputs!M31</f>
        <v>410.62099999999998</v>
      </c>
    </row>
    <row r="42" spans="1:14" s="5" customFormat="1" ht="15">
      <c r="A42" s="140"/>
      <c r="B42" s="118" t="s">
        <v>13</v>
      </c>
      <c r="C42" s="125" t="s">
        <v>56</v>
      </c>
      <c r="D42" s="123" t="s">
        <v>238</v>
      </c>
      <c r="E42" s="123"/>
      <c r="F42" s="118"/>
      <c r="G42" s="161"/>
      <c r="H42" s="161"/>
      <c r="I42" s="165">
        <f>F_Inputs!I32</f>
        <v>67.718000000000004</v>
      </c>
      <c r="J42" s="165">
        <f>F_Inputs!J32</f>
        <v>65.19</v>
      </c>
      <c r="K42" s="165">
        <f>F_Inputs!K32</f>
        <v>92.668000000000006</v>
      </c>
      <c r="L42" s="165">
        <f>F_Inputs!L32</f>
        <v>76.985699999999994</v>
      </c>
      <c r="M42" s="165">
        <f>F_Inputs!M32</f>
        <v>83.924000000000007</v>
      </c>
    </row>
    <row r="43" spans="1:14" s="5" customFormat="1" ht="15">
      <c r="A43" s="140"/>
      <c r="B43" s="118" t="s">
        <v>10</v>
      </c>
      <c r="C43" s="125" t="s">
        <v>57</v>
      </c>
      <c r="D43" s="123" t="s">
        <v>238</v>
      </c>
      <c r="E43" s="123"/>
      <c r="F43" s="118"/>
      <c r="G43" s="161"/>
      <c r="H43" s="161"/>
      <c r="I43" s="165">
        <f>F_Inputs!I33</f>
        <v>7.7110000000000003</v>
      </c>
      <c r="J43" s="165">
        <f>F_Inputs!J33</f>
        <v>8.3629999999999995</v>
      </c>
      <c r="K43" s="165">
        <f>F_Inputs!K33</f>
        <v>7.1360000000000001</v>
      </c>
      <c r="L43" s="165">
        <f>F_Inputs!L33</f>
        <v>7.3327</v>
      </c>
      <c r="M43" s="165">
        <f>F_Inputs!M33</f>
        <v>8.2829999999999995</v>
      </c>
    </row>
    <row r="44" spans="1:14" s="5" customFormat="1" ht="15">
      <c r="A44" s="140"/>
      <c r="B44" s="118" t="s">
        <v>14</v>
      </c>
      <c r="C44" s="118" t="s">
        <v>58</v>
      </c>
      <c r="D44" s="123" t="s">
        <v>238</v>
      </c>
      <c r="E44" s="123"/>
      <c r="F44" s="166"/>
      <c r="G44" s="161"/>
      <c r="H44" s="162">
        <f>F_Inputs!H34</f>
        <v>1.4590000000000001</v>
      </c>
      <c r="I44" s="162">
        <f>F_Inputs!I34</f>
        <v>1.4650000000000001</v>
      </c>
      <c r="J44" s="162">
        <f>F_Inputs!J34</f>
        <v>0.58867599999999998</v>
      </c>
      <c r="K44" s="162">
        <f>F_Inputs!K34</f>
        <v>-0.123419</v>
      </c>
      <c r="L44" s="162">
        <f>F_Inputs!L34</f>
        <v>0.654617</v>
      </c>
      <c r="M44" s="162">
        <f>F_Inputs!M34</f>
        <v>0.74319357200000002</v>
      </c>
    </row>
    <row r="45" spans="1:14" s="5" customFormat="1" ht="15">
      <c r="A45" s="128"/>
      <c r="B45" s="126" t="s">
        <v>355</v>
      </c>
      <c r="C45" s="118" t="s">
        <v>232</v>
      </c>
      <c r="D45" s="123" t="s">
        <v>238</v>
      </c>
      <c r="E45" s="123"/>
      <c r="F45" s="166"/>
      <c r="G45" s="167"/>
      <c r="H45" s="161"/>
      <c r="I45" s="162">
        <f>F_Inputs!I35</f>
        <v>0</v>
      </c>
      <c r="J45" s="162">
        <f>F_Inputs!J35</f>
        <v>0</v>
      </c>
      <c r="K45" s="162">
        <f>F_Inputs!K35</f>
        <v>0</v>
      </c>
      <c r="L45" s="162">
        <f>F_Inputs!L35</f>
        <v>0</v>
      </c>
      <c r="M45" s="162">
        <f>F_Inputs!M35</f>
        <v>0</v>
      </c>
    </row>
    <row r="46" spans="1:14" s="5" customFormat="1" ht="15">
      <c r="A46" s="128"/>
      <c r="B46" s="126" t="s">
        <v>356</v>
      </c>
      <c r="C46" s="118" t="s">
        <v>171</v>
      </c>
      <c r="D46" s="123" t="s">
        <v>238</v>
      </c>
      <c r="E46" s="123"/>
      <c r="F46" s="166"/>
      <c r="G46" s="167"/>
      <c r="H46" s="161"/>
      <c r="I46" s="162">
        <f>F_Inputs!I36</f>
        <v>0</v>
      </c>
      <c r="J46" s="162">
        <f>F_Inputs!J36</f>
        <v>0</v>
      </c>
      <c r="K46" s="162">
        <f>F_Inputs!K36</f>
        <v>0</v>
      </c>
      <c r="L46" s="162">
        <f>F_Inputs!L36</f>
        <v>0</v>
      </c>
      <c r="M46" s="162">
        <f>F_Inputs!M36</f>
        <v>0</v>
      </c>
    </row>
    <row r="47" spans="1:14" s="5" customFormat="1" ht="15">
      <c r="A47" s="140"/>
      <c r="B47" s="129"/>
      <c r="C47" s="129"/>
      <c r="D47" s="131"/>
      <c r="E47" s="131"/>
      <c r="F47" s="129"/>
      <c r="G47" s="169"/>
      <c r="H47" s="169"/>
      <c r="I47" s="169"/>
      <c r="J47" s="169"/>
      <c r="K47" s="169"/>
      <c r="L47" s="169"/>
      <c r="M47" s="169"/>
    </row>
    <row r="48" spans="1:14" s="5" customFormat="1" ht="15">
      <c r="A48" s="140"/>
      <c r="B48" s="118" t="s">
        <v>15</v>
      </c>
      <c r="C48" s="125" t="s">
        <v>60</v>
      </c>
      <c r="D48" s="122" t="s">
        <v>239</v>
      </c>
      <c r="E48" s="122"/>
      <c r="F48" s="118"/>
      <c r="G48" s="161"/>
      <c r="H48" s="244">
        <f>F_Inputs!H53</f>
        <v>2412.5100000000002</v>
      </c>
      <c r="I48" s="244">
        <f>+F_Inputs!I41+F_Inputs!I42+F_Inputs!I43+F_Inputs!I44</f>
        <v>2435.8149999999996</v>
      </c>
      <c r="J48" s="244">
        <f>+F_Inputs!J41+F_Inputs!J42+F_Inputs!J43+F_Inputs!J44</f>
        <v>2450.5859999999998</v>
      </c>
      <c r="K48" s="244">
        <f>+F_Inputs!K41+F_Inputs!K42+F_Inputs!K43+F_Inputs!K44</f>
        <v>2469.2839999999997</v>
      </c>
      <c r="L48" s="244">
        <f>+F_Inputs!L41+F_Inputs!L42+F_Inputs!L43+F_Inputs!L44</f>
        <v>2482.6790000000001</v>
      </c>
      <c r="M48" s="244">
        <f>+F_Inputs!M41+F_Inputs!M42+F_Inputs!M43+F_Inputs!M44</f>
        <v>2501.9009999999998</v>
      </c>
    </row>
    <row r="49" spans="1:14" s="5" customFormat="1" ht="15">
      <c r="A49" s="140"/>
      <c r="B49" s="118" t="s">
        <v>16</v>
      </c>
      <c r="C49" s="125" t="s">
        <v>61</v>
      </c>
      <c r="D49" s="122" t="s">
        <v>239</v>
      </c>
      <c r="E49" s="122"/>
      <c r="F49" s="118"/>
      <c r="G49" s="161"/>
      <c r="H49" s="162">
        <f>F_Inputs!H37</f>
        <v>112.41500000000001</v>
      </c>
      <c r="I49" s="162">
        <f>F_Inputs!I37</f>
        <v>111.41200000000001</v>
      </c>
      <c r="J49" s="162">
        <f>F_Inputs!J37</f>
        <v>110.553</v>
      </c>
      <c r="K49" s="162">
        <f>F_Inputs!K37</f>
        <v>110.304</v>
      </c>
      <c r="L49" s="162">
        <f>F_Inputs!L37</f>
        <v>109.126</v>
      </c>
      <c r="M49" s="162">
        <f>F_Inputs!M37</f>
        <v>109.182</v>
      </c>
    </row>
    <row r="50" spans="1:14" s="5" customFormat="1" ht="15">
      <c r="A50" s="140"/>
      <c r="B50" s="118" t="s">
        <v>352</v>
      </c>
      <c r="C50" s="118" t="s">
        <v>59</v>
      </c>
      <c r="D50" s="122" t="s">
        <v>239</v>
      </c>
      <c r="E50" s="122"/>
      <c r="F50" s="118"/>
      <c r="G50" s="161"/>
      <c r="H50" s="161"/>
      <c r="I50" s="162">
        <f>F_Inputs!I38</f>
        <v>0.14899999999999999</v>
      </c>
      <c r="J50" s="162">
        <f>F_Inputs!J38</f>
        <v>0.34499999999999997</v>
      </c>
      <c r="K50" s="162">
        <f>F_Inputs!K38</f>
        <v>0.70399999999999996</v>
      </c>
      <c r="L50" s="162">
        <f>F_Inputs!L38</f>
        <v>1.2929999999999999</v>
      </c>
      <c r="M50" s="162">
        <f>F_Inputs!M38</f>
        <v>1.9430000000000001</v>
      </c>
    </row>
    <row r="51" spans="1:14" ht="15">
      <c r="A51" s="9"/>
      <c r="B51" s="118"/>
      <c r="C51" s="118"/>
      <c r="D51" s="130"/>
      <c r="E51" s="130"/>
      <c r="F51" s="118"/>
      <c r="G51" s="118"/>
      <c r="H51" s="118"/>
      <c r="I51" s="118"/>
      <c r="J51" s="118"/>
      <c r="K51" s="118"/>
      <c r="L51" s="118"/>
      <c r="M51" s="118"/>
    </row>
    <row r="52" spans="1:14" ht="15.6">
      <c r="A52" s="119"/>
      <c r="B52" s="119"/>
      <c r="C52" s="120" t="s">
        <v>42</v>
      </c>
      <c r="D52" s="119"/>
      <c r="E52" s="119"/>
      <c r="F52" s="170"/>
      <c r="G52" s="170"/>
      <c r="H52" s="170"/>
      <c r="I52" s="170"/>
      <c r="J52" s="170"/>
      <c r="K52" s="170"/>
      <c r="L52" s="119"/>
      <c r="M52" s="119"/>
    </row>
    <row r="53" spans="1:14" ht="15">
      <c r="A53" s="9"/>
      <c r="B53" s="118" t="s">
        <v>18</v>
      </c>
      <c r="C53" s="118" t="s">
        <v>81</v>
      </c>
      <c r="D53" s="133" t="s">
        <v>378</v>
      </c>
      <c r="E53" s="133"/>
      <c r="F53" s="118"/>
      <c r="G53" s="118"/>
      <c r="H53" s="118"/>
      <c r="I53" s="190">
        <f>F_Inputs!I45</f>
        <v>0.28000000000000003</v>
      </c>
      <c r="J53" s="190">
        <f>F_Inputs!J45</f>
        <v>0.26</v>
      </c>
      <c r="K53" s="190">
        <f>F_Inputs!K45</f>
        <v>0.24</v>
      </c>
      <c r="L53" s="190">
        <f>F_Inputs!L45</f>
        <v>0.23</v>
      </c>
      <c r="M53" s="190">
        <f>F_Inputs!M45</f>
        <v>0.21</v>
      </c>
    </row>
    <row r="54" spans="1:14" ht="15">
      <c r="A54" s="9"/>
      <c r="B54" s="118" t="s">
        <v>17</v>
      </c>
      <c r="C54" s="118" t="s">
        <v>202</v>
      </c>
      <c r="D54" s="124" t="s">
        <v>240</v>
      </c>
      <c r="E54" s="124"/>
      <c r="F54" s="162">
        <f>F_Inputs!F46</f>
        <v>208.59166666666599</v>
      </c>
      <c r="G54" s="162">
        <f>F_Inputs!G46</f>
        <v>214.78333333333299</v>
      </c>
      <c r="H54" s="162">
        <f>F_Inputs!H46</f>
        <v>212.98333333333301</v>
      </c>
      <c r="I54" s="162">
        <f>F_Inputs!I46</f>
        <v>217.23333333333301</v>
      </c>
      <c r="J54" s="162">
        <f>F_Inputs!J46</f>
        <v>223.74350000000001</v>
      </c>
      <c r="K54" s="162">
        <f>F_Inputs!K46</f>
        <v>229.78457449999999</v>
      </c>
      <c r="L54" s="162">
        <f>F_Inputs!L46</f>
        <v>235.52918886249901</v>
      </c>
      <c r="M54" s="162">
        <f>F_Inputs!M46</f>
        <v>241.41741858406201</v>
      </c>
    </row>
    <row r="55" spans="1:14" ht="15">
      <c r="A55" s="9"/>
      <c r="B55" s="118" t="s">
        <v>312</v>
      </c>
      <c r="C55" s="118" t="s">
        <v>194</v>
      </c>
      <c r="D55" s="124" t="s">
        <v>240</v>
      </c>
      <c r="E55" s="124"/>
      <c r="F55" s="162">
        <f>F_Inputs!F47</f>
        <v>208.59166666666701</v>
      </c>
      <c r="G55" s="162">
        <f>F_Inputs!G47</f>
        <v>214.78333333333299</v>
      </c>
      <c r="H55" s="162">
        <f>F_Inputs!H47</f>
        <v>215.76666666666699</v>
      </c>
      <c r="I55" s="162">
        <f>F_Inputs!I47</f>
        <v>226.47499999999999</v>
      </c>
      <c r="J55" s="162">
        <f>F_Inputs!J47</f>
        <v>237.34166666666701</v>
      </c>
      <c r="K55" s="162">
        <f>F_Inputs!K47</f>
        <v>244.67500000000001</v>
      </c>
      <c r="L55" s="162">
        <f>F_Inputs!L47</f>
        <v>251.73333333333301</v>
      </c>
      <c r="M55" s="162">
        <f>F_Inputs!M47</f>
        <v>256.66666666666703</v>
      </c>
    </row>
    <row r="56" spans="1:14" ht="15">
      <c r="A56" s="9"/>
      <c r="B56" s="107"/>
      <c r="C56" s="118"/>
      <c r="D56" s="124"/>
      <c r="E56" s="124"/>
      <c r="F56" s="160"/>
      <c r="G56" s="118"/>
      <c r="H56" s="160"/>
      <c r="I56" s="118"/>
      <c r="J56" s="118"/>
      <c r="K56" s="118"/>
      <c r="L56" s="118"/>
      <c r="M56" s="118"/>
    </row>
    <row r="57" spans="1:14" ht="15">
      <c r="A57" s="9"/>
      <c r="B57" s="118" t="s">
        <v>26</v>
      </c>
      <c r="C57" s="118" t="s">
        <v>43</v>
      </c>
      <c r="D57" s="133" t="s">
        <v>378</v>
      </c>
      <c r="E57" s="133"/>
      <c r="F57" s="118"/>
      <c r="G57" s="118"/>
      <c r="H57" s="118"/>
      <c r="I57" s="171">
        <f>F_Inputs!I48</f>
        <v>4.4999999999999998E-2</v>
      </c>
      <c r="J57" s="171">
        <f>F_Inputs!J48</f>
        <v>4.4999999999999998E-2</v>
      </c>
      <c r="K57" s="171">
        <f>F_Inputs!K48</f>
        <v>4.4999999999999998E-2</v>
      </c>
      <c r="L57" s="171">
        <f>F_Inputs!L48</f>
        <v>4.4999999999999998E-2</v>
      </c>
      <c r="M57" s="171">
        <f>F_Inputs!M48</f>
        <v>4.4999999999999998E-2</v>
      </c>
    </row>
    <row r="58" spans="1:14" ht="15">
      <c r="A58" s="9"/>
      <c r="B58" s="118" t="s">
        <v>324</v>
      </c>
      <c r="C58" s="125" t="s">
        <v>79</v>
      </c>
      <c r="D58" s="133" t="s">
        <v>378</v>
      </c>
      <c r="E58" s="133"/>
      <c r="F58" s="118"/>
      <c r="G58" s="118"/>
      <c r="H58" s="172"/>
      <c r="I58" s="247">
        <f>F_Inputs!I49</f>
        <v>0.42</v>
      </c>
      <c r="J58" s="247">
        <f>F_Inputs!J49</f>
        <v>0.42</v>
      </c>
      <c r="K58" s="247">
        <f>F_Inputs!K49</f>
        <v>0.42</v>
      </c>
      <c r="L58" s="247">
        <f>F_Inputs!L49</f>
        <v>0.42</v>
      </c>
      <c r="M58" s="247">
        <f>F_Inputs!M49</f>
        <v>0.42</v>
      </c>
    </row>
    <row r="59" spans="1:14" ht="15">
      <c r="A59" s="9"/>
      <c r="B59" s="118" t="s">
        <v>325</v>
      </c>
      <c r="C59" s="125" t="s">
        <v>80</v>
      </c>
      <c r="D59" s="133" t="s">
        <v>378</v>
      </c>
      <c r="E59" s="133"/>
      <c r="F59" s="118"/>
      <c r="G59" s="118"/>
      <c r="H59" s="118"/>
      <c r="I59" s="247">
        <f>F_Inputs!I50</f>
        <v>0</v>
      </c>
      <c r="J59" s="247">
        <f>F_Inputs!J50</f>
        <v>0.5</v>
      </c>
      <c r="K59" s="247">
        <f>F_Inputs!K50</f>
        <v>1</v>
      </c>
      <c r="L59" s="247">
        <f>F_Inputs!L50</f>
        <v>1.5</v>
      </c>
      <c r="M59" s="247">
        <f>F_Inputs!M50</f>
        <v>0</v>
      </c>
    </row>
    <row r="60" spans="1:14" ht="15">
      <c r="A60" s="9"/>
      <c r="B60" s="134" t="s">
        <v>326</v>
      </c>
      <c r="C60" s="118" t="s">
        <v>44</v>
      </c>
      <c r="D60" s="133" t="s">
        <v>378</v>
      </c>
      <c r="E60" s="133"/>
      <c r="F60" s="134"/>
      <c r="G60" s="134"/>
      <c r="H60" s="134"/>
      <c r="I60" s="134"/>
      <c r="J60" s="134"/>
      <c r="K60" s="134"/>
      <c r="L60" s="134"/>
      <c r="M60" s="171">
        <f>F_Inputs!N54</f>
        <v>3.5999999999999997E-2</v>
      </c>
    </row>
    <row r="61" spans="1:14" ht="15">
      <c r="A61" s="9"/>
      <c r="B61" s="134" t="s">
        <v>327</v>
      </c>
      <c r="C61" s="118" t="s">
        <v>168</v>
      </c>
      <c r="D61" s="124" t="s">
        <v>32</v>
      </c>
      <c r="E61" s="124"/>
      <c r="F61" s="209">
        <f>F_Inputs!F51</f>
        <v>50</v>
      </c>
      <c r="G61" s="134"/>
      <c r="H61" s="134"/>
      <c r="I61" s="134"/>
      <c r="J61" s="134"/>
      <c r="K61" s="134"/>
      <c r="L61" s="134"/>
      <c r="M61" s="207"/>
    </row>
    <row r="62" spans="1:14" ht="15">
      <c r="A62" s="9"/>
      <c r="B62" s="134"/>
      <c r="C62" s="118"/>
      <c r="D62" s="124"/>
      <c r="E62" s="124"/>
      <c r="F62" s="173"/>
      <c r="G62" s="134"/>
      <c r="H62" s="134"/>
      <c r="I62" s="134"/>
      <c r="J62" s="134"/>
      <c r="K62" s="134"/>
      <c r="L62" s="134"/>
      <c r="M62" s="207"/>
    </row>
    <row r="63" spans="1:14" ht="15.6">
      <c r="A63" s="119"/>
      <c r="B63" s="119"/>
      <c r="C63" s="120" t="s">
        <v>227</v>
      </c>
      <c r="D63" s="119"/>
      <c r="E63" s="119"/>
      <c r="F63" s="170"/>
      <c r="G63" s="170"/>
      <c r="H63" s="170"/>
      <c r="I63" s="170"/>
      <c r="J63" s="170"/>
      <c r="K63" s="170"/>
      <c r="L63" s="119"/>
      <c r="M63" s="119"/>
    </row>
    <row r="64" spans="1:14" ht="15">
      <c r="A64" s="9"/>
      <c r="B64" s="134"/>
      <c r="C64" s="118"/>
      <c r="D64" s="124"/>
      <c r="E64" s="124"/>
      <c r="F64" s="173"/>
      <c r="G64" s="134"/>
      <c r="H64" s="134"/>
      <c r="I64" s="134"/>
      <c r="J64" s="134"/>
      <c r="K64" s="134"/>
      <c r="L64" s="134"/>
      <c r="M64" s="207"/>
      <c r="N64" s="3"/>
    </row>
    <row r="65" spans="1:14" ht="15">
      <c r="A65" s="9"/>
      <c r="B65" s="134"/>
      <c r="C65" s="118"/>
      <c r="D65" s="124"/>
      <c r="E65" s="124"/>
      <c r="F65" s="173"/>
      <c r="G65" s="134"/>
      <c r="H65" s="134"/>
      <c r="I65" s="134"/>
      <c r="J65" s="134"/>
      <c r="K65" s="134"/>
      <c r="L65" s="134"/>
      <c r="M65" s="207"/>
      <c r="N65" s="3"/>
    </row>
    <row r="66" spans="1:14" ht="15">
      <c r="A66" s="9"/>
      <c r="B66" s="135"/>
      <c r="C66" s="136"/>
      <c r="D66" s="136"/>
      <c r="E66" s="136"/>
      <c r="F66" s="173"/>
      <c r="G66" s="134"/>
      <c r="H66" s="134"/>
      <c r="I66" s="134"/>
      <c r="J66" s="134"/>
      <c r="K66" s="134"/>
      <c r="L66" s="134"/>
      <c r="M66" s="207"/>
      <c r="N66" s="3"/>
    </row>
    <row r="67" spans="1:14" ht="15">
      <c r="A67" s="9"/>
      <c r="B67" s="135"/>
      <c r="C67" s="136"/>
      <c r="D67" s="136"/>
      <c r="E67" s="136"/>
      <c r="F67" s="173"/>
      <c r="G67" s="134"/>
      <c r="H67" s="134"/>
      <c r="I67" s="134"/>
      <c r="J67" s="134"/>
      <c r="K67" s="134"/>
      <c r="L67" s="134"/>
      <c r="M67" s="207"/>
      <c r="N67" s="3"/>
    </row>
    <row r="68" spans="1:14" ht="15">
      <c r="A68" s="137"/>
      <c r="B68" s="138"/>
      <c r="C68" s="139"/>
      <c r="D68" s="139"/>
      <c r="E68" s="139"/>
      <c r="F68" s="138"/>
      <c r="G68" s="138"/>
      <c r="H68" s="138"/>
      <c r="I68" s="138"/>
      <c r="J68" s="138"/>
      <c r="K68" s="138"/>
      <c r="L68" s="138"/>
      <c r="M68" s="20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74"/>
      <c r="B1" s="242">
        <f>+F_Inputs!A4</f>
        <v>0</v>
      </c>
      <c r="C1" s="106" t="s">
        <v>339</v>
      </c>
      <c r="D1" s="242"/>
      <c r="E1" s="242"/>
      <c r="F1" s="175"/>
      <c r="G1" s="175"/>
      <c r="H1" s="170"/>
      <c r="I1" s="170"/>
      <c r="J1" s="170"/>
      <c r="K1" s="170"/>
      <c r="L1" s="170"/>
      <c r="M1" s="17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74"/>
      <c r="B2" s="108"/>
      <c r="C2" s="110"/>
      <c r="D2" s="176"/>
      <c r="E2" s="176"/>
      <c r="F2" s="177"/>
      <c r="G2" s="177"/>
      <c r="H2" s="178"/>
      <c r="I2" s="179"/>
      <c r="J2" s="179"/>
      <c r="K2" s="179"/>
      <c r="L2" s="179"/>
      <c r="M2" s="17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180"/>
      <c r="B3" s="181"/>
      <c r="C3" s="183"/>
      <c r="D3" s="182" t="s">
        <v>64</v>
      </c>
      <c r="E3" s="243"/>
      <c r="F3" s="184" t="str">
        <f>+Input!F2</f>
        <v>2007-08</v>
      </c>
      <c r="G3" s="185" t="s">
        <v>70</v>
      </c>
      <c r="H3" s="185" t="s">
        <v>71</v>
      </c>
      <c r="I3" s="185" t="s">
        <v>72</v>
      </c>
      <c r="J3" s="185" t="s">
        <v>73</v>
      </c>
      <c r="K3" s="185" t="s">
        <v>74</v>
      </c>
      <c r="L3" s="185" t="s">
        <v>75</v>
      </c>
      <c r="M3" s="18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18" t="s">
        <v>98</v>
      </c>
      <c r="C4" s="118" t="s">
        <v>99</v>
      </c>
      <c r="D4" s="232"/>
      <c r="E4" s="232"/>
      <c r="F4" s="118"/>
      <c r="G4" s="118"/>
      <c r="H4" s="118"/>
      <c r="I4" s="159">
        <f>Input!I5</f>
        <v>1</v>
      </c>
      <c r="J4" s="159">
        <f>Input!J5</f>
        <v>2</v>
      </c>
      <c r="K4" s="159">
        <f>Input!K5</f>
        <v>3</v>
      </c>
      <c r="L4" s="159">
        <f>Input!L5</f>
        <v>4</v>
      </c>
      <c r="M4" s="159">
        <f>Input!M5</f>
        <v>5</v>
      </c>
    </row>
    <row r="5" spans="1:254" s="1" customFormat="1" ht="15.6">
      <c r="A5" s="119"/>
      <c r="B5" s="119"/>
      <c r="C5" s="120" t="s">
        <v>241</v>
      </c>
      <c r="D5" s="119"/>
      <c r="E5" s="119"/>
      <c r="F5" s="119"/>
      <c r="G5" s="119"/>
      <c r="H5" s="119"/>
      <c r="I5" s="119"/>
      <c r="J5" s="119"/>
      <c r="K5" s="119"/>
      <c r="L5" s="119"/>
      <c r="M5" s="119"/>
    </row>
    <row r="6" spans="1:254" s="3" customFormat="1" ht="15">
      <c r="A6" s="128"/>
      <c r="B6" s="127" t="s">
        <v>169</v>
      </c>
      <c r="C6" s="187" t="str">
        <f>"RPI: Fin year average - deflate to base year ("&amp;F$3&amp;")"</f>
        <v>RPI: Fin year average - deflate to base year (2007-08)</v>
      </c>
      <c r="D6" s="186" t="s">
        <v>67</v>
      </c>
      <c r="E6" s="186"/>
      <c r="F6" s="188">
        <f>IF(Input!F$54="",0,Input!$F$54/Input!F$54)</f>
        <v>1</v>
      </c>
      <c r="G6" s="188">
        <f>IF(Input!G$54="",0,Input!$F$54/Input!G$54)</f>
        <v>0.97117249941801653</v>
      </c>
      <c r="H6" s="188">
        <f>IF(Input!H$54="",0,Input!$F$54/Input!H$54)</f>
        <v>0.97938023319508394</v>
      </c>
      <c r="I6" s="189">
        <f>IF(Input!I$54="",0,Input!$F$54/Input!I$54)</f>
        <v>0.9602194261163095</v>
      </c>
      <c r="J6" s="189">
        <f>IF(Input!J$54="",0,Input!$F$54/Input!J$54)</f>
        <v>0.93228034184977882</v>
      </c>
      <c r="K6" s="189">
        <f>IF(Input!K$54="",0,Input!$F$54/Input!K$54)</f>
        <v>0.90777053734155677</v>
      </c>
      <c r="L6" s="189">
        <f>IF(Input!L$54="",0,Input!$F$54/Input!L$54)</f>
        <v>0.88562979252835183</v>
      </c>
      <c r="M6" s="189">
        <f>IF(Input!M$54="",0,Input!$F$54/Input!M$54)</f>
        <v>0.864029065881317</v>
      </c>
    </row>
    <row r="7" spans="1:254" s="3" customFormat="1" ht="15">
      <c r="A7" s="128"/>
      <c r="B7" s="127"/>
      <c r="C7" s="187" t="str">
        <f>"Outturn RPI FYA - deflate to base year ("&amp;F$3&amp;")"</f>
        <v>Outturn RPI FYA - deflate to base year (2007-08)</v>
      </c>
      <c r="D7" s="186" t="s">
        <v>67</v>
      </c>
      <c r="E7" s="186"/>
      <c r="F7" s="188">
        <f>IF(Input!F$55="",0,Input!$F$55/Input!F$55)</f>
        <v>1</v>
      </c>
      <c r="G7" s="188">
        <f>IF(Input!G$55="",0,Input!$F$55/Input!G$55)</f>
        <v>0.97117249941802131</v>
      </c>
      <c r="H7" s="188">
        <f>IF(Input!H$55="",0,Input!$F$55/Input!H$55)</f>
        <v>0.96674648540089614</v>
      </c>
      <c r="I7" s="189">
        <f>IF(Input!I$55="",0,Input!$F$55/Input!I$55)</f>
        <v>0.92103617029105644</v>
      </c>
      <c r="J7" s="189">
        <f>IF(Input!J$55="",0,Input!$F$55/Input!J$55)</f>
        <v>0.87886661282960588</v>
      </c>
      <c r="K7" s="189">
        <f>IF(Input!K$55="",0,Input!$F$55/Input!K$55)</f>
        <v>0.85252545894213549</v>
      </c>
      <c r="L7" s="189">
        <f>IF(Input!L$55="",0,Input!$F$55/Input!L$55)</f>
        <v>0.82862155720339226</v>
      </c>
      <c r="M7" s="189">
        <f>IF(Input!M$55="",0,Input!$F$55/Input!M$55)</f>
        <v>0.81269480519480541</v>
      </c>
    </row>
    <row r="8" spans="1:254" s="1" customFormat="1" ht="15">
      <c r="A8" s="9"/>
      <c r="B8" s="118"/>
      <c r="C8" s="118"/>
      <c r="D8" s="232"/>
      <c r="E8" s="232"/>
      <c r="F8" s="118"/>
      <c r="G8" s="118"/>
      <c r="H8" s="118"/>
      <c r="I8" s="159"/>
      <c r="J8" s="159"/>
      <c r="K8" s="159"/>
      <c r="L8" s="159"/>
      <c r="M8" s="159"/>
    </row>
    <row r="9" spans="1:254" s="1" customFormat="1" ht="15.6">
      <c r="A9" s="119"/>
      <c r="B9" s="119"/>
      <c r="C9" s="120" t="s">
        <v>242</v>
      </c>
      <c r="D9" s="119"/>
      <c r="E9" s="119"/>
      <c r="F9" s="119"/>
      <c r="G9" s="119"/>
      <c r="H9" s="119"/>
      <c r="I9" s="119"/>
      <c r="J9" s="119"/>
      <c r="K9" s="119"/>
      <c r="L9" s="119"/>
      <c r="M9" s="119"/>
    </row>
    <row r="10" spans="1:254" s="8" customFormat="1" ht="15.6">
      <c r="A10" s="120"/>
      <c r="B10" s="120"/>
      <c r="C10" s="120" t="str">
        <f>"2.1 Revenue expectation ("&amp;F$3&amp;" prices)"</f>
        <v>2.1 Revenue expectation (2007-08 prices)</v>
      </c>
      <c r="D10" s="120"/>
      <c r="E10" s="120"/>
      <c r="F10" s="120"/>
      <c r="G10" s="120"/>
      <c r="H10" s="120"/>
      <c r="I10" s="120"/>
      <c r="J10" s="120"/>
      <c r="K10" s="120"/>
      <c r="L10" s="120"/>
      <c r="M10" s="120"/>
      <c r="N10" s="1"/>
      <c r="O10" s="1"/>
      <c r="P10" s="1"/>
      <c r="Q10" s="1"/>
      <c r="R10" s="1"/>
      <c r="S10" s="1"/>
    </row>
    <row r="11" spans="1:254" s="3" customFormat="1" ht="15">
      <c r="A11" s="128"/>
      <c r="B11" s="173" t="s">
        <v>253</v>
      </c>
      <c r="C11" s="128" t="s">
        <v>108</v>
      </c>
      <c r="D11" s="232" t="s">
        <v>78</v>
      </c>
      <c r="E11" s="232"/>
      <c r="F11" s="173"/>
      <c r="G11" s="173"/>
      <c r="H11" s="161">
        <f>IF(Input!H$31&gt;=0,Input!H$31*Calc!H$7,0)</f>
        <v>0.96287949945929252</v>
      </c>
      <c r="I11" s="164">
        <f>IF(Input!I$31&gt;=0,Input!I$31*Calc!I$7,0)</f>
        <v>1.1494531405232384</v>
      </c>
      <c r="J11" s="164">
        <f>IF(Input!J$31&gt;=0,Input!J$31*Calc!J$7,0)</f>
        <v>0</v>
      </c>
      <c r="K11" s="164">
        <f>IF(Input!K$31&gt;=0,Input!K$31*Calc!K$7,0)</f>
        <v>0</v>
      </c>
      <c r="L11" s="164">
        <f>IF(Input!L$31&gt;=0,Input!L$31*Calc!L$7,0)</f>
        <v>3.9410898503707742E-2</v>
      </c>
      <c r="M11" s="164">
        <f>IF(Input!M$31&gt;=0,Input!M$31*Calc!M$7,0)</f>
        <v>0.56687085126246772</v>
      </c>
      <c r="N11" s="48"/>
      <c r="O11" s="48"/>
      <c r="P11" s="48"/>
    </row>
    <row r="12" spans="1:254" s="3" customFormat="1" ht="15">
      <c r="A12" s="128"/>
      <c r="B12" s="173" t="s">
        <v>253</v>
      </c>
      <c r="C12" s="128" t="s">
        <v>109</v>
      </c>
      <c r="D12" s="232" t="s">
        <v>78</v>
      </c>
      <c r="E12" s="232"/>
      <c r="F12" s="173"/>
      <c r="G12" s="173"/>
      <c r="H12" s="161">
        <f>IF(Input!H$31&lt;0,Input!H$31*Calc!H$7,0)</f>
        <v>0</v>
      </c>
      <c r="I12" s="164">
        <f>IF(Input!I$31&lt;0,Input!I$31*Calc!I$7,0)</f>
        <v>0</v>
      </c>
      <c r="J12" s="164">
        <f>IF(Input!J$31&lt;0,Input!J$31*Calc!J$7,0)</f>
        <v>-3.6111750254555673E-2</v>
      </c>
      <c r="K12" s="164">
        <f>IF(Input!K$31&lt;0,Input!K$31*Calc!K$7,0)</f>
        <v>-0.86460744974626347</v>
      </c>
      <c r="L12" s="164">
        <f>IF(Input!L$31&lt;0,Input!L$31*Calc!L$7,0)</f>
        <v>0</v>
      </c>
      <c r="M12" s="164">
        <f>IF(Input!M$31&lt;0,Input!M$31*Calc!M$7,0)</f>
        <v>0</v>
      </c>
      <c r="N12" s="48"/>
      <c r="O12" s="48"/>
      <c r="P12" s="48"/>
    </row>
    <row r="13" spans="1:254" s="3" customFormat="1" ht="15">
      <c r="A13" s="128"/>
      <c r="B13" s="173"/>
      <c r="C13" s="128"/>
      <c r="D13" s="232"/>
      <c r="E13" s="232"/>
      <c r="F13" s="173"/>
      <c r="G13" s="173"/>
      <c r="H13" s="161"/>
      <c r="I13" s="164"/>
      <c r="J13" s="164"/>
      <c r="K13" s="164"/>
      <c r="L13" s="164"/>
      <c r="M13" s="164"/>
      <c r="N13" s="48"/>
      <c r="O13" s="48"/>
      <c r="P13" s="48"/>
    </row>
    <row r="14" spans="1:254" s="3" customFormat="1" ht="15">
      <c r="A14" s="128"/>
      <c r="B14" s="173" t="s">
        <v>253</v>
      </c>
      <c r="C14" s="125" t="str">
        <f>"Water: Change in non-household groups under "&amp;Threshold&amp;"ML threshold"</f>
        <v>Water: Change in non-household groups under 50ML threshold</v>
      </c>
      <c r="D14" s="232" t="s">
        <v>67</v>
      </c>
      <c r="E14" s="232"/>
      <c r="F14" s="173"/>
      <c r="G14" s="173"/>
      <c r="H14" s="173"/>
      <c r="I14" s="190">
        <f>IF(Input!H$7=0,0,Input!I$7/Input!H$7)</f>
        <v>0.96596991859161763</v>
      </c>
      <c r="J14" s="190">
        <f>IF(Input!I$7=0,0,Input!J$7/Input!I$7)</f>
        <v>1.0333524551436841</v>
      </c>
      <c r="K14" s="190">
        <f>IF(Input!J$7=0,0,Input!K$7/Input!J$7)</f>
        <v>1.0492303694948211</v>
      </c>
      <c r="L14" s="190">
        <f>IF(Input!K$7=0,0,Input!L$7/Input!K$7)</f>
        <v>1.0378993672268828</v>
      </c>
      <c r="M14" s="190">
        <f>IF(Input!L$7=0,0,Input!M$7/Input!L$7)</f>
        <v>1.0262854853763066</v>
      </c>
      <c r="N14" s="48"/>
      <c r="O14" s="48"/>
      <c r="P14" s="48"/>
    </row>
    <row r="15" spans="1:254" s="3" customFormat="1" ht="15">
      <c r="A15" s="128"/>
      <c r="B15" s="173" t="s">
        <v>253</v>
      </c>
      <c r="C15" s="125" t="str">
        <f>"Water: Change in non-household groups over "&amp;Threshold&amp;"ML threshold"</f>
        <v>Water: Change in non-household groups over 50ML threshold</v>
      </c>
      <c r="D15" s="232" t="s">
        <v>67</v>
      </c>
      <c r="E15" s="232"/>
      <c r="F15" s="173"/>
      <c r="G15" s="173"/>
      <c r="H15" s="173"/>
      <c r="I15" s="190">
        <f>IF(Input!H$8=0,0,Input!I$8/Input!H$8)</f>
        <v>0.96515722555704742</v>
      </c>
      <c r="J15" s="190">
        <f>IF(Input!I$8=0,0,Input!J$8/Input!I$8)</f>
        <v>1.0353878823375218</v>
      </c>
      <c r="K15" s="190">
        <f>IF(Input!J$8=0,0,Input!K$8/Input!J$8)</f>
        <v>1.0514918778821343</v>
      </c>
      <c r="L15" s="190">
        <f>IF(Input!K$8=0,0,Input!L$8/Input!K$8)</f>
        <v>1.039404672530069</v>
      </c>
      <c r="M15" s="190">
        <f>IF(Input!L$8=0,0,Input!M$8/Input!L$8)</f>
        <v>1.0268363551385642</v>
      </c>
      <c r="N15" s="48"/>
      <c r="O15" s="48"/>
      <c r="P15" s="48"/>
    </row>
    <row r="16" spans="1:254" s="3" customFormat="1" ht="15">
      <c r="A16" s="128"/>
      <c r="B16" s="173"/>
      <c r="C16" s="125"/>
      <c r="D16" s="232"/>
      <c r="E16" s="232"/>
      <c r="F16" s="173"/>
      <c r="G16" s="173"/>
      <c r="H16" s="173"/>
      <c r="I16" s="190"/>
      <c r="J16" s="190"/>
      <c r="K16" s="190"/>
      <c r="L16" s="190"/>
      <c r="M16" s="190"/>
      <c r="N16" s="48"/>
      <c r="O16" s="48"/>
      <c r="P16" s="48"/>
    </row>
    <row r="17" spans="1:19" s="3" customFormat="1" ht="15">
      <c r="A17" s="128"/>
      <c r="B17" s="173" t="s">
        <v>253</v>
      </c>
      <c r="C17" s="125" t="str">
        <f>"Water: Revenue adjustment in non-household groups under "&amp;Threshold&amp;"ML threshold"</f>
        <v>Water: Revenue adjustment in non-household groups under 50ML threshold</v>
      </c>
      <c r="D17" s="232" t="s">
        <v>78</v>
      </c>
      <c r="E17" s="232"/>
      <c r="F17" s="173"/>
      <c r="G17" s="173"/>
      <c r="H17" s="161">
        <f t="shared" ref="H17:M18" si="0">+G17*H14+H11</f>
        <v>0.96287949945929252</v>
      </c>
      <c r="I17" s="164">
        <f t="shared" si="0"/>
        <v>2.0795657722294689</v>
      </c>
      <c r="J17" s="164">
        <f t="shared" si="0"/>
        <v>2.1489243963660933</v>
      </c>
      <c r="K17" s="164">
        <f t="shared" si="0"/>
        <v>2.2547167384156315</v>
      </c>
      <c r="L17" s="164">
        <f t="shared" si="0"/>
        <v>2.3795799745811523</v>
      </c>
      <c r="M17" s="164">
        <f t="shared" si="0"/>
        <v>3.008999240467225</v>
      </c>
      <c r="N17" s="48"/>
      <c r="O17" s="48"/>
      <c r="P17" s="48"/>
    </row>
    <row r="18" spans="1:19" s="3" customFormat="1" ht="15">
      <c r="A18" s="128"/>
      <c r="B18" s="173" t="s">
        <v>253</v>
      </c>
      <c r="C18" s="125" t="str">
        <f>"Water: Revenue adjustment in non-household groups over "&amp;Threshold&amp;"ML threshold"</f>
        <v>Water: Revenue adjustment in non-household groups over 50ML threshold</v>
      </c>
      <c r="D18" s="232" t="s">
        <v>78</v>
      </c>
      <c r="E18" s="232"/>
      <c r="F18" s="173"/>
      <c r="G18" s="173"/>
      <c r="H18" s="161">
        <f t="shared" si="0"/>
        <v>0</v>
      </c>
      <c r="I18" s="164">
        <f t="shared" si="0"/>
        <v>0</v>
      </c>
      <c r="J18" s="164">
        <f t="shared" si="0"/>
        <v>-3.6111750254555673E-2</v>
      </c>
      <c r="K18" s="164">
        <f t="shared" si="0"/>
        <v>-0.90257866183503688</v>
      </c>
      <c r="L18" s="164">
        <f t="shared" si="0"/>
        <v>-0.93814447843727433</v>
      </c>
      <c r="M18" s="164">
        <f t="shared" si="0"/>
        <v>-0.96332085683190005</v>
      </c>
      <c r="N18" s="48"/>
      <c r="O18" s="48"/>
      <c r="P18" s="48"/>
    </row>
    <row r="19" spans="1:19" s="3" customFormat="1" ht="15">
      <c r="A19" s="128"/>
      <c r="B19" s="173"/>
      <c r="C19" s="125"/>
      <c r="D19" s="232"/>
      <c r="E19" s="232"/>
      <c r="F19" s="173"/>
      <c r="G19" s="173"/>
      <c r="H19" s="161"/>
      <c r="I19" s="164"/>
      <c r="J19" s="164"/>
      <c r="K19" s="164"/>
      <c r="L19" s="164"/>
      <c r="M19" s="164"/>
      <c r="N19" s="48"/>
      <c r="O19" s="48"/>
      <c r="P19" s="48"/>
    </row>
    <row r="20" spans="1:19" s="3" customFormat="1" ht="15">
      <c r="A20" s="128"/>
      <c r="B20" s="173" t="s">
        <v>253</v>
      </c>
      <c r="C20" s="125" t="s">
        <v>121</v>
      </c>
      <c r="D20" s="232" t="s">
        <v>78</v>
      </c>
      <c r="E20" s="232"/>
      <c r="F20" s="173"/>
      <c r="G20" s="173"/>
      <c r="H20" s="161">
        <f t="shared" ref="H20:M20" si="1">+H17+H18</f>
        <v>0.96287949945929252</v>
      </c>
      <c r="I20" s="164">
        <f t="shared" si="1"/>
        <v>2.0795657722294689</v>
      </c>
      <c r="J20" s="164">
        <f t="shared" si="1"/>
        <v>2.1128126461115375</v>
      </c>
      <c r="K20" s="164">
        <f t="shared" si="1"/>
        <v>1.3521380765805946</v>
      </c>
      <c r="L20" s="164">
        <f t="shared" si="1"/>
        <v>1.441435496143878</v>
      </c>
      <c r="M20" s="164">
        <f t="shared" si="1"/>
        <v>2.0456783836353249</v>
      </c>
      <c r="N20" s="48"/>
      <c r="O20" s="48"/>
      <c r="P20" s="48"/>
    </row>
    <row r="21" spans="1:19" s="3" customFormat="1" ht="15">
      <c r="A21" s="128"/>
      <c r="B21" s="173" t="s">
        <v>253</v>
      </c>
      <c r="C21" s="125" t="s">
        <v>122</v>
      </c>
      <c r="D21" s="232" t="s">
        <v>78</v>
      </c>
      <c r="E21" s="232"/>
      <c r="F21" s="173"/>
      <c r="G21" s="173"/>
      <c r="H21" s="161"/>
      <c r="I21" s="164">
        <f>Input!I10*Calc!I6-I20</f>
        <v>361.25284179651334</v>
      </c>
      <c r="J21" s="164">
        <f>Input!J10*Calc!J6-J20</f>
        <v>359.99141529054896</v>
      </c>
      <c r="K21" s="164">
        <f>Input!K10*Calc!K6-K20</f>
        <v>364.35954671656486</v>
      </c>
      <c r="L21" s="164">
        <f>Input!L10*Calc!L6-L20</f>
        <v>365.5195295143094</v>
      </c>
      <c r="M21" s="164">
        <f>Input!M10*Calc!M6-M20</f>
        <v>363.25607631189183</v>
      </c>
      <c r="N21" s="48"/>
      <c r="O21" s="48"/>
      <c r="P21" s="48"/>
    </row>
    <row r="22" spans="1:19" s="1" customFormat="1" ht="15.6">
      <c r="A22" s="9"/>
      <c r="B22" s="173"/>
      <c r="C22" s="191"/>
      <c r="D22" s="232"/>
      <c r="E22" s="232"/>
      <c r="F22" s="173"/>
      <c r="G22" s="173"/>
      <c r="H22" s="173"/>
      <c r="I22" s="164"/>
      <c r="J22" s="164"/>
      <c r="K22" s="164"/>
      <c r="L22" s="164"/>
      <c r="M22" s="164"/>
    </row>
    <row r="23" spans="1:19" s="10" customFormat="1" ht="15.6">
      <c r="A23" s="120"/>
      <c r="B23" s="120"/>
      <c r="C23" s="120" t="str">
        <f>"2.2 Revenue subtotals ("&amp;F$3&amp;" prices)"</f>
        <v>2.2 Revenue subtotals (2007-08 prices)</v>
      </c>
      <c r="D23" s="120"/>
      <c r="E23" s="120"/>
      <c r="F23" s="120"/>
      <c r="G23" s="120"/>
      <c r="H23" s="120"/>
      <c r="I23" s="192"/>
      <c r="J23" s="192"/>
      <c r="K23" s="192"/>
      <c r="L23" s="192"/>
      <c r="M23" s="192"/>
      <c r="N23" s="9"/>
      <c r="O23" s="9"/>
      <c r="P23" s="9"/>
      <c r="Q23" s="9"/>
      <c r="R23" s="9"/>
      <c r="S23" s="9"/>
    </row>
    <row r="24" spans="1:19" s="1" customFormat="1" ht="15">
      <c r="A24" s="9"/>
      <c r="B24" s="118" t="s">
        <v>94</v>
      </c>
      <c r="C24" s="118" t="s">
        <v>123</v>
      </c>
      <c r="D24" s="232" t="s">
        <v>78</v>
      </c>
      <c r="E24" s="232"/>
      <c r="F24" s="118"/>
      <c r="G24" s="118"/>
      <c r="H24" s="118"/>
      <c r="I24" s="164">
        <f>(Input!I27+Input!I28)*I$7</f>
        <v>119.00432045479653</v>
      </c>
      <c r="J24" s="164">
        <f>(Input!J27+Input!J28)*J$7</f>
        <v>111.84456514869564</v>
      </c>
      <c r="K24" s="164">
        <f>(Input!K27+Input!K28)*K$7</f>
        <v>108.91353748169357</v>
      </c>
      <c r="L24" s="164">
        <f>(Input!L27+Input!L28)*L$7</f>
        <v>100.90456150688588</v>
      </c>
      <c r="M24" s="164">
        <f>(Input!M27+Input!M28)*M$7</f>
        <v>93.338811071428609</v>
      </c>
    </row>
    <row r="25" spans="1:19" s="1" customFormat="1" ht="15">
      <c r="A25" s="9"/>
      <c r="B25" s="118" t="s">
        <v>96</v>
      </c>
      <c r="C25" s="118" t="s">
        <v>124</v>
      </c>
      <c r="D25" s="232" t="s">
        <v>78</v>
      </c>
      <c r="E25" s="232"/>
      <c r="F25" s="118"/>
      <c r="G25" s="118"/>
      <c r="H25" s="118"/>
      <c r="I25" s="164">
        <f>(Input!I29+Input!I30)*I$7</f>
        <v>244.11326864628222</v>
      </c>
      <c r="J25" s="164">
        <f>(Input!J29+Input!J30)*J$7</f>
        <v>254.34751321933925</v>
      </c>
      <c r="K25" s="164">
        <f>(Input!K29+Input!K30)*K$7</f>
        <v>242.14280610333478</v>
      </c>
      <c r="L25" s="164">
        <f>(Input!L29+Input!L30)*L$7</f>
        <v>262.99267771365282</v>
      </c>
      <c r="M25" s="164">
        <f>(Input!M29+Input!M30)*M$7</f>
        <v>274.91108444805201</v>
      </c>
    </row>
    <row r="26" spans="1:19" s="1" customFormat="1" ht="15">
      <c r="A26" s="9"/>
      <c r="B26" s="118"/>
      <c r="C26" s="118"/>
      <c r="D26" s="232"/>
      <c r="E26" s="232"/>
      <c r="F26" s="118"/>
      <c r="G26" s="118"/>
      <c r="H26" s="118"/>
      <c r="I26" s="164"/>
      <c r="J26" s="164"/>
      <c r="K26" s="164"/>
      <c r="L26" s="164"/>
      <c r="M26" s="164"/>
    </row>
    <row r="27" spans="1:19" s="10" customFormat="1" ht="15.6">
      <c r="A27" s="120"/>
      <c r="B27" s="120"/>
      <c r="C27" s="120" t="str">
        <f>"2.3 Revenue correction ("&amp;F$3&amp;" prices)"</f>
        <v>2.3 Revenue correction (2007-08 prices)</v>
      </c>
      <c r="D27" s="120"/>
      <c r="E27" s="120"/>
      <c r="F27" s="120"/>
      <c r="G27" s="120"/>
      <c r="H27" s="120"/>
      <c r="I27" s="192"/>
      <c r="J27" s="192"/>
      <c r="K27" s="192"/>
      <c r="L27" s="192"/>
      <c r="M27" s="192"/>
      <c r="N27" s="9"/>
      <c r="O27" s="9"/>
      <c r="P27" s="9"/>
      <c r="Q27" s="9"/>
      <c r="R27" s="9"/>
      <c r="S27" s="9"/>
    </row>
    <row r="28" spans="1:19" s="1" customFormat="1" ht="15">
      <c r="A28" s="9"/>
      <c r="B28" s="118"/>
      <c r="C28" s="118" t="s">
        <v>125</v>
      </c>
      <c r="D28" s="232" t="s">
        <v>78</v>
      </c>
      <c r="E28" s="232"/>
      <c r="F28" s="118"/>
      <c r="G28" s="118"/>
      <c r="H28" s="118"/>
      <c r="I28" s="164">
        <f>+I24+I25+Input!I32*I7</f>
        <v>363.11758910107875</v>
      </c>
      <c r="J28" s="164">
        <f>+J24+J25+Input!J32*J7</f>
        <v>366.19207836803491</v>
      </c>
      <c r="K28" s="164">
        <f>+K24+K25+Input!K32*K7</f>
        <v>351.05634358502834</v>
      </c>
      <c r="L28" s="164">
        <f>+L24+L25+Input!L32*L7</f>
        <v>363.89723922053872</v>
      </c>
      <c r="M28" s="164">
        <f>+M24+M25+Input!M32*M7</f>
        <v>368.24989551948062</v>
      </c>
    </row>
    <row r="29" spans="1:19" s="1" customFormat="1" ht="15">
      <c r="A29" s="9"/>
      <c r="B29" s="173" t="s">
        <v>253</v>
      </c>
      <c r="C29" s="118" t="s">
        <v>126</v>
      </c>
      <c r="D29" s="232" t="s">
        <v>78</v>
      </c>
      <c r="E29" s="232"/>
      <c r="F29" s="118"/>
      <c r="G29" s="118"/>
      <c r="H29" s="118"/>
      <c r="I29" s="164">
        <f>I28-I21</f>
        <v>1.8647473045654124</v>
      </c>
      <c r="J29" s="164">
        <f>J28-J21</f>
        <v>6.2006630774859559</v>
      </c>
      <c r="K29" s="164">
        <f>K28-K21</f>
        <v>-13.30320313153652</v>
      </c>
      <c r="L29" s="164">
        <f>L28-L21</f>
        <v>-1.6222902937706749</v>
      </c>
      <c r="M29" s="164">
        <f>M28-M21</f>
        <v>4.9938192075887855</v>
      </c>
    </row>
    <row r="30" spans="1:19" s="1" customFormat="1" ht="15">
      <c r="A30" s="9"/>
      <c r="B30" s="173" t="s">
        <v>253</v>
      </c>
      <c r="C30" s="118" t="s">
        <v>127</v>
      </c>
      <c r="D30" s="232" t="s">
        <v>78</v>
      </c>
      <c r="E30" s="232"/>
      <c r="F30" s="130"/>
      <c r="G30" s="130"/>
      <c r="H30" s="130"/>
      <c r="I30" s="193">
        <f>-I29*Input!I53</f>
        <v>-0.5221292452783155</v>
      </c>
      <c r="J30" s="193">
        <f>-J29*Input!J53</f>
        <v>-1.6121724001463487</v>
      </c>
      <c r="K30" s="193">
        <f>-K29*Input!K53</f>
        <v>3.1927687515687646</v>
      </c>
      <c r="L30" s="193">
        <f>-L29*Input!L53</f>
        <v>0.37312676756725527</v>
      </c>
      <c r="M30" s="193">
        <f>-M29*Input!M53</f>
        <v>-1.048702033593645</v>
      </c>
    </row>
    <row r="31" spans="1:19" s="1" customFormat="1" ht="15">
      <c r="A31" s="9"/>
      <c r="B31" s="173" t="s">
        <v>253</v>
      </c>
      <c r="C31" s="118" t="s">
        <v>369</v>
      </c>
      <c r="D31" s="232" t="s">
        <v>78</v>
      </c>
      <c r="E31" s="232"/>
      <c r="F31" s="118"/>
      <c r="G31" s="118"/>
      <c r="H31" s="118"/>
      <c r="I31" s="193">
        <f>(I29+I30)*(1+Input!I57)^(5-I4)</f>
        <v>1.6010970092349013</v>
      </c>
      <c r="J31" s="193">
        <f>(J29+J30)*(1+Input!J57)^(5-J4)</f>
        <v>5.2362301258582633</v>
      </c>
      <c r="K31" s="193">
        <f>(K29+K30)*(1+Input!K57)^(5-K4)</f>
        <v>-11.040847103784287</v>
      </c>
      <c r="L31" s="193">
        <f>(L29+L30)*(1+Input!L57)^(5-L4)</f>
        <v>-1.3053758848825736</v>
      </c>
      <c r="M31" s="193">
        <f>(M29+M30)*(1+Input!M57)^(5-M4)</f>
        <v>3.9451171739951407</v>
      </c>
    </row>
    <row r="32" spans="1:19" s="1" customFormat="1" ht="15">
      <c r="A32" s="9"/>
      <c r="B32" s="118"/>
      <c r="C32" s="118"/>
      <c r="D32" s="232"/>
      <c r="E32" s="232"/>
      <c r="F32" s="118"/>
      <c r="G32" s="118"/>
      <c r="H32" s="118"/>
      <c r="I32" s="164"/>
      <c r="J32" s="164"/>
      <c r="K32" s="164"/>
      <c r="L32" s="164"/>
      <c r="M32" s="164"/>
    </row>
    <row r="33" spans="1:19" s="10" customFormat="1" ht="15.6">
      <c r="A33" s="120"/>
      <c r="B33" s="120"/>
      <c r="C33" s="120" t="str">
        <f>"2.4 Billing incentive ("&amp;F$3&amp;" prices)"</f>
        <v>2.4 Billing incentive (2007-08 prices)</v>
      </c>
      <c r="D33" s="120"/>
      <c r="E33" s="120"/>
      <c r="F33" s="120"/>
      <c r="G33" s="120"/>
      <c r="H33" s="120"/>
      <c r="I33" s="192"/>
      <c r="J33" s="192"/>
      <c r="K33" s="192"/>
      <c r="L33" s="192"/>
      <c r="M33" s="192"/>
      <c r="N33" s="9"/>
      <c r="O33" s="9"/>
      <c r="P33" s="9"/>
      <c r="Q33" s="9"/>
      <c r="R33" s="9"/>
      <c r="S33" s="9"/>
    </row>
    <row r="34" spans="1:19" s="1" customFormat="1" ht="15">
      <c r="A34" s="9"/>
      <c r="B34" s="173" t="s">
        <v>253</v>
      </c>
      <c r="C34" s="125" t="s">
        <v>189</v>
      </c>
      <c r="D34" s="130" t="s">
        <v>77</v>
      </c>
      <c r="E34" s="130"/>
      <c r="F34" s="118"/>
      <c r="G34" s="118"/>
      <c r="H34" s="118"/>
      <c r="I34" s="164">
        <f>Input!I11+Input!I12+Input!I13+Input!I14-(Input!$H11+Input!$H12+Input!$H13+Input!$H14)</f>
        <v>14.291999999999916</v>
      </c>
      <c r="J34" s="164">
        <f>Input!J11+Input!J12+Input!J13+Input!J14-(Input!$H11+Input!$H12+Input!$H13+Input!$H14)</f>
        <v>32.712999999999965</v>
      </c>
      <c r="K34" s="164">
        <f>Input!K11+Input!K12+Input!K13+Input!K14-(Input!$H11+Input!$H12+Input!$H13+Input!$H14)</f>
        <v>56.335999999999785</v>
      </c>
      <c r="L34" s="164">
        <f>Input!L11+Input!L12+Input!L13+Input!L14-(Input!$H11+Input!$H12+Input!$H13+Input!$H14)</f>
        <v>80.883000000000038</v>
      </c>
      <c r="M34" s="164">
        <f>Input!M11+Input!M12+Input!M13+Input!M14-(Input!$H11+Input!$H12+Input!$H13+Input!$H14)</f>
        <v>104.12199999999962</v>
      </c>
      <c r="N34" s="19"/>
      <c r="O34" s="19"/>
      <c r="P34" s="19"/>
    </row>
    <row r="35" spans="1:19" s="1" customFormat="1" ht="15">
      <c r="A35" s="9"/>
      <c r="B35" s="173" t="s">
        <v>253</v>
      </c>
      <c r="C35" s="118" t="s">
        <v>128</v>
      </c>
      <c r="D35" s="232" t="s">
        <v>78</v>
      </c>
      <c r="E35" s="232"/>
      <c r="F35" s="118"/>
      <c r="G35" s="118"/>
      <c r="H35" s="161"/>
      <c r="I35" s="164">
        <f>(Input!I27+Input!I29)*I$7</f>
        <v>291.34952967582927</v>
      </c>
      <c r="J35" s="164">
        <f>(Input!J27+Input!J29)*J$7</f>
        <v>292.71091973596441</v>
      </c>
      <c r="K35" s="164">
        <f>(Input!K27+Input!K29)*K$7</f>
        <v>286.56449766697369</v>
      </c>
      <c r="L35" s="164">
        <f>(Input!L27+Input!L29)*L$7</f>
        <v>299.14978320312582</v>
      </c>
      <c r="M35" s="164">
        <f>(Input!M27+Input!M29)*M$7</f>
        <v>297.42029246753259</v>
      </c>
    </row>
    <row r="36" spans="1:19" s="1" customFormat="1" ht="15">
      <c r="A36" s="9"/>
      <c r="B36" s="173" t="s">
        <v>253</v>
      </c>
      <c r="C36" s="125" t="s">
        <v>129</v>
      </c>
      <c r="D36" s="123" t="s">
        <v>379</v>
      </c>
      <c r="E36" s="232"/>
      <c r="F36" s="118"/>
      <c r="G36" s="118"/>
      <c r="H36" s="118"/>
      <c r="I36" s="164">
        <f>IF(Input!I35=0,0,(I35/Input!I35)*1000)</f>
        <v>155.18099756792836</v>
      </c>
      <c r="J36" s="164">
        <f>IF(Input!J35=0,0,(J35/Input!J35)*1000)</f>
        <v>154.96615422764108</v>
      </c>
      <c r="K36" s="164">
        <f>IF(Input!K35=0,0,(K35/Input!K35)*1000)</f>
        <v>150.45678040720441</v>
      </c>
      <c r="L36" s="164">
        <f>IF(Input!L35=0,0,(L35/Input!L35)*1000)</f>
        <v>156.02048801258272</v>
      </c>
      <c r="M36" s="164">
        <f>IF(Input!M35=0,0,(M35/Input!M35)*1000)</f>
        <v>153.81901405715357</v>
      </c>
    </row>
    <row r="37" spans="1:19" s="1" customFormat="1" ht="15">
      <c r="A37" s="9"/>
      <c r="B37" s="173" t="s">
        <v>253</v>
      </c>
      <c r="C37" s="125" t="s">
        <v>130</v>
      </c>
      <c r="D37" s="123" t="s">
        <v>379</v>
      </c>
      <c r="E37" s="232"/>
      <c r="F37" s="118"/>
      <c r="G37" s="118"/>
      <c r="H37" s="118"/>
      <c r="I37" s="164">
        <f>I36*Input!I58</f>
        <v>65.17601897852991</v>
      </c>
      <c r="J37" s="164">
        <f>J36*Input!J58</f>
        <v>65.085784775609255</v>
      </c>
      <c r="K37" s="164">
        <f>K36*Input!K58</f>
        <v>63.191847771025849</v>
      </c>
      <c r="L37" s="164">
        <f>L36*Input!L58</f>
        <v>65.528604965284742</v>
      </c>
      <c r="M37" s="164">
        <f>M36*Input!M58</f>
        <v>64.603985904004489</v>
      </c>
    </row>
    <row r="38" spans="1:19" s="1" customFormat="1" ht="15">
      <c r="A38" s="9"/>
      <c r="B38" s="173" t="s">
        <v>253</v>
      </c>
      <c r="C38" s="125" t="s">
        <v>186</v>
      </c>
      <c r="D38" s="130" t="s">
        <v>77</v>
      </c>
      <c r="E38" s="130"/>
      <c r="F38" s="118"/>
      <c r="G38" s="118"/>
      <c r="H38" s="118"/>
      <c r="I38" s="164">
        <f>Input!I35+Input!I36-(Input!$H$35+Input!$H$36)</f>
        <v>16.89200000000983</v>
      </c>
      <c r="J38" s="164">
        <f>Input!J35+Input!J36-(Input!$H$35+Input!$H$36)</f>
        <v>27.468000000009624</v>
      </c>
      <c r="K38" s="164">
        <f>Input!K35+Input!K36-(Input!$H$35+Input!$H$36)</f>
        <v>42.564000000009628</v>
      </c>
      <c r="L38" s="164">
        <f>Input!L35+Input!L36-(Input!$H$35+Input!$H$36)</f>
        <v>53.815000000009832</v>
      </c>
      <c r="M38" s="164">
        <f>Input!M35+Input!M36-(Input!$H$35+Input!$H$36)</f>
        <v>69.382000000009612</v>
      </c>
    </row>
    <row r="39" spans="1:19" s="1" customFormat="1" ht="15">
      <c r="A39" s="9"/>
      <c r="B39" s="173" t="s">
        <v>253</v>
      </c>
      <c r="C39" s="125" t="s">
        <v>131</v>
      </c>
      <c r="D39" s="130" t="s">
        <v>77</v>
      </c>
      <c r="E39" s="130"/>
      <c r="F39" s="118"/>
      <c r="G39" s="118"/>
      <c r="H39" s="118"/>
      <c r="I39" s="164">
        <f>I38-I34</f>
        <v>2.6000000000099135</v>
      </c>
      <c r="J39" s="164">
        <f>J38-J34</f>
        <v>-5.2449999999903412</v>
      </c>
      <c r="K39" s="164">
        <f>K38-K34</f>
        <v>-13.771999999990157</v>
      </c>
      <c r="L39" s="164">
        <f>L38-L34</f>
        <v>-27.067999999990207</v>
      </c>
      <c r="M39" s="164">
        <f>M38-M34</f>
        <v>-34.739999999990005</v>
      </c>
    </row>
    <row r="40" spans="1:19" s="1" customFormat="1" ht="15">
      <c r="A40" s="9"/>
      <c r="B40" s="173" t="s">
        <v>253</v>
      </c>
      <c r="C40" s="125" t="s">
        <v>132</v>
      </c>
      <c r="D40" s="130" t="s">
        <v>77</v>
      </c>
      <c r="E40" s="130"/>
      <c r="F40" s="118"/>
      <c r="G40" s="118"/>
      <c r="H40" s="118"/>
      <c r="I40" s="164">
        <f>IF(I39&gt;MAX($I$39:I39,0),I39-MAX($I$39:I39,0),0)</f>
        <v>0</v>
      </c>
      <c r="J40" s="164">
        <f>IF(J39&gt;MAX($I$39:I39,0),J39-MAX($I$39:I39,0),0)</f>
        <v>0</v>
      </c>
      <c r="K40" s="164">
        <f>IF(K39&gt;MAX($I$39:J39,0),K39-MAX($I$39:J39,0),0)</f>
        <v>0</v>
      </c>
      <c r="L40" s="164">
        <f>IF(L39&gt;MAX($I$39:K39,0),L39-MAX($I$39:K39,0),0)</f>
        <v>0</v>
      </c>
      <c r="M40" s="164">
        <f>IF(M39&gt;MAX($I$39:L39,0),M39-MAX($I$39:L39,0),0)</f>
        <v>0</v>
      </c>
    </row>
    <row r="41" spans="1:19" s="1" customFormat="1" ht="15">
      <c r="A41" s="9"/>
      <c r="B41" s="173" t="s">
        <v>253</v>
      </c>
      <c r="C41" s="125" t="s">
        <v>133</v>
      </c>
      <c r="D41" s="232" t="s">
        <v>78</v>
      </c>
      <c r="E41" s="232"/>
      <c r="F41" s="118"/>
      <c r="G41" s="118"/>
      <c r="H41" s="118"/>
      <c r="I41" s="164">
        <f>I39*I37/1000</f>
        <v>0.16945764934482388</v>
      </c>
      <c r="J41" s="164">
        <f>J39*J37/1000</f>
        <v>-0.34137494114744193</v>
      </c>
      <c r="K41" s="164">
        <f>K39*K37/1000</f>
        <v>-0.87027812750194611</v>
      </c>
      <c r="L41" s="164">
        <f>L39*L37/1000</f>
        <v>-1.7737282791996856</v>
      </c>
      <c r="M41" s="164">
        <f>M39*M37/1000</f>
        <v>-2.2443424703044701</v>
      </c>
    </row>
    <row r="42" spans="1:19" s="1" customFormat="1" ht="15">
      <c r="A42" s="9"/>
      <c r="B42" s="173" t="s">
        <v>253</v>
      </c>
      <c r="C42" s="125" t="s">
        <v>134</v>
      </c>
      <c r="D42" s="232" t="s">
        <v>78</v>
      </c>
      <c r="E42" s="232"/>
      <c r="F42" s="118"/>
      <c r="G42" s="118"/>
      <c r="H42" s="118"/>
      <c r="I42" s="164">
        <f>I40*I37*Input!I59/1000</f>
        <v>0</v>
      </c>
      <c r="J42" s="164">
        <f>J40*J37*Input!J59/1000</f>
        <v>0</v>
      </c>
      <c r="K42" s="164">
        <f>K40*K37*Input!K59/1000</f>
        <v>0</v>
      </c>
      <c r="L42" s="164">
        <f>L40*L37*Input!L59/1000</f>
        <v>0</v>
      </c>
      <c r="M42" s="164">
        <f>M40*M37*Input!M59/1000</f>
        <v>0</v>
      </c>
    </row>
    <row r="43" spans="1:19" s="1" customFormat="1" ht="15">
      <c r="A43" s="9"/>
      <c r="B43" s="173" t="s">
        <v>253</v>
      </c>
      <c r="C43" s="125" t="s">
        <v>135</v>
      </c>
      <c r="D43" s="232" t="s">
        <v>78</v>
      </c>
      <c r="E43" s="232"/>
      <c r="F43" s="118"/>
      <c r="G43" s="118"/>
      <c r="H43" s="118"/>
      <c r="I43" s="164">
        <f>+I41+I42+Input!I33*I$7</f>
        <v>0.16945764934482388</v>
      </c>
      <c r="J43" s="164">
        <f>+J41+J42+Input!J33*J$7</f>
        <v>-0.34137494114744193</v>
      </c>
      <c r="K43" s="164">
        <f>+K41+K42+Input!K33*K$7</f>
        <v>-0.87027812750194611</v>
      </c>
      <c r="L43" s="164">
        <f>+L41+L42+Input!L33*L$7</f>
        <v>-1.7737282791996856</v>
      </c>
      <c r="M43" s="164">
        <f>+M41+M42+Input!M33*M$7</f>
        <v>-2.2443424703044701</v>
      </c>
    </row>
    <row r="44" spans="1:19" s="1" customFormat="1" ht="15">
      <c r="A44" s="9"/>
      <c r="B44" s="173" t="s">
        <v>253</v>
      </c>
      <c r="C44" s="125" t="s">
        <v>136</v>
      </c>
      <c r="D44" s="232" t="s">
        <v>78</v>
      </c>
      <c r="E44" s="232"/>
      <c r="F44" s="130"/>
      <c r="G44" s="130"/>
      <c r="H44" s="118"/>
      <c r="I44" s="164">
        <f>-(1-Input!I58)*I36*Input!I37/1000</f>
        <v>-2.3941324304779993E-2</v>
      </c>
      <c r="J44" s="164">
        <f>-(1-Input!J58)*J36*Input!J37/1000</f>
        <v>-4.5659227681632171E-2</v>
      </c>
      <c r="K44" s="164">
        <f>-(1-Input!K58)*K36*Input!K37/1000</f>
        <v>-6.8328442254127819E-2</v>
      </c>
      <c r="L44" s="164">
        <f>-(1-Input!L58)*L36*Input!L37/1000</f>
        <v>-0.13202765736600777</v>
      </c>
      <c r="M44" s="164">
        <f>-(1-Input!M58)*M36*Input!M37/1000</f>
        <v>-0.1881544943749914</v>
      </c>
    </row>
    <row r="45" spans="1:19" s="1" customFormat="1" ht="15">
      <c r="A45" s="9"/>
      <c r="B45" s="173" t="s">
        <v>253</v>
      </c>
      <c r="C45" s="125" t="s">
        <v>368</v>
      </c>
      <c r="D45" s="232" t="s">
        <v>78</v>
      </c>
      <c r="E45" s="232"/>
      <c r="F45" s="173"/>
      <c r="G45" s="173"/>
      <c r="H45" s="173"/>
      <c r="I45" s="164">
        <f>(I43+I44)*(1+Input!I57)^(5-I4)</f>
        <v>0.17353092430484571</v>
      </c>
      <c r="J45" s="164">
        <f>(J43+J44)*(1+Input!J57)^(5-J4)</f>
        <v>-0.4416702826852702</v>
      </c>
      <c r="K45" s="164">
        <f>(K43+K44)*(1+Input!K57)^(5-K4)</f>
        <v>-1.0249818393378765</v>
      </c>
      <c r="L45" s="164">
        <f>(L43+L44)*(1+Input!L57)^(5-L4)</f>
        <v>-1.9915149537111494</v>
      </c>
      <c r="M45" s="164">
        <f>(M43+M44)*(1+Input!M57)^(5-M4)</f>
        <v>-2.4324969646794616</v>
      </c>
    </row>
    <row r="46" spans="1:19" s="3" customFormat="1" ht="15">
      <c r="A46" s="128"/>
      <c r="B46" s="173" t="s">
        <v>253</v>
      </c>
      <c r="C46" s="125" t="s">
        <v>370</v>
      </c>
      <c r="D46" s="232" t="s">
        <v>78</v>
      </c>
      <c r="E46" s="232"/>
      <c r="F46" s="173"/>
      <c r="G46" s="173"/>
      <c r="H46" s="173"/>
      <c r="I46" s="164">
        <f>I45-I31</f>
        <v>-1.4275660849300555</v>
      </c>
      <c r="J46" s="164">
        <f>J45-J31</f>
        <v>-5.6779004085435334</v>
      </c>
      <c r="K46" s="164">
        <f>K45-K31</f>
        <v>10.015865264446411</v>
      </c>
      <c r="L46" s="164">
        <f>L45-L31</f>
        <v>-0.68613906882857578</v>
      </c>
      <c r="M46" s="164">
        <f>M45-M31</f>
        <v>-6.3776141386746019</v>
      </c>
      <c r="N46" s="4"/>
      <c r="O46" s="4"/>
      <c r="P46" s="4"/>
      <c r="Q46" s="4"/>
      <c r="R46" s="11"/>
      <c r="S46" s="11"/>
    </row>
    <row r="47" spans="1:19" s="1" customFormat="1" ht="15">
      <c r="A47" s="9"/>
      <c r="B47" s="173"/>
      <c r="C47" s="125"/>
      <c r="D47" s="232"/>
      <c r="E47" s="232"/>
      <c r="F47" s="173"/>
      <c r="G47" s="173"/>
      <c r="H47" s="173"/>
      <c r="I47" s="164"/>
      <c r="J47" s="164"/>
      <c r="K47" s="164"/>
      <c r="L47" s="164"/>
      <c r="M47" s="164"/>
    </row>
    <row r="48" spans="1:19" s="10" customFormat="1" ht="15.6">
      <c r="A48" s="120"/>
      <c r="B48" s="120"/>
      <c r="C48" s="120" t="s">
        <v>243</v>
      </c>
      <c r="D48" s="120"/>
      <c r="E48" s="120"/>
      <c r="F48" s="120"/>
      <c r="G48" s="120"/>
      <c r="H48" s="120"/>
      <c r="I48" s="120"/>
      <c r="J48" s="120"/>
      <c r="K48" s="120"/>
      <c r="L48" s="120"/>
      <c r="M48" s="120"/>
      <c r="N48" s="9"/>
      <c r="O48" s="9"/>
      <c r="P48" s="9"/>
      <c r="Q48" s="9"/>
      <c r="R48" s="9"/>
      <c r="S48" s="9"/>
    </row>
    <row r="49" spans="1:19" s="1" customFormat="1" ht="15">
      <c r="A49" s="9"/>
      <c r="B49" s="173" t="s">
        <v>253</v>
      </c>
      <c r="C49" s="118" t="s">
        <v>374</v>
      </c>
      <c r="D49" s="232" t="s">
        <v>78</v>
      </c>
      <c r="E49" s="232"/>
      <c r="F49" s="134"/>
      <c r="G49" s="134"/>
      <c r="H49" s="134"/>
      <c r="I49" s="194"/>
      <c r="J49" s="194"/>
      <c r="K49" s="194"/>
      <c r="L49" s="194"/>
      <c r="M49" s="164">
        <f>SUM(I46:M46)</f>
        <v>-4.1533544365303552</v>
      </c>
      <c r="N49" s="4"/>
      <c r="O49" s="4"/>
      <c r="P49" s="4"/>
      <c r="Q49" s="4"/>
      <c r="R49" s="4"/>
      <c r="S49" s="4"/>
    </row>
    <row r="50" spans="1:19" s="1" customFormat="1" ht="15">
      <c r="A50" s="9"/>
      <c r="B50" s="173" t="s">
        <v>253</v>
      </c>
      <c r="C50" s="118" t="s">
        <v>375</v>
      </c>
      <c r="D50" s="232" t="s">
        <v>78</v>
      </c>
      <c r="E50" s="232"/>
      <c r="F50" s="134"/>
      <c r="G50" s="134"/>
      <c r="H50" s="134"/>
      <c r="I50" s="194"/>
      <c r="J50" s="194"/>
      <c r="K50" s="194"/>
      <c r="L50" s="194"/>
      <c r="M50" s="164">
        <f>IF(Input!F55=0,0,M49*(Input!K55/Input!F55))</f>
        <v>-4.8718245220313836</v>
      </c>
      <c r="N50" s="4"/>
      <c r="O50" s="4"/>
      <c r="P50" s="4"/>
      <c r="Q50" s="4"/>
      <c r="R50" s="4"/>
      <c r="S50" s="4"/>
    </row>
    <row r="51" spans="1:19" s="1" customFormat="1" ht="15">
      <c r="A51" s="9"/>
      <c r="B51" s="173" t="s">
        <v>253</v>
      </c>
      <c r="C51" s="118" t="s">
        <v>137</v>
      </c>
      <c r="D51" s="232" t="s">
        <v>78</v>
      </c>
      <c r="E51" s="232"/>
      <c r="F51" s="134"/>
      <c r="G51" s="134"/>
      <c r="H51" s="134"/>
      <c r="I51" s="194"/>
      <c r="J51" s="194"/>
      <c r="K51" s="194"/>
      <c r="L51" s="194"/>
      <c r="M51" s="164">
        <f>-PMT(Input!M60,5,M50)</f>
        <v>-1.0820761264950929</v>
      </c>
      <c r="N51" s="4"/>
      <c r="O51" s="4"/>
      <c r="P51" s="4"/>
      <c r="Q51" s="4"/>
      <c r="R51" s="4"/>
      <c r="S51" s="4"/>
    </row>
    <row r="52" spans="1:19" s="1" customFormat="1" ht="15">
      <c r="A52" s="140"/>
      <c r="B52" s="140"/>
      <c r="C52" s="140"/>
      <c r="D52" s="140"/>
      <c r="E52" s="140"/>
      <c r="F52" s="9"/>
      <c r="G52" s="9"/>
      <c r="H52" s="9"/>
      <c r="I52" s="195"/>
      <c r="J52" s="195"/>
      <c r="K52" s="195"/>
      <c r="L52" s="195"/>
      <c r="M52" s="195"/>
      <c r="N52" s="4"/>
      <c r="O52" s="4"/>
      <c r="P52" s="4"/>
      <c r="Q52" s="4"/>
      <c r="R52" s="4"/>
      <c r="S52" s="4"/>
    </row>
    <row r="53" spans="1:19" ht="15">
      <c r="A53" s="140"/>
      <c r="B53" s="118"/>
      <c r="C53" s="125"/>
      <c r="D53" s="123"/>
      <c r="E53" s="123"/>
      <c r="F53" s="118"/>
      <c r="G53" s="118"/>
      <c r="H53" s="118"/>
      <c r="I53" s="196"/>
      <c r="J53" s="196"/>
      <c r="K53" s="196"/>
      <c r="L53" s="196"/>
      <c r="M53" s="196"/>
    </row>
    <row r="54" spans="1:19" s="1" customFormat="1" ht="15.6">
      <c r="A54" s="119"/>
      <c r="B54" s="119"/>
      <c r="C54" s="120" t="s">
        <v>244</v>
      </c>
      <c r="D54" s="119"/>
      <c r="E54" s="119"/>
      <c r="F54" s="119"/>
      <c r="G54" s="119"/>
      <c r="H54" s="119"/>
      <c r="I54" s="119"/>
      <c r="J54" s="119"/>
      <c r="K54" s="119"/>
      <c r="L54" s="119"/>
      <c r="M54" s="119"/>
    </row>
    <row r="55" spans="1:19" s="8" customFormat="1" ht="15.6">
      <c r="A55" s="120"/>
      <c r="B55" s="120"/>
      <c r="C55" s="120" t="str">
        <f>"3.1 Revenue expectation ("&amp;F$3&amp;" prices)"</f>
        <v>3.1 Revenue expectation (2007-08 prices)</v>
      </c>
      <c r="D55" s="120"/>
      <c r="E55" s="120"/>
      <c r="F55" s="120"/>
      <c r="G55" s="120"/>
      <c r="H55" s="120"/>
      <c r="I55" s="120"/>
      <c r="J55" s="120"/>
      <c r="K55" s="120"/>
      <c r="L55" s="120"/>
      <c r="M55" s="120"/>
      <c r="N55" s="1"/>
      <c r="O55" s="1"/>
      <c r="P55" s="1"/>
      <c r="Q55" s="1"/>
      <c r="R55" s="1"/>
      <c r="S55" s="1"/>
    </row>
    <row r="56" spans="1:19" s="3" customFormat="1" ht="15">
      <c r="A56" s="128"/>
      <c r="B56" s="173" t="s">
        <v>253</v>
      </c>
      <c r="C56" s="128" t="s">
        <v>138</v>
      </c>
      <c r="D56" s="232" t="s">
        <v>78</v>
      </c>
      <c r="E56" s="232"/>
      <c r="F56" s="173"/>
      <c r="G56" s="173"/>
      <c r="H56" s="161">
        <f>IF(Input!H$44&gt;=0,Input!H$44*H$7,0)</f>
        <v>1.4104831221999075</v>
      </c>
      <c r="I56" s="164">
        <f>IF(Input!I$44&gt;=0,Input!I$44*I$7,0)</f>
        <v>1.3493179894763978</v>
      </c>
      <c r="J56" s="164">
        <f>IF(Input!J$44&gt;=0,Input!J$44*J$7,0)</f>
        <v>0.51736768217408102</v>
      </c>
      <c r="K56" s="164">
        <f>IF(Input!K$44&gt;=0,Input!K$44*K$7,0)</f>
        <v>0</v>
      </c>
      <c r="L56" s="164">
        <f>IF(Input!L$44&gt;=0,Input!L$44*L$7,0)</f>
        <v>0.54242975791181303</v>
      </c>
      <c r="M56" s="164">
        <f>IF(Input!M$44&gt;=0,Input!M$44*M$7,0)</f>
        <v>0.60398955521857156</v>
      </c>
      <c r="N56" s="48"/>
      <c r="O56" s="48"/>
      <c r="P56" s="48"/>
    </row>
    <row r="57" spans="1:19" s="3" customFormat="1" ht="15">
      <c r="A57" s="128"/>
      <c r="B57" s="173" t="s">
        <v>253</v>
      </c>
      <c r="C57" s="128" t="s">
        <v>139</v>
      </c>
      <c r="D57" s="232" t="s">
        <v>78</v>
      </c>
      <c r="E57" s="232"/>
      <c r="F57" s="173"/>
      <c r="G57" s="173"/>
      <c r="H57" s="161">
        <f>IF(Input!H$44&lt;0,Input!H$44*H$7,0)</f>
        <v>0</v>
      </c>
      <c r="I57" s="164">
        <f>IF(Input!I$44&lt;0,Input!I$44*I$7,0)</f>
        <v>0</v>
      </c>
      <c r="J57" s="164">
        <f>IF(Input!J$44&lt;0,Input!J$44*J$7,0)</f>
        <v>0</v>
      </c>
      <c r="K57" s="164">
        <f>IF(Input!K$44&lt;0,Input!K$44*K$7,0)</f>
        <v>-0.10521783961717943</v>
      </c>
      <c r="L57" s="164">
        <f>IF(Input!L$44&lt;0,Input!L$44*L$7,0)</f>
        <v>0</v>
      </c>
      <c r="M57" s="164">
        <f>IF(Input!M$44&lt;0,Input!M$44*M$7,0)</f>
        <v>0</v>
      </c>
      <c r="N57" s="48"/>
      <c r="O57" s="48"/>
      <c r="P57" s="48"/>
    </row>
    <row r="58" spans="1:19" s="3" customFormat="1" ht="15">
      <c r="A58" s="128"/>
      <c r="B58" s="173"/>
      <c r="C58" s="128"/>
      <c r="D58" s="232"/>
      <c r="E58" s="232"/>
      <c r="F58" s="173"/>
      <c r="G58" s="173"/>
      <c r="H58" s="161"/>
      <c r="I58" s="164"/>
      <c r="J58" s="164"/>
      <c r="K58" s="164"/>
      <c r="L58" s="164"/>
      <c r="M58" s="164"/>
      <c r="N58" s="48"/>
      <c r="O58" s="48"/>
      <c r="P58" s="48"/>
    </row>
    <row r="59" spans="1:19" s="3" customFormat="1" ht="15">
      <c r="A59" s="128"/>
      <c r="B59" s="173" t="s">
        <v>253</v>
      </c>
      <c r="C59" s="125" t="str">
        <f>"Sewerage: Change in non-household groups under "&amp;Threshold&amp;"ML threshold"</f>
        <v>Sewerage: Change in non-household groups under 50ML threshold</v>
      </c>
      <c r="D59" s="232" t="s">
        <v>67</v>
      </c>
      <c r="E59" s="232"/>
      <c r="F59" s="173"/>
      <c r="G59" s="173"/>
      <c r="H59" s="173"/>
      <c r="I59" s="190">
        <f>IF(Input!H$16=0,0,Input!I$16/Input!H$16)</f>
        <v>0.97302306437368813</v>
      </c>
      <c r="J59" s="190">
        <f>IF(Input!I$16=0,0,Input!J$16/Input!I$16)</f>
        <v>1.0016802905718878</v>
      </c>
      <c r="K59" s="190">
        <f>IF(Input!J$16=0,0,Input!K$16/Input!J$16)</f>
        <v>1.0381728939133761</v>
      </c>
      <c r="L59" s="190">
        <f>IF(Input!K$16=0,0,Input!L$16/Input!K$16)</f>
        <v>1.0323596231674526</v>
      </c>
      <c r="M59" s="190">
        <f>IF(Input!L$16=0,0,Input!M$16/Input!L$16)</f>
        <v>1.0363975896373756</v>
      </c>
      <c r="N59" s="48"/>
      <c r="O59" s="48"/>
      <c r="P59" s="48"/>
    </row>
    <row r="60" spans="1:19" s="3" customFormat="1" ht="15">
      <c r="A60" s="128"/>
      <c r="B60" s="173" t="s">
        <v>253</v>
      </c>
      <c r="C60" s="125" t="str">
        <f>"Sewerage: Change in non-household groups over "&amp;Threshold&amp;"ML threshold"</f>
        <v>Sewerage: Change in non-household groups over 50ML threshold</v>
      </c>
      <c r="D60" s="232" t="s">
        <v>67</v>
      </c>
      <c r="E60" s="232"/>
      <c r="F60" s="173"/>
      <c r="G60" s="173"/>
      <c r="H60" s="173"/>
      <c r="I60" s="190">
        <f>IF(Input!H$17=0,0,Input!I$17/Input!H$17)</f>
        <v>0.96203152746268161</v>
      </c>
      <c r="J60" s="190">
        <f>IF(Input!I$17=0,0,Input!J$17/Input!I$17)</f>
        <v>0.99583165127156947</v>
      </c>
      <c r="K60" s="190">
        <f>IF(Input!J$17=0,0,Input!K$17/Input!J$17)</f>
        <v>1.0332588230802042</v>
      </c>
      <c r="L60" s="190">
        <f>IF(Input!K$17=0,0,Input!L$17/Input!K$17)</f>
        <v>1.0272621788708904</v>
      </c>
      <c r="M60" s="190">
        <f>IF(Input!L$17=0,0,Input!M$17/Input!L$17)</f>
        <v>1.0314628277791731</v>
      </c>
      <c r="N60" s="48"/>
      <c r="O60" s="48"/>
      <c r="P60" s="48"/>
    </row>
    <row r="61" spans="1:19" s="3" customFormat="1" ht="15">
      <c r="A61" s="128"/>
      <c r="B61" s="173"/>
      <c r="C61" s="125"/>
      <c r="D61" s="232"/>
      <c r="E61" s="232"/>
      <c r="F61" s="173"/>
      <c r="G61" s="173"/>
      <c r="H61" s="173"/>
      <c r="I61" s="190"/>
      <c r="J61" s="190"/>
      <c r="K61" s="190"/>
      <c r="L61" s="190"/>
      <c r="M61" s="190"/>
      <c r="N61" s="48"/>
      <c r="O61" s="48"/>
      <c r="P61" s="48"/>
    </row>
    <row r="62" spans="1:19" s="3" customFormat="1" ht="15">
      <c r="A62" s="128"/>
      <c r="B62" s="173" t="s">
        <v>253</v>
      </c>
      <c r="C62" s="125" t="str">
        <f>"Sewerage: Revenue adjustment in non-household groups under "&amp;Threshold&amp;"ML threshold"</f>
        <v>Sewerage: Revenue adjustment in non-household groups under 50ML threshold</v>
      </c>
      <c r="D62" s="232" t="s">
        <v>78</v>
      </c>
      <c r="E62" s="232"/>
      <c r="F62" s="173"/>
      <c r="G62" s="173"/>
      <c r="H62" s="161">
        <f t="shared" ref="H62:M63" si="2">+G62*H59+H56</f>
        <v>1.4104831221999075</v>
      </c>
      <c r="I62" s="164">
        <f t="shared" si="2"/>
        <v>2.721750599286719</v>
      </c>
      <c r="J62" s="164">
        <f t="shared" si="2"/>
        <v>3.2436916133318112</v>
      </c>
      <c r="K62" s="164">
        <f t="shared" si="2"/>
        <v>3.3675127091752342</v>
      </c>
      <c r="L62" s="164">
        <f t="shared" si="2"/>
        <v>4.0189139093675648</v>
      </c>
      <c r="M62" s="164">
        <f t="shared" si="2"/>
        <v>4.7691822438472382</v>
      </c>
      <c r="N62" s="48"/>
      <c r="O62" s="48"/>
      <c r="P62" s="48"/>
    </row>
    <row r="63" spans="1:19" s="3" customFormat="1" ht="15">
      <c r="A63" s="128"/>
      <c r="B63" s="173" t="s">
        <v>253</v>
      </c>
      <c r="C63" s="125" t="str">
        <f>"Sewerage: Revenue adjustment in non-household groups over "&amp;Threshold&amp;"ML threshold"</f>
        <v>Sewerage: Revenue adjustment in non-household groups over 50ML threshold</v>
      </c>
      <c r="D63" s="232" t="s">
        <v>78</v>
      </c>
      <c r="E63" s="232"/>
      <c r="F63" s="173"/>
      <c r="G63" s="173"/>
      <c r="H63" s="161">
        <f t="shared" si="2"/>
        <v>0</v>
      </c>
      <c r="I63" s="164">
        <f t="shared" si="2"/>
        <v>0</v>
      </c>
      <c r="J63" s="164">
        <f t="shared" si="2"/>
        <v>0</v>
      </c>
      <c r="K63" s="164">
        <f t="shared" si="2"/>
        <v>-0.10521783961717943</v>
      </c>
      <c r="L63" s="164">
        <f t="shared" si="2"/>
        <v>-0.10808630718123163</v>
      </c>
      <c r="M63" s="164">
        <f t="shared" si="2"/>
        <v>-0.11148700804936153</v>
      </c>
      <c r="N63" s="48"/>
      <c r="O63" s="48"/>
      <c r="P63" s="48"/>
    </row>
    <row r="64" spans="1:19" s="3" customFormat="1" ht="15">
      <c r="A64" s="128"/>
      <c r="B64" s="173"/>
      <c r="C64" s="125"/>
      <c r="D64" s="232"/>
      <c r="E64" s="232"/>
      <c r="F64" s="173"/>
      <c r="G64" s="173"/>
      <c r="H64" s="161"/>
      <c r="I64" s="164"/>
      <c r="J64" s="164"/>
      <c r="K64" s="164"/>
      <c r="L64" s="164"/>
      <c r="M64" s="164"/>
      <c r="N64" s="48"/>
      <c r="O64" s="48"/>
      <c r="P64" s="48"/>
    </row>
    <row r="65" spans="1:19" s="3" customFormat="1" ht="15">
      <c r="A65" s="128"/>
      <c r="B65" s="173" t="s">
        <v>253</v>
      </c>
      <c r="C65" s="125" t="s">
        <v>140</v>
      </c>
      <c r="D65" s="232" t="s">
        <v>78</v>
      </c>
      <c r="E65" s="232"/>
      <c r="F65" s="173"/>
      <c r="G65" s="173"/>
      <c r="H65" s="161">
        <f t="shared" ref="H65:M65" si="3">+H62+H63</f>
        <v>1.4104831221999075</v>
      </c>
      <c r="I65" s="164">
        <f t="shared" si="3"/>
        <v>2.721750599286719</v>
      </c>
      <c r="J65" s="164">
        <f t="shared" si="3"/>
        <v>3.2436916133318112</v>
      </c>
      <c r="K65" s="164">
        <f t="shared" si="3"/>
        <v>3.2622948695580547</v>
      </c>
      <c r="L65" s="164">
        <f t="shared" si="3"/>
        <v>3.9108276021863331</v>
      </c>
      <c r="M65" s="164">
        <f t="shared" si="3"/>
        <v>4.6576952357978767</v>
      </c>
      <c r="N65" s="48"/>
      <c r="O65" s="48"/>
      <c r="P65" s="48"/>
    </row>
    <row r="66" spans="1:19" s="3" customFormat="1" ht="15">
      <c r="A66" s="128"/>
      <c r="B66" s="173" t="s">
        <v>253</v>
      </c>
      <c r="C66" s="125" t="s">
        <v>141</v>
      </c>
      <c r="D66" s="232" t="s">
        <v>78</v>
      </c>
      <c r="E66" s="232"/>
      <c r="F66" s="173"/>
      <c r="G66" s="173"/>
      <c r="H66" s="161"/>
      <c r="I66" s="164">
        <f>Input!I19*I6-I65</f>
        <v>551.67786053561838</v>
      </c>
      <c r="J66" s="164">
        <f>Input!J19*J6-J65</f>
        <v>537.04506559311426</v>
      </c>
      <c r="K66" s="164">
        <f>Input!K19*K6-K65</f>
        <v>539.39351422622713</v>
      </c>
      <c r="L66" s="164">
        <f>Input!L19*L6-L65</f>
        <v>540.29154577331451</v>
      </c>
      <c r="M66" s="164">
        <f>Input!M19*M6-M65</f>
        <v>543.12781581811828</v>
      </c>
      <c r="N66" s="48"/>
      <c r="O66" s="48"/>
      <c r="P66" s="48"/>
    </row>
    <row r="67" spans="1:19" ht="15.6">
      <c r="A67" s="140"/>
      <c r="B67" s="173"/>
      <c r="C67" s="191"/>
      <c r="D67" s="123"/>
      <c r="E67" s="123"/>
      <c r="F67" s="173"/>
      <c r="G67" s="173"/>
      <c r="H67" s="161"/>
      <c r="I67" s="164"/>
      <c r="J67" s="164"/>
      <c r="K67" s="164"/>
      <c r="L67" s="164"/>
      <c r="M67" s="164"/>
    </row>
    <row r="68" spans="1:19" s="10" customFormat="1" ht="15.6">
      <c r="A68" s="120"/>
      <c r="B68" s="120"/>
      <c r="C68" s="120" t="str">
        <f>"3.2 Revenue subtotals ("&amp;F$3&amp;" prices)"</f>
        <v>3.2 Revenue subtotals (2007-08 prices)</v>
      </c>
      <c r="D68" s="120"/>
      <c r="E68" s="120"/>
      <c r="F68" s="120"/>
      <c r="G68" s="120"/>
      <c r="H68" s="192"/>
      <c r="I68" s="192"/>
      <c r="J68" s="192"/>
      <c r="K68" s="192"/>
      <c r="L68" s="192"/>
      <c r="M68" s="192"/>
      <c r="N68" s="9"/>
      <c r="O68" s="9"/>
      <c r="P68" s="9"/>
      <c r="Q68" s="9"/>
      <c r="R68" s="9"/>
      <c r="S68" s="9"/>
    </row>
    <row r="69" spans="1:19" ht="15">
      <c r="A69" s="140"/>
      <c r="B69" s="118" t="s">
        <v>95</v>
      </c>
      <c r="C69" s="118" t="s">
        <v>142</v>
      </c>
      <c r="D69" s="123" t="s">
        <v>78</v>
      </c>
      <c r="E69" s="123"/>
      <c r="F69" s="118"/>
      <c r="G69" s="118"/>
      <c r="H69" s="161"/>
      <c r="I69" s="164">
        <f>(Input!I39+Input!I40)*I7</f>
        <v>190.84514173749895</v>
      </c>
      <c r="J69" s="164">
        <f>(Input!J39+Input!J40)*J7</f>
        <v>175.18184533548686</v>
      </c>
      <c r="K69" s="164">
        <f>(Input!K39+Input!K40)*K7</f>
        <v>170.12657048465681</v>
      </c>
      <c r="L69" s="164">
        <f>(Input!L39+Input!L40)*L7</f>
        <v>160.0209092624475</v>
      </c>
      <c r="M69" s="164">
        <f>(Input!M39+Input!M40)*M7</f>
        <v>153.6342640584416</v>
      </c>
    </row>
    <row r="70" spans="1:19" ht="15">
      <c r="A70" s="140"/>
      <c r="B70" s="118" t="s">
        <v>97</v>
      </c>
      <c r="C70" s="118" t="s">
        <v>143</v>
      </c>
      <c r="D70" s="123" t="s">
        <v>78</v>
      </c>
      <c r="E70" s="123"/>
      <c r="F70" s="118"/>
      <c r="G70" s="118"/>
      <c r="H70" s="161"/>
      <c r="I70" s="164">
        <f>(Input!I41+Input!I42+Input!I43)*I7</f>
        <v>365.62096541192983</v>
      </c>
      <c r="J70" s="164">
        <f>(Input!J41+Input!J42+Input!J43)*J7</f>
        <v>369.33051104244942</v>
      </c>
      <c r="K70" s="164">
        <f>(Input!K41+Input!K42+Input!K43)*K7</f>
        <v>382.00898542284045</v>
      </c>
      <c r="L70" s="164">
        <f>(Input!L41+Input!L42+Input!L43)*L7</f>
        <v>393.16485363479984</v>
      </c>
      <c r="M70" s="164">
        <f>(Input!M41+Input!M42+Input!M43)*M7</f>
        <v>408.64570350649359</v>
      </c>
    </row>
    <row r="71" spans="1:19" ht="15.6">
      <c r="A71" s="140"/>
      <c r="B71" s="118"/>
      <c r="C71" s="141"/>
      <c r="D71" s="123"/>
      <c r="E71" s="123"/>
      <c r="F71" s="118"/>
      <c r="G71" s="118"/>
      <c r="H71" s="161"/>
      <c r="I71" s="164"/>
      <c r="J71" s="164"/>
      <c r="K71" s="164"/>
      <c r="L71" s="164"/>
      <c r="M71" s="164"/>
    </row>
    <row r="72" spans="1:19" s="10" customFormat="1" ht="15.6">
      <c r="A72" s="120"/>
      <c r="B72" s="120"/>
      <c r="C72" s="120" t="str">
        <f>"3.3 Revenue correction ("&amp;F$3&amp;" prices)"</f>
        <v>3.3 Revenue correction (2007-08 prices)</v>
      </c>
      <c r="D72" s="120"/>
      <c r="E72" s="120"/>
      <c r="F72" s="120"/>
      <c r="G72" s="120"/>
      <c r="H72" s="192"/>
      <c r="I72" s="192"/>
      <c r="J72" s="192"/>
      <c r="K72" s="192"/>
      <c r="L72" s="192"/>
      <c r="M72" s="192"/>
      <c r="N72" s="9"/>
      <c r="O72" s="9"/>
      <c r="P72" s="9"/>
      <c r="Q72" s="9"/>
      <c r="R72" s="9"/>
      <c r="S72" s="9"/>
    </row>
    <row r="73" spans="1:19" ht="15">
      <c r="A73" s="140"/>
      <c r="B73" s="173" t="s">
        <v>253</v>
      </c>
      <c r="C73" s="118" t="s">
        <v>144</v>
      </c>
      <c r="D73" s="123" t="s">
        <v>78</v>
      </c>
      <c r="E73" s="123"/>
      <c r="F73" s="118"/>
      <c r="G73" s="118"/>
      <c r="H73" s="161"/>
      <c r="I73" s="164">
        <f>I69+I70+Input!I45*Calc!I$7</f>
        <v>556.46610714942881</v>
      </c>
      <c r="J73" s="164">
        <f>J69+J70+Input!J45*Calc!J$7</f>
        <v>544.51235637793627</v>
      </c>
      <c r="K73" s="164">
        <f>K69+K70+Input!K45*Calc!K$7</f>
        <v>552.13555590749729</v>
      </c>
      <c r="L73" s="164">
        <f>L69+L70+Input!L45*Calc!L$7</f>
        <v>553.18576289724729</v>
      </c>
      <c r="M73" s="164">
        <f>M69+M70+Input!M45*Calc!M$7</f>
        <v>562.27996756493519</v>
      </c>
    </row>
    <row r="74" spans="1:19" ht="15">
      <c r="A74" s="140"/>
      <c r="B74" s="173" t="s">
        <v>253</v>
      </c>
      <c r="C74" s="118" t="s">
        <v>145</v>
      </c>
      <c r="D74" s="123" t="s">
        <v>78</v>
      </c>
      <c r="E74" s="123"/>
      <c r="F74" s="118"/>
      <c r="G74" s="118"/>
      <c r="H74" s="161"/>
      <c r="I74" s="164">
        <f>I73-I66</f>
        <v>4.7882466138104292</v>
      </c>
      <c r="J74" s="164">
        <f>J73-J66</f>
        <v>7.467290784822012</v>
      </c>
      <c r="K74" s="164">
        <f>K73-K66</f>
        <v>12.742041681270166</v>
      </c>
      <c r="L74" s="164">
        <f>L73-L66</f>
        <v>12.894217123932776</v>
      </c>
      <c r="M74" s="164">
        <f>M73-M66</f>
        <v>19.152151746816912</v>
      </c>
    </row>
    <row r="75" spans="1:19" ht="15">
      <c r="A75" s="140"/>
      <c r="B75" s="173" t="s">
        <v>253</v>
      </c>
      <c r="C75" s="118" t="s">
        <v>146</v>
      </c>
      <c r="D75" s="123" t="s">
        <v>78</v>
      </c>
      <c r="E75" s="123"/>
      <c r="F75" s="130"/>
      <c r="G75" s="130"/>
      <c r="H75" s="197"/>
      <c r="I75" s="193">
        <f>-I74*Input!I53</f>
        <v>-1.3407090518669202</v>
      </c>
      <c r="J75" s="193">
        <f>-J74*Input!J53</f>
        <v>-1.9414956040537232</v>
      </c>
      <c r="K75" s="193">
        <f>-K74*Input!K53</f>
        <v>-3.0580900035048399</v>
      </c>
      <c r="L75" s="193">
        <f>-L74*Input!L53</f>
        <v>-2.9656699385045386</v>
      </c>
      <c r="M75" s="193">
        <f>-M74*Input!M53</f>
        <v>-4.021951866831551</v>
      </c>
    </row>
    <row r="76" spans="1:19" ht="15">
      <c r="A76" s="140"/>
      <c r="B76" s="173" t="s">
        <v>253</v>
      </c>
      <c r="C76" s="118" t="s">
        <v>371</v>
      </c>
      <c r="D76" s="123" t="s">
        <v>78</v>
      </c>
      <c r="E76" s="123"/>
      <c r="F76" s="118"/>
      <c r="G76" s="118"/>
      <c r="H76" s="161"/>
      <c r="I76" s="193">
        <f>(I74+I75)*(1+Input!I57)^(5-I4)</f>
        <v>4.1112526689709963</v>
      </c>
      <c r="J76" s="193">
        <f>(J74+J75)*(1+Input!J57)^(5-J4)</f>
        <v>6.3058502739810214</v>
      </c>
      <c r="K76" s="193">
        <f>(K74+K75)*(1+Input!K57)^(5-K4)</f>
        <v>10.575117330911677</v>
      </c>
      <c r="L76" s="193">
        <f>(L74+L75)*(1+Input!L57)^(5-L4)</f>
        <v>10.375331808772508</v>
      </c>
      <c r="M76" s="193">
        <f>(M74+M75)*(1+Input!M57)^(5-M4)</f>
        <v>15.130199879985362</v>
      </c>
    </row>
    <row r="77" spans="1:19" ht="15">
      <c r="A77" s="140"/>
      <c r="B77" s="173"/>
      <c r="C77" s="118"/>
      <c r="D77" s="123"/>
      <c r="E77" s="123"/>
      <c r="F77" s="118"/>
      <c r="G77" s="118"/>
      <c r="H77" s="161"/>
      <c r="I77" s="164"/>
      <c r="J77" s="164"/>
      <c r="K77" s="164"/>
      <c r="L77" s="164"/>
      <c r="M77" s="164"/>
    </row>
    <row r="78" spans="1:19" s="10" customFormat="1" ht="15.6">
      <c r="A78" s="120"/>
      <c r="B78" s="120"/>
      <c r="C78" s="120" t="str">
        <f>"3.4 Billing incentive ("&amp;F$3&amp;" prices)"</f>
        <v>3.4 Billing incentive (2007-08 prices)</v>
      </c>
      <c r="D78" s="120"/>
      <c r="E78" s="120"/>
      <c r="F78" s="120"/>
      <c r="G78" s="120"/>
      <c r="H78" s="192"/>
      <c r="I78" s="192"/>
      <c r="J78" s="192"/>
      <c r="K78" s="192"/>
      <c r="L78" s="192"/>
      <c r="M78" s="192"/>
      <c r="N78" s="9"/>
      <c r="O78" s="9"/>
      <c r="P78" s="9"/>
      <c r="Q78" s="9"/>
      <c r="R78" s="9"/>
      <c r="S78" s="9"/>
    </row>
    <row r="79" spans="1:19" ht="15">
      <c r="A79" s="140"/>
      <c r="B79" s="173" t="s">
        <v>253</v>
      </c>
      <c r="C79" s="125" t="s">
        <v>188</v>
      </c>
      <c r="D79" s="132" t="s">
        <v>77</v>
      </c>
      <c r="E79" s="132"/>
      <c r="F79" s="118"/>
      <c r="G79" s="118"/>
      <c r="H79" s="161"/>
      <c r="I79" s="164">
        <f>Input!I20+Input!I21+Input!I22+Input!I23-(Input!$H20+Input!$H21+Input!$H22+Input!$H23)</f>
        <v>17.4050000000002</v>
      </c>
      <c r="J79" s="164">
        <f>Input!J20+Input!J21+Input!J22+Input!J23-(Input!$H20+Input!$H21+Input!$H22+Input!$H23)</f>
        <v>39.947000000000116</v>
      </c>
      <c r="K79" s="164">
        <f>Input!K20+Input!K21+Input!K22+Input!K23-(Input!$H20+Input!$H21+Input!$H22+Input!$H23)</f>
        <v>69.579999999999927</v>
      </c>
      <c r="L79" s="164">
        <f>Input!L20+Input!L21+Input!L22+Input!L23-(Input!$H20+Input!$H21+Input!$H22+Input!$H23)</f>
        <v>100.25</v>
      </c>
      <c r="M79" s="164">
        <f>Input!M20+Input!M21+Input!M22+Input!M23-(Input!$H20+Input!$H21+Input!$H22+Input!$H23)</f>
        <v>129.27400000000034</v>
      </c>
      <c r="N79" s="19"/>
      <c r="O79" s="19"/>
      <c r="P79" s="19"/>
    </row>
    <row r="80" spans="1:19" ht="15">
      <c r="A80" s="140"/>
      <c r="B80" s="173" t="s">
        <v>253</v>
      </c>
      <c r="C80" s="118" t="s">
        <v>147</v>
      </c>
      <c r="D80" s="123" t="s">
        <v>78</v>
      </c>
      <c r="E80" s="123"/>
      <c r="F80" s="118"/>
      <c r="G80" s="118"/>
      <c r="H80" s="161"/>
      <c r="I80" s="164">
        <f>(Input!I39+Input!I41)*I$7</f>
        <v>484.94028023696592</v>
      </c>
      <c r="J80" s="164">
        <f>(Input!J39+Input!J41)*J$7</f>
        <v>478.41279842702158</v>
      </c>
      <c r="K80" s="164">
        <f>(Input!K39+Input!K41)*K$7</f>
        <v>465.66901375975004</v>
      </c>
      <c r="L80" s="164">
        <f>(Input!L39+Input!L41)*L$7</f>
        <v>482.09964529925981</v>
      </c>
      <c r="M80" s="164">
        <f>(Input!M39+Input!M41)*M$7</f>
        <v>486.29219058441572</v>
      </c>
    </row>
    <row r="81" spans="1:19" ht="15">
      <c r="A81" s="140"/>
      <c r="B81" s="173" t="s">
        <v>253</v>
      </c>
      <c r="C81" s="125" t="s">
        <v>148</v>
      </c>
      <c r="D81" s="123" t="s">
        <v>379</v>
      </c>
      <c r="E81" s="123"/>
      <c r="F81" s="118"/>
      <c r="G81" s="118"/>
      <c r="H81" s="161"/>
      <c r="I81" s="164">
        <f>IF(Input!I48=0,0,(I80/Input!I48)*1000)</f>
        <v>199.08748416319219</v>
      </c>
      <c r="J81" s="164">
        <f>IF(Input!J48=0,0,(J80/Input!J48)*1000)</f>
        <v>195.22383561606145</v>
      </c>
      <c r="K81" s="164">
        <f>IF(Input!K48=0,0,(K80/Input!K48)*1000)</f>
        <v>188.58463172310277</v>
      </c>
      <c r="L81" s="164">
        <f>IF(Input!L48=0,0,(L80/Input!L48)*1000)</f>
        <v>194.18525121421649</v>
      </c>
      <c r="M81" s="164">
        <f>IF(Input!M48=0,0,(M80/Input!M48)*1000)</f>
        <v>194.36907798686508</v>
      </c>
    </row>
    <row r="82" spans="1:19" ht="15">
      <c r="A82" s="140"/>
      <c r="B82" s="173" t="s">
        <v>253</v>
      </c>
      <c r="C82" s="125" t="s">
        <v>149</v>
      </c>
      <c r="D82" s="123" t="s">
        <v>379</v>
      </c>
      <c r="E82" s="123"/>
      <c r="F82" s="118"/>
      <c r="G82" s="118"/>
      <c r="H82" s="161"/>
      <c r="I82" s="164">
        <f>I81*Input!I58</f>
        <v>83.616743348540709</v>
      </c>
      <c r="J82" s="164">
        <f>J81*Input!J58</f>
        <v>81.994010958745804</v>
      </c>
      <c r="K82" s="164">
        <f>K81*Input!K58</f>
        <v>79.205545323703163</v>
      </c>
      <c r="L82" s="164">
        <f>L81*Input!L58</f>
        <v>81.557805509970919</v>
      </c>
      <c r="M82" s="164">
        <f>M81*Input!M58</f>
        <v>81.635012754483327</v>
      </c>
    </row>
    <row r="83" spans="1:19" ht="15">
      <c r="A83" s="140"/>
      <c r="B83" s="173" t="s">
        <v>253</v>
      </c>
      <c r="C83" s="125" t="s">
        <v>187</v>
      </c>
      <c r="D83" s="132" t="s">
        <v>77</v>
      </c>
      <c r="E83" s="132"/>
      <c r="F83" s="118"/>
      <c r="G83" s="118"/>
      <c r="H83" s="161"/>
      <c r="I83" s="164">
        <f>Input!I48+Input!I49-(Input!$H$48+Input!$H$49)</f>
        <v>22.301999999999225</v>
      </c>
      <c r="J83" s="164">
        <f>Input!J48+Input!J49-(Input!$H$48+Input!$H$49)</f>
        <v>36.213999999999487</v>
      </c>
      <c r="K83" s="164">
        <f>Input!K48+Input!K49-(Input!$H$48+Input!$H$49)</f>
        <v>54.662999999999556</v>
      </c>
      <c r="L83" s="164">
        <f>Input!L48+Input!L49-(Input!$H$48+Input!$H$49)</f>
        <v>66.880000000000109</v>
      </c>
      <c r="M83" s="164">
        <f>Input!M48+Input!M49-(Input!$H$48+Input!$H$49)</f>
        <v>86.157999999999447</v>
      </c>
    </row>
    <row r="84" spans="1:19" ht="15">
      <c r="A84" s="140"/>
      <c r="B84" s="173" t="s">
        <v>253</v>
      </c>
      <c r="C84" s="125" t="s">
        <v>150</v>
      </c>
      <c r="D84" s="132" t="s">
        <v>77</v>
      </c>
      <c r="E84" s="132"/>
      <c r="F84" s="118"/>
      <c r="G84" s="118"/>
      <c r="H84" s="161"/>
      <c r="I84" s="164">
        <f>I83-I79</f>
        <v>4.896999999999025</v>
      </c>
      <c r="J84" s="164">
        <f>J83-J79</f>
        <v>-3.7330000000006294</v>
      </c>
      <c r="K84" s="164">
        <f>K83-K79</f>
        <v>-14.917000000000371</v>
      </c>
      <c r="L84" s="164">
        <f>L83-L79</f>
        <v>-33.369999999999891</v>
      </c>
      <c r="M84" s="164">
        <f>M83-M79</f>
        <v>-43.116000000000895</v>
      </c>
    </row>
    <row r="85" spans="1:19" ht="15">
      <c r="A85" s="140"/>
      <c r="B85" s="173" t="s">
        <v>253</v>
      </c>
      <c r="C85" s="125" t="s">
        <v>151</v>
      </c>
      <c r="D85" s="132" t="s">
        <v>77</v>
      </c>
      <c r="E85" s="132"/>
      <c r="F85" s="118"/>
      <c r="G85" s="118"/>
      <c r="H85" s="161"/>
      <c r="I85" s="164">
        <f>IF(I84&gt;MAX($I$84:I84,0),I84-MAX($I$84:I84,0),0)</f>
        <v>0</v>
      </c>
      <c r="J85" s="198">
        <f>IF(J84&gt;MAX($I$84:I84,0),J84-MAX($I$84:I84,0),0)</f>
        <v>0</v>
      </c>
      <c r="K85" s="164">
        <f>IF(K84&gt;MAX($I$84:J84,0),K84-MAX($I$84:J84,0),0)</f>
        <v>0</v>
      </c>
      <c r="L85" s="164">
        <f>IF(L84&gt;MAX($I$84:K84,0),L84-MAX($I$84:K84,0),0)</f>
        <v>0</v>
      </c>
      <c r="M85" s="164">
        <f>IF(M84&gt;MAX($I$84:L84,0),M84-MAX($I$84:L84,0),0)</f>
        <v>0</v>
      </c>
    </row>
    <row r="86" spans="1:19" ht="15">
      <c r="A86" s="140"/>
      <c r="B86" s="173" t="s">
        <v>253</v>
      </c>
      <c r="C86" s="125" t="s">
        <v>152</v>
      </c>
      <c r="D86" s="123" t="s">
        <v>78</v>
      </c>
      <c r="E86" s="123"/>
      <c r="F86" s="118"/>
      <c r="G86" s="118"/>
      <c r="H86" s="161"/>
      <c r="I86" s="164">
        <f>I84*I82/1000</f>
        <v>0.40947119217772232</v>
      </c>
      <c r="J86" s="164">
        <f>J84*J82/1000</f>
        <v>-0.30608364290904966</v>
      </c>
      <c r="K86" s="164">
        <f>K84*K82/1000</f>
        <v>-1.1815091195937095</v>
      </c>
      <c r="L86" s="164">
        <f>L84*L82/1000</f>
        <v>-2.7215839698677207</v>
      </c>
      <c r="M86" s="164">
        <f>M84*M82/1000</f>
        <v>-3.519775209922376</v>
      </c>
    </row>
    <row r="87" spans="1:19" ht="15">
      <c r="A87" s="140"/>
      <c r="B87" s="173" t="s">
        <v>253</v>
      </c>
      <c r="C87" s="125" t="s">
        <v>153</v>
      </c>
      <c r="D87" s="123" t="s">
        <v>78</v>
      </c>
      <c r="E87" s="123"/>
      <c r="F87" s="118"/>
      <c r="G87" s="118"/>
      <c r="H87" s="161"/>
      <c r="I87" s="164">
        <f>I85*I82*Input!I59/1000</f>
        <v>0</v>
      </c>
      <c r="J87" s="164">
        <f>J85*J82*Input!J59/1000</f>
        <v>0</v>
      </c>
      <c r="K87" s="164">
        <f>K85*K82*Input!K59/1000</f>
        <v>0</v>
      </c>
      <c r="L87" s="164">
        <f>L85*L82*Input!L59/1000</f>
        <v>0</v>
      </c>
      <c r="M87" s="164">
        <f>M85*M82*Input!M59/1000</f>
        <v>0</v>
      </c>
    </row>
    <row r="88" spans="1:19" ht="15">
      <c r="A88" s="140"/>
      <c r="B88" s="173" t="s">
        <v>253</v>
      </c>
      <c r="C88" s="125" t="s">
        <v>154</v>
      </c>
      <c r="D88" s="123" t="s">
        <v>78</v>
      </c>
      <c r="E88" s="123"/>
      <c r="F88" s="118"/>
      <c r="G88" s="118"/>
      <c r="H88" s="161"/>
      <c r="I88" s="164">
        <f>+I86+I87+Input!I46*I$7</f>
        <v>0.40947119217772232</v>
      </c>
      <c r="J88" s="164">
        <f>+J86+J87+Input!J46*J$7</f>
        <v>-0.30608364290904966</v>
      </c>
      <c r="K88" s="164">
        <f>+K86+K87+Input!K46*K$7</f>
        <v>-1.1815091195937095</v>
      </c>
      <c r="L88" s="164">
        <f>+L86+L87+Input!L46*L$7</f>
        <v>-2.7215839698677207</v>
      </c>
      <c r="M88" s="164">
        <f>+M86+M87+Input!M46*M$7</f>
        <v>-3.519775209922376</v>
      </c>
    </row>
    <row r="89" spans="1:19" ht="15">
      <c r="A89" s="140"/>
      <c r="B89" s="173" t="s">
        <v>253</v>
      </c>
      <c r="C89" s="125" t="s">
        <v>155</v>
      </c>
      <c r="D89" s="123" t="s">
        <v>78</v>
      </c>
      <c r="E89" s="123"/>
      <c r="F89" s="130"/>
      <c r="G89" s="130"/>
      <c r="H89" s="161"/>
      <c r="I89" s="164">
        <f>-(1-Input!I58)*I81*Input!I50/1000</f>
        <v>-1.7205140381383072E-2</v>
      </c>
      <c r="J89" s="164">
        <f>-(1-Input!J58)*J81*Input!J50/1000</f>
        <v>-3.9064289506773903E-2</v>
      </c>
      <c r="K89" s="164">
        <f>-(1-Input!K58)*K81*Input!K50/1000</f>
        <v>-7.7002876825177341E-2</v>
      </c>
      <c r="L89" s="164">
        <f>-(1-Input!L58)*L81*Input!L50/1000</f>
        <v>-0.14562728729558952</v>
      </c>
      <c r="M89" s="164">
        <f>-(1-Input!M58)*M81*Input!M50/1000</f>
        <v>-0.21904228874651779</v>
      </c>
    </row>
    <row r="90" spans="1:19" ht="15">
      <c r="A90" s="140"/>
      <c r="B90" s="173" t="s">
        <v>253</v>
      </c>
      <c r="C90" s="125" t="s">
        <v>372</v>
      </c>
      <c r="D90" s="123" t="s">
        <v>78</v>
      </c>
      <c r="E90" s="123"/>
      <c r="F90" s="173"/>
      <c r="G90" s="173"/>
      <c r="H90" s="161"/>
      <c r="I90" s="164">
        <f>(I88+I89)*(1+Input!I57)^(5-I4)</f>
        <v>0.46778456316086403</v>
      </c>
      <c r="J90" s="164">
        <f>(J88+J89)*(1+Input!J57)^(5-J4)</f>
        <v>-0.39387112858672718</v>
      </c>
      <c r="K90" s="164">
        <f>(K88+K89)*(1+Input!K57)^(5-K4)</f>
        <v>-1.3743265628893346</v>
      </c>
      <c r="L90" s="164">
        <f>(L88+L89)*(1+Input!L57)^(5-L4)</f>
        <v>-2.9962357637356591</v>
      </c>
      <c r="M90" s="164">
        <f>(M88+M89)*(1+Input!M57)^(5-M4)</f>
        <v>-3.7388174986688938</v>
      </c>
    </row>
    <row r="91" spans="1:19" s="3" customFormat="1" ht="15">
      <c r="A91" s="128"/>
      <c r="B91" s="173" t="s">
        <v>253</v>
      </c>
      <c r="C91" s="125" t="s">
        <v>373</v>
      </c>
      <c r="D91" s="232" t="s">
        <v>78</v>
      </c>
      <c r="E91" s="232"/>
      <c r="F91" s="173"/>
      <c r="G91" s="173"/>
      <c r="H91" s="161"/>
      <c r="I91" s="164">
        <f>I90-I76</f>
        <v>-3.6434681058101321</v>
      </c>
      <c r="J91" s="164">
        <f>J90-J76</f>
        <v>-6.6997214025677483</v>
      </c>
      <c r="K91" s="164">
        <f>K90-K76</f>
        <v>-11.949443893801012</v>
      </c>
      <c r="L91" s="164">
        <f>L90-L76</f>
        <v>-13.371567572508166</v>
      </c>
      <c r="M91" s="164">
        <f>M90-M76</f>
        <v>-18.869017378654256</v>
      </c>
      <c r="N91" s="4"/>
      <c r="O91" s="4"/>
      <c r="P91" s="4"/>
      <c r="Q91" s="4"/>
    </row>
    <row r="92" spans="1:19" ht="15">
      <c r="A92" s="140"/>
      <c r="B92" s="173"/>
      <c r="C92" s="125"/>
      <c r="D92" s="123"/>
      <c r="E92" s="123"/>
      <c r="F92" s="173"/>
      <c r="G92" s="173"/>
      <c r="H92" s="161"/>
      <c r="I92" s="164"/>
      <c r="J92" s="164"/>
      <c r="K92" s="164"/>
      <c r="L92" s="164"/>
      <c r="M92" s="164"/>
    </row>
    <row r="93" spans="1:19" s="10" customFormat="1" ht="15.6">
      <c r="A93" s="120"/>
      <c r="B93" s="120"/>
      <c r="C93" s="120" t="s">
        <v>245</v>
      </c>
      <c r="D93" s="120"/>
      <c r="E93" s="120"/>
      <c r="F93" s="120"/>
      <c r="G93" s="120"/>
      <c r="H93" s="192"/>
      <c r="I93" s="192"/>
      <c r="J93" s="192"/>
      <c r="K93" s="192"/>
      <c r="L93" s="192"/>
      <c r="M93" s="192"/>
      <c r="N93" s="9"/>
      <c r="O93" s="9"/>
      <c r="P93" s="9"/>
      <c r="Q93" s="9"/>
      <c r="R93" s="9"/>
      <c r="S93" s="9"/>
    </row>
    <row r="94" spans="1:19" ht="15">
      <c r="A94" s="140"/>
      <c r="B94" s="173" t="s">
        <v>253</v>
      </c>
      <c r="C94" s="118" t="s">
        <v>376</v>
      </c>
      <c r="D94" s="123" t="s">
        <v>78</v>
      </c>
      <c r="E94" s="123"/>
      <c r="F94" s="134"/>
      <c r="G94" s="134"/>
      <c r="H94" s="199"/>
      <c r="I94" s="200"/>
      <c r="J94" s="200"/>
      <c r="K94" s="200"/>
      <c r="L94" s="200"/>
      <c r="M94" s="164">
        <f>SUM(I91:M91)</f>
        <v>-54.533218353341319</v>
      </c>
      <c r="N94" s="4"/>
      <c r="O94" s="4"/>
      <c r="P94" s="4"/>
      <c r="Q94" s="4"/>
    </row>
    <row r="95" spans="1:19" ht="15">
      <c r="A95" s="140"/>
      <c r="B95" s="173" t="s">
        <v>253</v>
      </c>
      <c r="C95" s="118" t="s">
        <v>377</v>
      </c>
      <c r="D95" s="123" t="s">
        <v>78</v>
      </c>
      <c r="E95" s="123"/>
      <c r="F95" s="134"/>
      <c r="G95" s="134"/>
      <c r="H95" s="199"/>
      <c r="I95" s="200"/>
      <c r="J95" s="200"/>
      <c r="K95" s="200"/>
      <c r="L95" s="200"/>
      <c r="M95" s="164">
        <f>IF(Input!F55=0,0,M94*(Input!K55/Input!F55))</f>
        <v>-63.966674286782464</v>
      </c>
      <c r="N95" s="4"/>
      <c r="O95" s="4"/>
      <c r="P95" s="4"/>
      <c r="Q95" s="4"/>
    </row>
    <row r="96" spans="1:19" ht="15">
      <c r="A96" s="140"/>
      <c r="B96" s="173" t="s">
        <v>253</v>
      </c>
      <c r="C96" s="118" t="s">
        <v>156</v>
      </c>
      <c r="D96" s="123" t="s">
        <v>78</v>
      </c>
      <c r="E96" s="123"/>
      <c r="F96" s="134"/>
      <c r="G96" s="134"/>
      <c r="H96" s="199"/>
      <c r="I96" s="200"/>
      <c r="J96" s="200"/>
      <c r="K96" s="200"/>
      <c r="L96" s="200"/>
      <c r="M96" s="164">
        <f>-PMT(Input!M60,5,M95)</f>
        <v>-14.207574764649731</v>
      </c>
    </row>
    <row r="97" spans="1:13" ht="15">
      <c r="A97" s="140"/>
      <c r="B97" s="129"/>
      <c r="C97" s="129"/>
      <c r="D97" s="131"/>
      <c r="E97" s="131"/>
      <c r="F97" s="129"/>
      <c r="G97" s="129"/>
      <c r="H97" s="129"/>
      <c r="I97" s="201"/>
      <c r="J97" s="201"/>
      <c r="K97" s="201"/>
      <c r="L97" s="201"/>
      <c r="M97" s="201"/>
    </row>
    <row r="98" spans="1:13" ht="15.6">
      <c r="A98" s="203"/>
      <c r="B98" s="202"/>
      <c r="C98" s="203"/>
      <c r="D98" s="204"/>
      <c r="E98" s="204"/>
      <c r="F98" s="202"/>
      <c r="G98" s="202"/>
      <c r="H98" s="202"/>
      <c r="I98" s="205"/>
      <c r="J98" s="205"/>
      <c r="K98" s="205"/>
      <c r="L98" s="205"/>
      <c r="M98" s="20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185" t="s">
        <v>72</v>
      </c>
      <c r="C1" s="185" t="s">
        <v>73</v>
      </c>
      <c r="D1" s="185" t="s">
        <v>74</v>
      </c>
      <c r="E1" s="185" t="s">
        <v>75</v>
      </c>
      <c r="F1" s="185" t="s">
        <v>76</v>
      </c>
      <c r="G1" s="10"/>
      <c r="H1" s="185" t="s">
        <v>410</v>
      </c>
      <c r="I1" s="10"/>
      <c r="J1" s="253"/>
      <c r="K1" s="253"/>
      <c r="L1" s="253"/>
    </row>
    <row r="2" spans="1:12" ht="15">
      <c r="A2" s="254" t="s">
        <v>374</v>
      </c>
      <c r="B2" s="9"/>
      <c r="C2" s="9"/>
      <c r="D2" s="9"/>
      <c r="E2" s="9"/>
      <c r="F2" s="9"/>
      <c r="G2" s="9"/>
      <c r="H2" s="9"/>
      <c r="I2" s="9"/>
      <c r="J2" s="9"/>
      <c r="K2" s="3"/>
      <c r="L2" s="3"/>
    </row>
    <row r="3" spans="1:12" ht="15">
      <c r="A3" s="9" t="s">
        <v>411</v>
      </c>
      <c r="B3" s="168">
        <f>-Calc!I31</f>
        <v>-1.6010970092349013</v>
      </c>
      <c r="C3" s="168">
        <f>-Calc!J31</f>
        <v>-5.2362301258582633</v>
      </c>
      <c r="D3" s="168">
        <f>-Calc!K31</f>
        <v>11.040847103784287</v>
      </c>
      <c r="E3" s="168">
        <f>-Calc!L31</f>
        <v>1.3053758848825736</v>
      </c>
      <c r="F3" s="168">
        <f>-Calc!M31</f>
        <v>-3.9451171739951407</v>
      </c>
      <c r="G3" s="9"/>
      <c r="H3" s="168">
        <f>SUM(B3:F3)</f>
        <v>1.5637786795785553</v>
      </c>
      <c r="I3" s="9"/>
      <c r="J3" s="9"/>
      <c r="K3" s="3"/>
      <c r="L3" s="3"/>
    </row>
    <row r="4" spans="1:12" ht="15">
      <c r="A4" s="9" t="s">
        <v>412</v>
      </c>
      <c r="B4" s="255">
        <f>(Calc!I41+Calc!I42)*(1+Input!I57)^(5-Calc!I4)</f>
        <v>0.20208139886189122</v>
      </c>
      <c r="C4" s="255">
        <f>(Calc!J41+Calc!J42)*(1+Input!J57)^(5-Calc!J4)</f>
        <v>-0.38956551876132928</v>
      </c>
      <c r="D4" s="255">
        <f>(Calc!K41+Calc!K42)*(1+Input!K57)^(5-Calc!K4)</f>
        <v>-0.95036547218531253</v>
      </c>
      <c r="E4" s="255">
        <f>(Calc!L41+Calc!L42)*(1+Input!L57)^(5-Calc!L4)</f>
        <v>-1.8535460517636713</v>
      </c>
      <c r="F4" s="255">
        <f>(Calc!M41+Calc!M42)*(1+Input!M57)^(5-Calc!M4)</f>
        <v>-2.2443424703044701</v>
      </c>
      <c r="G4" s="9"/>
      <c r="H4" s="168">
        <f>SUM(B4:F4)</f>
        <v>-5.235738114152892</v>
      </c>
      <c r="I4" s="9"/>
      <c r="J4" s="9"/>
      <c r="K4" s="3"/>
      <c r="L4" s="3"/>
    </row>
    <row r="5" spans="1:12" ht="15">
      <c r="A5" s="9" t="s">
        <v>413</v>
      </c>
      <c r="B5" s="255">
        <f>(+Input!I33*Calc!I$7)*(1+Input!I57)^(5-Calc!I4)</f>
        <v>0</v>
      </c>
      <c r="C5" s="255">
        <f>(+Input!J33*Calc!J$7)*(1+Input!J57)^(5-Calc!J4)</f>
        <v>0</v>
      </c>
      <c r="D5" s="255">
        <f>(+Input!K33*Calc!K$7)*(1+Input!K57)^(5-Calc!K4)</f>
        <v>0</v>
      </c>
      <c r="E5" s="255">
        <f>(+Input!L33*Calc!L$7)*(1+Input!L57)^(5-Calc!L4)</f>
        <v>0</v>
      </c>
      <c r="F5" s="255">
        <f>(+Input!M33*Calc!M$7)*(1+Input!M57)^(5-Calc!M4)</f>
        <v>0</v>
      </c>
      <c r="G5" s="9"/>
      <c r="H5" s="168">
        <f>SUM(B5:F5)</f>
        <v>0</v>
      </c>
      <c r="I5" s="9"/>
      <c r="J5" s="9"/>
      <c r="K5" s="3"/>
      <c r="L5" s="3"/>
    </row>
    <row r="6" spans="1:12" ht="15">
      <c r="A6" s="9" t="s">
        <v>414</v>
      </c>
      <c r="B6" s="255">
        <f>Calc!I44*(1+Input!I57)^(5-Calc!I4)</f>
        <v>-2.8550474557045527E-2</v>
      </c>
      <c r="C6" s="255">
        <f>Calc!J44*(1+Input!J57)^(5-Calc!J4)</f>
        <v>-5.2104763923940908E-2</v>
      </c>
      <c r="D6" s="255">
        <f>Calc!K44*(1+Input!K57)^(5-Calc!K4)</f>
        <v>-7.4616367152563923E-2</v>
      </c>
      <c r="E6" s="255">
        <f>Calc!L44*(1+Input!L57)^(5-Calc!L4)</f>
        <v>-0.1379689019474781</v>
      </c>
      <c r="F6" s="255">
        <f>Calc!M44*(1+Input!M57)^(5-Calc!M4)</f>
        <v>-0.1881544943749914</v>
      </c>
      <c r="G6" s="9"/>
      <c r="H6" s="168">
        <f>SUM(B6:F6)</f>
        <v>-0.48139500195601992</v>
      </c>
      <c r="I6" s="9"/>
      <c r="J6" s="9"/>
      <c r="K6" s="3"/>
      <c r="L6" s="3"/>
    </row>
    <row r="7" spans="1:12" ht="15.6" thickBot="1">
      <c r="A7" s="9" t="s">
        <v>415</v>
      </c>
      <c r="B7" s="256">
        <f>SUM(B3:B6)</f>
        <v>-1.4275660849300555</v>
      </c>
      <c r="C7" s="256">
        <f>SUM(C3:C6)</f>
        <v>-5.6779004085435334</v>
      </c>
      <c r="D7" s="256">
        <f>SUM(D3:D6)</f>
        <v>10.015865264446411</v>
      </c>
      <c r="E7" s="256">
        <f>SUM(E3:E6)</f>
        <v>-0.68613906882857578</v>
      </c>
      <c r="F7" s="256">
        <f>SUM(F3:F6)</f>
        <v>-6.3776141386746019</v>
      </c>
      <c r="G7" s="9"/>
      <c r="H7" s="256">
        <f>SUM(B7:F7)</f>
        <v>-4.1533544365303552</v>
      </c>
      <c r="I7" s="9"/>
      <c r="J7" s="9"/>
      <c r="K7" s="3"/>
      <c r="L7" s="3"/>
    </row>
    <row r="8" spans="1:12" ht="15.6" thickTop="1">
      <c r="A8" s="9"/>
      <c r="B8" s="257" t="b">
        <f>Calc!I46=B7</f>
        <v>1</v>
      </c>
      <c r="C8" s="257" t="b">
        <f>Calc!J46=C7</f>
        <v>1</v>
      </c>
      <c r="D8" s="257" t="b">
        <f>Calc!K46=D7</f>
        <v>1</v>
      </c>
      <c r="E8" s="257" t="b">
        <f>Calc!L46=E7</f>
        <v>1</v>
      </c>
      <c r="F8" s="257" t="b">
        <f>Calc!M46=F7</f>
        <v>1</v>
      </c>
      <c r="G8" s="257"/>
      <c r="H8" s="257" t="b">
        <f>Calc!M49=H7</f>
        <v>1</v>
      </c>
      <c r="I8" s="9"/>
      <c r="J8" s="9"/>
      <c r="K8" s="3"/>
      <c r="L8" s="3"/>
    </row>
    <row r="9" spans="1:12" ht="15">
      <c r="A9" s="9"/>
      <c r="B9" s="9"/>
      <c r="C9" s="9"/>
      <c r="D9" s="9"/>
      <c r="E9" s="9"/>
      <c r="F9" s="9"/>
      <c r="G9" s="9"/>
      <c r="H9" s="9"/>
      <c r="I9" s="9"/>
      <c r="J9" s="9"/>
      <c r="K9" s="3"/>
      <c r="L9" s="3"/>
    </row>
    <row r="10" spans="1:12" ht="15.6">
      <c r="A10" s="254" t="s">
        <v>375</v>
      </c>
      <c r="B10" s="185" t="s">
        <v>72</v>
      </c>
      <c r="C10" s="185" t="s">
        <v>73</v>
      </c>
      <c r="D10" s="185" t="s">
        <v>74</v>
      </c>
      <c r="E10" s="185" t="s">
        <v>75</v>
      </c>
      <c r="F10" s="185" t="s">
        <v>76</v>
      </c>
      <c r="G10" s="10"/>
      <c r="H10" s="185" t="s">
        <v>410</v>
      </c>
      <c r="I10" s="10"/>
      <c r="J10" s="120" t="s">
        <v>416</v>
      </c>
      <c r="K10" s="258"/>
      <c r="L10" s="120" t="s">
        <v>417</v>
      </c>
    </row>
    <row r="11" spans="1:12" ht="15">
      <c r="A11" s="9" t="s">
        <v>411</v>
      </c>
      <c r="B11" s="168">
        <f>B3*Input!$K$55/Input!$F$55</f>
        <v>-1.8780635726956918</v>
      </c>
      <c r="C11" s="168">
        <f>C3*Input!$K$55/Input!$F$55</f>
        <v>-6.1420220017308225</v>
      </c>
      <c r="D11" s="168">
        <f>D3*Input!$K$55/Input!$F$55</f>
        <v>12.950753538181054</v>
      </c>
      <c r="E11" s="168">
        <f>E3*Input!$K$55/Input!$F$55</f>
        <v>1.5311869823833322</v>
      </c>
      <c r="F11" s="168">
        <f>F3*Input!$K$55/Input!$F$55</f>
        <v>-4.6275652329380028</v>
      </c>
      <c r="G11" s="9"/>
      <c r="H11" s="168">
        <f>SUM(B11:F11)</f>
        <v>1.8342897131998699</v>
      </c>
      <c r="I11" s="9"/>
      <c r="J11" s="255">
        <f>-PMT(Input!$M$60,5,H11)</f>
        <v>0.40741227413944281</v>
      </c>
      <c r="K11" s="3"/>
      <c r="L11" s="255">
        <f>J11*5</f>
        <v>2.0370613706972138</v>
      </c>
    </row>
    <row r="12" spans="1:12" ht="15">
      <c r="A12" s="9" t="s">
        <v>412</v>
      </c>
      <c r="B12" s="168">
        <f>B4*Input!$K$55/Input!$F$55</f>
        <v>0.23703855027701562</v>
      </c>
      <c r="C12" s="168">
        <f>C4*Input!$K$55/Input!$F$55</f>
        <v>-0.45695470402106875</v>
      </c>
      <c r="D12" s="168">
        <f>D4*Input!$K$55/Input!$F$55</f>
        <v>-1.1147649166566624</v>
      </c>
      <c r="E12" s="168">
        <f>E4*Input!$K$55/Input!$F$55</f>
        <v>-2.1741826385615064</v>
      </c>
      <c r="F12" s="168">
        <f>F4*Input!$K$55/Input!$F$55</f>
        <v>-2.632581170173363</v>
      </c>
      <c r="G12" s="9"/>
      <c r="H12" s="168">
        <f>SUM(B12:F12)</f>
        <v>-6.1414448791355856</v>
      </c>
      <c r="I12" s="9"/>
      <c r="J12" s="255">
        <f>-PMT(Input!$M$60,5,H12)</f>
        <v>-1.3640702483937597</v>
      </c>
      <c r="K12" s="3"/>
      <c r="L12" s="255">
        <f>J12*5</f>
        <v>-6.8203512419687984</v>
      </c>
    </row>
    <row r="13" spans="1:12" ht="15">
      <c r="A13" s="9" t="s">
        <v>413</v>
      </c>
      <c r="B13" s="168">
        <f>B5*Input!$K$55/Input!$F$55</f>
        <v>0</v>
      </c>
      <c r="C13" s="168">
        <f>C5*Input!$K$55/Input!$F$55</f>
        <v>0</v>
      </c>
      <c r="D13" s="168">
        <f>D5*Input!$K$55/Input!$F$55</f>
        <v>0</v>
      </c>
      <c r="E13" s="168">
        <f>E5*Input!$K$55/Input!$F$55</f>
        <v>0</v>
      </c>
      <c r="F13" s="168">
        <f>F5*Input!$K$55/Input!$F$55</f>
        <v>0</v>
      </c>
      <c r="G13" s="9"/>
      <c r="H13" s="168">
        <f>SUM(B13:F13)</f>
        <v>0</v>
      </c>
      <c r="I13" s="9"/>
      <c r="J13" s="255">
        <f>-PMT(Input!$M$60,5,H13)</f>
        <v>0</v>
      </c>
      <c r="K13" s="3"/>
      <c r="L13" s="255">
        <f>J13*5</f>
        <v>0</v>
      </c>
    </row>
    <row r="14" spans="1:12" ht="15">
      <c r="A14" s="9" t="s">
        <v>414</v>
      </c>
      <c r="B14" s="168">
        <f>B6*Input!$K$55/Input!$F$55</f>
        <v>-3.3489292615932739E-2</v>
      </c>
      <c r="C14" s="168">
        <f>C6*Input!$K$55/Input!$F$55</f>
        <v>-6.1118132458584419E-2</v>
      </c>
      <c r="D14" s="168">
        <f>D6*Input!$K$55/Input!$F$55</f>
        <v>-8.752391658209524E-2</v>
      </c>
      <c r="E14" s="168">
        <f>E6*Input!$K$55/Input!$F$55</f>
        <v>-0.16183552115696129</v>
      </c>
      <c r="F14" s="168">
        <f>F6*Input!$K$55/Input!$F$55</f>
        <v>-0.22070249328209476</v>
      </c>
      <c r="G14" s="128"/>
      <c r="H14" s="168">
        <f>SUM(B14:F14)</f>
        <v>-0.56466935609566848</v>
      </c>
      <c r="I14" s="128"/>
      <c r="J14" s="255">
        <f>-PMT(Input!$M$60,5,H14)</f>
        <v>-0.12541815224077629</v>
      </c>
      <c r="K14" s="3"/>
      <c r="L14" s="255">
        <f>J14*5</f>
        <v>-0.62709076120388141</v>
      </c>
    </row>
    <row r="15" spans="1:12" ht="15.6" thickBot="1">
      <c r="A15" s="9" t="s">
        <v>415</v>
      </c>
      <c r="B15" s="256">
        <f>SUM(B9:B14)</f>
        <v>-1.6745143150346089</v>
      </c>
      <c r="C15" s="256">
        <f>SUM(C9:C14)</f>
        <v>-6.6600948382104752</v>
      </c>
      <c r="D15" s="256">
        <f>SUM(D9:D14)</f>
        <v>11.748464704942297</v>
      </c>
      <c r="E15" s="256">
        <f>SUM(E9:E14)</f>
        <v>-0.80483117733513554</v>
      </c>
      <c r="F15" s="256">
        <f>SUM(F9:F14)</f>
        <v>-7.4808488963934598</v>
      </c>
      <c r="G15" s="9"/>
      <c r="H15" s="256">
        <f>SUM(B15:F15)</f>
        <v>-4.8718245220313836</v>
      </c>
      <c r="I15" s="9"/>
      <c r="J15" s="259">
        <f>-PMT(Input!$M$60,5,H15)</f>
        <v>-1.0820761264950929</v>
      </c>
      <c r="K15" s="3"/>
      <c r="L15" s="259">
        <f>J15*5</f>
        <v>-5.410380632475464</v>
      </c>
    </row>
    <row r="16" spans="1:12" ht="15.6" thickTop="1">
      <c r="A16" s="9"/>
      <c r="B16" s="9"/>
      <c r="C16" s="9"/>
      <c r="D16" s="9"/>
      <c r="E16" s="9"/>
      <c r="F16" s="9"/>
      <c r="G16" s="10"/>
      <c r="H16" s="257" t="b">
        <f>Calc!M50=H15</f>
        <v>1</v>
      </c>
      <c r="I16" s="257"/>
      <c r="J16" s="257" t="b">
        <f>Calc!M51=J15</f>
        <v>1</v>
      </c>
      <c r="K16" s="260"/>
      <c r="L16" s="260"/>
    </row>
    <row r="17" spans="1:12">
      <c r="A17" s="261"/>
      <c r="B17" s="261"/>
      <c r="C17" s="261"/>
      <c r="D17" s="261"/>
      <c r="E17" s="261"/>
      <c r="F17" s="261"/>
      <c r="G17" s="261"/>
      <c r="H17" s="261"/>
      <c r="I17" s="261"/>
      <c r="J17" s="261"/>
      <c r="K17" s="258"/>
      <c r="L17" s="258"/>
    </row>
    <row r="18" spans="1:12">
      <c r="A18" s="261"/>
      <c r="B18" s="261"/>
      <c r="C18" s="261"/>
      <c r="D18" s="261"/>
      <c r="E18" s="261"/>
      <c r="F18" s="261"/>
      <c r="G18" s="261"/>
      <c r="H18" s="261"/>
      <c r="I18" s="261"/>
      <c r="J18" s="261"/>
      <c r="K18" s="258"/>
      <c r="L18" s="258"/>
    </row>
    <row r="19" spans="1:12" ht="15.6">
      <c r="A19" s="9"/>
      <c r="B19" s="185" t="s">
        <v>72</v>
      </c>
      <c r="C19" s="185" t="s">
        <v>73</v>
      </c>
      <c r="D19" s="185" t="s">
        <v>74</v>
      </c>
      <c r="E19" s="185" t="s">
        <v>75</v>
      </c>
      <c r="F19" s="185" t="s">
        <v>76</v>
      </c>
      <c r="G19" s="10"/>
      <c r="H19" s="185" t="s">
        <v>410</v>
      </c>
      <c r="I19" s="10"/>
      <c r="J19" s="253"/>
      <c r="K19" s="253"/>
      <c r="L19" s="253"/>
    </row>
    <row r="20" spans="1:12" ht="15">
      <c r="A20" s="254" t="s">
        <v>376</v>
      </c>
      <c r="B20" s="9"/>
      <c r="C20" s="9"/>
      <c r="D20" s="9"/>
      <c r="E20" s="9"/>
      <c r="F20" s="9"/>
      <c r="G20" s="9"/>
      <c r="H20" s="9"/>
      <c r="I20" s="9"/>
      <c r="J20" s="9"/>
      <c r="K20" s="262"/>
      <c r="L20" s="262"/>
    </row>
    <row r="21" spans="1:12" ht="15">
      <c r="A21" s="9" t="s">
        <v>418</v>
      </c>
      <c r="B21" s="168">
        <f>-Calc!I76</f>
        <v>-4.1112526689709963</v>
      </c>
      <c r="C21" s="168">
        <f>-Calc!J76</f>
        <v>-6.3058502739810214</v>
      </c>
      <c r="D21" s="168">
        <f>-Calc!K76</f>
        <v>-10.575117330911677</v>
      </c>
      <c r="E21" s="168">
        <f>-Calc!L76</f>
        <v>-10.375331808772508</v>
      </c>
      <c r="F21" s="168">
        <f>-Calc!M76</f>
        <v>-15.130199879985362</v>
      </c>
      <c r="G21" s="9"/>
      <c r="H21" s="168">
        <f>SUM(B21:F21)</f>
        <v>-46.497751962621564</v>
      </c>
      <c r="I21" s="9"/>
      <c r="J21" s="9"/>
      <c r="K21" s="262"/>
      <c r="L21" s="262"/>
    </row>
    <row r="22" spans="1:12" ht="15">
      <c r="A22" s="9" t="s">
        <v>419</v>
      </c>
      <c r="B22" s="255">
        <f>(Calc!I86+Calc!I87)*(1+Input!I57)^(5-Calc!I4)</f>
        <v>0.48830201309202764</v>
      </c>
      <c r="C22" s="255">
        <f>(Calc!J86+Calc!J87)*(1+Input!J57)^(5-Calc!J4)</f>
        <v>-0.34929228470440388</v>
      </c>
      <c r="D22" s="255">
        <f>(Calc!K86+Calc!K87)*(1+Input!K57)^(5-Calc!K4)</f>
        <v>-1.2902374963243204</v>
      </c>
      <c r="E22" s="255">
        <f>(Calc!L86+Calc!L87)*(1+Input!L57)^(5-Calc!L4)</f>
        <v>-2.8440552485117681</v>
      </c>
      <c r="F22" s="255">
        <f>(Calc!M86+Calc!M87)*(1+Input!M57)^(5-Calc!M4)</f>
        <v>-3.519775209922376</v>
      </c>
      <c r="G22" s="9"/>
      <c r="H22" s="168">
        <f>SUM(B22:F22)</f>
        <v>-7.5150582263708401</v>
      </c>
      <c r="I22" s="9"/>
      <c r="J22" s="9"/>
      <c r="K22" s="262"/>
      <c r="L22" s="262"/>
    </row>
    <row r="23" spans="1:12" ht="15">
      <c r="A23" s="9" t="s">
        <v>420</v>
      </c>
      <c r="B23" s="255">
        <f>(+Input!I46*Calc!I$7)*(1+Input!I57)^(5-Calc!I4)</f>
        <v>0</v>
      </c>
      <c r="C23" s="255">
        <f>(+Input!J46*Calc!J$7)*(1+Input!J57)^(5-Calc!J4)</f>
        <v>0</v>
      </c>
      <c r="D23" s="255">
        <f>(+Input!K46*Calc!K$7)*(1+Input!K57)^(5-Calc!K4)</f>
        <v>0</v>
      </c>
      <c r="E23" s="255">
        <f>(+Input!L46*Calc!L$7)*(1+Input!L57)^(5-Calc!L4)</f>
        <v>0</v>
      </c>
      <c r="F23" s="255">
        <f>(+Input!M46*Calc!M$7)*(1+Input!M57)^(5-Calc!M4)</f>
        <v>0</v>
      </c>
      <c r="G23" s="9"/>
      <c r="H23" s="168">
        <f>SUM(B23:F23)</f>
        <v>0</v>
      </c>
      <c r="I23" s="9"/>
      <c r="J23" s="9"/>
      <c r="K23" s="262"/>
      <c r="L23" s="262"/>
    </row>
    <row r="24" spans="1:12" ht="15">
      <c r="A24" s="9" t="s">
        <v>421</v>
      </c>
      <c r="B24" s="255">
        <f>Calc!I89*(1+Input!I57)^(5-Calc!I4)</f>
        <v>-2.0517449931163612E-2</v>
      </c>
      <c r="C24" s="255">
        <f>Calc!J89*(1+Input!J57)^(5-Calc!J4)</f>
        <v>-4.4578843882323325E-2</v>
      </c>
      <c r="D24" s="255">
        <f>Calc!K89*(1+Input!K57)^(5-Calc!K4)</f>
        <v>-8.4089066565014275E-2</v>
      </c>
      <c r="E24" s="255">
        <f>Calc!L89*(1+Input!L57)^(5-Calc!L4)</f>
        <v>-0.15218051522389103</v>
      </c>
      <c r="F24" s="255">
        <f>Calc!M89*(1+Input!M57)^(5-Calc!M4)</f>
        <v>-0.21904228874651779</v>
      </c>
      <c r="G24" s="9"/>
      <c r="H24" s="168">
        <f>SUM(B24:F24)</f>
        <v>-0.52040816434891002</v>
      </c>
      <c r="I24" s="9"/>
      <c r="J24" s="9"/>
      <c r="K24" s="262"/>
      <c r="L24" s="262"/>
    </row>
    <row r="25" spans="1:12" ht="15.6" thickBot="1">
      <c r="A25" s="9" t="s">
        <v>422</v>
      </c>
      <c r="B25" s="256">
        <f>SUM(B18:B24)</f>
        <v>-3.6434681058101326</v>
      </c>
      <c r="C25" s="256">
        <f>SUM(C18:C24)</f>
        <v>-6.6997214025677492</v>
      </c>
      <c r="D25" s="256">
        <f>SUM(D18:D24)</f>
        <v>-11.949443893801011</v>
      </c>
      <c r="E25" s="256">
        <f>SUM(E18:E24)</f>
        <v>-13.371567572508168</v>
      </c>
      <c r="F25" s="256">
        <f>SUM(F18:F24)</f>
        <v>-18.869017378654256</v>
      </c>
      <c r="G25" s="9"/>
      <c r="H25" s="256">
        <f>SUM(B25:F25)</f>
        <v>-54.533218353341319</v>
      </c>
      <c r="I25" s="9"/>
      <c r="J25" s="9"/>
      <c r="K25" s="262"/>
      <c r="L25" s="262"/>
    </row>
    <row r="26" spans="1:12" ht="15.6" thickTop="1">
      <c r="A26" s="9"/>
      <c r="B26" s="257" t="b">
        <f>Calc!I91=B25</f>
        <v>1</v>
      </c>
      <c r="C26" s="257" t="b">
        <f>Calc!J91=C25</f>
        <v>1</v>
      </c>
      <c r="D26" s="257" t="b">
        <f>Calc!K91=D25</f>
        <v>1</v>
      </c>
      <c r="E26" s="257" t="b">
        <f>Calc!L91=E25</f>
        <v>1</v>
      </c>
      <c r="F26" s="257" t="b">
        <f>Calc!M91=F25</f>
        <v>1</v>
      </c>
      <c r="G26" s="257"/>
      <c r="H26" s="257" t="b">
        <f>Calc!M94=H25</f>
        <v>1</v>
      </c>
      <c r="I26" s="9"/>
      <c r="J26" s="9"/>
      <c r="K26" s="262"/>
      <c r="L26" s="262"/>
    </row>
    <row r="27" spans="1:12" ht="15">
      <c r="A27" s="9"/>
      <c r="B27" s="9"/>
      <c r="C27" s="9"/>
      <c r="D27" s="9"/>
      <c r="E27" s="9"/>
      <c r="F27" s="9"/>
      <c r="G27" s="9"/>
      <c r="H27" s="9"/>
      <c r="I27" s="9"/>
      <c r="J27" s="9"/>
      <c r="K27" s="262"/>
      <c r="L27" s="262"/>
    </row>
    <row r="28" spans="1:12" ht="15.6">
      <c r="A28" s="254" t="s">
        <v>423</v>
      </c>
      <c r="B28" s="185" t="s">
        <v>72</v>
      </c>
      <c r="C28" s="185" t="s">
        <v>73</v>
      </c>
      <c r="D28" s="185" t="s">
        <v>74</v>
      </c>
      <c r="E28" s="185" t="s">
        <v>75</v>
      </c>
      <c r="F28" s="185" t="s">
        <v>76</v>
      </c>
      <c r="G28" s="10"/>
      <c r="H28" s="185" t="s">
        <v>410</v>
      </c>
      <c r="I28" s="10"/>
      <c r="J28" s="120" t="s">
        <v>424</v>
      </c>
      <c r="K28" s="253"/>
      <c r="L28" s="120" t="s">
        <v>417</v>
      </c>
    </row>
    <row r="29" spans="1:12" ht="15">
      <c r="A29" s="9" t="s">
        <v>418</v>
      </c>
      <c r="B29" s="168">
        <f>B21*Input!$K$55/Input!$F$55</f>
        <v>-4.8224397592448254</v>
      </c>
      <c r="C29" s="168">
        <f>C21*Input!$K$55/Input!$F$55</f>
        <v>-7.3966709238287116</v>
      </c>
      <c r="D29" s="168">
        <f>D21*Input!$K$55/Input!$F$55</f>
        <v>-12.404459268622798</v>
      </c>
      <c r="E29" s="168">
        <f>E21*Input!$K$55/Input!$F$55</f>
        <v>-12.17011374844669</v>
      </c>
      <c r="F29" s="168">
        <f>F21*Input!$K$55/Input!$F$55</f>
        <v>-17.747505040799389</v>
      </c>
      <c r="G29" s="9"/>
      <c r="H29" s="168">
        <f>SUM(B29:F29)</f>
        <v>-54.541188740942417</v>
      </c>
      <c r="I29" s="9"/>
      <c r="J29" s="255">
        <f>-PMT(Input!$M$60,5,H29)</f>
        <v>-12.114089491595314</v>
      </c>
      <c r="K29" s="262"/>
      <c r="L29" s="255">
        <f>J29*5</f>
        <v>-60.57044745797657</v>
      </c>
    </row>
    <row r="30" spans="1:12" ht="15">
      <c r="A30" s="9" t="s">
        <v>419</v>
      </c>
      <c r="B30" s="168">
        <f>B22*Input!$K$55/Input!$F$55</f>
        <v>0.57277117999260918</v>
      </c>
      <c r="C30" s="168">
        <f>C22*Input!$K$55/Input!$F$55</f>
        <v>-0.4097147845154403</v>
      </c>
      <c r="D30" s="168">
        <f>D22*Input!$K$55/Input!$F$55</f>
        <v>-1.5134298721416768</v>
      </c>
      <c r="E30" s="168">
        <f>E22*Input!$K$55/Input!$F$55</f>
        <v>-3.3360355619653186</v>
      </c>
      <c r="F30" s="168">
        <f>F22*Input!$K$55/Input!$F$55</f>
        <v>-4.128645277397256</v>
      </c>
      <c r="G30" s="9"/>
      <c r="H30" s="168">
        <f>SUM(B30:F30)</f>
        <v>-8.8150543160270836</v>
      </c>
      <c r="I30" s="9"/>
      <c r="J30" s="255">
        <f>-PMT(Input!$M$60,5,H30)</f>
        <v>-1.9579029962994614</v>
      </c>
      <c r="K30" s="262"/>
      <c r="L30" s="255">
        <f>J30*5</f>
        <v>-9.789514981497307</v>
      </c>
    </row>
    <row r="31" spans="1:12" ht="15">
      <c r="A31" s="9" t="s">
        <v>420</v>
      </c>
      <c r="B31" s="168">
        <f>B23*Input!$K$55/Input!$F$55</f>
        <v>0</v>
      </c>
      <c r="C31" s="168">
        <f>C23*Input!$K$55/Input!$F$55</f>
        <v>0</v>
      </c>
      <c r="D31" s="168">
        <f>D23*Input!$K$55/Input!$F$55</f>
        <v>0</v>
      </c>
      <c r="E31" s="168">
        <f>E23*Input!$K$55/Input!$F$55</f>
        <v>0</v>
      </c>
      <c r="F31" s="168">
        <f>F23*Input!$K$55/Input!$F$55</f>
        <v>0</v>
      </c>
      <c r="G31" s="9"/>
      <c r="H31" s="168">
        <f>SUM(B31:F31)</f>
        <v>0</v>
      </c>
      <c r="I31" s="9"/>
      <c r="J31" s="255">
        <f>-PMT(Input!$M$60,5,H31)</f>
        <v>0</v>
      </c>
      <c r="K31" s="262"/>
      <c r="L31" s="255">
        <f>J31*5</f>
        <v>0</v>
      </c>
    </row>
    <row r="32" spans="1:12" ht="15">
      <c r="A32" s="9" t="s">
        <v>421</v>
      </c>
      <c r="B32" s="168">
        <f>B24*Input!$K$55/Input!$F$55</f>
        <v>-2.4066671224836956E-2</v>
      </c>
      <c r="C32" s="168">
        <f>C24*Input!$K$55/Input!$F$55</f>
        <v>-5.2290337390791142E-2</v>
      </c>
      <c r="D32" s="168">
        <f>D24*Input!$K$55/Input!$F$55</f>
        <v>-9.8635255619646839E-2</v>
      </c>
      <c r="E32" s="168">
        <f>E24*Input!$K$55/Input!$F$55</f>
        <v>-0.17850553743312919</v>
      </c>
      <c r="F32" s="168">
        <f>F24*Input!$K$55/Input!$F$55</f>
        <v>-0.25693342814456072</v>
      </c>
      <c r="G32" s="128"/>
      <c r="H32" s="168">
        <f>SUM(B32:F32)</f>
        <v>-0.61043122981296483</v>
      </c>
      <c r="I32" s="128"/>
      <c r="J32" s="255">
        <f>-PMT(Input!$M$60,5,H32)</f>
        <v>-0.13558227675495776</v>
      </c>
      <c r="K32" s="3"/>
      <c r="L32" s="255">
        <f>J32*5</f>
        <v>-0.67791138377478877</v>
      </c>
    </row>
    <row r="33" spans="1:12" ht="15.6" thickBot="1">
      <c r="A33" s="9" t="s">
        <v>422</v>
      </c>
      <c r="B33" s="256">
        <f>SUM(B27:B32)</f>
        <v>-4.2737352504770527</v>
      </c>
      <c r="C33" s="256">
        <f>SUM(C27:C32)</f>
        <v>-7.8586760457349429</v>
      </c>
      <c r="D33" s="256">
        <f>SUM(D27:D32)</f>
        <v>-14.016524396384121</v>
      </c>
      <c r="E33" s="256">
        <f>SUM(E27:E32)</f>
        <v>-15.684654847845138</v>
      </c>
      <c r="F33" s="256">
        <f>SUM(F27:F32)</f>
        <v>-22.133083746341203</v>
      </c>
      <c r="G33" s="9"/>
      <c r="H33" s="256">
        <f>SUM(B33:F33)</f>
        <v>-63.96667428678245</v>
      </c>
      <c r="I33" s="9"/>
      <c r="J33" s="259">
        <f>-PMT(Input!$M$60,5,H33)</f>
        <v>-14.207574764649729</v>
      </c>
      <c r="K33" s="262"/>
      <c r="L33" s="259">
        <f>J33*5</f>
        <v>-71.037873823248646</v>
      </c>
    </row>
    <row r="34" spans="1:12" ht="15.6" thickTop="1">
      <c r="A34" s="9"/>
      <c r="B34" s="168"/>
      <c r="C34" s="9"/>
      <c r="D34" s="140"/>
      <c r="E34" s="140"/>
      <c r="F34" s="140"/>
      <c r="G34" s="10"/>
      <c r="H34" s="257" t="b">
        <f>Calc!M95=H33</f>
        <v>0</v>
      </c>
      <c r="I34" s="257"/>
      <c r="J34" s="257" t="b">
        <f>Calc!M96=J33</f>
        <v>1</v>
      </c>
      <c r="K34" s="260"/>
      <c r="L34" s="2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2016-09-30T14:26:56Z</dcterms:created>
  <dcterms:modified xsi:type="dcterms:W3CDTF">2016-09-30T14:27:22Z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