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11976" yWindow="0" windowWidth="5304" windowHeight="9756" tabRatio="927" firstSheet="1" activeTab="1"/>
  </bookViews>
  <sheets>
    <sheet name="Version info" sheetId="13" state="hidden" r:id="rId1"/>
    <sheet name="Cover" sheetId="14" r:id="rId2"/>
    <sheet name="Flowchart" sheetId="24" r:id="rId3"/>
    <sheet name="Map" sheetId="12" r:id="rId4"/>
    <sheet name="CLEAR_SHEET" sheetId="33" state="hidden" r:id="rId5"/>
    <sheet name="F_Inputs" sheetId="27" r:id="rId6"/>
    <sheet name="Input" sheetId="5" r:id="rId7"/>
    <sheet name="Calc" sheetId="11" r:id="rId8"/>
    <sheet name="RCM report" sheetId="30" r:id="rId9"/>
    <sheet name="F_Outputs" sheetId="32" r:id="rId10"/>
  </sheets>
  <externalReferences>
    <externalReference r:id="rId11"/>
  </externalReferences>
  <definedNames>
    <definedName name="AMP.Years">[1]Timeline!$I$3:$U$3</definedName>
    <definedName name="Baseyear" localSheetId="9">F_Outputs!#REF!</definedName>
    <definedName name="Calendar.Years">[1]Timeline!$I$5:$U$5</definedName>
    <definedName name="CoName" localSheetId="9">F_Outputs!#REF!</definedName>
    <definedName name="CoName">Input!$F$64</definedName>
    <definedName name="IDoK_submissions_for_claim_under_RCC4">Cover!$A$41</definedName>
    <definedName name="_xlnm.Print_Area" localSheetId="6">Input!$B$1:$C$68</definedName>
    <definedName name="Threshold">Input!$F$61</definedName>
    <definedName name="Z_3FDF7207_004C_4A93_86DD_71ED7363ED58_.wvu.Cols" localSheetId="9" hidden="1">F_Outputs!#REF!</definedName>
  </definedNames>
  <calcPr calcId="152511" calcMode="manual" calcCompleted="0" calcOnSave="0"/>
</workbook>
</file>

<file path=xl/calcChain.xml><?xml version="1.0" encoding="utf-8"?>
<calcChain xmlns="http://schemas.openxmlformats.org/spreadsheetml/2006/main">
  <c r="M60" i="5" l="1"/>
  <c r="K10" i="32" l="1"/>
  <c r="B1" i="11" l="1"/>
  <c r="B1" i="5"/>
  <c r="H48" i="5" l="1"/>
  <c r="H35" i="5"/>
  <c r="I35" i="5"/>
  <c r="J35" i="5"/>
  <c r="K35" i="5"/>
  <c r="L35" i="5"/>
  <c r="M35" i="5"/>
  <c r="I48" i="5"/>
  <c r="J48" i="5"/>
  <c r="K48" i="5"/>
  <c r="L48" i="5"/>
  <c r="M48" i="5"/>
  <c r="J58" i="5" l="1"/>
  <c r="K58" i="5"/>
  <c r="L58" i="5"/>
  <c r="M58" i="5"/>
  <c r="J59" i="5"/>
  <c r="K59" i="5"/>
  <c r="L59" i="5"/>
  <c r="M59" i="5"/>
  <c r="I59" i="5"/>
  <c r="I58" i="5"/>
  <c r="M53" i="5"/>
  <c r="L53" i="5"/>
  <c r="K53" i="5"/>
  <c r="J53" i="5"/>
  <c r="I53" i="5"/>
  <c r="F55" i="5"/>
  <c r="H49" i="5"/>
  <c r="I49" i="5"/>
  <c r="I41" i="5"/>
  <c r="I39" i="5"/>
  <c r="H36" i="5"/>
  <c r="I36" i="5"/>
  <c r="I29" i="5"/>
  <c r="I27" i="5"/>
  <c r="H23" i="5"/>
  <c r="H21" i="5" l="1"/>
  <c r="H12" i="5"/>
  <c r="F61" i="5" l="1"/>
  <c r="M57" i="5"/>
  <c r="L57" i="5"/>
  <c r="K57" i="5"/>
  <c r="J57" i="5"/>
  <c r="I57" i="5"/>
  <c r="M55" i="5"/>
  <c r="L55" i="5"/>
  <c r="K55" i="5"/>
  <c r="J55" i="5"/>
  <c r="I55" i="5"/>
  <c r="H55" i="5"/>
  <c r="G55" i="5"/>
  <c r="M54" i="5"/>
  <c r="L54" i="5"/>
  <c r="K54" i="5"/>
  <c r="J54" i="5"/>
  <c r="I54" i="5"/>
  <c r="H54" i="5"/>
  <c r="G54" i="5"/>
  <c r="F54" i="5"/>
  <c r="M50" i="5"/>
  <c r="L50" i="5"/>
  <c r="K50" i="5"/>
  <c r="J50" i="5"/>
  <c r="I50" i="5"/>
  <c r="M49" i="5"/>
  <c r="L49" i="5"/>
  <c r="K49" i="5"/>
  <c r="J49" i="5"/>
  <c r="M46" i="5"/>
  <c r="L46" i="5"/>
  <c r="K46" i="5"/>
  <c r="J46" i="5"/>
  <c r="I46" i="5"/>
  <c r="M45" i="5"/>
  <c r="L45" i="5"/>
  <c r="K45" i="5"/>
  <c r="J45" i="5"/>
  <c r="I45" i="5"/>
  <c r="M44" i="5"/>
  <c r="L44" i="5"/>
  <c r="K44" i="5"/>
  <c r="J44" i="5"/>
  <c r="I44" i="5"/>
  <c r="H44" i="5"/>
  <c r="M43" i="5"/>
  <c r="L43" i="5"/>
  <c r="K43" i="5"/>
  <c r="J43" i="5"/>
  <c r="I43" i="5"/>
  <c r="M42" i="5"/>
  <c r="L42" i="5"/>
  <c r="K42" i="5"/>
  <c r="J42" i="5"/>
  <c r="I42" i="5"/>
  <c r="M41" i="5"/>
  <c r="L41" i="5"/>
  <c r="K41" i="5"/>
  <c r="J41" i="5"/>
  <c r="M40" i="5"/>
  <c r="L40" i="5"/>
  <c r="K40" i="5"/>
  <c r="J40" i="5"/>
  <c r="I40" i="5"/>
  <c r="M39" i="5"/>
  <c r="L39" i="5"/>
  <c r="K39" i="5"/>
  <c r="J39" i="5"/>
  <c r="M37" i="5"/>
  <c r="L37" i="5"/>
  <c r="K37" i="5"/>
  <c r="J37" i="5"/>
  <c r="I37" i="5"/>
  <c r="M36" i="5"/>
  <c r="L36" i="5"/>
  <c r="K36" i="5"/>
  <c r="J36" i="5"/>
  <c r="M33" i="5"/>
  <c r="L33" i="5"/>
  <c r="K33" i="5"/>
  <c r="J33" i="5"/>
  <c r="I33" i="5"/>
  <c r="M32" i="5"/>
  <c r="L32" i="5"/>
  <c r="K32" i="5"/>
  <c r="J32" i="5"/>
  <c r="I32" i="5"/>
  <c r="M31" i="5"/>
  <c r="L31" i="5"/>
  <c r="K31" i="5"/>
  <c r="J31" i="5"/>
  <c r="I31" i="5"/>
  <c r="H31" i="5"/>
  <c r="M30" i="5"/>
  <c r="L30" i="5"/>
  <c r="K30" i="5"/>
  <c r="J30" i="5"/>
  <c r="I30" i="5"/>
  <c r="M29" i="5"/>
  <c r="L29" i="5"/>
  <c r="K29" i="5"/>
  <c r="J29" i="5"/>
  <c r="M28" i="5"/>
  <c r="L28" i="5"/>
  <c r="K28" i="5"/>
  <c r="J28" i="5"/>
  <c r="I28" i="5"/>
  <c r="M27" i="5"/>
  <c r="L27" i="5"/>
  <c r="K27" i="5"/>
  <c r="J27" i="5"/>
  <c r="M23" i="5"/>
  <c r="L23" i="5"/>
  <c r="K23" i="5"/>
  <c r="J23" i="5"/>
  <c r="I23" i="5"/>
  <c r="M22" i="5"/>
  <c r="L22" i="5"/>
  <c r="K22" i="5"/>
  <c r="J22" i="5"/>
  <c r="I22" i="5"/>
  <c r="H22" i="5"/>
  <c r="M21" i="5"/>
  <c r="L21" i="5"/>
  <c r="K21" i="5"/>
  <c r="J21" i="5"/>
  <c r="I21" i="5"/>
  <c r="M20" i="5"/>
  <c r="L20" i="5"/>
  <c r="K20" i="5"/>
  <c r="J20" i="5"/>
  <c r="I20" i="5"/>
  <c r="H20" i="5"/>
  <c r="M19" i="5"/>
  <c r="L19" i="5"/>
  <c r="K19" i="5"/>
  <c r="J19" i="5"/>
  <c r="I19" i="5"/>
  <c r="M17" i="5"/>
  <c r="L17" i="5"/>
  <c r="K17" i="5"/>
  <c r="J17" i="5"/>
  <c r="I17" i="5"/>
  <c r="H17" i="5"/>
  <c r="M16" i="5"/>
  <c r="L16" i="5"/>
  <c r="K16" i="5"/>
  <c r="J16" i="5"/>
  <c r="I16" i="5"/>
  <c r="H16" i="5"/>
  <c r="M14" i="5"/>
  <c r="L14" i="5"/>
  <c r="K14" i="5"/>
  <c r="J14" i="5"/>
  <c r="I14" i="5"/>
  <c r="H14" i="5"/>
  <c r="M13" i="5"/>
  <c r="L13" i="5"/>
  <c r="K13" i="5"/>
  <c r="J13" i="5"/>
  <c r="I13" i="5"/>
  <c r="H13" i="5"/>
  <c r="M12" i="5"/>
  <c r="L12" i="5"/>
  <c r="K12" i="5"/>
  <c r="J12" i="5"/>
  <c r="I12" i="5"/>
  <c r="M11" i="5"/>
  <c r="L11" i="5"/>
  <c r="K11" i="5"/>
  <c r="J11" i="5"/>
  <c r="I11" i="5"/>
  <c r="H11" i="5"/>
  <c r="M10" i="5"/>
  <c r="L10" i="5"/>
  <c r="K10" i="5"/>
  <c r="J10" i="5"/>
  <c r="I10" i="5"/>
  <c r="M8" i="5"/>
  <c r="L8" i="5"/>
  <c r="K8" i="5"/>
  <c r="J8" i="5"/>
  <c r="I8" i="5"/>
  <c r="H8" i="5"/>
  <c r="M7" i="5"/>
  <c r="L7" i="5"/>
  <c r="K7" i="5"/>
  <c r="J7" i="5"/>
  <c r="I7" i="5"/>
  <c r="H7" i="5"/>
  <c r="B25" i="24" l="1"/>
  <c r="B24" i="24"/>
  <c r="B23" i="24"/>
  <c r="B22" i="24"/>
  <c r="C17" i="5" l="1"/>
  <c r="C16" i="5"/>
  <c r="C8" i="5"/>
  <c r="C7" i="5"/>
  <c r="E17" i="12" l="1"/>
  <c r="E16" i="12"/>
  <c r="E7" i="12"/>
  <c r="E8" i="12"/>
  <c r="C14" i="11"/>
  <c r="J4" i="11" l="1"/>
  <c r="K4" i="11"/>
  <c r="L4" i="11"/>
  <c r="M4" i="11"/>
  <c r="I4" i="11"/>
  <c r="F3" i="11" l="1"/>
  <c r="C68" i="11" s="1"/>
  <c r="C10" i="11" l="1"/>
  <c r="C55" i="11"/>
  <c r="C7" i="11"/>
  <c r="C23" i="11"/>
  <c r="C78" i="11"/>
  <c r="C6" i="11"/>
  <c r="C27" i="11"/>
  <c r="C72" i="11"/>
  <c r="C33" i="11"/>
  <c r="M83" i="11"/>
  <c r="M79" i="11"/>
  <c r="M7" i="11"/>
  <c r="M57" i="11" s="1"/>
  <c r="I83" i="11"/>
  <c r="I79" i="11"/>
  <c r="J83" i="11"/>
  <c r="J79" i="11"/>
  <c r="K83" i="11"/>
  <c r="K79" i="11"/>
  <c r="L83" i="11"/>
  <c r="L79" i="11"/>
  <c r="L7" i="11"/>
  <c r="L57" i="11" s="1"/>
  <c r="K7" i="11"/>
  <c r="K57" i="11" s="1"/>
  <c r="J7" i="11"/>
  <c r="J12" i="11" s="1"/>
  <c r="I7" i="11"/>
  <c r="I12" i="11" s="1"/>
  <c r="H7" i="11"/>
  <c r="H57" i="11" s="1"/>
  <c r="H63" i="11" s="1"/>
  <c r="M38" i="11"/>
  <c r="M34" i="11"/>
  <c r="I38" i="11"/>
  <c r="I34" i="11"/>
  <c r="J38" i="11"/>
  <c r="J34" i="11"/>
  <c r="K38" i="11"/>
  <c r="K34" i="11"/>
  <c r="L38" i="11"/>
  <c r="L34" i="11"/>
  <c r="M12" i="11"/>
  <c r="L12" i="11"/>
  <c r="K12" i="11"/>
  <c r="G7" i="11"/>
  <c r="F7" i="11"/>
  <c r="C63" i="11"/>
  <c r="C62" i="11"/>
  <c r="C60" i="11"/>
  <c r="C59" i="11"/>
  <c r="C18" i="11"/>
  <c r="C17" i="11"/>
  <c r="C15" i="11"/>
  <c r="M6" i="11"/>
  <c r="L6" i="11"/>
  <c r="K6" i="11"/>
  <c r="J6" i="11"/>
  <c r="I6" i="11"/>
  <c r="I59" i="11"/>
  <c r="H6" i="11"/>
  <c r="I60" i="11"/>
  <c r="J59" i="11"/>
  <c r="J60" i="11"/>
  <c r="K59" i="11"/>
  <c r="K60" i="11"/>
  <c r="L59" i="11"/>
  <c r="L60" i="11"/>
  <c r="M59" i="11"/>
  <c r="M60" i="11"/>
  <c r="I14" i="11"/>
  <c r="J14" i="11"/>
  <c r="K14" i="11"/>
  <c r="L14" i="11"/>
  <c r="I15" i="11"/>
  <c r="J15" i="11"/>
  <c r="K15" i="11"/>
  <c r="L15" i="11"/>
  <c r="M14" i="11"/>
  <c r="M15" i="11"/>
  <c r="G6" i="11"/>
  <c r="F6" i="11"/>
  <c r="J57" i="11" l="1"/>
  <c r="I57" i="11"/>
  <c r="B5" i="30"/>
  <c r="B23" i="30"/>
  <c r="F23" i="30"/>
  <c r="F31" i="30" s="1"/>
  <c r="F5" i="30"/>
  <c r="C5" i="30"/>
  <c r="C13" i="30" s="1"/>
  <c r="C23" i="30"/>
  <c r="C31" i="30" s="1"/>
  <c r="D23" i="30"/>
  <c r="D31" i="30" s="1"/>
  <c r="D5" i="30"/>
  <c r="D13" i="30" s="1"/>
  <c r="E23" i="30"/>
  <c r="E31" i="30" s="1"/>
  <c r="E5" i="30"/>
  <c r="E13" i="30" s="1"/>
  <c r="J80" i="11"/>
  <c r="J81" i="11" s="1"/>
  <c r="J89" i="11" s="1"/>
  <c r="C24" i="30" s="1"/>
  <c r="C32" i="30" s="1"/>
  <c r="M80" i="11"/>
  <c r="M81" i="11" s="1"/>
  <c r="M89" i="11" s="1"/>
  <c r="F24" i="30" s="1"/>
  <c r="F32" i="30" s="1"/>
  <c r="F13" i="30"/>
  <c r="K80" i="11"/>
  <c r="K81" i="11" s="1"/>
  <c r="K89" i="11" s="1"/>
  <c r="D24" i="30" s="1"/>
  <c r="D32" i="30" s="1"/>
  <c r="L80" i="11"/>
  <c r="L81" i="11" s="1"/>
  <c r="L89" i="11" s="1"/>
  <c r="E24" i="30" s="1"/>
  <c r="E32" i="30" s="1"/>
  <c r="I39" i="11"/>
  <c r="I40" i="11" s="1"/>
  <c r="H11" i="11"/>
  <c r="H17" i="11" s="1"/>
  <c r="H56" i="11"/>
  <c r="H62" i="11" s="1"/>
  <c r="H65" i="11" s="1"/>
  <c r="I80" i="11"/>
  <c r="I81" i="11" s="1"/>
  <c r="I82" i="11" s="1"/>
  <c r="I35" i="11"/>
  <c r="I36" i="11" s="1"/>
  <c r="I37" i="11" s="1"/>
  <c r="J35" i="11"/>
  <c r="J36" i="11" s="1"/>
  <c r="J37" i="11" s="1"/>
  <c r="K39" i="11"/>
  <c r="M84" i="11"/>
  <c r="I84" i="11"/>
  <c r="I85" i="11" s="1"/>
  <c r="L84" i="11"/>
  <c r="J84" i="11"/>
  <c r="J39" i="11"/>
  <c r="M56" i="11"/>
  <c r="H12" i="11"/>
  <c r="H18" i="11" s="1"/>
  <c r="I63" i="11"/>
  <c r="M69" i="11"/>
  <c r="J25" i="11"/>
  <c r="M39" i="11"/>
  <c r="K84" i="11"/>
  <c r="K24" i="11"/>
  <c r="L39" i="11"/>
  <c r="I69" i="11"/>
  <c r="K11" i="11"/>
  <c r="I56" i="11"/>
  <c r="L70" i="11"/>
  <c r="J24" i="11"/>
  <c r="M25" i="11"/>
  <c r="K70" i="11"/>
  <c r="I11" i="11"/>
  <c r="M11" i="11"/>
  <c r="I24" i="11"/>
  <c r="L25" i="11"/>
  <c r="M24" i="11"/>
  <c r="L35" i="11"/>
  <c r="L36" i="11" s="1"/>
  <c r="K56" i="11"/>
  <c r="J70" i="11"/>
  <c r="K69" i="11"/>
  <c r="L11" i="11"/>
  <c r="I25" i="11"/>
  <c r="M35" i="11"/>
  <c r="M36" i="11" s="1"/>
  <c r="M37" i="11" s="1"/>
  <c r="J56" i="11"/>
  <c r="L69" i="11"/>
  <c r="J11" i="11"/>
  <c r="K25" i="11"/>
  <c r="L24" i="11"/>
  <c r="K35" i="11"/>
  <c r="K36" i="11" s="1"/>
  <c r="L56" i="11"/>
  <c r="I70" i="11"/>
  <c r="J69" i="11"/>
  <c r="M70" i="11"/>
  <c r="M82" i="11" l="1"/>
  <c r="J63" i="11"/>
  <c r="K63" i="11" s="1"/>
  <c r="L63" i="11" s="1"/>
  <c r="M63" i="11" s="1"/>
  <c r="J82" i="11"/>
  <c r="J86" i="11" s="1"/>
  <c r="K82" i="11"/>
  <c r="K86" i="11" s="1"/>
  <c r="I87" i="11"/>
  <c r="B13" i="30"/>
  <c r="H13" i="30" s="1"/>
  <c r="J13" i="30" s="1"/>
  <c r="L13" i="30" s="1"/>
  <c r="H5" i="30"/>
  <c r="L82" i="11"/>
  <c r="L86" i="11" s="1"/>
  <c r="B31" i="30"/>
  <c r="H31" i="30" s="1"/>
  <c r="J31" i="30" s="1"/>
  <c r="L31" i="30" s="1"/>
  <c r="H23" i="30"/>
  <c r="J40" i="11"/>
  <c r="J42" i="11" s="1"/>
  <c r="I62" i="11"/>
  <c r="J62" i="11" s="1"/>
  <c r="J85" i="11"/>
  <c r="K40" i="11"/>
  <c r="I17" i="11"/>
  <c r="J17" i="11" s="1"/>
  <c r="H20" i="11"/>
  <c r="J41" i="11"/>
  <c r="M86" i="11"/>
  <c r="I89" i="11"/>
  <c r="B24" i="30" s="1"/>
  <c r="J44" i="11"/>
  <c r="C6" i="30" s="1"/>
  <c r="C14" i="30" s="1"/>
  <c r="J28" i="11"/>
  <c r="M41" i="11"/>
  <c r="K85" i="11"/>
  <c r="L40" i="11"/>
  <c r="I86" i="11"/>
  <c r="I41" i="11"/>
  <c r="M85" i="11"/>
  <c r="M87" i="11" s="1"/>
  <c r="I42" i="11"/>
  <c r="I18" i="11"/>
  <c r="J18" i="11" s="1"/>
  <c r="K18" i="11" s="1"/>
  <c r="L18" i="11" s="1"/>
  <c r="M18" i="11" s="1"/>
  <c r="L85" i="11"/>
  <c r="M73" i="11"/>
  <c r="L73" i="11"/>
  <c r="K28" i="11"/>
  <c r="I73" i="11"/>
  <c r="M44" i="11"/>
  <c r="F6" i="30" s="1"/>
  <c r="F14" i="30" s="1"/>
  <c r="L44" i="11"/>
  <c r="E6" i="30" s="1"/>
  <c r="E14" i="30" s="1"/>
  <c r="L37" i="11"/>
  <c r="M28" i="11"/>
  <c r="I44" i="11"/>
  <c r="B6" i="30" s="1"/>
  <c r="M40" i="11"/>
  <c r="M42" i="11" s="1"/>
  <c r="K37" i="11"/>
  <c r="K41" i="11" s="1"/>
  <c r="K44" i="11"/>
  <c r="D6" i="30" s="1"/>
  <c r="D14" i="30" s="1"/>
  <c r="J73" i="11"/>
  <c r="L28" i="11"/>
  <c r="I28" i="11"/>
  <c r="K73" i="11"/>
  <c r="L87" i="11" l="1"/>
  <c r="I65" i="11"/>
  <c r="I66" i="11" s="1"/>
  <c r="K87" i="11"/>
  <c r="J87" i="11"/>
  <c r="J88" i="11" s="1"/>
  <c r="J90" i="11" s="1"/>
  <c r="B22" i="30"/>
  <c r="B30" i="30" s="1"/>
  <c r="C4" i="30"/>
  <c r="C12" i="30" s="1"/>
  <c r="B4" i="30"/>
  <c r="B12" i="30" s="1"/>
  <c r="F4" i="30"/>
  <c r="F12" i="30" s="1"/>
  <c r="D22" i="30"/>
  <c r="F22" i="30"/>
  <c r="F30" i="30" s="1"/>
  <c r="B32" i="30"/>
  <c r="H32" i="30" s="1"/>
  <c r="J32" i="30" s="1"/>
  <c r="L32" i="30" s="1"/>
  <c r="H24" i="30"/>
  <c r="B14" i="30"/>
  <c r="H14" i="30" s="1"/>
  <c r="J14" i="30" s="1"/>
  <c r="L14" i="30" s="1"/>
  <c r="H6" i="30"/>
  <c r="E22" i="30"/>
  <c r="E30" i="30" s="1"/>
  <c r="C22" i="30"/>
  <c r="C30" i="30" s="1"/>
  <c r="J43" i="11"/>
  <c r="L88" i="11"/>
  <c r="L90" i="11" s="1"/>
  <c r="M88" i="11"/>
  <c r="M90" i="11" s="1"/>
  <c r="J45" i="11"/>
  <c r="I20" i="11"/>
  <c r="I21" i="11" s="1"/>
  <c r="I29" i="11" s="1"/>
  <c r="M43" i="11"/>
  <c r="M45" i="11" s="1"/>
  <c r="K88" i="11"/>
  <c r="K90" i="11" s="1"/>
  <c r="I43" i="11"/>
  <c r="I45" i="11" s="1"/>
  <c r="I88" i="11"/>
  <c r="I90" i="11" s="1"/>
  <c r="L42" i="11"/>
  <c r="L41" i="11"/>
  <c r="K42" i="11"/>
  <c r="K43" i="11" s="1"/>
  <c r="K45" i="11" s="1"/>
  <c r="I74" i="11"/>
  <c r="K17" i="11"/>
  <c r="J20" i="11"/>
  <c r="J21" i="11" s="1"/>
  <c r="J29" i="11" s="1"/>
  <c r="J65" i="11"/>
  <c r="J66" i="11" s="1"/>
  <c r="J74" i="11" s="1"/>
  <c r="K62" i="11"/>
  <c r="E4" i="30" l="1"/>
  <c r="E12" i="30" s="1"/>
  <c r="D4" i="30"/>
  <c r="H22" i="30"/>
  <c r="D30" i="30"/>
  <c r="H30" i="30" s="1"/>
  <c r="J30" i="30" s="1"/>
  <c r="I30" i="11"/>
  <c r="I31" i="11" s="1"/>
  <c r="I75" i="11"/>
  <c r="I76" i="11" s="1"/>
  <c r="B21" i="30" s="1"/>
  <c r="L43" i="11"/>
  <c r="L45" i="11" s="1"/>
  <c r="K65" i="11"/>
  <c r="K66" i="11" s="1"/>
  <c r="K74" i="11" s="1"/>
  <c r="L62" i="11"/>
  <c r="K20" i="11"/>
  <c r="K21" i="11" s="1"/>
  <c r="K29" i="11" s="1"/>
  <c r="L17" i="11"/>
  <c r="J75" i="11"/>
  <c r="J76" i="11" s="1"/>
  <c r="J30" i="11"/>
  <c r="J31" i="11" s="1"/>
  <c r="J9" i="32" l="1"/>
  <c r="G9" i="32"/>
  <c r="F9" i="32"/>
  <c r="L30" i="30"/>
  <c r="I9" i="32"/>
  <c r="H9" i="32"/>
  <c r="J91" i="11"/>
  <c r="C21" i="30"/>
  <c r="D12" i="30"/>
  <c r="H12" i="30" s="1"/>
  <c r="J12" i="30" s="1"/>
  <c r="H4" i="30"/>
  <c r="I46" i="11"/>
  <c r="B3" i="30"/>
  <c r="J46" i="11"/>
  <c r="C3" i="30"/>
  <c r="B29" i="30"/>
  <c r="B25" i="30"/>
  <c r="I91" i="11"/>
  <c r="L20" i="11"/>
  <c r="L21" i="11" s="1"/>
  <c r="L29" i="11" s="1"/>
  <c r="M17" i="11"/>
  <c r="M20" i="11" s="1"/>
  <c r="M21" i="11" s="1"/>
  <c r="M29" i="11" s="1"/>
  <c r="L65" i="11"/>
  <c r="L66" i="11" s="1"/>
  <c r="L74" i="11" s="1"/>
  <c r="M62" i="11"/>
  <c r="M65" i="11" s="1"/>
  <c r="M66" i="11" s="1"/>
  <c r="M74" i="11" s="1"/>
  <c r="K75" i="11"/>
  <c r="K76" i="11" s="1"/>
  <c r="K30" i="11"/>
  <c r="K31" i="11" s="1"/>
  <c r="L12" i="30" l="1"/>
  <c r="J6" i="32"/>
  <c r="H6" i="32"/>
  <c r="F6" i="32"/>
  <c r="I6" i="32"/>
  <c r="G6" i="32"/>
  <c r="B26" i="30"/>
  <c r="C7" i="30"/>
  <c r="C8" i="30" s="1"/>
  <c r="C11" i="30"/>
  <c r="C15" i="30" s="1"/>
  <c r="B11" i="30"/>
  <c r="B7" i="30"/>
  <c r="C29" i="30"/>
  <c r="C33" i="30" s="1"/>
  <c r="C25" i="30"/>
  <c r="C26" i="30" s="1"/>
  <c r="K46" i="11"/>
  <c r="D3" i="30"/>
  <c r="K91" i="11"/>
  <c r="D21" i="30"/>
  <c r="B33" i="30"/>
  <c r="L75" i="11"/>
  <c r="L76" i="11" s="1"/>
  <c r="M30" i="11"/>
  <c r="M31" i="11" s="1"/>
  <c r="L30" i="11"/>
  <c r="L31" i="11" s="1"/>
  <c r="M75" i="11"/>
  <c r="M76" i="11" s="1"/>
  <c r="M91" i="11" l="1"/>
  <c r="F21" i="30"/>
  <c r="L46" i="11"/>
  <c r="E3" i="30"/>
  <c r="M46" i="11"/>
  <c r="F3" i="30"/>
  <c r="D29" i="30"/>
  <c r="D33" i="30" s="1"/>
  <c r="D25" i="30"/>
  <c r="D26" i="30" s="1"/>
  <c r="B15" i="30"/>
  <c r="L91" i="11"/>
  <c r="E21" i="30"/>
  <c r="H21" i="30" s="1"/>
  <c r="D11" i="30"/>
  <c r="D15" i="30" s="1"/>
  <c r="D7" i="30"/>
  <c r="D8" i="30" s="1"/>
  <c r="B8" i="30"/>
  <c r="M94" i="11"/>
  <c r="M49" i="11" l="1"/>
  <c r="M50" i="11" s="1"/>
  <c r="H3" i="30"/>
  <c r="E11" i="30"/>
  <c r="E15" i="30" s="1"/>
  <c r="E7" i="30"/>
  <c r="F11" i="30"/>
  <c r="F15" i="30" s="1"/>
  <c r="F7" i="30"/>
  <c r="F8" i="30" s="1"/>
  <c r="F29" i="30"/>
  <c r="F33" i="30" s="1"/>
  <c r="F25" i="30"/>
  <c r="F26" i="30" s="1"/>
  <c r="E29" i="30"/>
  <c r="E33" i="30" s="1"/>
  <c r="H33" i="30" s="1"/>
  <c r="J33" i="30" s="1"/>
  <c r="L33" i="30" s="1"/>
  <c r="E25" i="30"/>
  <c r="M95" i="11"/>
  <c r="H15" i="30" l="1"/>
  <c r="J15" i="30" s="1"/>
  <c r="L15" i="30" s="1"/>
  <c r="H29" i="30"/>
  <c r="J29" i="30" s="1"/>
  <c r="E26" i="30"/>
  <c r="H25" i="30"/>
  <c r="H26" i="30" s="1"/>
  <c r="E8" i="30"/>
  <c r="H7" i="30"/>
  <c r="H8" i="30" s="1"/>
  <c r="H11" i="30"/>
  <c r="J11" i="30" s="1"/>
  <c r="M51" i="11"/>
  <c r="H16" i="30"/>
  <c r="M96" i="11"/>
  <c r="H34" i="30"/>
  <c r="H5" i="32" l="1"/>
  <c r="G5" i="32"/>
  <c r="I5" i="32"/>
  <c r="L11" i="30"/>
  <c r="J5" i="32"/>
  <c r="F5" i="32"/>
  <c r="F8" i="32"/>
  <c r="L29" i="30"/>
  <c r="G8" i="32"/>
  <c r="I8" i="32"/>
  <c r="J8" i="32"/>
  <c r="H8" i="32"/>
  <c r="I7" i="32"/>
  <c r="H7" i="32"/>
  <c r="F7" i="32"/>
  <c r="G7" i="32"/>
  <c r="J7" i="32"/>
  <c r="J34" i="30"/>
  <c r="J4" i="32"/>
  <c r="F4" i="32"/>
  <c r="I4" i="32"/>
  <c r="G4" i="32"/>
  <c r="H4" i="32"/>
  <c r="J16" i="30"/>
</calcChain>
</file>

<file path=xl/sharedStrings.xml><?xml version="1.0" encoding="utf-8"?>
<sst xmlns="http://schemas.openxmlformats.org/spreadsheetml/2006/main" count="1162" uniqueCount="486">
  <si>
    <t>SD00014</t>
  </si>
  <si>
    <t>KSATN</t>
  </si>
  <si>
    <t>T1.16</t>
  </si>
  <si>
    <t>BR581</t>
  </si>
  <si>
    <t>BR583</t>
  </si>
  <si>
    <t>BR582</t>
  </si>
  <si>
    <t>BR584</t>
  </si>
  <si>
    <t>RCMW002</t>
  </si>
  <si>
    <t>BN2215</t>
  </si>
  <si>
    <t>BR881</t>
  </si>
  <si>
    <t>BO1140</t>
  </si>
  <si>
    <t>BR883</t>
  </si>
  <si>
    <t>BR882</t>
  </si>
  <si>
    <t>BR884</t>
  </si>
  <si>
    <t>RCMS002</t>
  </si>
  <si>
    <t>BN2150</t>
  </si>
  <si>
    <t>BN2270</t>
  </si>
  <si>
    <t>PB00113</t>
  </si>
  <si>
    <t>BB4200</t>
  </si>
  <si>
    <t xml:space="preserve">Table </t>
  </si>
  <si>
    <t>Line</t>
  </si>
  <si>
    <t>Bon ref</t>
  </si>
  <si>
    <t>BN2200</t>
  </si>
  <si>
    <t>BN2210</t>
  </si>
  <si>
    <t>BN2250</t>
  </si>
  <si>
    <t>BN2260</t>
  </si>
  <si>
    <t>BR30190</t>
  </si>
  <si>
    <t>BN2100</t>
  </si>
  <si>
    <t>BN2130</t>
  </si>
  <si>
    <t>BN2140</t>
  </si>
  <si>
    <t>Team responsibility</t>
  </si>
  <si>
    <t>Source</t>
  </si>
  <si>
    <t>Nr 0dp</t>
  </si>
  <si>
    <t>TBMW0242</t>
  </si>
  <si>
    <t>TBMS0256</t>
  </si>
  <si>
    <t xml:space="preserve">Sewerage: Number of measured households with standing charge </t>
  </si>
  <si>
    <t>000 1dp</t>
  </si>
  <si>
    <t xml:space="preserve">Water: Number of measured households </t>
  </si>
  <si>
    <t>Sewerage: Non-households billed unmeasured</t>
  </si>
  <si>
    <t xml:space="preserve">Water: Number of unmeasured households </t>
  </si>
  <si>
    <t>Water: Tariff basket revenue</t>
  </si>
  <si>
    <t>Sewerage: Non-households billed measured</t>
  </si>
  <si>
    <t>3 Industry assumptions</t>
  </si>
  <si>
    <t>Discount rate (PR09)</t>
  </si>
  <si>
    <t>Discount rate (PR14)</t>
  </si>
  <si>
    <t>Water: Unmeasured - household</t>
  </si>
  <si>
    <t>Water: Unmeasured - non-household</t>
  </si>
  <si>
    <t>Water: Measured - household</t>
  </si>
  <si>
    <t>Water: Measured - non-household</t>
  </si>
  <si>
    <t>Water: Net revenue movement out of tariff basket (outturn)</t>
  </si>
  <si>
    <t>Water: Properties served by new appointee in supply area as at 1 April 2009</t>
  </si>
  <si>
    <t>Water: Households billed</t>
  </si>
  <si>
    <t>Water: Non-households billed</t>
  </si>
  <si>
    <t>Sewerage: Unmeasured - household</t>
  </si>
  <si>
    <t>Sewerage: Unmeasured - non-household</t>
  </si>
  <si>
    <t>Sewerage: Measured - household</t>
  </si>
  <si>
    <t>Sewerage: Measured - non-household</t>
  </si>
  <si>
    <t>Sewerage: Trade effluent</t>
  </si>
  <si>
    <t>Sewerage: Net revenue movement out of tariff basket (outturn)</t>
  </si>
  <si>
    <t>Sewerage: Properties served by new appointee in supply area as at 1 April 2009</t>
  </si>
  <si>
    <t>Sewerage: Households billed</t>
  </si>
  <si>
    <t>Sewerage: Non-households billed</t>
  </si>
  <si>
    <t>2 Annual Information (Outturn prices)</t>
  </si>
  <si>
    <t>Overall revenue correction (NPV at 2014-15)</t>
  </si>
  <si>
    <t>Year</t>
  </si>
  <si>
    <t xml:space="preserve"> </t>
  </si>
  <si>
    <t>Input Data</t>
  </si>
  <si>
    <t>Dec 4dp</t>
  </si>
  <si>
    <t>Nr 1dp</t>
  </si>
  <si>
    <t>2007-08</t>
  </si>
  <si>
    <t>2008-09</t>
  </si>
  <si>
    <t>2009-10</t>
  </si>
  <si>
    <t>2010-11</t>
  </si>
  <si>
    <t>2011-12</t>
  </si>
  <si>
    <t>2012-13</t>
  </si>
  <si>
    <t>2013-14</t>
  </si>
  <si>
    <t>2014-15</t>
  </si>
  <si>
    <t>000</t>
  </si>
  <si>
    <t>£m</t>
  </si>
  <si>
    <t>Efficient Billing Factor:
proportion of average bill</t>
  </si>
  <si>
    <t xml:space="preserve">Proportion to maintain billing incentive </t>
  </si>
  <si>
    <t>Corporation tax rate</t>
  </si>
  <si>
    <t>File:</t>
  </si>
  <si>
    <t>Description:</t>
  </si>
  <si>
    <t>Dependancies:</t>
  </si>
  <si>
    <t>History:</t>
  </si>
  <si>
    <t>Date</t>
  </si>
  <si>
    <t>Notes</t>
  </si>
  <si>
    <t>Original spreadsheet 20100401.xls</t>
  </si>
  <si>
    <t>Original spreadsheet created by Peter Jordan for presentation to companies as an example of how the mechanism is expected to work.</t>
  </si>
  <si>
    <t>Calculation of the revenue corrrection at the PR14 review.</t>
  </si>
  <si>
    <t>Final Determination 2009 and actual JR data.</t>
  </si>
  <si>
    <t>Version/file name</t>
  </si>
  <si>
    <t>Original spreadsheet converted to FM style standardised format.</t>
  </si>
  <si>
    <t>BO1110</t>
  </si>
  <si>
    <t>BO1130</t>
  </si>
  <si>
    <t>BO1101</t>
  </si>
  <si>
    <t>BO1120</t>
  </si>
  <si>
    <t>YrVal</t>
  </si>
  <si>
    <t>Year value</t>
  </si>
  <si>
    <t>FD2009: TBM tables, SR tables 5.7a and 5.7b.</t>
  </si>
  <si>
    <t>Added two new items 'Social tariff' and 'Back-billing amount identified'.</t>
  </si>
  <si>
    <t>Sewerage:Tariff basket revenue</t>
  </si>
  <si>
    <t xml:space="preserve">Sewerage: Number of unmeasured households </t>
  </si>
  <si>
    <t>Water: Non-households billed unmeasured</t>
  </si>
  <si>
    <t>Water: Non-households billed measured</t>
  </si>
  <si>
    <t>Input</t>
  </si>
  <si>
    <t>Calc</t>
  </si>
  <si>
    <t>Water: Net revenue movement out of tariff basket</t>
  </si>
  <si>
    <t>Water: Net revenue movement into tariff basket</t>
  </si>
  <si>
    <t>Revised formulae to calculate difference between NPV at base year prices.</t>
  </si>
  <si>
    <t>Revised to be in 2007-08 prices from outturn prices.</t>
  </si>
  <si>
    <t>Sheet name</t>
  </si>
  <si>
    <t>Item</t>
  </si>
  <si>
    <t>Removed duplicate calculations within revenue expectation sections.</t>
  </si>
  <si>
    <t>1 Final determination (Outturn prices)</t>
  </si>
  <si>
    <t>Difference from original due to formulae being corrected to convert to 2007-08 prices.</t>
  </si>
  <si>
    <t>Added adjustment for Social tariff input item.</t>
  </si>
  <si>
    <t>Total billing incentive (W&amp;S)</t>
  </si>
  <si>
    <t>Added adjustment for Back-billing amount identified input item.</t>
  </si>
  <si>
    <t>Restrict non-household water usage quantities to band groups.</t>
  </si>
  <si>
    <t>Water: Revenue to deduct from expectation</t>
  </si>
  <si>
    <t>Water: Revised revenue expectation</t>
  </si>
  <si>
    <t>Water: Unmeasured turnover</t>
  </si>
  <si>
    <t>Water: Measured turnover</t>
  </si>
  <si>
    <t>Water: Reported tariff basket revenue</t>
  </si>
  <si>
    <t>Water: Correction required for year</t>
  </si>
  <si>
    <t>Water: Change to tax</t>
  </si>
  <si>
    <t xml:space="preserve">Water: Household revenue </t>
  </si>
  <si>
    <t>Water: Average household bill</t>
  </si>
  <si>
    <t>Water: Efficient billing factor</t>
  </si>
  <si>
    <t>Water: Outperformance</t>
  </si>
  <si>
    <t>Water: Outperformance above previous maximum</t>
  </si>
  <si>
    <t>Water: Normal billing incentive</t>
  </si>
  <si>
    <t>Water: Maximisation billing incentive</t>
  </si>
  <si>
    <t>Water: Billing incentive</t>
  </si>
  <si>
    <t>Water: New appointment adjustment</t>
  </si>
  <si>
    <t>Water: Annualised adjustment to 2014 price review requirement at 2012-13 prices</t>
  </si>
  <si>
    <t>Sewerage: Net revenue movement out of tariff basket</t>
  </si>
  <si>
    <t>Sewerage: Net revenue movement into tariff basket</t>
  </si>
  <si>
    <t>Sewerage: Revenue to deduct from expectation</t>
  </si>
  <si>
    <t>Sewerage: Revised revenue expectation</t>
  </si>
  <si>
    <t>Sewerage: Unmeasured turnover</t>
  </si>
  <si>
    <t>Sewerage: Measured turnover</t>
  </si>
  <si>
    <t>Sewerage: Reported tariff basket revenue</t>
  </si>
  <si>
    <t>Sewerage: Correction required for year</t>
  </si>
  <si>
    <t>Sewerage: Change to tax</t>
  </si>
  <si>
    <t>Sewerage: Household revenue</t>
  </si>
  <si>
    <t>Sewerage: Average household bill</t>
  </si>
  <si>
    <t>Sewerage: Efficient billing factor</t>
  </si>
  <si>
    <t>Sewerage: Outperformance</t>
  </si>
  <si>
    <t>Sewerage: Outperformance above previous maximum</t>
  </si>
  <si>
    <t>Sewerage: Normal billing incentive</t>
  </si>
  <si>
    <t>Sewerage: Maximisation billing incentive</t>
  </si>
  <si>
    <t>Sewerage: Billing incentive</t>
  </si>
  <si>
    <t>Sewerage: New appointment adjustment</t>
  </si>
  <si>
    <t>Sewerage: Annualised adjustment to 2014 price review requirement at 2012-13 prices</t>
  </si>
  <si>
    <t>Billing incentive section. (W&amp;S)</t>
  </si>
  <si>
    <t>Reported tariff basket revenue (sewerage only)</t>
  </si>
  <si>
    <t>Reported tariff basket revenue. (W &amp; S)</t>
  </si>
  <si>
    <t>The amalgamation of the water lower bands results in a difference in the Revised revenue expectation values. Sewerage bands are not amalgamated and the values are the same as in the original spreadsheet.</t>
  </si>
  <si>
    <t>Converted section to 2007-08 prices from outturn prices.</t>
  </si>
  <si>
    <t>Restrict formulae to conform with restricted two band widths: over and under threshold.</t>
  </si>
  <si>
    <t>Restrict non-household water usage quantities to two band groups. Over and under threshold.</t>
  </si>
  <si>
    <t>Tariff Basket Non-household customer threshold (ML)</t>
  </si>
  <si>
    <t>Revenue expectation W&amp;S)</t>
  </si>
  <si>
    <t>Revenue subtotals (W&amp;S)</t>
  </si>
  <si>
    <t>Inserted TB threshold limit within the description.</t>
  </si>
  <si>
    <t>Tariff basket non-household customer threshold (ML)</t>
  </si>
  <si>
    <t>PB00136</t>
  </si>
  <si>
    <t>Water: Back-billing amount identified</t>
  </si>
  <si>
    <t>Sewerage: Back-billing amount identified</t>
  </si>
  <si>
    <t>RCM Beta v1.0.xls</t>
  </si>
  <si>
    <t>ADD to calc items. (v1.1)</t>
  </si>
  <si>
    <t>RCM Beta v1.1.xls</t>
  </si>
  <si>
    <t xml:space="preserve">Input the threshold value for the company. This amount is reflected in the description and does not impact on any calculations. </t>
  </si>
  <si>
    <t>Testing</t>
  </si>
  <si>
    <t>Positive input will increase the amount of actual reported turnover</t>
  </si>
  <si>
    <t>Positive input will increase the amount of the billing incentive.</t>
  </si>
  <si>
    <t>Compared output values with the original spreadsheet to ensure values are the same on a like for like basis.</t>
  </si>
  <si>
    <t>SD000114</t>
  </si>
  <si>
    <t>RCM Beta v1.2.xls</t>
  </si>
  <si>
    <t>Billed properties less than the efficient billing factor</t>
  </si>
  <si>
    <t>Removed item after Policy group decision 1 April 2011.</t>
  </si>
  <si>
    <t>Increase in properties (with bills above EBF)</t>
  </si>
  <si>
    <t>Amended formulae to remove input item.</t>
  </si>
  <si>
    <t>Water: Increase in properties</t>
  </si>
  <si>
    <t>Sewerage: Increase in properties</t>
  </si>
  <si>
    <t>Sewerage: Forecast cumulative increase in properties from 2009-10</t>
  </si>
  <si>
    <t>Water: Forecast cumulative increase in properties from 2009-10</t>
  </si>
  <si>
    <t>Net revenue movement into/out of tariff basket</t>
  </si>
  <si>
    <t>Into and out of within decriptions are reversed for water and sewerage, to correspond with formulae.</t>
  </si>
  <si>
    <t>RCM Beta v1.3.xls</t>
  </si>
  <si>
    <t>To index outturn revenues to base year prices</t>
  </si>
  <si>
    <t>Outturn RPI (financial year average index, 2007-08 = 100)</t>
  </si>
  <si>
    <t>New item line inserted</t>
  </si>
  <si>
    <t>Revised item/formulae</t>
  </si>
  <si>
    <t>Key to modeifications:</t>
  </si>
  <si>
    <t>Revenue correction mechanism (RCM)</t>
  </si>
  <si>
    <t>To convert values from outturn to base year (2007-08)</t>
  </si>
  <si>
    <t>Added outturn indices factor.</t>
  </si>
  <si>
    <t>Added outturn RPI indices</t>
  </si>
  <si>
    <t>FD assumption RPI (financial year average index, 2007-08 = 100)</t>
  </si>
  <si>
    <t>Formulae revised to link to new outturn RPI factor where actual values are used.</t>
  </si>
  <si>
    <t>To QC all relevant inputs are mapped correctly to the new outturn RPI factor</t>
  </si>
  <si>
    <t>Source file: O:\OFWSHARE\IPL\IPL Bridge\Retail\Work streams\Overall incentives\Model building guidance\ModelTemplate.xlsx</t>
  </si>
  <si>
    <t>OTHER NOTES</t>
  </si>
  <si>
    <t>Additional information</t>
  </si>
  <si>
    <t>Worksheet/ table</t>
  </si>
  <si>
    <t>Section/ line descriptions</t>
  </si>
  <si>
    <t>Guidance for populating the various sections of the 'Input' worksheet are as follows:</t>
  </si>
  <si>
    <t>INPUT DATA GUIDANCE NOTES</t>
  </si>
  <si>
    <t>Bubble docs/pages/website</t>
  </si>
  <si>
    <t xml:space="preserve">See: </t>
  </si>
  <si>
    <t>FURTHER SUPPORTING INFORMATION</t>
  </si>
  <si>
    <t>-</t>
  </si>
  <si>
    <t>WORKBOOK COMMENTS</t>
  </si>
  <si>
    <t>The purpose of this model is to …</t>
  </si>
  <si>
    <t>PURPOSE</t>
  </si>
  <si>
    <t>Description of change</t>
  </si>
  <si>
    <t>Who</t>
  </si>
  <si>
    <t>ASSURANCE HISTORY</t>
  </si>
  <si>
    <t>CHANGE HISTORY</t>
  </si>
  <si>
    <t>Item description</t>
  </si>
  <si>
    <t>Reference</t>
  </si>
  <si>
    <t>AY</t>
  </si>
  <si>
    <t>Actual Year</t>
  </si>
  <si>
    <t>4 Model parameters</t>
  </si>
  <si>
    <t>FLOWCHART</t>
  </si>
  <si>
    <t>Version no.</t>
  </si>
  <si>
    <t>Business Plan</t>
  </si>
  <si>
    <t>New</t>
  </si>
  <si>
    <t>Sewerage: Lower tariffs (Win-win)</t>
  </si>
  <si>
    <t>Water: Lower tariffs (Win-win)</t>
  </si>
  <si>
    <t>Regulatory Accounts</t>
  </si>
  <si>
    <t>Wholesale Tax</t>
  </si>
  <si>
    <t>Inflation measures</t>
  </si>
  <si>
    <t>Unit d.p</t>
  </si>
  <si>
    <t>£m 3dp</t>
  </si>
  <si>
    <t>000 2dp</t>
  </si>
  <si>
    <t>Nr 2dp</t>
  </si>
  <si>
    <t>1 Indices</t>
  </si>
  <si>
    <t>2 Water</t>
  </si>
  <si>
    <t>2.5 2014 price review</t>
  </si>
  <si>
    <t>3 Sewerage</t>
  </si>
  <si>
    <t>3.5 2014 price review</t>
  </si>
  <si>
    <t>Financial Modelling</t>
  </si>
  <si>
    <t>JN</t>
  </si>
  <si>
    <t>2015-16</t>
  </si>
  <si>
    <t>2016-17</t>
  </si>
  <si>
    <t>2017-18</t>
  </si>
  <si>
    <t>2018-19</t>
  </si>
  <si>
    <t>2019-20</t>
  </si>
  <si>
    <t>NEW</t>
  </si>
  <si>
    <t>Fountain</t>
  </si>
  <si>
    <t>Need to hardcode company specific information into Fountain.
--&gt; PR09 Financial Model
--&gt; TBM (K=K) basis</t>
  </si>
  <si>
    <t>Company specific inputs
--&gt; PR14 Business Plan
--&gt; Regulatory Accounts submissions</t>
  </si>
  <si>
    <t>Need hardcode industry assumptions into Fountain.</t>
  </si>
  <si>
    <t>--&gt; PR09 Financial Model</t>
  </si>
  <si>
    <t>--&gt; PR14 Business Plan/ Reg Accounts submission</t>
  </si>
  <si>
    <t>Inputs [Data held in FOUNTAIN]</t>
  </si>
  <si>
    <t>--&gt; PR14 Financial Model</t>
  </si>
  <si>
    <t>Logic/ calculation</t>
  </si>
  <si>
    <t>--&gt; Industry assumptions</t>
  </si>
  <si>
    <t>--&gt; Company specific assumptions</t>
  </si>
  <si>
    <t>Outputs [Data saved in FOUNTAIN]</t>
  </si>
  <si>
    <t>Revenue</t>
  </si>
  <si>
    <t>Properties</t>
  </si>
  <si>
    <t>• FINAL DETERMINATION  (Outturn prices)</t>
  </si>
  <si>
    <t>• ANNUAL INFORMATION (Outturn prices)</t>
  </si>
  <si>
    <t>• INDUSTRY ASSUMPTIONS</t>
  </si>
  <si>
    <t>PR14 FM</t>
  </si>
  <si>
    <t>RCM MODEL</t>
  </si>
  <si>
    <r>
      <rPr>
        <b/>
        <sz val="12"/>
        <rFont val="Arial"/>
        <family val="2"/>
      </rPr>
      <t>Flow chart</t>
    </r>
    <r>
      <rPr>
        <sz val="12"/>
        <rFont val="Arial"/>
        <family val="2"/>
      </rPr>
      <t xml:space="preserve"> - shows an overview of the model process from input to output.</t>
    </r>
  </si>
  <si>
    <r>
      <rPr>
        <b/>
        <sz val="12"/>
        <rFont val="Arial"/>
        <family val="2"/>
      </rPr>
      <t>Input</t>
    </r>
    <r>
      <rPr>
        <sz val="12"/>
        <rFont val="Arial"/>
        <family val="2"/>
      </rPr>
      <t xml:space="preserve"> - contains the collection of inputs required to calculate the RCM</t>
    </r>
  </si>
  <si>
    <r>
      <rPr>
        <b/>
        <sz val="12"/>
        <rFont val="Arial"/>
        <family val="2"/>
      </rPr>
      <t>Calc</t>
    </r>
    <r>
      <rPr>
        <sz val="12"/>
        <rFont val="Arial"/>
        <family val="2"/>
      </rPr>
      <t xml:space="preserve"> - contains the RCM calculations </t>
    </r>
  </si>
  <si>
    <r>
      <rPr>
        <b/>
        <sz val="12"/>
        <rFont val="Arial"/>
        <family val="2"/>
      </rPr>
      <t>F_Outputs</t>
    </r>
    <r>
      <rPr>
        <sz val="12"/>
        <rFont val="Arial"/>
        <family val="2"/>
      </rPr>
      <t xml:space="preserve"> - contains the outputs that require saving back to Fountain for further re-use as an input into the Financial Model.</t>
    </r>
  </si>
  <si>
    <t>YES</t>
  </si>
  <si>
    <t>NO</t>
  </si>
  <si>
    <t>RCM CALCULATION</t>
  </si>
  <si>
    <t xml:space="preserve">Accept Company submission
</t>
  </si>
  <si>
    <t>*** Overwrite company submission with Ofwat Decision</t>
  </si>
  <si>
    <t>Sewerage: Lower tariffs (Win-win) ***</t>
  </si>
  <si>
    <t>Sewerage: Back-billing amount identified ***</t>
  </si>
  <si>
    <t>Water: Back-billing amount identified ***</t>
  </si>
  <si>
    <t>Water: Lower tariffs (Win-win) ***</t>
  </si>
  <si>
    <t>Acronym</t>
  </si>
  <si>
    <t>Unit</t>
  </si>
  <si>
    <t>Model</t>
  </si>
  <si>
    <t>Total tariff basket revenue: water</t>
  </si>
  <si>
    <t>Households billed for unmeasured water</t>
  </si>
  <si>
    <t>Water: Number of measured households</t>
  </si>
  <si>
    <t>Non-households billed for unmeasured water</t>
  </si>
  <si>
    <t>Non-households billed measured water</t>
  </si>
  <si>
    <t>Total tariff basket revenue: sewerage</t>
  </si>
  <si>
    <t>Households billed unmeasured sewage</t>
  </si>
  <si>
    <t>Households billed measured sewage</t>
  </si>
  <si>
    <t>Non-households billed unmeasured sewage</t>
  </si>
  <si>
    <t>Non-households billed measured sewage</t>
  </si>
  <si>
    <t>Measured - non-household (Water services)</t>
  </si>
  <si>
    <t>Net revenue movement out of the tariff basket (water service)</t>
  </si>
  <si>
    <t>Unmeasured - non-household</t>
  </si>
  <si>
    <t>Measured - non-household (Sewerage services)</t>
  </si>
  <si>
    <t>Trade effluent</t>
  </si>
  <si>
    <t>Net revenue movement out of the tariff basket (sewerage service)</t>
  </si>
  <si>
    <t>RPI: Financial year average - index</t>
  </si>
  <si>
    <t>Discount rate (Z)</t>
  </si>
  <si>
    <t>busplanwater</t>
  </si>
  <si>
    <t>W17</t>
  </si>
  <si>
    <t>busplansewer</t>
  </si>
  <si>
    <t>S17</t>
  </si>
  <si>
    <t>PR09 FM</t>
  </si>
  <si>
    <t>PB00113BP</t>
  </si>
  <si>
    <t>busplanapp</t>
  </si>
  <si>
    <t>A9</t>
  </si>
  <si>
    <t>Price Limits 2014</t>
  </si>
  <si>
    <t>L10001</t>
  </si>
  <si>
    <t>L10002</t>
  </si>
  <si>
    <t>L10006</t>
  </si>
  <si>
    <t>L10007</t>
  </si>
  <si>
    <t>Water: Non-households – under 50ML threshold</t>
  </si>
  <si>
    <t>Water: Non-households – over 50ML threshold</t>
  </si>
  <si>
    <t>Sewerage: Non-households – under 50ML threshold</t>
  </si>
  <si>
    <t>Sewerage: Non-households – over 50ML threshold</t>
  </si>
  <si>
    <t>L10011</t>
  </si>
  <si>
    <t>L10012</t>
  </si>
  <si>
    <t>L10013</t>
  </si>
  <si>
    <t>L10014</t>
  </si>
  <si>
    <t>Efficient Billing Factor: proportion of average bill</t>
  </si>
  <si>
    <t>Proportion to maintain billing incentive</t>
  </si>
  <si>
    <t>W17003</t>
  </si>
  <si>
    <t>W17001</t>
  </si>
  <si>
    <t>W17002</t>
  </si>
  <si>
    <t>--&gt; PR09 TBM (K=K) basis</t>
  </si>
  <si>
    <t>R3 L17+L18+L21+L22</t>
  </si>
  <si>
    <t>R3 L19+L20+L21+L22</t>
  </si>
  <si>
    <t>R3017+R3018+R3021+R3022</t>
  </si>
  <si>
    <t>R3019+R3020+R3021+R3022</t>
  </si>
  <si>
    <t>Retail</t>
  </si>
  <si>
    <t>Calculations</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</si>
  <si>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</si>
  <si>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</si>
  <si>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</si>
  <si>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</si>
  <si>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</si>
  <si>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</si>
  <si>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R3017</t>
  </si>
  <si>
    <t>R3018</t>
  </si>
  <si>
    <t>R3019</t>
  </si>
  <si>
    <t>R3020</t>
  </si>
  <si>
    <t>R3021</t>
  </si>
  <si>
    <t>R3022</t>
  </si>
  <si>
    <t>S17003</t>
  </si>
  <si>
    <t>L17001</t>
  </si>
  <si>
    <t>L17002</t>
  </si>
  <si>
    <t>S17001</t>
  </si>
  <si>
    <t>S17002</t>
  </si>
  <si>
    <t>TBMW0242A</t>
  </si>
  <si>
    <t>Water: Tariff basket revenue - adjustment</t>
  </si>
  <si>
    <t>TBMS0256A</t>
  </si>
  <si>
    <t>Sewerage:Tariff basket revenue - adjustment</t>
  </si>
  <si>
    <t>Nr</t>
  </si>
  <si>
    <t>%</t>
  </si>
  <si>
    <t>Original source PR09 TBM K=K</t>
  </si>
  <si>
    <t>Ofwat assumption</t>
  </si>
  <si>
    <t>nr</t>
  </si>
  <si>
    <t>Discount rate for RCM (PR14)</t>
  </si>
  <si>
    <t>2015-20</t>
  </si>
  <si>
    <t>Water: Adjustment at 2014-15</t>
  </si>
  <si>
    <t>Water: Correction required (at 2014-15)</t>
  </si>
  <si>
    <t>Water: Overall revenue correction at 2014-15</t>
  </si>
  <si>
    <t>Sewerage: Correction required (at 2014-15)</t>
  </si>
  <si>
    <t>Sewerage: adjustment at 2014-15</t>
  </si>
  <si>
    <t>Sewerage: Overall revenue correction at 2014-15</t>
  </si>
  <si>
    <t>Water: Revenue correction at 2014-15 at 2007-08 prices</t>
  </si>
  <si>
    <t>Water: Revenue correction at 2014-15 at 2012-13 prices</t>
  </si>
  <si>
    <t>Sewerage: Revenue correction at 2014-15 at 2007-08 prices</t>
  </si>
  <si>
    <t>Sewerage: Revenue Correction at 2014-15 at 2012-13 prices</t>
  </si>
  <si>
    <t>% in Dec 4dp</t>
  </si>
  <si>
    <t>£/property</t>
  </si>
  <si>
    <t>BN2120</t>
  </si>
  <si>
    <t>1 Final determination (Outturn prices) - Forecast</t>
  </si>
  <si>
    <t>2 Annual Information (Outturn prices) - Actual</t>
  </si>
  <si>
    <t>C00052_L010</t>
  </si>
  <si>
    <t>C00053_L010</t>
  </si>
  <si>
    <t>L10013_L010</t>
  </si>
  <si>
    <t>BN2100_PL</t>
  </si>
  <si>
    <t>BN2200_PL</t>
  </si>
  <si>
    <t>BN2210_PL</t>
  </si>
  <si>
    <t>BN2130_PL</t>
  </si>
  <si>
    <t>BN2140_PL</t>
  </si>
  <si>
    <t>BN2250_PL</t>
  </si>
  <si>
    <t>BN2260_PL</t>
  </si>
  <si>
    <t>Water: Win-win tariffs</t>
  </si>
  <si>
    <t>Sewerage: Win-win tariffs</t>
  </si>
  <si>
    <t>Number of households billed for water</t>
  </si>
  <si>
    <t>Households billed sewage</t>
  </si>
  <si>
    <t>BR581_PR14</t>
  </si>
  <si>
    <t>BR582_PR14</t>
  </si>
  <si>
    <t>BN2215_PR14</t>
  </si>
  <si>
    <t>BR881_PR14</t>
  </si>
  <si>
    <t>BR882_PR14</t>
  </si>
  <si>
    <t>BN2270_PR14</t>
  </si>
  <si>
    <t>BN2120_PR14</t>
  </si>
  <si>
    <t>BN2150_PR14</t>
  </si>
  <si>
    <t>000s</t>
  </si>
  <si>
    <t>Non-household billed sewage</t>
  </si>
  <si>
    <t>PB00113BP_PR14</t>
  </si>
  <si>
    <t>v3.2</t>
  </si>
  <si>
    <t>5 year RCM</t>
  </si>
  <si>
    <t>Water: Revenue correction - Actual vs FD</t>
  </si>
  <si>
    <t>Water: Revenue Correction  - Billing incentive</t>
  </si>
  <si>
    <t>Water: Revenue Correction  - Backbilling</t>
  </si>
  <si>
    <t>Water: Revenue Correction  - New appointment adjustment</t>
  </si>
  <si>
    <t>Water: Overall revenue correction</t>
  </si>
  <si>
    <t>Annualised adjustment</t>
  </si>
  <si>
    <t>Total</t>
  </si>
  <si>
    <t>Sewerage: Revenue correction - Actual vs FD</t>
  </si>
  <si>
    <t>Sewerage: Revenue Correction  - Billing incentive</t>
  </si>
  <si>
    <t>Sewerage: Revenue Correction  - Backbilling</t>
  </si>
  <si>
    <t>Sewerage: Revenue Correction  - New appointment adjustment</t>
  </si>
  <si>
    <t>Sewerage: Overall revenue correction</t>
  </si>
  <si>
    <t>Sewerage: Revenue correction at 2014-15 at 2012-13 prices</t>
  </si>
  <si>
    <t>Annualised adjustment (£m)</t>
  </si>
  <si>
    <t>Water: Annualised adjustment to 2014 price review requirement at 2012-13 prices - Revenue Correction Required for year</t>
  </si>
  <si>
    <t>Water: Annualised adjustment to 2014 price review requirement at 2012-13 prices - Billing Incentive Adjustment</t>
  </si>
  <si>
    <t>C00052RC_L010</t>
  </si>
  <si>
    <t>C00052BIA_L010</t>
  </si>
  <si>
    <t>C00053RC_L010</t>
  </si>
  <si>
    <t>C00053BIA_L010</t>
  </si>
  <si>
    <t>Sewerage: Annualised adjustment to 2014 price review requirement at 2012-13 prices - Revenue Correction Required for year</t>
  </si>
  <si>
    <t>Sewerage: Annualised adjustment to 2014 price review requirement at 2012-13 prices - Billing Incentive Adjustment</t>
  </si>
  <si>
    <t>FOUNTAIN_INSTANCE_URL</t>
  </si>
  <si>
    <t>Blind year reconciliation 2014-15</t>
  </si>
  <si>
    <t>companyId</t>
  </si>
  <si>
    <t>0_XLSPF</t>
  </si>
  <si>
    <t>companyName</t>
  </si>
  <si>
    <t>inputRunName</t>
  </si>
  <si>
    <t>PR14 Blind year reconciliation _XLSPF</t>
  </si>
  <si>
    <t>inputRunId</t>
  </si>
  <si>
    <t>95_XLSPF</t>
  </si>
  <si>
    <t>outputRunName</t>
  </si>
  <si>
    <t>outputRunId</t>
  </si>
  <si>
    <t>tagName</t>
  </si>
  <si>
    <t>latest_XLSPF</t>
  </si>
  <si>
    <t>tagId</t>
  </si>
  <si>
    <t>agendaId</t>
  </si>
  <si>
    <t>1_XLSPF</t>
  </si>
  <si>
    <t>F_Inputs_TABLE_ID</t>
  </si>
  <si>
    <t>9192_XLSPF</t>
  </si>
  <si>
    <t>F_Inputs_TEAM</t>
  </si>
  <si>
    <t>IPL_XLSPF</t>
  </si>
  <si>
    <t>F_Inputs_USER</t>
  </si>
  <si>
    <t>F_Inputs_NAME</t>
  </si>
  <si>
    <t>PL14L010IN_BY_XLSPF</t>
  </si>
  <si>
    <t>F_Inputs_TITLE</t>
  </si>
  <si>
    <t>_XLSPF</t>
  </si>
  <si>
    <t>PL14L010IN_BY</t>
  </si>
  <si>
    <t>Unmeasured - non household (Water services)</t>
  </si>
  <si>
    <t>inputSheetLastUpdated</t>
  </si>
  <si>
    <t>EXTERNAL_MODEL_NAME</t>
  </si>
  <si>
    <t>EXTERNAL_MODEL_CODE</t>
  </si>
  <si>
    <t>EXTERNAL_MODEL_FAMILY</t>
  </si>
  <si>
    <t>BY_XLSPF</t>
  </si>
  <si>
    <t>FOUNTAIN_REPORT</t>
  </si>
  <si>
    <t>outputSheetLastSent</t>
  </si>
  <si>
    <t>OFWAT\Salim.Lorgat_XLSPF</t>
  </si>
  <si>
    <t>PL14L010_BY_XLSPF</t>
  </si>
  <si>
    <t>1948_XLSPF</t>
  </si>
  <si>
    <t>F_Outputs_TABLE_ID</t>
  </si>
  <si>
    <t>F_Outputs_TEAM</t>
  </si>
  <si>
    <t>F_Outputs_USER</t>
  </si>
  <si>
    <t>F_Outputs_NAME</t>
  </si>
  <si>
    <t>PL14L010OUT_BY_XLSPF</t>
  </si>
  <si>
    <t>F_Outputs_TITLE</t>
  </si>
  <si>
    <t>9327_XLSPF</t>
  </si>
  <si>
    <t>OFWAT\Jenny.Ngai_XLSPF</t>
  </si>
  <si>
    <t>PL14L010OUT_BY</t>
  </si>
  <si>
    <t>http://fnttest202:8082/Fountain/rest-services_XLSPF</t>
  </si>
  <si>
    <t>31_XLSPF</t>
  </si>
  <si>
    <t>Bristol Water plc_XLSPF</t>
  </si>
  <si>
    <t>10/05/2016 17:57:13_XLSPF</t>
  </si>
  <si>
    <t>10/05/2016 17:58:14_XLSPF</t>
  </si>
  <si>
    <t xml:space="preserve">The PR14 RCM feeder model [PL14L010 (v3.1)] has been updated to v3.2 for purposes of the PR14 Blind year reconciliation run.    
Following the publication of the PR14 Reconciliation rulebook, the RCM feeder model has been updated to provide a further breakdown of the RCM annualised adjustment amounts as required by the PR14 reconciliation model.  A new tab 'RCM report' has been added to the file for this purpose.  The F_output sheet has been updated to include the following additional lines: 
1. Water: Annualised adjustment to 2014 price review requirement at 2012-13 prices - Revenue Correction Required for year
2. Water: Annualised adjustment to 2014 price review requirement at 2012-13 prices - Billing Incentive Adjustment
3. Sewerage: Annualised adjustment to 2014 price review requirement at 2012-13 prices - Revenue Correction Required for year
4. Sewerage: Annualised adjustment to 2014 price review requirement at 2012-13 prices - Billing Incentive Adjustment
New tab added: 'RCM report'
Input sheet (cell M60) updated to link from F_Inputs sheet.
F_Inputs &amp; F_outputs sheet: replaced Periodic review 2014 with Blind year reconciliation 2014-15.
</t>
  </si>
  <si>
    <t>VERSION 3.2</t>
  </si>
  <si>
    <t xml:space="preserve">At PR09 we introduced a ‘revenue correction mechanism’ (RCM) so that tariff basket revenues can be corrected for variances between company projections and actual revenues.
A working spreadsheet model (v1.3) was released to companies in IN11/04 'Simplying the Revenue Correction Mechanism' so that they can track the under/over recovery and calculate the adjustment that will be due in 2015.
At FD, we used the RCM feeder model v3.1.  For the PR14 Blind year reconciliation, we will re-run the updated v3.2 model to calculate the updated RCM adjustments using companies PR14 Blind year reconciliation submission as requested in IN 15/07 'Expectations for company reporting of 2014-15 actual performance against 2010-15 incentive mechanisms'.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</si>
</sst>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0.0"/>
    <numFmt numFmtId="166" formatCode="_(* #,##0.000_);_(* \(#,##0.000\);_(* &quot;-&quot;_);_(@_)"/>
    <numFmt numFmtId="167" formatCode="_(* ##0.00_)%;_(* \(##0.00\)%;_(* &quot;-&quot;_);_(@_)"/>
    <numFmt numFmtId="168" formatCode="0.0%"/>
    <numFmt numFmtId="169" formatCode="#,##0.000"/>
    <numFmt numFmtId="170" formatCode="#,##0.0"/>
    <numFmt numFmtId="171" formatCode="0.000"/>
  </numFmts>
  <fonts count="61">
    <font>
      <sz val="10"/>
      <name val="Arial"/>
    </font>
    <font>
      <sz val="10"/>
      <name val="Arial"/>
      <family val="2"/>
    </font>
    <font>
      <sz val="10"/>
      <color indexed="8"/>
      <name val="Arial"/>
      <family val="2"/>
    </font>
    <font>
      <b/>
      <sz val="10"/>
      <name val="Arial"/>
      <family val="2"/>
    </font>
    <font>
      <b/>
      <sz val="10"/>
      <color indexed="18"/>
      <name val="Arial"/>
      <family val="2"/>
    </font>
    <font>
      <b/>
      <sz val="20"/>
      <name val="Arial"/>
      <family val="2"/>
    </font>
    <font>
      <sz val="18"/>
      <name val="Arial MT"/>
      <family val="2"/>
    </font>
    <font>
      <b/>
      <sz val="16"/>
      <color indexed="9"/>
      <name val="Arial"/>
      <family val="2"/>
    </font>
    <font>
      <sz val="11"/>
      <color indexed="18"/>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2"/>
      <color indexed="9"/>
      <name val="Arial"/>
      <family val="2"/>
    </font>
    <font>
      <sz val="10"/>
      <color theme="4"/>
      <name val="Arial"/>
      <family val="2"/>
    </font>
    <font>
      <u/>
      <sz val="10"/>
      <color theme="10"/>
      <name val="Arial"/>
      <family val="2"/>
    </font>
    <font>
      <u/>
      <sz val="8"/>
      <color indexed="12"/>
      <name val="Arial"/>
      <family val="2"/>
    </font>
    <font>
      <sz val="9"/>
      <name val="Arial"/>
      <family val="2"/>
    </font>
    <font>
      <u/>
      <sz val="10"/>
      <color indexed="12"/>
      <name val="Arial"/>
      <family val="2"/>
    </font>
    <font>
      <b/>
      <sz val="18"/>
      <name val="Arial"/>
      <family val="2"/>
    </font>
    <font>
      <u/>
      <sz val="10"/>
      <name val="Arial"/>
      <family val="2"/>
    </font>
    <font>
      <b/>
      <sz val="9"/>
      <name val="Arial"/>
      <family val="2"/>
    </font>
    <font>
      <b/>
      <sz val="20"/>
      <color theme="0"/>
      <name val="Arial"/>
      <family val="2"/>
    </font>
    <font>
      <b/>
      <sz val="16"/>
      <name val="Arial"/>
      <family val="2"/>
    </font>
    <font>
      <b/>
      <sz val="12"/>
      <color theme="4"/>
      <name val="Arial"/>
      <family val="2"/>
    </font>
    <font>
      <sz val="12"/>
      <color theme="4"/>
      <name val="Arial"/>
      <family val="2"/>
    </font>
    <font>
      <b/>
      <sz val="12"/>
      <color theme="0"/>
      <name val="Arial"/>
      <family val="2"/>
    </font>
    <font>
      <u/>
      <sz val="12"/>
      <color theme="10"/>
      <name val="Arial"/>
      <family val="2"/>
    </font>
    <font>
      <u/>
      <sz val="12"/>
      <name val="Arial"/>
      <family val="2"/>
    </font>
    <font>
      <b/>
      <sz val="12"/>
      <color indexed="62"/>
      <name val="Arial"/>
      <family val="2"/>
    </font>
    <font>
      <b/>
      <sz val="12"/>
      <color indexed="9"/>
      <name val="Arial"/>
      <family val="2"/>
    </font>
    <font>
      <b/>
      <sz val="12"/>
      <color indexed="18"/>
      <name val="Arial"/>
      <family val="2"/>
    </font>
    <font>
      <sz val="12"/>
      <color indexed="18"/>
      <name val="Arial"/>
      <family val="2"/>
    </font>
    <font>
      <b/>
      <sz val="12"/>
      <color indexed="10"/>
      <name val="Arial"/>
      <family val="2"/>
    </font>
    <font>
      <sz val="12"/>
      <color indexed="62"/>
      <name val="Arial"/>
      <family val="2"/>
    </font>
    <font>
      <sz val="12"/>
      <color indexed="10"/>
      <name val="Arial"/>
      <family val="2"/>
    </font>
    <font>
      <sz val="12"/>
      <color rgb="FF000000"/>
      <name val="Arial"/>
      <family val="2"/>
    </font>
    <font>
      <sz val="10"/>
      <name val="Arial"/>
      <family val="2"/>
    </font>
    <font>
      <strike/>
      <sz val="12"/>
      <name val="Arial"/>
      <family val="2"/>
    </font>
    <font>
      <sz val="12"/>
      <color rgb="FFFF0000"/>
      <name val="Arial"/>
      <family val="2"/>
    </font>
    <font>
      <sz val="12"/>
      <color rgb="FFFFC000"/>
      <name val="Arial"/>
      <family val="2"/>
    </font>
    <font>
      <b/>
      <sz val="11"/>
      <color rgb="FFA32020"/>
      <name val="Arial"/>
      <family val="2"/>
    </font>
    <font>
      <sz val="10"/>
      <color rgb="FFFF000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rgb="FFE5FF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3" tint="-0.249977111117893"/>
        <bgColor indexed="64"/>
      </patternFill>
    </fill>
    <fill>
      <patternFill patternType="solid">
        <fgColor theme="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s>
  <borders count="4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rgb="FFFF0000"/>
      </left>
      <right style="thin">
        <color rgb="FFFF0000"/>
      </right>
      <top style="thin">
        <color rgb="FFFF0000"/>
      </top>
      <bottom style="thin">
        <color rgb="FFFF0000"/>
      </bottom>
      <diagonal/>
    </border>
    <border>
      <left/>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90">
    <xf numFmtId="0" fontId="0" fillId="0" borderId="0">
      <alignment vertical="top"/>
    </xf>
    <xf numFmtId="0" fontId="2" fillId="0" borderId="0">
      <alignment vertical="top"/>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 fillId="0" borderId="0" applyNumberFormat="0" applyFont="0" applyFill="0" applyBorder="0" applyAlignment="0" applyProtection="0"/>
    <xf numFmtId="0" fontId="15" fillId="15" borderId="0" applyNumberFormat="0" applyBorder="0" applyAlignment="0" applyProtection="0"/>
    <xf numFmtId="37" fontId="3" fillId="16" borderId="1">
      <alignment horizontal="left"/>
    </xf>
    <xf numFmtId="37" fontId="4" fillId="16" borderId="2"/>
    <xf numFmtId="0" fontId="1" fillId="16" borderId="3" applyNumberFormat="0" applyBorder="0"/>
    <xf numFmtId="0" fontId="16" fillId="2" borderId="4" applyNumberFormat="0" applyAlignment="0" applyProtection="0"/>
    <xf numFmtId="0" fontId="17" fillId="17" borderId="5"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18" borderId="0" applyNumberFormat="0" applyBorder="0" applyAlignment="0" applyProtection="0"/>
    <xf numFmtId="0" fontId="5" fillId="16" borderId="6"/>
    <xf numFmtId="37" fontId="1" fillId="16" borderId="0">
      <alignment horizontal="right"/>
    </xf>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0" borderId="10" applyNumberFormat="0" applyFill="0" applyAlignment="0" applyProtection="0"/>
    <xf numFmtId="0" fontId="25" fillId="8" borderId="0" applyNumberFormat="0" applyBorder="0" applyAlignment="0" applyProtection="0"/>
    <xf numFmtId="0" fontId="6" fillId="0" borderId="0"/>
    <xf numFmtId="37" fontId="1" fillId="0" borderId="0" applyFill="0" applyBorder="0" applyProtection="0">
      <protection locked="0"/>
    </xf>
    <xf numFmtId="0" fontId="1" fillId="0" borderId="0"/>
    <xf numFmtId="0" fontId="1" fillId="0" borderId="0"/>
    <xf numFmtId="0" fontId="1" fillId="0" borderId="0"/>
    <xf numFmtId="0" fontId="1" fillId="0" borderId="0"/>
    <xf numFmtId="0" fontId="1" fillId="0" borderId="0"/>
    <xf numFmtId="0" fontId="1" fillId="4" borderId="11" applyNumberFormat="0" applyFont="0" applyAlignment="0" applyProtection="0"/>
    <xf numFmtId="0" fontId="26" fillId="2" borderId="12"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0" applyNumberFormat="0" applyFill="0" applyBorder="0" applyAlignment="0" applyProtection="0"/>
    <xf numFmtId="37" fontId="7" fillId="19" borderId="14"/>
    <xf numFmtId="0" fontId="8" fillId="0" borderId="15">
      <alignment horizontal="right"/>
    </xf>
    <xf numFmtId="0" fontId="1" fillId="0" borderId="0">
      <alignment vertical="top"/>
    </xf>
    <xf numFmtId="0" fontId="1" fillId="0" borderId="0"/>
    <xf numFmtId="0" fontId="33" fillId="0" borderId="0" applyNumberFormat="0" applyFill="0" applyBorder="0" applyAlignment="0" applyProtection="0"/>
    <xf numFmtId="0" fontId="1" fillId="0" borderId="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Alignment="0" applyProtection="0">
      <alignment vertical="top"/>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9"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1" fillId="0" borderId="0">
      <alignment vertical="top"/>
    </xf>
    <xf numFmtId="0" fontId="1" fillId="31" borderId="0">
      <alignment vertical="top"/>
    </xf>
    <xf numFmtId="0" fontId="3" fillId="32" borderId="0">
      <alignment vertical="top"/>
    </xf>
    <xf numFmtId="0" fontId="3" fillId="33" borderId="0">
      <alignment vertical="top"/>
    </xf>
    <xf numFmtId="0" fontId="1" fillId="32" borderId="36">
      <alignment vertical="top"/>
    </xf>
    <xf numFmtId="0" fontId="55" fillId="0" borderId="46">
      <alignment vertical="top"/>
    </xf>
    <xf numFmtId="0" fontId="35" fillId="8" borderId="48" applyNumberFormat="0" applyFont="0" applyAlignment="0" applyProtection="0"/>
    <xf numFmtId="0" fontId="59" fillId="0" borderId="0" applyNumberFormat="0" applyFill="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46">
      <alignment vertical="top"/>
    </xf>
  </cellStyleXfs>
  <cellXfs count="337">
    <xf numFmtId="0" fontId="0" fillId="0" borderId="0" xfId="0" applyAlignment="1"/>
    <xf numFmtId="0" fontId="1" fillId="0" borderId="0" xfId="51"/>
    <xf numFmtId="0" fontId="11" fillId="0" borderId="0" xfId="51" applyFont="1" applyFill="1" applyBorder="1" applyAlignment="1">
      <alignment wrapText="1"/>
    </xf>
    <xf numFmtId="0" fontId="1" fillId="0" borderId="0" xfId="51" applyFill="1"/>
    <xf numFmtId="0" fontId="9" fillId="0" borderId="0" xfId="51" applyFont="1"/>
    <xf numFmtId="0" fontId="9" fillId="0" borderId="0" xfId="51" applyFont="1" applyAlignment="1"/>
    <xf numFmtId="0" fontId="9" fillId="0" borderId="0" xfId="51" applyFont="1" applyFill="1" applyBorder="1" applyAlignment="1"/>
    <xf numFmtId="0" fontId="3" fillId="0" borderId="0" xfId="51" applyFont="1" applyFill="1" applyBorder="1" applyAlignment="1"/>
    <xf numFmtId="0" fontId="30" fillId="0" borderId="0" xfId="51" applyFont="1"/>
    <xf numFmtId="0" fontId="12" fillId="0" borderId="0" xfId="51" applyFont="1"/>
    <xf numFmtId="0" fontId="31" fillId="0" borderId="0" xfId="51" applyFont="1"/>
    <xf numFmtId="0" fontId="9" fillId="0" borderId="0" xfId="51" applyFont="1" applyFill="1"/>
    <xf numFmtId="0" fontId="9" fillId="0" borderId="0" xfId="51" applyFont="1" applyFill="1" applyBorder="1" applyAlignment="1">
      <alignment horizontal="left"/>
    </xf>
    <xf numFmtId="0" fontId="3" fillId="0" borderId="0" xfId="51" applyFont="1" applyFill="1" applyBorder="1" applyAlignment="1">
      <alignment wrapText="1"/>
    </xf>
    <xf numFmtId="0" fontId="9" fillId="0" borderId="0" xfId="51" applyFont="1" applyFill="1" applyAlignment="1"/>
    <xf numFmtId="0" fontId="9" fillId="0" borderId="0" xfId="51" applyFont="1" applyFill="1" applyAlignment="1">
      <alignment horizontal="left"/>
    </xf>
    <xf numFmtId="0" fontId="0" fillId="0" borderId="0" xfId="0" applyAlignment="1">
      <alignment wrapText="1"/>
    </xf>
    <xf numFmtId="0" fontId="3" fillId="0" borderId="0" xfId="0" applyFont="1" applyAlignment="1">
      <alignment horizontal="right"/>
    </xf>
    <xf numFmtId="0" fontId="3" fillId="0" borderId="0" xfId="0" applyFont="1" applyAlignment="1"/>
    <xf numFmtId="2" fontId="1" fillId="0" borderId="0" xfId="51" applyNumberFormat="1"/>
    <xf numFmtId="0" fontId="3" fillId="0" borderId="0" xfId="0" applyFont="1" applyAlignment="1">
      <alignment horizontal="center" wrapText="1"/>
    </xf>
    <xf numFmtId="0" fontId="9" fillId="0" borderId="0" xfId="51" applyFont="1" applyFill="1" applyBorder="1" applyAlignment="1">
      <alignment wrapText="1"/>
    </xf>
    <xf numFmtId="14" fontId="0" fillId="0" borderId="20" xfId="0" applyNumberFormat="1" applyBorder="1" applyAlignment="1"/>
    <xf numFmtId="0" fontId="0" fillId="0" borderId="21" xfId="0" applyBorder="1" applyAlignment="1">
      <alignment wrapText="1"/>
    </xf>
    <xf numFmtId="0" fontId="0" fillId="0" borderId="22" xfId="0" applyBorder="1" applyAlignment="1">
      <alignment wrapText="1"/>
    </xf>
    <xf numFmtId="14" fontId="0" fillId="0" borderId="3" xfId="0" applyNumberFormat="1" applyBorder="1" applyAlignment="1"/>
    <xf numFmtId="0" fontId="0" fillId="0" borderId="23" xfId="0" applyBorder="1" applyAlignment="1">
      <alignment wrapText="1"/>
    </xf>
    <xf numFmtId="0" fontId="0" fillId="0" borderId="24" xfId="0" applyBorder="1" applyAlignment="1">
      <alignment wrapText="1"/>
    </xf>
    <xf numFmtId="14" fontId="0" fillId="0" borderId="25" xfId="0" applyNumberFormat="1" applyBorder="1" applyAlignment="1"/>
    <xf numFmtId="0" fontId="0" fillId="0" borderId="0" xfId="0" applyBorder="1" applyAlignment="1">
      <alignment wrapText="1"/>
    </xf>
    <xf numFmtId="0" fontId="0" fillId="0" borderId="26" xfId="0" applyBorder="1" applyAlignment="1">
      <alignment wrapText="1"/>
    </xf>
    <xf numFmtId="0" fontId="9" fillId="0" borderId="26" xfId="51" applyFont="1" applyFill="1" applyBorder="1" applyAlignment="1">
      <alignment wrapText="1"/>
    </xf>
    <xf numFmtId="14" fontId="0" fillId="0" borderId="27" xfId="0" applyNumberFormat="1" applyBorder="1" applyAlignment="1"/>
    <xf numFmtId="0" fontId="0" fillId="0" borderId="28" xfId="0" applyBorder="1" applyAlignment="1">
      <alignment wrapText="1"/>
    </xf>
    <xf numFmtId="0" fontId="0" fillId="0" borderId="29" xfId="0" applyBorder="1" applyAlignment="1">
      <alignment wrapText="1"/>
    </xf>
    <xf numFmtId="0" fontId="0" fillId="0" borderId="25" xfId="0" applyBorder="1" applyAlignment="1"/>
    <xf numFmtId="0" fontId="0" fillId="0" borderId="0" xfId="0" applyBorder="1" applyAlignment="1"/>
    <xf numFmtId="0" fontId="0" fillId="0" borderId="27" xfId="0" applyBorder="1" applyAlignment="1"/>
    <xf numFmtId="0" fontId="0" fillId="0" borderId="28" xfId="0" applyBorder="1" applyAlignment="1"/>
    <xf numFmtId="0" fontId="0" fillId="0" borderId="0" xfId="0" applyFill="1" applyBorder="1" applyAlignment="1">
      <alignment wrapText="1"/>
    </xf>
    <xf numFmtId="0" fontId="3" fillId="0" borderId="0" xfId="0" applyFont="1" applyAlignment="1">
      <alignment horizontal="center"/>
    </xf>
    <xf numFmtId="0" fontId="0" fillId="0" borderId="30" xfId="0" applyBorder="1" applyAlignment="1"/>
    <xf numFmtId="0" fontId="0" fillId="0" borderId="30" xfId="0" applyBorder="1" applyAlignment="1">
      <alignment wrapText="1"/>
    </xf>
    <xf numFmtId="0" fontId="0" fillId="0" borderId="30" xfId="0" applyFill="1" applyBorder="1" applyAlignment="1">
      <alignment wrapText="1"/>
    </xf>
    <xf numFmtId="0" fontId="0" fillId="0" borderId="31" xfId="0" applyBorder="1" applyAlignment="1"/>
    <xf numFmtId="0" fontId="0" fillId="0" borderId="32" xfId="0" applyBorder="1" applyAlignment="1"/>
    <xf numFmtId="0" fontId="0" fillId="0" borderId="28" xfId="0" applyFill="1" applyBorder="1" applyAlignment="1">
      <alignment wrapText="1"/>
    </xf>
    <xf numFmtId="0" fontId="0" fillId="0" borderId="31" xfId="0" applyBorder="1" applyAlignment="1">
      <alignment wrapText="1"/>
    </xf>
    <xf numFmtId="2" fontId="1" fillId="0" borderId="0" xfId="51" applyNumberFormat="1" applyFill="1"/>
    <xf numFmtId="0" fontId="9" fillId="21" borderId="0" xfId="51" applyFont="1" applyFill="1"/>
    <xf numFmtId="0" fontId="9" fillId="22" borderId="0" xfId="51" applyFont="1" applyFill="1"/>
    <xf numFmtId="0" fontId="3" fillId="0" borderId="0" xfId="52" applyFont="1" applyAlignment="1"/>
    <xf numFmtId="0" fontId="0" fillId="0" borderId="0" xfId="0" applyFill="1" applyAlignment="1" applyProtection="1">
      <protection locked="0"/>
    </xf>
    <xf numFmtId="0" fontId="32" fillId="0" borderId="0" xfId="0" applyFont="1" applyFill="1" applyAlignment="1" applyProtection="1">
      <protection locked="0"/>
    </xf>
    <xf numFmtId="0" fontId="37" fillId="0" borderId="0" xfId="77" applyFont="1" applyFill="1" applyBorder="1" applyAlignment="1">
      <alignment horizontal="center" vertical="top"/>
    </xf>
    <xf numFmtId="0" fontId="37" fillId="0" borderId="0" xfId="77" applyFont="1" applyFill="1" applyAlignment="1">
      <alignment horizontal="center" vertical="top"/>
    </xf>
    <xf numFmtId="0" fontId="37" fillId="24" borderId="37" xfId="77" applyFont="1" applyFill="1" applyBorder="1" applyAlignment="1">
      <alignment horizontal="center" vertical="top"/>
    </xf>
    <xf numFmtId="0" fontId="37" fillId="24" borderId="16" xfId="77" applyFont="1" applyFill="1" applyBorder="1" applyAlignment="1">
      <alignment horizontal="center" vertical="top"/>
    </xf>
    <xf numFmtId="0" fontId="37" fillId="24" borderId="19" xfId="77" applyFont="1" applyFill="1" applyBorder="1" applyAlignment="1">
      <alignment horizontal="center" vertical="top"/>
    </xf>
    <xf numFmtId="0" fontId="37" fillId="24" borderId="39" xfId="77" applyFont="1" applyFill="1" applyBorder="1" applyAlignment="1">
      <alignment horizontal="center" vertical="top"/>
    </xf>
    <xf numFmtId="0" fontId="37" fillId="24" borderId="0" xfId="77" applyFont="1" applyFill="1" applyBorder="1" applyAlignment="1">
      <alignment horizontal="center" vertical="top"/>
    </xf>
    <xf numFmtId="0" fontId="35" fillId="24" borderId="38" xfId="77" applyFont="1" applyFill="1" applyBorder="1" applyAlignment="1">
      <alignment horizontal="left" vertical="top"/>
    </xf>
    <xf numFmtId="0" fontId="37" fillId="24" borderId="40" xfId="77" applyFont="1" applyFill="1" applyBorder="1" applyAlignment="1">
      <alignment horizontal="center" vertical="top"/>
    </xf>
    <xf numFmtId="0" fontId="37" fillId="24" borderId="41" xfId="77" applyFont="1" applyFill="1" applyBorder="1" applyAlignment="1">
      <alignment horizontal="center" vertical="top"/>
    </xf>
    <xf numFmtId="0" fontId="38" fillId="0" borderId="0" xfId="77" applyFont="1" applyFill="1" applyAlignment="1">
      <alignment horizontal="center" vertical="top"/>
    </xf>
    <xf numFmtId="0" fontId="37" fillId="29" borderId="37" xfId="77" applyFont="1" applyFill="1" applyBorder="1" applyAlignment="1">
      <alignment horizontal="center" vertical="top"/>
    </xf>
    <xf numFmtId="0" fontId="37" fillId="29" borderId="16" xfId="77" applyFont="1" applyFill="1" applyBorder="1" applyAlignment="1">
      <alignment horizontal="center" vertical="top"/>
    </xf>
    <xf numFmtId="0" fontId="10" fillId="29" borderId="19" xfId="77" applyFont="1" applyFill="1" applyBorder="1" applyAlignment="1">
      <alignment horizontal="center" vertical="top"/>
    </xf>
    <xf numFmtId="0" fontId="37" fillId="29" borderId="39" xfId="77" applyFont="1" applyFill="1" applyBorder="1" applyAlignment="1">
      <alignment horizontal="center" vertical="top"/>
    </xf>
    <xf numFmtId="0" fontId="37" fillId="29" borderId="0" xfId="77" applyFont="1" applyFill="1" applyBorder="1" applyAlignment="1">
      <alignment horizontal="center" vertical="top"/>
    </xf>
    <xf numFmtId="0" fontId="37" fillId="29" borderId="38" xfId="77" applyFont="1" applyFill="1" applyBorder="1" applyAlignment="1">
      <alignment horizontal="center" vertical="top"/>
    </xf>
    <xf numFmtId="0" fontId="37" fillId="29" borderId="40" xfId="77" applyFont="1" applyFill="1" applyBorder="1" applyAlignment="1">
      <alignment horizontal="center" vertical="top"/>
    </xf>
    <xf numFmtId="0" fontId="37" fillId="29" borderId="41" xfId="77" applyFont="1" applyFill="1" applyBorder="1" applyAlignment="1">
      <alignment horizontal="center" vertical="top"/>
    </xf>
    <xf numFmtId="0" fontId="38" fillId="0" borderId="0" xfId="77" applyFont="1" applyFill="1" applyAlignment="1">
      <alignment horizontal="left" vertical="top"/>
    </xf>
    <xf numFmtId="0" fontId="39" fillId="0" borderId="0" xfId="77" applyFont="1" applyFill="1" applyBorder="1" applyAlignment="1">
      <alignment horizontal="center" vertical="top"/>
    </xf>
    <xf numFmtId="0" fontId="39" fillId="24" borderId="39" xfId="77" applyFont="1" applyFill="1" applyBorder="1" applyAlignment="1">
      <alignment horizontal="center" vertical="top"/>
    </xf>
    <xf numFmtId="0" fontId="39" fillId="24" borderId="0" xfId="77" applyFont="1" applyFill="1" applyBorder="1" applyAlignment="1">
      <alignment horizontal="center" vertical="top"/>
    </xf>
    <xf numFmtId="0" fontId="35" fillId="24" borderId="0" xfId="77" applyFont="1" applyFill="1" applyBorder="1" applyAlignment="1">
      <alignment horizontal="left" vertical="top"/>
    </xf>
    <xf numFmtId="0" fontId="3" fillId="0" borderId="0" xfId="77" applyFont="1" applyFill="1" applyBorder="1" applyAlignment="1">
      <alignment horizontal="center" vertical="top"/>
    </xf>
    <xf numFmtId="0" fontId="3" fillId="0" borderId="0" xfId="77" applyFont="1" applyFill="1" applyAlignment="1">
      <alignment horizontal="center" vertical="top"/>
    </xf>
    <xf numFmtId="0" fontId="35" fillId="24" borderId="40" xfId="77" applyFont="1" applyFill="1" applyBorder="1" applyAlignment="1">
      <alignment horizontal="left" vertical="top"/>
    </xf>
    <xf numFmtId="0" fontId="39" fillId="24" borderId="41" xfId="77" applyFont="1" applyFill="1" applyBorder="1" applyAlignment="1">
      <alignment horizontal="center" vertical="top"/>
    </xf>
    <xf numFmtId="0" fontId="35" fillId="24" borderId="41" xfId="77" applyFont="1" applyFill="1" applyBorder="1" applyAlignment="1">
      <alignment horizontal="left" vertical="top"/>
    </xf>
    <xf numFmtId="0" fontId="1" fillId="0" borderId="0" xfId="77" applyFont="1" applyFill="1" applyAlignment="1">
      <alignment horizontal="left" vertical="top"/>
    </xf>
    <xf numFmtId="0" fontId="41" fillId="24" borderId="42" xfId="77" applyFont="1" applyFill="1" applyBorder="1" applyAlignment="1">
      <alignment horizontal="left" vertical="top"/>
    </xf>
    <xf numFmtId="0" fontId="41" fillId="29" borderId="42" xfId="77" applyFont="1" applyFill="1" applyBorder="1" applyAlignment="1">
      <alignment horizontal="left" vertical="top"/>
    </xf>
    <xf numFmtId="0" fontId="43" fillId="0" borderId="0" xfId="62" applyFont="1"/>
    <xf numFmtId="0" fontId="43" fillId="0" borderId="0" xfId="62" applyFont="1" applyAlignment="1">
      <alignment vertical="center"/>
    </xf>
    <xf numFmtId="0" fontId="11" fillId="24" borderId="38" xfId="77" applyFont="1" applyFill="1" applyBorder="1" applyAlignment="1">
      <alignment horizontal="left" vertical="top"/>
    </xf>
    <xf numFmtId="0" fontId="11" fillId="24" borderId="0" xfId="77" applyFont="1" applyFill="1" applyBorder="1" applyAlignment="1">
      <alignment horizontal="center" vertical="top"/>
    </xf>
    <xf numFmtId="0" fontId="11" fillId="24" borderId="0" xfId="77" applyFont="1" applyFill="1" applyBorder="1" applyAlignment="1">
      <alignment horizontal="left" vertical="top"/>
    </xf>
    <xf numFmtId="0" fontId="11" fillId="24" borderId="0" xfId="77" applyFont="1" applyFill="1" applyBorder="1" applyAlignment="1"/>
    <xf numFmtId="0" fontId="12" fillId="24" borderId="39" xfId="77" applyFont="1" applyFill="1" applyBorder="1" applyAlignment="1"/>
    <xf numFmtId="0" fontId="12" fillId="24" borderId="38" xfId="77" applyFont="1" applyFill="1" applyBorder="1" applyAlignment="1">
      <alignment horizontal="left" vertical="top"/>
    </xf>
    <xf numFmtId="0" fontId="12" fillId="24" borderId="0" xfId="77" applyFont="1" applyFill="1" applyBorder="1" applyAlignment="1">
      <alignment horizontal="left" vertical="top"/>
    </xf>
    <xf numFmtId="0" fontId="12" fillId="24" borderId="0" xfId="77" applyFont="1" applyFill="1" applyBorder="1" applyAlignment="1"/>
    <xf numFmtId="0" fontId="12" fillId="24" borderId="0" xfId="77" quotePrefix="1" applyFont="1" applyFill="1" applyBorder="1" applyAlignment="1">
      <alignment horizontal="left" vertical="top"/>
    </xf>
    <xf numFmtId="0" fontId="11" fillId="24" borderId="38" xfId="77" quotePrefix="1" applyFont="1" applyFill="1" applyBorder="1" applyAlignment="1">
      <alignment horizontal="left" vertical="top"/>
    </xf>
    <xf numFmtId="0" fontId="11" fillId="24" borderId="0" xfId="77" quotePrefix="1" applyFont="1" applyFill="1" applyBorder="1" applyAlignment="1">
      <alignment horizontal="left" vertical="top"/>
    </xf>
    <xf numFmtId="0" fontId="11" fillId="24" borderId="39" xfId="77" applyFont="1" applyFill="1" applyBorder="1" applyAlignment="1">
      <alignment horizontal="center" vertical="top"/>
    </xf>
    <xf numFmtId="0" fontId="46" fillId="24" borderId="0" xfId="77" applyFont="1" applyFill="1" applyBorder="1" applyAlignment="1">
      <alignment horizontal="left" vertical="top"/>
    </xf>
    <xf numFmtId="0" fontId="11" fillId="24" borderId="19" xfId="77" applyFont="1" applyFill="1" applyBorder="1" applyAlignment="1">
      <alignment horizontal="center" vertical="top"/>
    </xf>
    <xf numFmtId="0" fontId="11" fillId="24" borderId="16" xfId="77" applyFont="1" applyFill="1" applyBorder="1" applyAlignment="1">
      <alignment horizontal="center" vertical="top"/>
    </xf>
    <xf numFmtId="0" fontId="11" fillId="24" borderId="37" xfId="77" applyFont="1" applyFill="1" applyBorder="1" applyAlignment="1">
      <alignment horizontal="center" vertical="top"/>
    </xf>
    <xf numFmtId="49" fontId="12" fillId="20" borderId="0" xfId="26" applyNumberFormat="1" applyFont="1" applyFill="1" applyBorder="1" applyProtection="1"/>
    <xf numFmtId="0" fontId="47" fillId="20" borderId="0" xfId="26" applyFont="1" applyFill="1" applyBorder="1" applyAlignment="1" applyProtection="1"/>
    <xf numFmtId="0" fontId="48" fillId="20" borderId="0" xfId="26" applyFont="1" applyFill="1" applyBorder="1" applyAlignment="1" applyProtection="1">
      <alignment vertical="center"/>
    </xf>
    <xf numFmtId="0" fontId="12" fillId="0" borderId="0" xfId="0" applyFont="1" applyAlignment="1"/>
    <xf numFmtId="49" fontId="12" fillId="0" borderId="0" xfId="26" applyNumberFormat="1" applyFont="1" applyFill="1" applyBorder="1" applyProtection="1"/>
    <xf numFmtId="0" fontId="47" fillId="0" borderId="0" xfId="26" applyFont="1" applyFill="1" applyBorder="1" applyAlignment="1" applyProtection="1"/>
    <xf numFmtId="0" fontId="48" fillId="0" borderId="0" xfId="26" applyFont="1" applyFill="1" applyBorder="1" applyAlignment="1" applyProtection="1">
      <alignment vertical="center"/>
    </xf>
    <xf numFmtId="1" fontId="49" fillId="0" borderId="43" xfId="47" applyNumberFormat="1" applyFont="1" applyFill="1" applyBorder="1" applyAlignment="1" applyProtection="1">
      <alignment horizontal="right" wrapText="1"/>
    </xf>
    <xf numFmtId="1" fontId="48" fillId="0" borderId="44" xfId="47" applyNumberFormat="1" applyFont="1" applyFill="1" applyBorder="1" applyAlignment="1" applyProtection="1"/>
    <xf numFmtId="1" fontId="50" fillId="0" borderId="45" xfId="47" applyNumberFormat="1" applyFont="1" applyFill="1" applyBorder="1" applyAlignment="1" applyProtection="1">
      <alignment horizontal="right"/>
    </xf>
    <xf numFmtId="1" fontId="11" fillId="0" borderId="0" xfId="49" applyNumberFormat="1" applyFont="1" applyFill="1" applyBorder="1" applyAlignment="1" applyProtection="1">
      <alignment horizontal="left" vertical="center" wrapText="1"/>
      <protection hidden="1"/>
    </xf>
    <xf numFmtId="1" fontId="11" fillId="0" borderId="0" xfId="49" applyNumberFormat="1" applyFont="1" applyFill="1" applyBorder="1" applyAlignment="1" applyProtection="1">
      <alignment horizontal="center" vertical="center"/>
      <protection hidden="1"/>
    </xf>
    <xf numFmtId="0" fontId="51" fillId="0" borderId="0" xfId="51" applyFont="1" applyFill="1" applyBorder="1" applyAlignment="1">
      <alignment horizontal="left" vertical="center"/>
    </xf>
    <xf numFmtId="0" fontId="51" fillId="0" borderId="0" xfId="51" applyFont="1" applyFill="1" applyBorder="1" applyAlignment="1">
      <alignment vertical="center"/>
    </xf>
    <xf numFmtId="0" fontId="12" fillId="0" borderId="0" xfId="51" applyFont="1" applyFill="1" applyBorder="1" applyAlignment="1"/>
    <xf numFmtId="0" fontId="11" fillId="20" borderId="0" xfId="50" applyFont="1" applyFill="1" applyBorder="1" applyAlignment="1" applyProtection="1">
      <alignment horizontal="left" vertical="center"/>
    </xf>
    <xf numFmtId="0" fontId="48" fillId="20" borderId="0" xfId="50" applyFont="1" applyFill="1" applyBorder="1" applyAlignment="1" applyProtection="1">
      <alignment horizontal="left" vertical="center"/>
    </xf>
    <xf numFmtId="0" fontId="12" fillId="0" borderId="0" xfId="48" applyFont="1" applyFill="1" applyBorder="1" applyAlignment="1">
      <alignment shrinkToFit="1"/>
    </xf>
    <xf numFmtId="0" fontId="12" fillId="0" borderId="0" xfId="48" applyFont="1" applyFill="1" applyAlignment="1" applyProtection="1">
      <alignment vertical="center"/>
    </xf>
    <xf numFmtId="0" fontId="12" fillId="0" borderId="0" xfId="51" applyFont="1" applyFill="1" applyBorder="1" applyAlignment="1">
      <alignment horizontal="left"/>
    </xf>
    <xf numFmtId="0" fontId="12" fillId="0" borderId="0" xfId="50" applyFont="1" applyFill="1" applyAlignment="1" applyProtection="1">
      <alignment vertical="center"/>
    </xf>
    <xf numFmtId="0" fontId="12" fillId="0" borderId="0" xfId="51" applyFont="1" applyFill="1" applyBorder="1" applyAlignment="1">
      <alignment vertical="center"/>
    </xf>
    <xf numFmtId="0" fontId="12" fillId="0" borderId="0" xfId="51" applyFont="1" applyFill="1" applyBorder="1" applyAlignment="1">
      <alignment horizontal="left" wrapText="1"/>
    </xf>
    <xf numFmtId="0" fontId="12" fillId="0" borderId="0" xfId="51" applyFont="1" applyFill="1" applyBorder="1" applyAlignment="1">
      <alignment wrapText="1"/>
    </xf>
    <xf numFmtId="0" fontId="12" fillId="0" borderId="0" xfId="51" applyFont="1" applyFill="1"/>
    <xf numFmtId="0" fontId="12" fillId="0" borderId="0" xfId="51" applyFont="1" applyFill="1" applyAlignment="1"/>
    <xf numFmtId="0" fontId="12" fillId="0" borderId="0" xfId="51" quotePrefix="1" applyFont="1" applyFill="1" applyBorder="1" applyAlignment="1"/>
    <xf numFmtId="0" fontId="12" fillId="0" borderId="0" xfId="51" applyFont="1" applyFill="1" applyAlignment="1">
      <alignment horizontal="left"/>
    </xf>
    <xf numFmtId="0" fontId="12" fillId="0" borderId="0" xfId="51" quotePrefix="1" applyFont="1" applyFill="1" applyBorder="1" applyAlignment="1">
      <alignment horizontal="left"/>
    </xf>
    <xf numFmtId="10" fontId="12" fillId="0" borderId="0" xfId="55" applyNumberFormat="1" applyFont="1" applyFill="1" applyAlignment="1" applyProtection="1">
      <alignment vertical="center"/>
    </xf>
    <xf numFmtId="1" fontId="12" fillId="0" borderId="0" xfId="51" applyNumberFormat="1" applyFont="1" applyFill="1" applyBorder="1" applyAlignment="1">
      <alignment horizontal="left"/>
    </xf>
    <xf numFmtId="0" fontId="12" fillId="0" borderId="0" xfId="75" applyFont="1" applyFill="1" applyBorder="1" applyAlignment="1" applyProtection="1">
      <alignment horizontal="left" vertical="center"/>
    </xf>
    <xf numFmtId="0" fontId="12" fillId="0" borderId="0" xfId="75" applyFont="1" applyFill="1" applyAlignment="1" applyProtection="1">
      <alignment vertical="center"/>
    </xf>
    <xf numFmtId="0" fontId="12" fillId="0" borderId="16" xfId="51" applyFont="1" applyBorder="1"/>
    <xf numFmtId="1" fontId="12" fillId="0" borderId="16" xfId="51" applyNumberFormat="1" applyFont="1" applyFill="1" applyBorder="1" applyAlignment="1">
      <alignment horizontal="left"/>
    </xf>
    <xf numFmtId="0" fontId="12" fillId="0" borderId="16" xfId="51" applyFont="1" applyFill="1" applyBorder="1" applyAlignment="1"/>
    <xf numFmtId="0" fontId="12" fillId="0" borderId="0" xfId="51" applyFont="1" applyAlignment="1"/>
    <xf numFmtId="0" fontId="11" fillId="0" borderId="0" xfId="51" applyFont="1" applyFill="1" applyBorder="1" applyAlignment="1"/>
    <xf numFmtId="0" fontId="31" fillId="28" borderId="41" xfId="26" applyFont="1" applyFill="1" applyBorder="1" applyProtection="1">
      <protection locked="0"/>
    </xf>
    <xf numFmtId="0" fontId="48" fillId="28" borderId="41" xfId="26" applyFont="1" applyFill="1" applyBorder="1" applyAlignment="1" applyProtection="1">
      <alignment vertical="center" shrinkToFit="1"/>
      <protection locked="0"/>
    </xf>
    <xf numFmtId="166" fontId="31" fillId="28" borderId="41" xfId="26" applyNumberFormat="1" applyFont="1" applyFill="1" applyBorder="1" applyAlignment="1" applyProtection="1">
      <alignment horizontal="right"/>
      <protection locked="0"/>
    </xf>
    <xf numFmtId="166" fontId="31" fillId="28" borderId="40" xfId="26" applyNumberFormat="1" applyFont="1" applyFill="1" applyBorder="1" applyAlignment="1" applyProtection="1">
      <alignment horizontal="right"/>
      <protection locked="0"/>
    </xf>
    <xf numFmtId="1" fontId="43" fillId="0" borderId="0" xfId="0" applyNumberFormat="1" applyFont="1" applyFill="1" applyBorder="1" applyAlignment="1" applyProtection="1">
      <alignment vertical="center"/>
      <protection locked="0"/>
    </xf>
    <xf numFmtId="1" fontId="12" fillId="0" borderId="17" xfId="47" applyNumberFormat="1" applyFont="1" applyFill="1" applyBorder="1" applyAlignment="1" applyProtection="1">
      <alignment horizontal="right"/>
      <protection locked="0"/>
    </xf>
    <xf numFmtId="1" fontId="12" fillId="0" borderId="15" xfId="47" applyNumberFormat="1" applyFont="1" applyFill="1" applyBorder="1" applyAlignment="1" applyProtection="1">
      <alignment horizontal="right"/>
      <protection locked="0"/>
    </xf>
    <xf numFmtId="1" fontId="12" fillId="0" borderId="18" xfId="47" applyNumberFormat="1" applyFont="1" applyFill="1" applyBorder="1" applyAlignment="1" applyProtection="1">
      <alignment shrinkToFit="1"/>
      <protection locked="0"/>
    </xf>
    <xf numFmtId="1" fontId="12" fillId="0" borderId="2" xfId="0" applyNumberFormat="1" applyFont="1" applyFill="1" applyBorder="1" applyAlignment="1" applyProtection="1">
      <alignment horizontal="right"/>
      <protection locked="0"/>
    </xf>
    <xf numFmtId="1" fontId="43" fillId="0" borderId="0" xfId="0" applyNumberFormat="1" applyFont="1" applyFill="1" applyBorder="1" applyAlignment="1" applyProtection="1">
      <alignment horizontal="right" vertical="center"/>
      <protection locked="0"/>
    </xf>
    <xf numFmtId="1" fontId="11" fillId="0" borderId="0" xfId="47" applyNumberFormat="1" applyFont="1" applyFill="1" applyBorder="1" applyAlignment="1" applyProtection="1">
      <alignment horizontal="right"/>
      <protection locked="0"/>
    </xf>
    <xf numFmtId="1" fontId="12" fillId="0" borderId="0" xfId="47" applyNumberFormat="1" applyFont="1" applyFill="1" applyBorder="1" applyAlignment="1" applyProtection="1">
      <alignment horizontal="right" shrinkToFit="1"/>
      <protection locked="0"/>
    </xf>
    <xf numFmtId="1" fontId="12" fillId="0" borderId="0" xfId="0" applyNumberFormat="1" applyFont="1" applyFill="1" applyBorder="1" applyAlignment="1" applyProtection="1">
      <alignment horizontal="right"/>
      <protection locked="0"/>
    </xf>
    <xf numFmtId="1" fontId="43"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horizontal="left" vertical="center"/>
      <protection locked="0"/>
    </xf>
    <xf numFmtId="1" fontId="12"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vertical="center" shrinkToFit="1"/>
      <protection locked="0"/>
    </xf>
    <xf numFmtId="0" fontId="12" fillId="23" borderId="0" xfId="51" applyFont="1" applyFill="1" applyBorder="1" applyAlignment="1"/>
    <xf numFmtId="165" fontId="12" fillId="0" borderId="0" xfId="51" applyNumberFormat="1" applyFont="1" applyFill="1" applyBorder="1" applyAlignment="1"/>
    <xf numFmtId="2" fontId="12" fillId="0" borderId="0" xfId="51" applyNumberFormat="1" applyFont="1" applyFill="1" applyBorder="1" applyAlignment="1"/>
    <xf numFmtId="2" fontId="12" fillId="16" borderId="0" xfId="51" applyNumberFormat="1" applyFont="1" applyFill="1" applyBorder="1" applyAlignment="1"/>
    <xf numFmtId="2" fontId="12" fillId="16" borderId="0" xfId="51" applyNumberFormat="1" applyFont="1" applyFill="1"/>
    <xf numFmtId="2" fontId="12" fillId="23" borderId="0" xfId="51" applyNumberFormat="1" applyFont="1" applyFill="1" applyBorder="1" applyAlignment="1"/>
    <xf numFmtId="2" fontId="12" fillId="16" borderId="0" xfId="34" applyNumberFormat="1" applyFont="1" applyFill="1" applyBorder="1" applyAlignment="1"/>
    <xf numFmtId="0" fontId="12" fillId="0" borderId="0" xfId="51" applyFont="1" applyFill="1" applyBorder="1" applyAlignment="1">
      <alignment horizontal="center"/>
    </xf>
    <xf numFmtId="2" fontId="12" fillId="0" borderId="0" xfId="51" applyNumberFormat="1" applyFont="1" applyFill="1" applyBorder="1" applyAlignment="1">
      <alignment horizontal="center"/>
    </xf>
    <xf numFmtId="2" fontId="12" fillId="0" borderId="0" xfId="51" applyNumberFormat="1" applyFont="1"/>
    <xf numFmtId="2" fontId="12" fillId="0" borderId="0" xfId="51" applyNumberFormat="1" applyFont="1" applyFill="1" applyAlignment="1"/>
    <xf numFmtId="166" fontId="31" fillId="20" borderId="0" xfId="26" applyNumberFormat="1" applyFont="1" applyFill="1" applyAlignment="1" applyProtection="1">
      <alignment horizontal="right"/>
    </xf>
    <xf numFmtId="168" fontId="12" fillId="16" borderId="0" xfId="55" applyNumberFormat="1" applyFont="1" applyFill="1" applyBorder="1" applyAlignment="1"/>
    <xf numFmtId="9" fontId="12" fillId="0" borderId="0" xfId="51" applyNumberFormat="1" applyFont="1" applyFill="1" applyBorder="1" applyAlignment="1"/>
    <xf numFmtId="1" fontId="12" fillId="0" borderId="0" xfId="51" applyNumberFormat="1" applyFont="1" applyFill="1" applyBorder="1" applyAlignment="1"/>
    <xf numFmtId="0" fontId="31" fillId="0" borderId="0" xfId="26" applyFont="1" applyFill="1" applyProtection="1"/>
    <xf numFmtId="166" fontId="31" fillId="20" borderId="0" xfId="26" applyNumberFormat="1" applyFont="1" applyFill="1" applyBorder="1" applyAlignment="1" applyProtection="1">
      <alignment horizontal="right"/>
    </xf>
    <xf numFmtId="0" fontId="52" fillId="0" borderId="0" xfId="26" applyFont="1" applyFill="1" applyBorder="1" applyAlignment="1" applyProtection="1">
      <alignment horizontal="left"/>
    </xf>
    <xf numFmtId="166" fontId="31" fillId="0" borderId="0" xfId="26" applyNumberFormat="1" applyFont="1" applyFill="1" applyBorder="1" applyAlignment="1" applyProtection="1">
      <alignment horizontal="right"/>
    </xf>
    <xf numFmtId="166" fontId="31" fillId="0" borderId="0" xfId="26" applyNumberFormat="1" applyFont="1" applyFill="1" applyAlignment="1" applyProtection="1">
      <alignment horizontal="right"/>
    </xf>
    <xf numFmtId="166" fontId="31" fillId="23" borderId="0" xfId="26" applyNumberFormat="1" applyFont="1" applyFill="1" applyAlignment="1" applyProtection="1">
      <alignment horizontal="right"/>
    </xf>
    <xf numFmtId="1" fontId="12" fillId="0" borderId="0" xfId="50" applyNumberFormat="1" applyFont="1" applyFill="1" applyBorder="1" applyAlignment="1" applyProtection="1">
      <alignment horizontal="right" vertical="center"/>
    </xf>
    <xf numFmtId="1" fontId="49" fillId="0" borderId="17" xfId="47" applyNumberFormat="1" applyFont="1" applyFill="1" applyBorder="1" applyAlignment="1" applyProtection="1">
      <alignment horizontal="right" wrapText="1"/>
    </xf>
    <xf numFmtId="1" fontId="31" fillId="0" borderId="15" xfId="47" applyNumberFormat="1" applyFont="1" applyFill="1" applyBorder="1" applyAlignment="1" applyProtection="1">
      <alignment horizontal="left"/>
    </xf>
    <xf numFmtId="1" fontId="50" fillId="0" borderId="18" xfId="47" applyNumberFormat="1" applyFont="1" applyFill="1" applyBorder="1" applyAlignment="1" applyProtection="1">
      <alignment horizontal="right"/>
    </xf>
    <xf numFmtId="1" fontId="48" fillId="20" borderId="0" xfId="50" applyNumberFormat="1" applyFont="1" applyFill="1" applyBorder="1" applyAlignment="1" applyProtection="1">
      <alignment horizontal="right" vertical="center"/>
    </xf>
    <xf numFmtId="0" fontId="48" fillId="20" borderId="0" xfId="50" applyFont="1" applyFill="1" applyBorder="1" applyAlignment="1" applyProtection="1">
      <alignment horizontal="right" vertical="center"/>
    </xf>
    <xf numFmtId="10" fontId="12" fillId="0" borderId="0" xfId="48" applyNumberFormat="1" applyFont="1" applyFill="1" applyAlignment="1">
      <alignment shrinkToFit="1"/>
    </xf>
    <xf numFmtId="10" fontId="12" fillId="0" borderId="0" xfId="48" applyNumberFormat="1" applyFont="1" applyFill="1" applyAlignment="1">
      <alignment horizontal="left" vertical="center" shrinkToFit="1"/>
    </xf>
    <xf numFmtId="167" fontId="12" fillId="0" borderId="0" xfId="48" applyNumberFormat="1" applyFont="1" applyFill="1" applyBorder="1" applyAlignment="1" applyProtection="1">
      <alignment horizontal="right" vertical="center"/>
    </xf>
    <xf numFmtId="167" fontId="12" fillId="23" borderId="0" xfId="48" applyNumberFormat="1" applyFont="1" applyFill="1" applyBorder="1" applyAlignment="1" applyProtection="1">
      <alignment horizontal="right" vertical="center"/>
    </xf>
    <xf numFmtId="168" fontId="12" fillId="23" borderId="0" xfId="55" applyNumberFormat="1" applyFont="1" applyFill="1" applyBorder="1" applyAlignment="1"/>
    <xf numFmtId="0" fontId="11" fillId="0" borderId="0" xfId="51" applyFont="1" applyFill="1" applyBorder="1" applyAlignment="1">
      <alignment vertical="center"/>
    </xf>
    <xf numFmtId="2" fontId="48" fillId="20" borderId="0" xfId="50" applyNumberFormat="1" applyFont="1" applyFill="1" applyBorder="1" applyAlignment="1" applyProtection="1">
      <alignment horizontal="left" vertical="center"/>
    </xf>
    <xf numFmtId="2" fontId="12" fillId="23" borderId="0" xfId="0" applyNumberFormat="1" applyFont="1" applyFill="1" applyBorder="1" applyAlignment="1"/>
    <xf numFmtId="1" fontId="12" fillId="23" borderId="0" xfId="51" applyNumberFormat="1" applyFont="1" applyFill="1" applyBorder="1" applyAlignment="1">
      <alignment horizontal="left"/>
    </xf>
    <xf numFmtId="0" fontId="12" fillId="23" borderId="0" xfId="51" applyFont="1" applyFill="1"/>
    <xf numFmtId="9" fontId="12" fillId="23" borderId="0" xfId="51" applyNumberFormat="1" applyFont="1" applyFill="1" applyBorder="1" applyAlignment="1"/>
    <xf numFmtId="2" fontId="12" fillId="0" borderId="0" xfId="51" quotePrefix="1" applyNumberFormat="1" applyFont="1" applyFill="1" applyBorder="1" applyAlignment="1"/>
    <xf numFmtId="2" fontId="12" fillId="23" borderId="0" xfId="33" applyNumberFormat="1" applyFont="1" applyFill="1" applyBorder="1" applyAlignment="1"/>
    <xf numFmtId="2" fontId="12" fillId="0" borderId="0" xfId="51" applyNumberFormat="1" applyFont="1" applyFill="1" applyBorder="1" applyAlignment="1">
      <alignment horizontal="left"/>
    </xf>
    <xf numFmtId="2" fontId="12" fillId="23" borderId="0" xfId="51" applyNumberFormat="1" applyFont="1" applyFill="1" applyBorder="1" applyAlignment="1">
      <alignment horizontal="left"/>
    </xf>
    <xf numFmtId="0" fontId="12" fillId="23" borderId="0" xfId="51" applyFont="1" applyFill="1" applyAlignment="1"/>
    <xf numFmtId="0" fontId="51" fillId="0" borderId="16" xfId="51" applyFont="1" applyFill="1" applyBorder="1" applyAlignment="1">
      <alignment horizontal="left"/>
    </xf>
    <xf numFmtId="0" fontId="12" fillId="0" borderId="16" xfId="51" applyFont="1" applyBorder="1" applyAlignment="1"/>
    <xf numFmtId="0" fontId="53" fillId="0" borderId="16" xfId="51" applyFont="1" applyFill="1" applyBorder="1" applyAlignment="1">
      <alignment horizontal="left"/>
    </xf>
    <xf numFmtId="0" fontId="51" fillId="23" borderId="16" xfId="51" applyFont="1" applyFill="1" applyBorder="1" applyAlignment="1">
      <alignment horizontal="left"/>
    </xf>
    <xf numFmtId="2" fontId="12" fillId="0" borderId="0" xfId="51" applyNumberFormat="1" applyFont="1" applyFill="1"/>
    <xf numFmtId="168" fontId="12" fillId="0" borderId="0" xfId="55" applyNumberFormat="1" applyFont="1" applyFill="1" applyBorder="1" applyAlignment="1"/>
    <xf numFmtId="168" fontId="12" fillId="0" borderId="16" xfId="55" applyNumberFormat="1" applyFont="1" applyFill="1" applyBorder="1" applyAlignment="1"/>
    <xf numFmtId="1" fontId="12" fillId="16" borderId="0" xfId="51" applyNumberFormat="1" applyFont="1" applyFill="1" applyBorder="1" applyAlignment="1"/>
    <xf numFmtId="0" fontId="1" fillId="0" borderId="0" xfId="0" applyFont="1" applyAlignment="1"/>
    <xf numFmtId="0" fontId="41" fillId="29" borderId="38" xfId="77" applyFont="1" applyFill="1" applyBorder="1" applyAlignment="1">
      <alignment horizontal="left" vertical="top"/>
    </xf>
    <xf numFmtId="0" fontId="41" fillId="24" borderId="41" xfId="77" applyFont="1" applyFill="1" applyBorder="1" applyAlignment="1">
      <alignment horizontal="left" vertical="top"/>
    </xf>
    <xf numFmtId="0" fontId="41" fillId="29" borderId="41" xfId="77" applyFont="1" applyFill="1" applyBorder="1" applyAlignment="1">
      <alignment horizontal="left" vertical="top"/>
    </xf>
    <xf numFmtId="0" fontId="41" fillId="29" borderId="0" xfId="77" applyFont="1" applyFill="1" applyBorder="1" applyAlignment="1">
      <alignment horizontal="left" vertical="top"/>
    </xf>
    <xf numFmtId="0" fontId="10" fillId="29" borderId="16" xfId="77" applyFont="1" applyFill="1" applyBorder="1" applyAlignment="1">
      <alignment horizontal="center" vertical="top"/>
    </xf>
    <xf numFmtId="0" fontId="41" fillId="30" borderId="42" xfId="77" applyFont="1" applyFill="1" applyBorder="1" applyAlignment="1">
      <alignment horizontal="left" vertical="top"/>
    </xf>
    <xf numFmtId="0" fontId="37" fillId="30" borderId="41" xfId="77" applyFont="1" applyFill="1" applyBorder="1" applyAlignment="1">
      <alignment horizontal="center" vertical="top"/>
    </xf>
    <xf numFmtId="0" fontId="37" fillId="30" borderId="40" xfId="77" applyFont="1" applyFill="1" applyBorder="1" applyAlignment="1">
      <alignment horizontal="center" vertical="top"/>
    </xf>
    <xf numFmtId="0" fontId="41" fillId="30" borderId="38" xfId="77" applyFont="1" applyFill="1" applyBorder="1" applyAlignment="1">
      <alignment horizontal="left" vertical="top"/>
    </xf>
    <xf numFmtId="0" fontId="37" fillId="30" borderId="0" xfId="77" applyFont="1" applyFill="1" applyBorder="1" applyAlignment="1">
      <alignment horizontal="center" vertical="top"/>
    </xf>
    <xf numFmtId="0" fontId="37" fillId="30" borderId="39" xfId="77" applyFont="1" applyFill="1" applyBorder="1" applyAlignment="1">
      <alignment horizontal="center" vertical="top"/>
    </xf>
    <xf numFmtId="0" fontId="37" fillId="30" borderId="38" xfId="77" applyFont="1" applyFill="1" applyBorder="1" applyAlignment="1">
      <alignment horizontal="center" vertical="top"/>
    </xf>
    <xf numFmtId="0" fontId="37" fillId="30" borderId="0" xfId="77" applyFont="1" applyFill="1" applyBorder="1" applyAlignment="1">
      <alignment horizontal="left" vertical="top"/>
    </xf>
    <xf numFmtId="0" fontId="37" fillId="30" borderId="0" xfId="77" applyFont="1" applyFill="1" applyBorder="1" applyAlignment="1">
      <alignment horizontal="right" vertical="top"/>
    </xf>
    <xf numFmtId="0" fontId="37" fillId="30" borderId="39" xfId="77" applyFont="1" applyFill="1" applyBorder="1" applyAlignment="1">
      <alignment horizontal="right" vertical="top"/>
    </xf>
    <xf numFmtId="0" fontId="37" fillId="30" borderId="19" xfId="77" applyFont="1" applyFill="1" applyBorder="1" applyAlignment="1">
      <alignment horizontal="center" vertical="top"/>
    </xf>
    <xf numFmtId="0" fontId="37" fillId="30" borderId="16" xfId="77" applyFont="1" applyFill="1" applyBorder="1" applyAlignment="1">
      <alignment horizontal="center" vertical="top"/>
    </xf>
    <xf numFmtId="0" fontId="37" fillId="30" borderId="37" xfId="77" applyFont="1" applyFill="1" applyBorder="1" applyAlignment="1">
      <alignment horizontal="center" vertical="top"/>
    </xf>
    <xf numFmtId="0" fontId="1" fillId="29" borderId="0" xfId="0" applyFont="1" applyFill="1" applyAlignment="1"/>
    <xf numFmtId="0" fontId="12" fillId="29" borderId="0" xfId="0" applyFont="1" applyFill="1" applyAlignment="1">
      <alignment horizontal="center" vertical="top" wrapText="1"/>
    </xf>
    <xf numFmtId="1" fontId="12" fillId="0" borderId="0" xfId="47" applyNumberFormat="1" applyFont="1" applyFill="1" applyBorder="1" applyAlignment="1" applyProtection="1">
      <alignment horizontal="right"/>
      <protection locked="0"/>
    </xf>
    <xf numFmtId="0" fontId="12" fillId="0" borderId="0" xfId="51" applyFont="1" applyFill="1" applyBorder="1" applyAlignment="1"/>
    <xf numFmtId="1" fontId="12" fillId="23" borderId="2" xfId="0" applyNumberFormat="1" applyFont="1" applyFill="1" applyBorder="1" applyAlignment="1" applyProtection="1">
      <alignment horizontal="right"/>
      <protection locked="0"/>
    </xf>
    <xf numFmtId="1" fontId="12" fillId="23" borderId="0" xfId="0" applyNumberFormat="1" applyFont="1" applyFill="1" applyBorder="1" applyAlignment="1" applyProtection="1">
      <alignment horizontal="right"/>
      <protection locked="0"/>
    </xf>
    <xf numFmtId="0" fontId="1" fillId="31" borderId="0" xfId="78">
      <alignment vertical="top"/>
    </xf>
    <xf numFmtId="0" fontId="3" fillId="33" borderId="0" xfId="80">
      <alignment vertical="top"/>
    </xf>
    <xf numFmtId="169" fontId="1" fillId="32" borderId="36" xfId="81" applyNumberFormat="1">
      <alignment vertical="top"/>
    </xf>
    <xf numFmtId="1" fontId="12" fillId="23" borderId="0" xfId="55" applyNumberFormat="1" applyFont="1" applyFill="1" applyBorder="1" applyAlignment="1" applyProtection="1">
      <alignment vertical="center"/>
      <protection locked="0"/>
    </xf>
    <xf numFmtId="49" fontId="11" fillId="24" borderId="38" xfId="77" applyNumberFormat="1" applyFont="1" applyFill="1" applyBorder="1" applyAlignment="1">
      <alignment horizontal="left" vertical="top"/>
    </xf>
    <xf numFmtId="0" fontId="56" fillId="0" borderId="0" xfId="51" applyFont="1" applyFill="1" applyBorder="1" applyAlignment="1"/>
    <xf numFmtId="0" fontId="44" fillId="28" borderId="41" xfId="26" applyFont="1" applyFill="1" applyBorder="1" applyAlignment="1" applyProtection="1">
      <alignment horizontal="left" vertical="center"/>
      <protection locked="0"/>
    </xf>
    <xf numFmtId="0" fontId="44" fillId="20" borderId="0" xfId="26" applyFont="1" applyFill="1" applyBorder="1" applyAlignment="1" applyProtection="1">
      <alignment horizontal="left"/>
    </xf>
    <xf numFmtId="1" fontId="31" fillId="0" borderId="0" xfId="47" applyNumberFormat="1" applyFont="1" applyFill="1" applyBorder="1" applyAlignment="1" applyProtection="1">
      <alignment horizontal="left"/>
    </xf>
    <xf numFmtId="2" fontId="57" fillId="16" borderId="0" xfId="51" applyNumberFormat="1" applyFont="1" applyFill="1" applyBorder="1" applyAlignment="1"/>
    <xf numFmtId="169" fontId="0" fillId="0" borderId="0" xfId="0" applyNumberFormat="1" applyAlignment="1"/>
    <xf numFmtId="0" fontId="1" fillId="32" borderId="0" xfId="0" applyFont="1" applyFill="1" applyAlignment="1"/>
    <xf numFmtId="168" fontId="12" fillId="23" borderId="0" xfId="51" applyNumberFormat="1" applyFont="1" applyFill="1" applyBorder="1" applyAlignment="1"/>
    <xf numFmtId="2" fontId="12" fillId="23" borderId="0" xfId="51" applyNumberFormat="1" applyFont="1" applyFill="1"/>
    <xf numFmtId="10" fontId="0" fillId="0" borderId="0" xfId="0" applyNumberFormat="1" applyAlignment="1"/>
    <xf numFmtId="170" fontId="0" fillId="0" borderId="0" xfId="0" applyNumberFormat="1" applyAlignment="1"/>
    <xf numFmtId="3" fontId="0" fillId="0" borderId="0" xfId="0" applyNumberFormat="1" applyAlignment="1"/>
    <xf numFmtId="10" fontId="0" fillId="32" borderId="36" xfId="0" applyNumberFormat="1" applyFill="1" applyBorder="1" applyAlignment="1"/>
    <xf numFmtId="0" fontId="48" fillId="0" borderId="0" xfId="50" applyFont="1" applyFill="1" applyBorder="1" applyAlignment="1" applyProtection="1">
      <alignment horizontal="left" vertical="center"/>
    </xf>
    <xf numFmtId="0" fontId="46" fillId="0" borderId="0" xfId="51" applyFont="1"/>
    <xf numFmtId="171" fontId="12" fillId="0" borderId="0" xfId="51" applyNumberFormat="1" applyFont="1"/>
    <xf numFmtId="2" fontId="12" fillId="0" borderId="47" xfId="51" applyNumberFormat="1" applyFont="1" applyBorder="1"/>
    <xf numFmtId="0" fontId="58" fillId="0" borderId="0" xfId="51" applyFont="1"/>
    <xf numFmtId="0" fontId="1" fillId="0" borderId="0" xfId="61" applyFill="1" applyAlignment="1"/>
    <xf numFmtId="171" fontId="12" fillId="0" borderId="47" xfId="51" applyNumberFormat="1" applyFont="1" applyBorder="1"/>
    <xf numFmtId="0" fontId="31" fillId="0" borderId="0" xfId="51" applyFont="1" applyFill="1"/>
    <xf numFmtId="0" fontId="1" fillId="0" borderId="0" xfId="61" applyAlignment="1"/>
    <xf numFmtId="0" fontId="1" fillId="0" borderId="0" xfId="51" applyFont="1" applyFill="1" applyAlignment="1"/>
    <xf numFmtId="0" fontId="1" fillId="0" borderId="0" xfId="78" applyFill="1">
      <alignment vertical="top"/>
    </xf>
    <xf numFmtId="0" fontId="3" fillId="0" borderId="0" xfId="79" applyFill="1">
      <alignment vertical="top"/>
    </xf>
    <xf numFmtId="169" fontId="1" fillId="32" borderId="36" xfId="81" applyNumberFormat="1" applyFill="1">
      <alignment vertical="top"/>
    </xf>
    <xf numFmtId="0" fontId="60" fillId="32" borderId="0" xfId="0" applyFont="1" applyFill="1" applyAlignment="1"/>
    <xf numFmtId="0" fontId="60" fillId="0" borderId="0" xfId="0" applyFont="1" applyAlignment="1"/>
    <xf numFmtId="0" fontId="60" fillId="31" borderId="0" xfId="78" applyFont="1">
      <alignment vertical="top"/>
    </xf>
    <xf numFmtId="169" fontId="60" fillId="32" borderId="48" xfId="83" applyNumberFormat="1" applyFont="1" applyFill="1"/>
    <xf numFmtId="0" fontId="1" fillId="0" borderId="0" xfId="61" applyAlignment="1"/>
    <xf numFmtId="0" fontId="42" fillId="0" borderId="0" xfId="62" applyFont="1"/>
    <xf numFmtId="0" fontId="43" fillId="0" borderId="0" xfId="62" applyFont="1"/>
    <xf numFmtId="0" fontId="42" fillId="0" borderId="0" xfId="62" applyFont="1" applyAlignment="1">
      <alignment horizontal="left" vertical="top"/>
    </xf>
    <xf numFmtId="0" fontId="43" fillId="0" borderId="0" xfId="62" applyFont="1" applyAlignment="1">
      <alignment vertical="top" wrapText="1"/>
    </xf>
    <xf numFmtId="0" fontId="44" fillId="27" borderId="36" xfId="62" applyFont="1" applyFill="1" applyBorder="1" applyAlignment="1">
      <alignment vertical="top" wrapText="1"/>
    </xf>
    <xf numFmtId="0" fontId="43" fillId="0" borderId="36" xfId="62" applyFont="1" applyBorder="1" applyAlignment="1">
      <alignment vertical="top" wrapText="1"/>
    </xf>
    <xf numFmtId="0" fontId="42" fillId="0" borderId="36" xfId="62" applyFont="1" applyBorder="1" applyAlignment="1">
      <alignment vertical="top" wrapText="1"/>
    </xf>
    <xf numFmtId="14" fontId="43" fillId="0" borderId="36" xfId="62" applyNumberFormat="1" applyFont="1" applyBorder="1" applyAlignment="1">
      <alignment horizontal="left" vertical="top" wrapText="1"/>
    </xf>
    <xf numFmtId="0" fontId="43" fillId="0" borderId="0" xfId="62" applyFont="1" applyAlignment="1">
      <alignment vertical="top"/>
    </xf>
    <xf numFmtId="0" fontId="11" fillId="0" borderId="0" xfId="62" quotePrefix="1" applyFont="1"/>
    <xf numFmtId="0" fontId="12" fillId="0" borderId="0" xfId="62" applyFont="1" applyAlignment="1">
      <alignment horizontal="left"/>
    </xf>
    <xf numFmtId="0" fontId="43" fillId="0" borderId="0" xfId="62" applyFont="1" applyAlignment="1">
      <alignment horizontal="left"/>
    </xf>
    <xf numFmtId="0" fontId="43" fillId="0" borderId="0" xfId="62" applyFont="1" applyFill="1" applyAlignment="1">
      <alignment vertical="top"/>
    </xf>
    <xf numFmtId="0" fontId="43" fillId="0" borderId="0" xfId="62" applyFont="1" applyAlignment="1">
      <alignment horizontal="left" vertical="top"/>
    </xf>
    <xf numFmtId="0" fontId="42" fillId="0" borderId="0" xfId="62" quotePrefix="1" applyFont="1" applyAlignment="1">
      <alignment horizontal="left" vertical="top"/>
    </xf>
    <xf numFmtId="0" fontId="43" fillId="0" borderId="0" xfId="62" quotePrefix="1" applyFont="1"/>
    <xf numFmtId="0" fontId="43" fillId="0" borderId="0" xfId="62" quotePrefix="1" applyFont="1" applyAlignment="1">
      <alignment vertical="center"/>
    </xf>
    <xf numFmtId="0" fontId="43" fillId="0" borderId="0" xfId="62" applyFont="1" applyAlignment="1">
      <alignment horizontal="center"/>
    </xf>
    <xf numFmtId="0" fontId="43" fillId="0" borderId="0" xfId="62" applyFont="1" applyFill="1" applyBorder="1" applyAlignment="1">
      <alignment horizontal="center" vertical="center" wrapText="1"/>
    </xf>
    <xf numFmtId="0" fontId="43" fillId="0" borderId="0" xfId="62" quotePrefix="1" applyFont="1" applyFill="1" applyBorder="1" applyAlignment="1">
      <alignment horizontal="center" vertical="center" wrapText="1"/>
    </xf>
    <xf numFmtId="0" fontId="45" fillId="0" borderId="0" xfId="63" applyFont="1"/>
    <xf numFmtId="0" fontId="43" fillId="0" borderId="36" xfId="62" applyFont="1" applyBorder="1"/>
    <xf numFmtId="0" fontId="43" fillId="0" borderId="36" xfId="62" applyFont="1" applyBorder="1" applyAlignment="1">
      <alignment vertical="top"/>
    </xf>
    <xf numFmtId="0" fontId="11" fillId="0" borderId="0" xfId="62" applyFont="1" applyAlignment="1">
      <alignment vertical="top" wrapText="1"/>
    </xf>
    <xf numFmtId="0" fontId="43" fillId="25" borderId="35" xfId="62" applyFont="1" applyFill="1" applyBorder="1" applyAlignment="1">
      <alignment horizontal="left" vertical="top" wrapText="1"/>
    </xf>
    <xf numFmtId="0" fontId="43" fillId="25" borderId="34" xfId="62" applyFont="1" applyFill="1" applyBorder="1" applyAlignment="1">
      <alignment horizontal="left" vertical="top" wrapText="1"/>
    </xf>
    <xf numFmtId="0" fontId="43" fillId="25" borderId="33" xfId="62" applyFont="1" applyFill="1" applyBorder="1" applyAlignment="1">
      <alignment horizontal="left" vertical="top" wrapText="1"/>
    </xf>
    <xf numFmtId="0" fontId="43" fillId="24" borderId="35" xfId="62" applyFont="1" applyFill="1" applyBorder="1" applyAlignment="1">
      <alignment horizontal="center" vertical="top" wrapText="1"/>
    </xf>
    <xf numFmtId="0" fontId="43" fillId="24" borderId="34" xfId="62" applyFont="1" applyFill="1" applyBorder="1" applyAlignment="1">
      <alignment horizontal="center" vertical="top" wrapText="1"/>
    </xf>
    <xf numFmtId="0" fontId="43" fillId="24" borderId="33" xfId="62" applyFont="1" applyFill="1" applyBorder="1" applyAlignment="1">
      <alignment horizontal="center" vertical="top" wrapText="1"/>
    </xf>
    <xf numFmtId="0" fontId="43" fillId="25" borderId="36" xfId="62" applyFont="1" applyFill="1" applyBorder="1" applyAlignment="1">
      <alignment horizontal="center" vertical="top" wrapText="1"/>
    </xf>
    <xf numFmtId="0" fontId="12" fillId="0" borderId="0" xfId="62" applyFont="1" applyAlignment="1">
      <alignment vertical="top" wrapText="1"/>
    </xf>
    <xf numFmtId="0" fontId="12" fillId="0" borderId="0" xfId="62" applyFont="1" applyFill="1" applyAlignment="1">
      <alignment vertical="top"/>
    </xf>
    <xf numFmtId="0" fontId="44" fillId="26" borderId="36" xfId="62" applyFont="1" applyFill="1" applyBorder="1" applyAlignment="1">
      <alignment horizontal="center" vertical="top" wrapText="1"/>
    </xf>
    <xf numFmtId="0" fontId="44" fillId="26" borderId="36" xfId="62" applyFont="1" applyFill="1" applyBorder="1" applyAlignment="1">
      <alignment horizontal="center" vertical="top"/>
    </xf>
    <xf numFmtId="0" fontId="44" fillId="26" borderId="35" xfId="62" applyFont="1" applyFill="1" applyBorder="1" applyAlignment="1">
      <alignment horizontal="left" vertical="top"/>
    </xf>
    <xf numFmtId="0" fontId="44" fillId="26" borderId="34" xfId="62" applyFont="1" applyFill="1" applyBorder="1" applyAlignment="1">
      <alignment horizontal="left" vertical="top"/>
    </xf>
    <xf numFmtId="0" fontId="44" fillId="26" borderId="33" xfId="62" applyFont="1" applyFill="1" applyBorder="1" applyAlignment="1">
      <alignment horizontal="left" vertical="top"/>
    </xf>
    <xf numFmtId="0" fontId="43" fillId="25" borderId="35" xfId="62" applyFont="1" applyFill="1" applyBorder="1" applyAlignment="1">
      <alignment horizontal="center" vertical="top" wrapText="1"/>
    </xf>
    <xf numFmtId="0" fontId="43" fillId="25" borderId="33" xfId="62" applyFont="1" applyFill="1" applyBorder="1" applyAlignment="1">
      <alignment horizontal="center" vertical="top" wrapText="1"/>
    </xf>
    <xf numFmtId="0" fontId="44" fillId="27" borderId="35" xfId="62" applyFont="1" applyFill="1" applyBorder="1" applyAlignment="1">
      <alignment horizontal="left" vertical="top" wrapText="1"/>
    </xf>
    <xf numFmtId="0" fontId="44" fillId="27" borderId="34" xfId="62" applyFont="1" applyFill="1" applyBorder="1" applyAlignment="1">
      <alignment horizontal="left" vertical="top" wrapText="1"/>
    </xf>
    <xf numFmtId="0" fontId="44" fillId="27" borderId="33" xfId="62" applyFont="1" applyFill="1" applyBorder="1" applyAlignment="1">
      <alignment horizontal="left" vertical="top" wrapText="1"/>
    </xf>
    <xf numFmtId="0" fontId="42" fillId="25" borderId="35" xfId="62" applyFont="1" applyFill="1" applyBorder="1" applyAlignment="1">
      <alignment horizontal="left" vertical="top" wrapText="1"/>
    </xf>
    <xf numFmtId="0" fontId="42" fillId="25" borderId="34" xfId="62" applyFont="1" applyFill="1" applyBorder="1" applyAlignment="1">
      <alignment horizontal="left" vertical="top" wrapText="1"/>
    </xf>
    <xf numFmtId="0" fontId="42" fillId="25" borderId="33" xfId="62" applyFont="1" applyFill="1" applyBorder="1" applyAlignment="1">
      <alignment horizontal="left" vertical="top" wrapText="1"/>
    </xf>
    <xf numFmtId="0" fontId="43" fillId="24" borderId="35" xfId="62" quotePrefix="1" applyFont="1" applyFill="1" applyBorder="1" applyAlignment="1">
      <alignment horizontal="center" vertical="top" wrapText="1"/>
    </xf>
    <xf numFmtId="0" fontId="43" fillId="24" borderId="33" xfId="62" quotePrefix="1" applyFont="1" applyFill="1" applyBorder="1" applyAlignment="1">
      <alignment horizontal="center" vertical="top" wrapText="1"/>
    </xf>
    <xf numFmtId="0" fontId="11" fillId="0" borderId="0" xfId="62" applyFont="1" applyAlignment="1">
      <alignment vertical="top" wrapText="1"/>
    </xf>
    <xf numFmtId="0" fontId="43" fillId="0" borderId="0" xfId="62" applyFont="1" applyAlignment="1">
      <alignment horizontal="left" vertical="top" wrapText="1"/>
    </xf>
    <xf numFmtId="0" fontId="43" fillId="0" borderId="35" xfId="62" applyFont="1" applyBorder="1" applyAlignment="1">
      <alignment horizontal="left" vertical="top" wrapText="1"/>
    </xf>
    <xf numFmtId="0" fontId="43" fillId="0" borderId="34" xfId="62" applyFont="1" applyBorder="1" applyAlignment="1">
      <alignment horizontal="left" vertical="top" wrapText="1"/>
    </xf>
    <xf numFmtId="0" fontId="43" fillId="0" borderId="33" xfId="62" applyFont="1" applyBorder="1" applyAlignment="1">
      <alignment horizontal="left" vertical="top" wrapText="1"/>
    </xf>
    <xf numFmtId="0" fontId="43" fillId="0" borderId="0" xfId="62" quotePrefix="1" applyFont="1" applyAlignment="1">
      <alignment horizontal="left" vertical="top"/>
    </xf>
    <xf numFmtId="0" fontId="40" fillId="27" borderId="0" xfId="77" applyFont="1" applyFill="1" applyAlignment="1">
      <alignment horizontal="center" vertical="top"/>
    </xf>
    <xf numFmtId="0" fontId="54" fillId="29" borderId="0" xfId="0" applyFont="1" applyFill="1" applyAlignment="1">
      <alignment horizontal="center" vertical="top" wrapText="1"/>
    </xf>
    <xf numFmtId="0" fontId="12" fillId="29" borderId="0" xfId="77" applyFont="1" applyFill="1" applyBorder="1" applyAlignment="1">
      <alignment horizontal="center" vertical="top" wrapText="1"/>
    </xf>
    <xf numFmtId="0" fontId="1" fillId="0" borderId="0" xfId="0" applyFont="1" applyAlignment="1">
      <alignment horizontal="center" vertical="top" wrapText="1"/>
    </xf>
    <xf numFmtId="0" fontId="1" fillId="0" borderId="0" xfId="61" applyFont="1" applyAlignment="1">
      <alignment vertical="top" wrapText="1"/>
    </xf>
    <xf numFmtId="14" fontId="1" fillId="0" borderId="36" xfId="61" applyNumberFormat="1" applyFont="1" applyFill="1" applyBorder="1" applyAlignment="1">
      <alignment vertical="top" wrapText="1"/>
    </xf>
    <xf numFmtId="0" fontId="12" fillId="0" borderId="36" xfId="62" applyFont="1" applyBorder="1" applyAlignment="1">
      <alignment vertical="top" wrapText="1"/>
    </xf>
    <xf numFmtId="0" fontId="1" fillId="0" borderId="36" xfId="61" quotePrefix="1" applyFont="1" applyBorder="1" applyAlignment="1">
      <alignment horizontal="left" vertical="top" wrapText="1"/>
    </xf>
    <xf numFmtId="0" fontId="1" fillId="0" borderId="36" xfId="61" applyFont="1" applyBorder="1" applyAlignment="1">
      <alignment horizontal="left" vertical="top" wrapText="1"/>
    </xf>
    <xf numFmtId="0" fontId="1" fillId="0" borderId="36" xfId="61" applyFont="1" applyBorder="1" applyAlignment="1">
      <alignment vertical="top" wrapText="1"/>
    </xf>
    <xf numFmtId="0" fontId="11" fillId="0" borderId="0" xfId="61" applyFont="1" applyAlignment="1"/>
    <xf numFmtId="0" fontId="11" fillId="0" borderId="0" xfId="62" applyFont="1"/>
  </cellXfs>
  <cellStyles count="90">
    <cellStyle name="]_x000d__x000a_Zoomed=1_x000d__x000a_Row=0_x000d__x000a_Column=0_x000d__x000a_Height=0_x000d__x000a_Width=0_x000d__x000a_FontName=FoxFont_x000d__x000a_FontStyle=0_x000d__x000a_FontSize=9_x000d__x000a_PrtFontName=FoxPrin" xfId="64"/>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tt1" xfId="26"/>
    <cellStyle name="Bad" xfId="27" builtinId="27" customBuiltin="1"/>
    <cellStyle name="BM Heading 3" xfId="84"/>
    <cellStyle name="BM Input" xfId="83"/>
    <cellStyle name="bold_text" xfId="28"/>
    <cellStyle name="boldbluetxt_green" xfId="29"/>
    <cellStyle name="box" xfId="30"/>
    <cellStyle name="Calculation" xfId="31" builtinId="22" customBuiltin="1"/>
    <cellStyle name="Check Cell" xfId="32" builtinId="23" customBuiltin="1"/>
    <cellStyle name="Comma" xfId="33" builtinId="3"/>
    <cellStyle name="Comma 2" xfId="65"/>
    <cellStyle name="Comma 2 2" xfId="86"/>
    <cellStyle name="Comma 3" xfId="66"/>
    <cellStyle name="Comma 3 2" xfId="67"/>
    <cellStyle name="Comma 3 2 2" xfId="88"/>
    <cellStyle name="Comma 3 3" xfId="87"/>
    <cellStyle name="Comma 4" xfId="85"/>
    <cellStyle name="Comma_pr0931_revcorrectmech merged updated annex" xfId="34"/>
    <cellStyle name="Explanatory Text" xfId="35" builtinId="53" customBuiltin="1"/>
    <cellStyle name="Fountain Col Header" xfId="80"/>
    <cellStyle name="Fountain Error" xfId="82"/>
    <cellStyle name="Fountain Error 2" xfId="89"/>
    <cellStyle name="Fountain Input" xfId="81"/>
    <cellStyle name="Fountain Table Header" xfId="79"/>
    <cellStyle name="Fountain Text" xfId="78"/>
    <cellStyle name="Good" xfId="36" builtinId="26" customBuiltin="1"/>
    <cellStyle name="Header" xfId="37"/>
    <cellStyle name="Header3rdlevel" xfId="38"/>
    <cellStyle name="Heading 1" xfId="39" builtinId="16" customBuiltin="1"/>
    <cellStyle name="Heading 2" xfId="40" builtinId="17" customBuiltin="1"/>
    <cellStyle name="Heading 3" xfId="41" builtinId="18" customBuiltin="1"/>
    <cellStyle name="Heading 4" xfId="42" builtinId="19" customBuiltin="1"/>
    <cellStyle name="Hyperlink" xfId="63" builtinId="8"/>
    <cellStyle name="Hyperlink 2" xfId="68"/>
    <cellStyle name="Hyperlink 3" xfId="76"/>
    <cellStyle name="Input" xfId="43" builtinId="20" customBuiltin="1"/>
    <cellStyle name="Linked Cell" xfId="44" builtinId="24" customBuiltin="1"/>
    <cellStyle name="Neutral" xfId="45" builtinId="28" customBuiltin="1"/>
    <cellStyle name="NJS" xfId="46"/>
    <cellStyle name="Normal" xfId="0" builtinId="0"/>
    <cellStyle name="Normal 2" xfId="61"/>
    <cellStyle name="Normal 2 2" xfId="75"/>
    <cellStyle name="Normal 3" xfId="62"/>
    <cellStyle name="Normal 3 2" xfId="77"/>
    <cellStyle name="Normal 4" xfId="69"/>
    <cellStyle name="Normal 4 2" xfId="70"/>
    <cellStyle name="Normal 5" xfId="71"/>
    <cellStyle name="Normal 5 2" xfId="72"/>
    <cellStyle name="Normal_Data_2" xfId="47"/>
    <cellStyle name="Normal_Input" xfId="48"/>
    <cellStyle name="Normal_Map" xfId="49"/>
    <cellStyle name="Normal_Merged Annex to PR09 31 Water" xfId="50"/>
    <cellStyle name="Normal_pr0931_revcorrectmech merged updated annex" xfId="51"/>
    <cellStyle name="Normal_Version info" xfId="52"/>
    <cellStyle name="Note" xfId="53" builtinId="10" customBuiltin="1"/>
    <cellStyle name="Output" xfId="54" builtinId="21" customBuiltin="1"/>
    <cellStyle name="Percent" xfId="55" builtinId="5"/>
    <cellStyle name="Percent 2" xfId="73"/>
    <cellStyle name="Percent 2 2" xfId="74"/>
    <cellStyle name="Style 1" xfId="1"/>
    <cellStyle name="Title" xfId="56" builtinId="15" customBuiltin="1"/>
    <cellStyle name="Total" xfId="57" builtinId="25" customBuiltin="1"/>
    <cellStyle name="Warning Text" xfId="58" builtinId="11" customBuiltin="1"/>
    <cellStyle name="white_text_on_blue" xfId="59"/>
    <cellStyle name="year_formats_pink"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D1FBF9"/>
      <color rgb="FFE5FFFF"/>
      <color rgb="FFCAFF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329046</xdr:colOff>
      <xdr:row>110</xdr:row>
      <xdr:rowOff>0</xdr:rowOff>
    </xdr:from>
    <xdr:to>
      <xdr:col>12</xdr:col>
      <xdr:colOff>216564</xdr:colOff>
      <xdr:row>118</xdr:row>
      <xdr:rowOff>97314</xdr:rowOff>
    </xdr:to>
    <xdr:sp macro="" textlink="">
      <xdr:nvSpPr>
        <xdr:cNvPr id="18" name="AutoShape 10"/>
        <xdr:cNvSpPr>
          <a:spLocks noChangeArrowheads="1"/>
        </xdr:cNvSpPr>
      </xdr:nvSpPr>
      <xdr:spPr bwMode="auto">
        <a:xfrm>
          <a:off x="5957455" y="25752136"/>
          <a:ext cx="3281882" cy="1344223"/>
        </a:xfrm>
        <a:prstGeom prst="flowChartProcess">
          <a:avLst/>
        </a:prstGeom>
        <a:solidFill>
          <a:schemeClr val="accent2">
            <a:lumMod val="20000"/>
            <a:lumOff val="80000"/>
          </a:schemeClr>
        </a:solidFill>
        <a:ln w="9525">
          <a:solidFill>
            <a:schemeClr val="tx1"/>
          </a:solidFill>
          <a:prstDash val="dashDot"/>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defRPr sz="1000"/>
          </a:pPr>
          <a:endParaRPr lang="en-GB" sz="1800" b="1" i="0" u="none" strike="noStrike" baseline="0">
            <a:solidFill>
              <a:srgbClr val="000000"/>
            </a:solidFill>
            <a:latin typeface="+mn-lt"/>
            <a:cs typeface="Arial"/>
          </a:endParaRPr>
        </a:p>
        <a:p>
          <a:pPr algn="ctr" rtl="0">
            <a:defRPr sz="1000"/>
          </a:pPr>
          <a:r>
            <a:rPr lang="en-GB" sz="1800" b="1" i="0" u="none" strike="noStrike" baseline="0">
              <a:solidFill>
                <a:srgbClr val="000000"/>
              </a:solidFill>
              <a:latin typeface="+mn-lt"/>
              <a:cs typeface="Arial"/>
            </a:rPr>
            <a:t>Inputs to the PR14 Financial Model</a:t>
          </a:r>
          <a:endParaRPr lang="en-GB" sz="1800">
            <a:latin typeface="+mn-lt"/>
            <a:cs typeface="Arial" pitchFamily="34" charset="0"/>
          </a:endParaRPr>
        </a:p>
      </xdr:txBody>
    </xdr:sp>
    <xdr:clientData/>
  </xdr:twoCellAnchor>
  <xdr:twoCellAnchor>
    <xdr:from>
      <xdr:col>10</xdr:col>
      <xdr:colOff>271154</xdr:colOff>
      <xdr:row>104</xdr:row>
      <xdr:rowOff>103909</xdr:rowOff>
    </xdr:from>
    <xdr:to>
      <xdr:col>10</xdr:col>
      <xdr:colOff>272806</xdr:colOff>
      <xdr:row>110</xdr:row>
      <xdr:rowOff>0</xdr:rowOff>
    </xdr:to>
    <xdr:cxnSp macro="">
      <xdr:nvCxnSpPr>
        <xdr:cNvPr id="19" name="AutoShape 6"/>
        <xdr:cNvCxnSpPr>
          <a:cxnSpLocks noChangeShapeType="1"/>
          <a:stCxn id="18" idx="0"/>
          <a:endCxn id="121" idx="2"/>
        </xdr:cNvCxnSpPr>
      </xdr:nvCxnSpPr>
      <xdr:spPr bwMode="auto">
        <a:xfrm flipH="1" flipV="1">
          <a:off x="7267699" y="29215773"/>
          <a:ext cx="1652" cy="2130136"/>
        </a:xfrm>
        <a:prstGeom prst="straightConnector1">
          <a:avLst/>
        </a:prstGeom>
        <a:noFill/>
        <a:ln w="12700">
          <a:solidFill>
            <a:schemeClr val="tx1"/>
          </a:solidFill>
          <a:prstDash val="dash"/>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4</xdr:col>
      <xdr:colOff>623456</xdr:colOff>
      <xdr:row>46</xdr:row>
      <xdr:rowOff>190500</xdr:rowOff>
    </xdr:from>
    <xdr:to>
      <xdr:col>7</xdr:col>
      <xdr:colOff>329047</xdr:colOff>
      <xdr:row>50</xdr:row>
      <xdr:rowOff>176893</xdr:rowOff>
    </xdr:to>
    <xdr:sp macro="" textlink="">
      <xdr:nvSpPr>
        <xdr:cNvPr id="50" name="Rounded Rectangle 49"/>
        <xdr:cNvSpPr/>
      </xdr:nvSpPr>
      <xdr:spPr>
        <a:xfrm>
          <a:off x="2857501" y="8693727"/>
          <a:ext cx="2251364" cy="116403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FD09 Tariff Basket revenue expections</a:t>
          </a:r>
        </a:p>
        <a:p>
          <a:pPr marL="0" indent="0" algn="l"/>
          <a:endParaRPr lang="en-GB" sz="1600" b="1" i="0" baseline="0">
            <a:solidFill>
              <a:schemeClr val="lt1"/>
            </a:solidFill>
            <a:effectLst/>
            <a:latin typeface="Arial" pitchFamily="34" charset="0"/>
            <a:ea typeface="+mn-ea"/>
            <a:cs typeface="Arial" pitchFamily="34" charset="0"/>
          </a:endParaRPr>
        </a:p>
      </xdr:txBody>
    </xdr:sp>
    <xdr:clientData/>
  </xdr:twoCellAnchor>
  <xdr:twoCellAnchor>
    <xdr:from>
      <xdr:col>13</xdr:col>
      <xdr:colOff>99466</xdr:colOff>
      <xdr:row>46</xdr:row>
      <xdr:rowOff>156111</xdr:rowOff>
    </xdr:from>
    <xdr:to>
      <xdr:col>15</xdr:col>
      <xdr:colOff>527436</xdr:colOff>
      <xdr:row>50</xdr:row>
      <xdr:rowOff>142504</xdr:rowOff>
    </xdr:to>
    <xdr:sp macro="" textlink="">
      <xdr:nvSpPr>
        <xdr:cNvPr id="53" name="Rounded Rectangle 52"/>
        <xdr:cNvSpPr/>
      </xdr:nvSpPr>
      <xdr:spPr>
        <a:xfrm>
          <a:off x="10427287" y="11300361"/>
          <a:ext cx="2115256" cy="1183822"/>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Actual Tariff Basket revenue</a:t>
          </a:r>
        </a:p>
        <a:p>
          <a:pPr marL="0" indent="0" algn="l"/>
          <a:endParaRPr lang="en-GB" sz="1600" b="1" i="0" baseline="0">
            <a:solidFill>
              <a:schemeClr val="lt1"/>
            </a:solidFill>
            <a:effectLst/>
            <a:latin typeface="+mn-lt"/>
            <a:ea typeface="+mn-ea"/>
            <a:cs typeface="+mn-cs"/>
          </a:endParaRPr>
        </a:p>
      </xdr:txBody>
    </xdr:sp>
    <xdr:clientData/>
  </xdr:twoCellAnchor>
  <xdr:twoCellAnchor>
    <xdr:from>
      <xdr:col>3</xdr:col>
      <xdr:colOff>640773</xdr:colOff>
      <xdr:row>52</xdr:row>
      <xdr:rowOff>100856</xdr:rowOff>
    </xdr:from>
    <xdr:to>
      <xdr:col>8</xdr:col>
      <xdr:colOff>311729</xdr:colOff>
      <xdr:row>64</xdr:row>
      <xdr:rowOff>277091</xdr:rowOff>
    </xdr:to>
    <xdr:sp macro="" textlink="">
      <xdr:nvSpPr>
        <xdr:cNvPr id="55" name="Flowchart: Decision 54"/>
        <xdr:cNvSpPr/>
      </xdr:nvSpPr>
      <xdr:spPr>
        <a:xfrm>
          <a:off x="1697182" y="9781720"/>
          <a:ext cx="3913911" cy="3709144"/>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r>
            <a:rPr lang="en-GB" sz="1200" b="0" i="0" u="sng" baseline="0">
              <a:solidFill>
                <a:sysClr val="windowText" lastClr="000000"/>
              </a:solidFill>
              <a:effectLst/>
              <a:latin typeface="Arial" pitchFamily="34" charset="0"/>
              <a:ea typeface="+mn-ea"/>
              <a:cs typeface="Arial" pitchFamily="34" charset="0"/>
            </a:rPr>
            <a:t>Recalibration</a:t>
          </a:r>
          <a:endParaRPr lang="en-GB" sz="1200">
            <a:solidFill>
              <a:sysClr val="windowText" lastClr="000000"/>
            </a:solidFill>
            <a:effectLst/>
            <a:latin typeface="Arial" pitchFamily="34" charset="0"/>
            <a:cs typeface="Arial" pitchFamily="34" charset="0"/>
          </a:endParaRPr>
        </a:p>
        <a:p>
          <a:pPr algn="ctr" rtl="0" eaLnBrk="1" fontAlgn="auto" latinLnBrk="0" hangingPunct="1"/>
          <a:endParaRPr lang="en-GB" sz="1200" b="0" i="0" baseline="0">
            <a:solidFill>
              <a:sysClr val="windowText" lastClr="000000"/>
            </a:solidFill>
            <a:effectLst/>
            <a:latin typeface="Arial" pitchFamily="34" charset="0"/>
            <a:ea typeface="+mn-ea"/>
            <a:cs typeface="Arial" pitchFamily="34" charset="0"/>
          </a:endParaRP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Does the company have any TB movements in/out of TB?  If so, the model recalibrates the revenue expections. </a:t>
          </a: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(this  relies  on company inputs) </a:t>
          </a:r>
          <a:endParaRPr lang="en-GB" sz="1200">
            <a:solidFill>
              <a:sysClr val="windowText" lastClr="000000"/>
            </a:solidFill>
            <a:effectLst/>
            <a:latin typeface="Arial" pitchFamily="34" charset="0"/>
            <a:cs typeface="Arial" pitchFamily="34" charset="0"/>
          </a:endParaRPr>
        </a:p>
        <a:p>
          <a:pPr algn="l"/>
          <a:endParaRPr lang="en-GB" sz="1100">
            <a:solidFill>
              <a:sysClr val="windowText" lastClr="000000"/>
            </a:solidFill>
            <a:latin typeface="Arial" pitchFamily="34" charset="0"/>
            <a:cs typeface="Arial" pitchFamily="34" charset="0"/>
          </a:endParaRPr>
        </a:p>
      </xdr:txBody>
    </xdr:sp>
    <xdr:clientData/>
  </xdr:twoCellAnchor>
  <xdr:twoCellAnchor>
    <xdr:from>
      <xdr:col>12</xdr:col>
      <xdr:colOff>42060</xdr:colOff>
      <xdr:row>52</xdr:row>
      <xdr:rowOff>112058</xdr:rowOff>
    </xdr:from>
    <xdr:to>
      <xdr:col>16</xdr:col>
      <xdr:colOff>596240</xdr:colOff>
      <xdr:row>64</xdr:row>
      <xdr:rowOff>242454</xdr:rowOff>
    </xdr:to>
    <xdr:sp macro="" textlink="">
      <xdr:nvSpPr>
        <xdr:cNvPr id="56" name="Flowchart: Decision 55"/>
        <xdr:cNvSpPr/>
      </xdr:nvSpPr>
      <xdr:spPr>
        <a:xfrm>
          <a:off x="9526239" y="13052451"/>
          <a:ext cx="3928751" cy="3722682"/>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rtl="0" eaLnBrk="1" fontAlgn="auto" latinLnBrk="0" hangingPunct="1"/>
          <a:r>
            <a:rPr lang="en-GB" sz="1200" b="0" i="0" u="sng" baseline="0">
              <a:solidFill>
                <a:sysClr val="windowText" lastClr="000000"/>
              </a:solidFill>
              <a:effectLst/>
              <a:latin typeface="Arial" pitchFamily="34" charset="0"/>
              <a:ea typeface="+mn-ea"/>
              <a:cs typeface="Arial" pitchFamily="34" charset="0"/>
            </a:rPr>
            <a:t>Recalibration</a:t>
          </a:r>
        </a:p>
        <a:p>
          <a:pPr marL="0" indent="0" algn="ctr"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200" b="0" i="0" u="none" baseline="0">
              <a:solidFill>
                <a:sysClr val="windowText" lastClr="000000"/>
              </a:solidFill>
              <a:effectLst/>
              <a:latin typeface="Arial" pitchFamily="34" charset="0"/>
              <a:ea typeface="+mn-ea"/>
              <a:cs typeface="Arial" pitchFamily="34" charset="0"/>
            </a:rPr>
            <a:t>Does the company offer 'lower tariffs?  If so, the model will ensure that we do not compensate for the revenue shortfall. </a:t>
          </a:r>
        </a:p>
        <a:p>
          <a:pPr marL="0" indent="0" algn="ctr" rtl="0"/>
          <a:r>
            <a:rPr lang="en-GB" sz="1200" b="0" i="0" u="none" baseline="0">
              <a:solidFill>
                <a:sysClr val="windowText" lastClr="000000"/>
              </a:solidFill>
              <a:effectLst/>
              <a:latin typeface="Arial" pitchFamily="34" charset="0"/>
              <a:ea typeface="+mn-ea"/>
              <a:cs typeface="Arial" pitchFamily="34" charset="0"/>
            </a:rPr>
            <a:t>(this  relies  on company inputs) </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6</xdr:col>
      <xdr:colOff>51956</xdr:colOff>
      <xdr:row>50</xdr:row>
      <xdr:rowOff>176893</xdr:rowOff>
    </xdr:from>
    <xdr:to>
      <xdr:col>6</xdr:col>
      <xdr:colOff>51956</xdr:colOff>
      <xdr:row>52</xdr:row>
      <xdr:rowOff>100856</xdr:rowOff>
    </xdr:to>
    <xdr:cxnSp macro="">
      <xdr:nvCxnSpPr>
        <xdr:cNvPr id="58" name="Straight Arrow Connector 57"/>
        <xdr:cNvCxnSpPr>
          <a:stCxn id="50" idx="2"/>
          <a:endCxn id="55" idx="0"/>
        </xdr:cNvCxnSpPr>
      </xdr:nvCxnSpPr>
      <xdr:spPr>
        <a:xfrm>
          <a:off x="3654138" y="9268938"/>
          <a:ext cx="0" cy="51278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313451</xdr:colOff>
      <xdr:row>50</xdr:row>
      <xdr:rowOff>142504</xdr:rowOff>
    </xdr:from>
    <xdr:to>
      <xdr:col>14</xdr:col>
      <xdr:colOff>319151</xdr:colOff>
      <xdr:row>52</xdr:row>
      <xdr:rowOff>112058</xdr:rowOff>
    </xdr:to>
    <xdr:cxnSp macro="">
      <xdr:nvCxnSpPr>
        <xdr:cNvPr id="60" name="Straight Arrow Connector 59"/>
        <xdr:cNvCxnSpPr>
          <a:stCxn id="53" idx="2"/>
          <a:endCxn id="56" idx="0"/>
        </xdr:cNvCxnSpPr>
      </xdr:nvCxnSpPr>
      <xdr:spPr>
        <a:xfrm>
          <a:off x="11484915" y="12484183"/>
          <a:ext cx="5700" cy="568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557895</xdr:colOff>
      <xdr:row>66</xdr:row>
      <xdr:rowOff>17318</xdr:rowOff>
    </xdr:from>
    <xdr:to>
      <xdr:col>7</xdr:col>
      <xdr:colOff>419349</xdr:colOff>
      <xdr:row>72</xdr:row>
      <xdr:rowOff>0</xdr:rowOff>
    </xdr:to>
    <xdr:sp macro="" textlink="">
      <xdr:nvSpPr>
        <xdr:cNvPr id="65" name="Rounded Rectangle 64"/>
        <xdr:cNvSpPr/>
      </xdr:nvSpPr>
      <xdr:spPr>
        <a:xfrm>
          <a:off x="2791940" y="14408727"/>
          <a:ext cx="2407227" cy="1749137"/>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 The model revises FD Tariff Basket revenue expections</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13</xdr:col>
      <xdr:colOff>142486</xdr:colOff>
      <xdr:row>65</xdr:row>
      <xdr:rowOff>227785</xdr:rowOff>
    </xdr:from>
    <xdr:to>
      <xdr:col>15</xdr:col>
      <xdr:colOff>663356</xdr:colOff>
      <xdr:row>71</xdr:row>
      <xdr:rowOff>210467</xdr:rowOff>
    </xdr:to>
    <xdr:sp macro="" textlink="">
      <xdr:nvSpPr>
        <xdr:cNvPr id="66" name="Rounded Rectangle 65"/>
        <xdr:cNvSpPr/>
      </xdr:nvSpPr>
      <xdr:spPr>
        <a:xfrm>
          <a:off x="9626665" y="14365606"/>
          <a:ext cx="2208155" cy="1778825"/>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600" b="1" i="0" baseline="0">
              <a:solidFill>
                <a:schemeClr val="lt1"/>
              </a:solidFill>
              <a:effectLst/>
              <a:latin typeface="Arial" pitchFamily="34" charset="0"/>
              <a:ea typeface="+mn-ea"/>
              <a:cs typeface="Arial" pitchFamily="34" charset="0"/>
            </a:rPr>
            <a:t>The model revises Actual Tariff Basket revenue </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7</xdr:col>
      <xdr:colOff>588818</xdr:colOff>
      <xdr:row>63</xdr:row>
      <xdr:rowOff>259772</xdr:rowOff>
    </xdr:from>
    <xdr:to>
      <xdr:col>12</xdr:col>
      <xdr:colOff>762000</xdr:colOff>
      <xdr:row>73</xdr:row>
      <xdr:rowOff>190500</xdr:rowOff>
    </xdr:to>
    <xdr:sp macro="" textlink="">
      <xdr:nvSpPr>
        <xdr:cNvPr id="81" name="Left-Right Arrow Callout 80"/>
        <xdr:cNvSpPr/>
      </xdr:nvSpPr>
      <xdr:spPr>
        <a:xfrm>
          <a:off x="5368636" y="13767954"/>
          <a:ext cx="4416137" cy="2874819"/>
        </a:xfrm>
        <a:prstGeom prst="leftRightArrowCallou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GB" sz="1600">
            <a:solidFill>
              <a:sysClr val="windowText" lastClr="000000"/>
            </a:solidFill>
            <a:effectLst/>
          </a:endParaRPr>
        </a:p>
        <a:p>
          <a:pPr algn="ctr" rtl="0"/>
          <a:r>
            <a:rPr lang="en-GB" sz="1600" b="1" i="0" baseline="0">
              <a:solidFill>
                <a:sysClr val="windowText" lastClr="000000"/>
              </a:solidFill>
              <a:effectLst/>
              <a:latin typeface="+mn-lt"/>
              <a:ea typeface="+mn-ea"/>
              <a:cs typeface="+mn-cs"/>
            </a:rPr>
            <a:t> </a:t>
          </a:r>
          <a:r>
            <a:rPr lang="en-GB" sz="1600" b="1" i="0" baseline="0">
              <a:solidFill>
                <a:sysClr val="windowText" lastClr="000000"/>
              </a:solidFill>
              <a:effectLst/>
              <a:latin typeface="Arial" pitchFamily="34" charset="0"/>
              <a:ea typeface="+mn-ea"/>
              <a:cs typeface="Arial" pitchFamily="34" charset="0"/>
            </a:rPr>
            <a:t>The model compares FD and Actual revenues and calculates the revenue correction </a:t>
          </a:r>
          <a:endParaRPr lang="en-GB" sz="1600">
            <a:solidFill>
              <a:sysClr val="windowText" lastClr="000000"/>
            </a:solidFill>
            <a:effectLst/>
            <a:latin typeface="Arial" pitchFamily="34" charset="0"/>
            <a:cs typeface="Arial" pitchFamily="34" charset="0"/>
          </a:endParaRPr>
        </a:p>
        <a:p>
          <a:pPr algn="ctr" rtl="0"/>
          <a:endParaRPr lang="en-GB" sz="1600" b="1" i="0" baseline="0">
            <a:solidFill>
              <a:sysClr val="windowText" lastClr="000000"/>
            </a:solidFill>
            <a:effectLst/>
            <a:latin typeface="Arial" pitchFamily="34" charset="0"/>
            <a:ea typeface="+mn-ea"/>
            <a:cs typeface="Arial" pitchFamily="34" charset="0"/>
          </a:endParaRPr>
        </a:p>
        <a:p>
          <a:pPr algn="ctr" rtl="0"/>
          <a:r>
            <a:rPr lang="en-GB" sz="1600" b="1" i="0" baseline="0">
              <a:solidFill>
                <a:sysClr val="windowText" lastClr="000000"/>
              </a:solidFill>
              <a:effectLst/>
              <a:latin typeface="Arial" pitchFamily="34" charset="0"/>
              <a:ea typeface="+mn-ea"/>
              <a:cs typeface="Arial" pitchFamily="34" charset="0"/>
            </a:rPr>
            <a:t>[ie difference between FD and Actual revenues] </a:t>
          </a:r>
          <a:endParaRPr lang="en-GB" sz="1600">
            <a:solidFill>
              <a:sysClr val="windowText" lastClr="000000"/>
            </a:solidFill>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5</xdr:col>
      <xdr:colOff>171948</xdr:colOff>
      <xdr:row>75</xdr:row>
      <xdr:rowOff>178691</xdr:rowOff>
    </xdr:from>
    <xdr:to>
      <xdr:col>15</xdr:col>
      <xdr:colOff>367394</xdr:colOff>
      <xdr:row>79</xdr:row>
      <xdr:rowOff>51955</xdr:rowOff>
    </xdr:to>
    <xdr:sp macro="" textlink="">
      <xdr:nvSpPr>
        <xdr:cNvPr id="99" name="Rounded Rectangle 98"/>
        <xdr:cNvSpPr/>
      </xdr:nvSpPr>
      <xdr:spPr>
        <a:xfrm>
          <a:off x="2906984" y="17310084"/>
          <a:ext cx="8631874" cy="1070692"/>
        </a:xfrm>
        <a:prstGeom prst="roundRect">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600" b="0" i="0" u="none" baseline="0">
              <a:solidFill>
                <a:sysClr val="windowText" lastClr="000000"/>
              </a:solidFill>
              <a:effectLst/>
              <a:latin typeface="Arial" pitchFamily="34" charset="0"/>
              <a:ea typeface="+mn-ea"/>
              <a:cs typeface="Arial" pitchFamily="34" charset="0"/>
            </a:rPr>
            <a:t> The model adjusts for the tax implications in relation to the revenue correction amount calculated.</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253588</xdr:colOff>
      <xdr:row>73</xdr:row>
      <xdr:rowOff>190500</xdr:rowOff>
    </xdr:from>
    <xdr:to>
      <xdr:col>10</xdr:col>
      <xdr:colOff>269671</xdr:colOff>
      <xdr:row>75</xdr:row>
      <xdr:rowOff>178691</xdr:rowOff>
    </xdr:to>
    <xdr:cxnSp macro="">
      <xdr:nvCxnSpPr>
        <xdr:cNvPr id="101" name="Straight Arrow Connector 100"/>
        <xdr:cNvCxnSpPr>
          <a:stCxn id="81" idx="2"/>
          <a:endCxn id="99" idx="0"/>
        </xdr:cNvCxnSpPr>
      </xdr:nvCxnSpPr>
      <xdr:spPr>
        <a:xfrm>
          <a:off x="7206838" y="16723179"/>
          <a:ext cx="16083" cy="58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163286</xdr:colOff>
      <xdr:row>80</xdr:row>
      <xdr:rowOff>261010</xdr:rowOff>
    </xdr:from>
    <xdr:to>
      <xdr:col>15</xdr:col>
      <xdr:colOff>367394</xdr:colOff>
      <xdr:row>84</xdr:row>
      <xdr:rowOff>242454</xdr:rowOff>
    </xdr:to>
    <xdr:sp macro="" textlink="">
      <xdr:nvSpPr>
        <xdr:cNvPr id="109" name="Rounded Rectangle 108"/>
        <xdr:cNvSpPr/>
      </xdr:nvSpPr>
      <xdr:spPr>
        <a:xfrm>
          <a:off x="3765468" y="22307055"/>
          <a:ext cx="8690017" cy="115908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calculates the  billing and backbilling incentives (reward/penalty) and adjusts the revenue correction amount.</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l"/>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79</xdr:row>
      <xdr:rowOff>51955</xdr:rowOff>
    </xdr:from>
    <xdr:to>
      <xdr:col>10</xdr:col>
      <xdr:colOff>269672</xdr:colOff>
      <xdr:row>80</xdr:row>
      <xdr:rowOff>261010</xdr:rowOff>
    </xdr:to>
    <xdr:cxnSp macro="">
      <xdr:nvCxnSpPr>
        <xdr:cNvPr id="114" name="Straight Arrow Connector 113"/>
        <xdr:cNvCxnSpPr>
          <a:stCxn id="99" idx="2"/>
          <a:endCxn id="109" idx="0"/>
        </xdr:cNvCxnSpPr>
      </xdr:nvCxnSpPr>
      <xdr:spPr>
        <a:xfrm flipH="1">
          <a:off x="8110477" y="21803591"/>
          <a:ext cx="4331" cy="503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204108</xdr:colOff>
      <xdr:row>86</xdr:row>
      <xdr:rowOff>171763</xdr:rowOff>
    </xdr:from>
    <xdr:to>
      <xdr:col>15</xdr:col>
      <xdr:colOff>340180</xdr:colOff>
      <xdr:row>90</xdr:row>
      <xdr:rowOff>83128</xdr:rowOff>
    </xdr:to>
    <xdr:sp macro="" textlink="">
      <xdr:nvSpPr>
        <xdr:cNvPr id="117" name="Rounded Rectangle 116"/>
        <xdr:cNvSpPr/>
      </xdr:nvSpPr>
      <xdr:spPr>
        <a:xfrm>
          <a:off x="3806290" y="23984263"/>
          <a:ext cx="8621981" cy="108900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will adjust the revenue correction to ensure that we do not compensate the incumbent for loss of revenue through competition from NAVs</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ctr"/>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84</xdr:row>
      <xdr:rowOff>242454</xdr:rowOff>
    </xdr:from>
    <xdr:to>
      <xdr:col>10</xdr:col>
      <xdr:colOff>272145</xdr:colOff>
      <xdr:row>86</xdr:row>
      <xdr:rowOff>171763</xdr:rowOff>
    </xdr:to>
    <xdr:cxnSp macro="">
      <xdr:nvCxnSpPr>
        <xdr:cNvPr id="118" name="Straight Arrow Connector 117"/>
        <xdr:cNvCxnSpPr>
          <a:stCxn id="109" idx="2"/>
          <a:endCxn id="117" idx="0"/>
        </xdr:cNvCxnSpPr>
      </xdr:nvCxnSpPr>
      <xdr:spPr>
        <a:xfrm>
          <a:off x="8110477" y="23466136"/>
          <a:ext cx="6804" cy="5181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270164</xdr:colOff>
      <xdr:row>96</xdr:row>
      <xdr:rowOff>237571</xdr:rowOff>
    </xdr:from>
    <xdr:to>
      <xdr:col>15</xdr:col>
      <xdr:colOff>272143</xdr:colOff>
      <xdr:row>104</xdr:row>
      <xdr:rowOff>103909</xdr:rowOff>
    </xdr:to>
    <xdr:sp macro="" textlink="">
      <xdr:nvSpPr>
        <xdr:cNvPr id="121" name="Rounded Rectangle 120"/>
        <xdr:cNvSpPr/>
      </xdr:nvSpPr>
      <xdr:spPr>
        <a:xfrm>
          <a:off x="3023755" y="26994162"/>
          <a:ext cx="8487888" cy="2221611"/>
        </a:xfrm>
        <a:prstGeom prst="roundRect">
          <a:avLst/>
        </a:prstGeom>
        <a:solidFill>
          <a:schemeClr val="accent4">
            <a:lumMod val="40000"/>
            <a:lumOff val="60000"/>
          </a:schemeClr>
        </a:solidFill>
        <a:ln>
          <a:solidFill>
            <a:schemeClr val="accent4"/>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rtl="0"/>
          <a:endParaRPr lang="en-GB">
            <a:effectLst/>
          </a:endParaRPr>
        </a:p>
        <a:p>
          <a:pPr algn="l" rtl="0"/>
          <a:r>
            <a:rPr lang="en-GB" sz="1600" b="0" i="0" baseline="0">
              <a:solidFill>
                <a:sysClr val="windowText" lastClr="000000"/>
              </a:solidFill>
              <a:effectLst/>
              <a:latin typeface="Arial" pitchFamily="34" charset="0"/>
              <a:ea typeface="+mn-ea"/>
              <a:cs typeface="Arial" pitchFamily="34" charset="0"/>
            </a:rPr>
            <a:t> The model  will calculate the  annualised adjustment to 2014 price review requirement at 2012-13 prices.</a:t>
          </a:r>
          <a:endParaRPr lang="en-GB" sz="1600" b="0">
            <a:solidFill>
              <a:sysClr val="windowText" lastClr="000000"/>
            </a:solidFill>
            <a:effectLst/>
            <a:latin typeface="Arial" pitchFamily="34" charset="0"/>
            <a:cs typeface="Arial" pitchFamily="34" charset="0"/>
          </a:endParaRPr>
        </a:p>
        <a:p>
          <a:pPr marL="0" indent="0" algn="l"/>
          <a:endParaRPr lang="en-GB" sz="1600" b="1" i="0" u="none" baseline="0">
            <a:solidFill>
              <a:sysClr val="windowText" lastClr="000000"/>
            </a:solidFill>
            <a:effectLst/>
            <a:latin typeface="Arial" pitchFamily="34" charset="0"/>
            <a:ea typeface="+mn-ea"/>
            <a:cs typeface="Arial" pitchFamily="34" charset="0"/>
          </a:endParaRPr>
        </a:p>
        <a:p>
          <a:pPr algn="l" rtl="0"/>
          <a:r>
            <a:rPr lang="en-GB" sz="1600" b="0" i="0" baseline="0">
              <a:solidFill>
                <a:schemeClr val="dk1"/>
              </a:solidFill>
              <a:effectLst/>
              <a:latin typeface="Arial" pitchFamily="34" charset="0"/>
              <a:ea typeface="+mn-ea"/>
              <a:cs typeface="Arial" pitchFamily="34" charset="0"/>
            </a:rPr>
            <a:t>1.  Water: Annualised adjustment to 2014 price review requirement at 2012-13 prices</a:t>
          </a:r>
          <a:endParaRPr lang="en-GB" sz="1600" b="0">
            <a:effectLst/>
            <a:latin typeface="Arial" pitchFamily="34" charset="0"/>
            <a:cs typeface="Arial" pitchFamily="34" charset="0"/>
          </a:endParaRPr>
        </a:p>
        <a:p>
          <a:pPr algn="l" rtl="0"/>
          <a:r>
            <a:rPr lang="en-GB" sz="1600" b="0" i="0" baseline="0">
              <a:solidFill>
                <a:schemeClr val="dk1"/>
              </a:solidFill>
              <a:effectLst/>
              <a:latin typeface="Arial" pitchFamily="34" charset="0"/>
              <a:ea typeface="+mn-ea"/>
              <a:cs typeface="Arial" pitchFamily="34" charset="0"/>
            </a:rPr>
            <a:t>2.  Sewerage: Annualised adjustment to 2014 price review requirement at 2012-13 prices</a:t>
          </a:r>
          <a:endParaRPr lang="en-GB" sz="1600" b="0">
            <a:effectLst/>
            <a:latin typeface="Arial" pitchFamily="34" charset="0"/>
            <a:cs typeface="Arial" pitchFamily="34" charset="0"/>
          </a:endParaRPr>
        </a:p>
        <a:p>
          <a:pPr marL="0" indent="0" algn="l"/>
          <a:endParaRPr lang="en-GB" sz="16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271154</xdr:colOff>
      <xdr:row>90</xdr:row>
      <xdr:rowOff>83128</xdr:rowOff>
    </xdr:from>
    <xdr:to>
      <xdr:col>10</xdr:col>
      <xdr:colOff>272145</xdr:colOff>
      <xdr:row>96</xdr:row>
      <xdr:rowOff>237571</xdr:rowOff>
    </xdr:to>
    <xdr:cxnSp macro="">
      <xdr:nvCxnSpPr>
        <xdr:cNvPr id="122" name="Straight Arrow Connector 121"/>
        <xdr:cNvCxnSpPr>
          <a:stCxn id="117" idx="2"/>
          <a:endCxn id="121" idx="0"/>
        </xdr:cNvCxnSpPr>
      </xdr:nvCxnSpPr>
      <xdr:spPr>
        <a:xfrm flipH="1">
          <a:off x="8116290" y="25073264"/>
          <a:ext cx="991" cy="19208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311729</xdr:colOff>
      <xdr:row>58</xdr:row>
      <xdr:rowOff>188974</xdr:rowOff>
    </xdr:from>
    <xdr:to>
      <xdr:col>9</xdr:col>
      <xdr:colOff>658090</xdr:colOff>
      <xdr:row>63</xdr:row>
      <xdr:rowOff>242454</xdr:rowOff>
    </xdr:to>
    <xdr:cxnSp macro="">
      <xdr:nvCxnSpPr>
        <xdr:cNvPr id="136" name="Elbow Connector 135"/>
        <xdr:cNvCxnSpPr>
          <a:stCxn id="55" idx="3"/>
        </xdr:cNvCxnSpPr>
      </xdr:nvCxnSpPr>
      <xdr:spPr>
        <a:xfrm>
          <a:off x="5611093" y="11636292"/>
          <a:ext cx="1194952" cy="15255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608920</xdr:colOff>
      <xdr:row>58</xdr:row>
      <xdr:rowOff>177257</xdr:rowOff>
    </xdr:from>
    <xdr:to>
      <xdr:col>12</xdr:col>
      <xdr:colOff>42060</xdr:colOff>
      <xdr:row>63</xdr:row>
      <xdr:rowOff>238123</xdr:rowOff>
    </xdr:to>
    <xdr:cxnSp macro="">
      <xdr:nvCxnSpPr>
        <xdr:cNvPr id="138" name="Elbow Connector 137"/>
        <xdr:cNvCxnSpPr>
          <a:stCxn id="56" idx="1"/>
        </xdr:cNvCxnSpPr>
      </xdr:nvCxnSpPr>
      <xdr:spPr>
        <a:xfrm rot="10800000" flipV="1">
          <a:off x="8405813" y="14913793"/>
          <a:ext cx="1120426" cy="15576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640772</xdr:colOff>
      <xdr:row>58</xdr:row>
      <xdr:rowOff>188973</xdr:rowOff>
    </xdr:from>
    <xdr:to>
      <xdr:col>4</xdr:col>
      <xdr:colOff>557894</xdr:colOff>
      <xdr:row>69</xdr:row>
      <xdr:rowOff>8658</xdr:rowOff>
    </xdr:to>
    <xdr:cxnSp macro="">
      <xdr:nvCxnSpPr>
        <xdr:cNvPr id="155" name="Elbow Connector 154"/>
        <xdr:cNvCxnSpPr>
          <a:stCxn id="55" idx="1"/>
          <a:endCxn id="65" idx="1"/>
        </xdr:cNvCxnSpPr>
      </xdr:nvCxnSpPr>
      <xdr:spPr>
        <a:xfrm rot="10800000" flipH="1" flipV="1">
          <a:off x="1697181" y="11636291"/>
          <a:ext cx="765713" cy="3058185"/>
        </a:xfrm>
        <a:prstGeom prst="bentConnector3">
          <a:avLst>
            <a:gd name="adj1" fmla="val -2985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663356</xdr:colOff>
      <xdr:row>58</xdr:row>
      <xdr:rowOff>177256</xdr:rowOff>
    </xdr:from>
    <xdr:to>
      <xdr:col>16</xdr:col>
      <xdr:colOff>596240</xdr:colOff>
      <xdr:row>68</xdr:row>
      <xdr:rowOff>219127</xdr:rowOff>
    </xdr:to>
    <xdr:cxnSp macro="">
      <xdr:nvCxnSpPr>
        <xdr:cNvPr id="159" name="Elbow Connector 158"/>
        <xdr:cNvCxnSpPr>
          <a:stCxn id="56" idx="3"/>
          <a:endCxn id="66" idx="3"/>
        </xdr:cNvCxnSpPr>
      </xdr:nvCxnSpPr>
      <xdr:spPr>
        <a:xfrm flipH="1">
          <a:off x="12678463" y="14913792"/>
          <a:ext cx="776527" cy="3035442"/>
        </a:xfrm>
        <a:prstGeom prst="bentConnector3">
          <a:avLst>
            <a:gd name="adj1" fmla="val -2943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565314</xdr:colOff>
      <xdr:row>34</xdr:row>
      <xdr:rowOff>176892</xdr:rowOff>
    </xdr:from>
    <xdr:to>
      <xdr:col>13</xdr:col>
      <xdr:colOff>63087</xdr:colOff>
      <xdr:row>36</xdr:row>
      <xdr:rowOff>60163</xdr:rowOff>
    </xdr:to>
    <xdr:sp macro="" textlink="">
      <xdr:nvSpPr>
        <xdr:cNvPr id="235" name="Rounded Rectangle 234"/>
        <xdr:cNvSpPr/>
      </xdr:nvSpPr>
      <xdr:spPr>
        <a:xfrm>
          <a:off x="5864678" y="7796892"/>
          <a:ext cx="4589318" cy="47208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ysClr val="windowText" lastClr="000000"/>
              </a:solidFill>
            </a:rPr>
            <a:t>INPUT DATA</a:t>
          </a:r>
        </a:p>
      </xdr:txBody>
    </xdr:sp>
    <xdr:clientData/>
  </xdr:twoCellAnchor>
  <xdr:twoCellAnchor>
    <xdr:from>
      <xdr:col>10</xdr:col>
      <xdr:colOff>300593</xdr:colOff>
      <xdr:row>33</xdr:row>
      <xdr:rowOff>27214</xdr:rowOff>
    </xdr:from>
    <xdr:to>
      <xdr:col>10</xdr:col>
      <xdr:colOff>314200</xdr:colOff>
      <xdr:row>34</xdr:row>
      <xdr:rowOff>176892</xdr:rowOff>
    </xdr:to>
    <xdr:cxnSp macro="">
      <xdr:nvCxnSpPr>
        <xdr:cNvPr id="239" name="Straight Arrow Connector 238"/>
        <xdr:cNvCxnSpPr>
          <a:endCxn id="235" idx="0"/>
        </xdr:cNvCxnSpPr>
      </xdr:nvCxnSpPr>
      <xdr:spPr>
        <a:xfrm>
          <a:off x="8145729" y="7352805"/>
          <a:ext cx="13607" cy="444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24740</xdr:colOff>
      <xdr:row>37</xdr:row>
      <xdr:rowOff>119992</xdr:rowOff>
    </xdr:from>
    <xdr:to>
      <xdr:col>11</xdr:col>
      <xdr:colOff>582633</xdr:colOff>
      <xdr:row>41</xdr:row>
      <xdr:rowOff>16082</xdr:rowOff>
    </xdr:to>
    <xdr:sp macro="" textlink="">
      <xdr:nvSpPr>
        <xdr:cNvPr id="241" name="AutoShape 24"/>
        <xdr:cNvSpPr>
          <a:spLocks noChangeArrowheads="1"/>
        </xdr:cNvSpPr>
      </xdr:nvSpPr>
      <xdr:spPr bwMode="auto">
        <a:xfrm>
          <a:off x="7021285" y="8623219"/>
          <a:ext cx="2255075" cy="1073727"/>
        </a:xfrm>
        <a:prstGeom prst="flowChartDecision">
          <a:avLst/>
        </a:prstGeom>
        <a:solidFill>
          <a:schemeClr val="accent2">
            <a:lumMod val="20000"/>
            <a:lumOff val="80000"/>
          </a:schemeClr>
        </a:solidFill>
        <a:ln w="9525">
          <a:solidFill>
            <a:schemeClr val="tx1"/>
          </a:solidFill>
          <a:miter lim="800000"/>
          <a:headEnd/>
          <a:tailEnd/>
        </a:ln>
      </xdr:spPr>
      <xdr:txBody>
        <a:bodyPr vertOverflow="clip" wrap="square" lIns="27432" tIns="18288" rIns="27432" bIns="18288" anchor="ctr" upright="1"/>
        <a:lstStyle/>
        <a:p>
          <a:pPr algn="ctr" rtl="0">
            <a:defRPr sz="1000"/>
          </a:pPr>
          <a:r>
            <a:rPr lang="en-GB" sz="1200" b="0" i="0" u="none" strike="noStrike" baseline="0">
              <a:solidFill>
                <a:srgbClr val="000000"/>
              </a:solidFill>
              <a:latin typeface="Arial"/>
              <a:cs typeface="Arial"/>
            </a:rPr>
            <a:t>FD Decision?</a:t>
          </a:r>
        </a:p>
      </xdr:txBody>
    </xdr:sp>
    <xdr:clientData/>
  </xdr:twoCellAnchor>
  <xdr:twoCellAnchor>
    <xdr:from>
      <xdr:col>10</xdr:col>
      <xdr:colOff>303687</xdr:colOff>
      <xdr:row>36</xdr:row>
      <xdr:rowOff>60163</xdr:rowOff>
    </xdr:from>
    <xdr:to>
      <xdr:col>10</xdr:col>
      <xdr:colOff>314201</xdr:colOff>
      <xdr:row>37</xdr:row>
      <xdr:rowOff>119992</xdr:rowOff>
    </xdr:to>
    <xdr:cxnSp macro="">
      <xdr:nvCxnSpPr>
        <xdr:cNvPr id="243" name="Straight Connector 242"/>
        <xdr:cNvCxnSpPr>
          <a:stCxn id="235" idx="2"/>
          <a:endCxn id="241" idx="0"/>
        </xdr:cNvCxnSpPr>
      </xdr:nvCxnSpPr>
      <xdr:spPr>
        <a:xfrm flipH="1">
          <a:off x="8148823" y="8268981"/>
          <a:ext cx="10514" cy="354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337704</xdr:colOff>
      <xdr:row>39</xdr:row>
      <xdr:rowOff>68037</xdr:rowOff>
    </xdr:from>
    <xdr:to>
      <xdr:col>11</xdr:col>
      <xdr:colOff>582633</xdr:colOff>
      <xdr:row>43</xdr:row>
      <xdr:rowOff>13607</xdr:rowOff>
    </xdr:to>
    <xdr:cxnSp macro="">
      <xdr:nvCxnSpPr>
        <xdr:cNvPr id="258" name="Elbow Connector 257"/>
        <xdr:cNvCxnSpPr>
          <a:stCxn id="241" idx="3"/>
        </xdr:cNvCxnSpPr>
      </xdr:nvCxnSpPr>
      <xdr:spPr>
        <a:xfrm flipH="1">
          <a:off x="8182840" y="9160082"/>
          <a:ext cx="1093520" cy="1123207"/>
        </a:xfrm>
        <a:prstGeom prst="bentConnector4">
          <a:avLst>
            <a:gd name="adj1" fmla="val -21000"/>
            <a:gd name="adj2" fmla="val 7391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24739</xdr:colOff>
      <xdr:row>39</xdr:row>
      <xdr:rowOff>68037</xdr:rowOff>
    </xdr:from>
    <xdr:to>
      <xdr:col>10</xdr:col>
      <xdr:colOff>332690</xdr:colOff>
      <xdr:row>42</xdr:row>
      <xdr:rowOff>20052</xdr:rowOff>
    </xdr:to>
    <xdr:cxnSp macro="">
      <xdr:nvCxnSpPr>
        <xdr:cNvPr id="267" name="Elbow Connector 266"/>
        <xdr:cNvCxnSpPr>
          <a:stCxn id="241" idx="1"/>
        </xdr:cNvCxnSpPr>
      </xdr:nvCxnSpPr>
      <xdr:spPr>
        <a:xfrm rot="10800000" flipH="1" flipV="1">
          <a:off x="7021284" y="9160082"/>
          <a:ext cx="1156542" cy="835243"/>
        </a:xfrm>
        <a:prstGeom prst="bentConnector3">
          <a:avLst>
            <a:gd name="adj1" fmla="val -19789"/>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fwat.gov.uk/wp-content/uploads/2015/03/pap_tec201507pr14legacybli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row r="3">
          <cell r="I3" t="str">
            <v>2010-11</v>
          </cell>
          <cell r="J3" t="str">
            <v>2011-12</v>
          </cell>
          <cell r="K3" t="str">
            <v>2012-13</v>
          </cell>
          <cell r="L3" t="str">
            <v>2013-14</v>
          </cell>
          <cell r="M3" t="str">
            <v>2014-15</v>
          </cell>
          <cell r="N3" t="str">
            <v>2015-16</v>
          </cell>
          <cell r="O3" t="str">
            <v>2016-17</v>
          </cell>
          <cell r="P3" t="str">
            <v>2017-18</v>
          </cell>
          <cell r="Q3" t="str">
            <v>2018-19</v>
          </cell>
          <cell r="R3" t="str">
            <v>2019-20</v>
          </cell>
          <cell r="S3" t="str">
            <v>2020-21</v>
          </cell>
          <cell r="T3" t="str">
            <v>2021-22</v>
          </cell>
          <cell r="U3" t="str">
            <v>2022-23</v>
          </cell>
        </row>
        <row r="5">
          <cell r="I5">
            <v>2010</v>
          </cell>
          <cell r="J5">
            <v>2011</v>
          </cell>
          <cell r="K5">
            <v>2012</v>
          </cell>
          <cell r="L5">
            <v>2013</v>
          </cell>
          <cell r="M5">
            <v>2014</v>
          </cell>
          <cell r="N5">
            <v>2015</v>
          </cell>
          <cell r="O5">
            <v>2016</v>
          </cell>
          <cell r="P5">
            <v>2017</v>
          </cell>
          <cell r="Q5">
            <v>2018</v>
          </cell>
          <cell r="R5">
            <v>2019</v>
          </cell>
          <cell r="S5">
            <v>2020</v>
          </cell>
          <cell r="T5">
            <v>2021</v>
          </cell>
          <cell r="U5">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37"/>
  <sheetViews>
    <sheetView workbookViewId="0">
      <pane ySplit="11" topLeftCell="A27" activePane="bottomLeft" state="frozen"/>
      <selection pane="bottomLeft" activeCell="F35" sqref="F35"/>
    </sheetView>
  </sheetViews>
  <sheetFormatPr defaultRowHeight="13.2"/>
  <cols>
    <col min="2" max="2" width="14.5546875" bestFit="1" customWidth="1"/>
    <col min="3" max="3" width="19.109375" customWidth="1"/>
    <col min="4" max="4" width="12" bestFit="1" customWidth="1"/>
    <col min="5" max="5" width="25.44140625" customWidth="1"/>
    <col min="6" max="6" width="46.88671875" style="16" customWidth="1"/>
    <col min="7" max="7" width="48.44140625" customWidth="1"/>
  </cols>
  <sheetData>
    <row r="2" spans="2:7">
      <c r="B2" s="18" t="s">
        <v>82</v>
      </c>
      <c r="C2" t="s">
        <v>198</v>
      </c>
    </row>
    <row r="3" spans="2:7">
      <c r="B3" s="18" t="s">
        <v>83</v>
      </c>
      <c r="C3" t="s">
        <v>90</v>
      </c>
    </row>
    <row r="4" spans="2:7">
      <c r="B4" s="18" t="s">
        <v>84</v>
      </c>
      <c r="C4" t="s">
        <v>91</v>
      </c>
    </row>
    <row r="5" spans="2:7">
      <c r="B5" s="18"/>
      <c r="C5" t="s">
        <v>100</v>
      </c>
    </row>
    <row r="6" spans="2:7">
      <c r="B6" s="51" t="s">
        <v>197</v>
      </c>
      <c r="D6" s="49" t="s">
        <v>195</v>
      </c>
      <c r="E6" s="49"/>
    </row>
    <row r="7" spans="2:7">
      <c r="B7" s="51"/>
      <c r="D7" s="50" t="s">
        <v>196</v>
      </c>
      <c r="E7" s="50"/>
    </row>
    <row r="8" spans="2:7">
      <c r="B8" s="18" t="s">
        <v>85</v>
      </c>
    </row>
    <row r="10" spans="2:7" ht="13.8" thickBot="1">
      <c r="B10" s="17" t="s">
        <v>86</v>
      </c>
      <c r="C10" s="17" t="s">
        <v>92</v>
      </c>
      <c r="D10" s="17" t="s">
        <v>112</v>
      </c>
      <c r="E10" s="17" t="s">
        <v>113</v>
      </c>
      <c r="F10" s="20" t="s">
        <v>87</v>
      </c>
      <c r="G10" s="40" t="s">
        <v>176</v>
      </c>
    </row>
    <row r="11" spans="2:7" ht="40.200000000000003" thickBot="1">
      <c r="B11" s="22">
        <v>40436</v>
      </c>
      <c r="C11" s="23" t="s">
        <v>88</v>
      </c>
      <c r="D11" s="23"/>
      <c r="E11" s="23"/>
      <c r="F11" s="24" t="s">
        <v>89</v>
      </c>
      <c r="G11" s="45"/>
    </row>
    <row r="12" spans="2:7" ht="26.4">
      <c r="B12" s="25">
        <v>40437</v>
      </c>
      <c r="C12" s="26" t="s">
        <v>172</v>
      </c>
      <c r="D12" s="26"/>
      <c r="E12" s="26"/>
      <c r="F12" s="27" t="s">
        <v>93</v>
      </c>
      <c r="G12" s="41"/>
    </row>
    <row r="13" spans="2:7" ht="26.4">
      <c r="B13" s="28"/>
      <c r="C13" s="29"/>
      <c r="D13" s="29" t="s">
        <v>106</v>
      </c>
      <c r="E13" s="29"/>
      <c r="F13" s="30" t="s">
        <v>120</v>
      </c>
      <c r="G13" s="41"/>
    </row>
    <row r="14" spans="2:7" ht="26.4">
      <c r="B14" s="28"/>
      <c r="C14" s="29"/>
      <c r="D14" s="29" t="s">
        <v>106</v>
      </c>
      <c r="E14" s="29"/>
      <c r="F14" s="31" t="s">
        <v>101</v>
      </c>
      <c r="G14" s="41"/>
    </row>
    <row r="15" spans="2:7">
      <c r="B15" s="28"/>
      <c r="C15" s="29"/>
      <c r="D15" s="29"/>
      <c r="E15" s="29"/>
      <c r="F15" s="31" t="s">
        <v>173</v>
      </c>
      <c r="G15" s="41"/>
    </row>
    <row r="16" spans="2:7" ht="52.8">
      <c r="B16" s="28"/>
      <c r="C16" s="29"/>
      <c r="D16" s="29" t="s">
        <v>107</v>
      </c>
      <c r="E16" s="29"/>
      <c r="F16" s="30" t="s">
        <v>162</v>
      </c>
      <c r="G16" s="42" t="s">
        <v>160</v>
      </c>
    </row>
    <row r="17" spans="2:7" ht="26.4">
      <c r="B17" s="28"/>
      <c r="C17" s="29"/>
      <c r="D17" s="29" t="s">
        <v>107</v>
      </c>
      <c r="E17" s="29" t="s">
        <v>63</v>
      </c>
      <c r="F17" s="30" t="s">
        <v>110</v>
      </c>
      <c r="G17" s="41"/>
    </row>
    <row r="18" spans="2:7" ht="26.4">
      <c r="B18" s="28"/>
      <c r="C18" s="29"/>
      <c r="D18" s="29" t="s">
        <v>107</v>
      </c>
      <c r="E18" s="29" t="s">
        <v>158</v>
      </c>
      <c r="F18" s="30" t="s">
        <v>116</v>
      </c>
      <c r="G18" s="41"/>
    </row>
    <row r="19" spans="2:7" ht="13.8" thickBot="1">
      <c r="B19" s="32"/>
      <c r="C19" s="33"/>
      <c r="D19" s="33"/>
      <c r="E19" s="33"/>
      <c r="F19" s="34"/>
      <c r="G19" s="44"/>
    </row>
    <row r="20" spans="2:7" ht="26.4">
      <c r="B20" s="25">
        <v>40438</v>
      </c>
      <c r="C20" s="26" t="s">
        <v>174</v>
      </c>
      <c r="D20" s="26" t="s">
        <v>106</v>
      </c>
      <c r="E20" s="26"/>
      <c r="F20" s="27" t="s">
        <v>163</v>
      </c>
      <c r="G20" s="42" t="s">
        <v>179</v>
      </c>
    </row>
    <row r="21" spans="2:7" ht="39.6">
      <c r="B21" s="28"/>
      <c r="C21" s="29"/>
      <c r="D21" s="29" t="s">
        <v>106</v>
      </c>
      <c r="E21" s="21" t="s">
        <v>164</v>
      </c>
      <c r="F21" s="30" t="s">
        <v>175</v>
      </c>
      <c r="G21" s="43"/>
    </row>
    <row r="22" spans="2:7" ht="26.4">
      <c r="B22" s="35"/>
      <c r="C22" s="36"/>
      <c r="D22" s="29" t="s">
        <v>107</v>
      </c>
      <c r="E22" s="29"/>
      <c r="F22" s="30" t="s">
        <v>114</v>
      </c>
      <c r="G22" s="41"/>
    </row>
    <row r="23" spans="2:7" ht="26.4">
      <c r="B23" s="35"/>
      <c r="C23" s="29"/>
      <c r="D23" s="29" t="s">
        <v>107</v>
      </c>
      <c r="E23" s="29" t="s">
        <v>159</v>
      </c>
      <c r="F23" s="30" t="s">
        <v>117</v>
      </c>
      <c r="G23" s="42" t="s">
        <v>177</v>
      </c>
    </row>
    <row r="24" spans="2:7">
      <c r="B24" s="35"/>
      <c r="C24" s="6"/>
      <c r="D24" s="6" t="s">
        <v>107</v>
      </c>
      <c r="E24" s="6" t="s">
        <v>166</v>
      </c>
      <c r="F24" s="30" t="s">
        <v>111</v>
      </c>
      <c r="G24" s="41"/>
    </row>
    <row r="25" spans="2:7" ht="26.4">
      <c r="B25" s="35"/>
      <c r="C25" s="36"/>
      <c r="D25" s="29" t="s">
        <v>107</v>
      </c>
      <c r="E25" s="29" t="s">
        <v>118</v>
      </c>
      <c r="F25" s="30" t="s">
        <v>119</v>
      </c>
      <c r="G25" s="42" t="s">
        <v>178</v>
      </c>
    </row>
    <row r="26" spans="2:7" ht="26.4">
      <c r="B26" s="35"/>
      <c r="C26" s="36"/>
      <c r="D26" s="39" t="s">
        <v>107</v>
      </c>
      <c r="E26" s="39" t="s">
        <v>157</v>
      </c>
      <c r="F26" s="30" t="s">
        <v>161</v>
      </c>
      <c r="G26" s="41"/>
    </row>
    <row r="27" spans="2:7" ht="13.8" thickBot="1">
      <c r="B27" s="37"/>
      <c r="C27" s="38"/>
      <c r="D27" s="46" t="s">
        <v>107</v>
      </c>
      <c r="E27" s="46" t="s">
        <v>165</v>
      </c>
      <c r="F27" s="34" t="s">
        <v>167</v>
      </c>
      <c r="G27" s="44"/>
    </row>
    <row r="28" spans="2:7" ht="26.4">
      <c r="B28" s="25">
        <v>40638</v>
      </c>
      <c r="C28" s="36" t="s">
        <v>181</v>
      </c>
      <c r="D28" s="39" t="s">
        <v>106</v>
      </c>
      <c r="E28" s="29" t="s">
        <v>182</v>
      </c>
      <c r="F28" s="30" t="s">
        <v>183</v>
      </c>
      <c r="G28" s="42"/>
    </row>
    <row r="29" spans="2:7" ht="26.4">
      <c r="B29" s="28"/>
      <c r="C29" s="36"/>
      <c r="D29" s="39" t="s">
        <v>107</v>
      </c>
      <c r="E29" s="29" t="s">
        <v>184</v>
      </c>
      <c r="F29" s="30" t="s">
        <v>185</v>
      </c>
      <c r="G29" s="42"/>
    </row>
    <row r="30" spans="2:7" ht="26.4">
      <c r="B30" s="28"/>
      <c r="C30" s="36"/>
      <c r="D30" s="39" t="s">
        <v>107</v>
      </c>
      <c r="E30" s="29" t="s">
        <v>190</v>
      </c>
      <c r="F30" s="30" t="s">
        <v>191</v>
      </c>
      <c r="G30" s="42"/>
    </row>
    <row r="31" spans="2:7" ht="13.8" thickBot="1">
      <c r="B31" s="37"/>
      <c r="C31" s="38"/>
      <c r="D31" s="46"/>
      <c r="E31" s="33"/>
      <c r="F31" s="34"/>
      <c r="G31" s="47"/>
    </row>
    <row r="32" spans="2:7">
      <c r="B32" s="28">
        <v>40710</v>
      </c>
      <c r="C32" s="36" t="s">
        <v>192</v>
      </c>
      <c r="D32" s="39" t="s">
        <v>106</v>
      </c>
      <c r="E32" s="39" t="s">
        <v>201</v>
      </c>
      <c r="F32" s="30" t="s">
        <v>193</v>
      </c>
      <c r="G32" s="41"/>
    </row>
    <row r="33" spans="2:7">
      <c r="B33" s="35"/>
      <c r="C33" s="36"/>
      <c r="D33" s="39" t="s">
        <v>107</v>
      </c>
      <c r="E33" s="39" t="s">
        <v>200</v>
      </c>
      <c r="F33" s="30" t="s">
        <v>199</v>
      </c>
      <c r="G33" s="41"/>
    </row>
    <row r="34" spans="2:7" ht="26.4">
      <c r="B34" s="35"/>
      <c r="C34" s="36"/>
      <c r="D34" s="39"/>
      <c r="E34" s="36"/>
      <c r="F34" s="30" t="s">
        <v>203</v>
      </c>
      <c r="G34" s="42" t="s">
        <v>204</v>
      </c>
    </row>
    <row r="35" spans="2:7">
      <c r="B35" s="35"/>
      <c r="C35" s="36"/>
      <c r="D35" s="39"/>
      <c r="E35" s="36"/>
      <c r="F35" s="30"/>
      <c r="G35" s="41"/>
    </row>
    <row r="36" spans="2:7">
      <c r="B36" s="35"/>
      <c r="C36" s="36"/>
      <c r="D36" s="39"/>
      <c r="E36" s="36"/>
      <c r="F36" s="30"/>
      <c r="G36" s="41"/>
    </row>
    <row r="37" spans="2:7" ht="13.8" thickBot="1">
      <c r="B37" s="37"/>
      <c r="C37" s="38"/>
      <c r="D37" s="38"/>
      <c r="E37" s="38"/>
      <c r="F37" s="34"/>
      <c r="G37" s="44"/>
    </row>
  </sheetData>
  <phoneticPr fontId="10"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zoomScale="70" zoomScaleNormal="70" workbookViewId="0">
      <pane xSplit="5" ySplit="2" topLeftCell="F3" activePane="bottomRight" state="frozen"/>
      <selection pane="topRight"/>
      <selection pane="bottomLeft"/>
      <selection pane="bottomRight" activeCell="F3" sqref="F3"/>
    </sheetView>
  </sheetViews>
  <sheetFormatPr defaultColWidth="9.109375" defaultRowHeight="13.2"/>
  <cols>
    <col min="1" max="1" width="9.109375" customWidth="1"/>
    <col min="2" max="2" width="12.33203125" customWidth="1"/>
    <col min="3" max="3" width="68.88671875" customWidth="1"/>
    <col min="4" max="4" width="3.5546875" customWidth="1"/>
    <col min="5" max="5" width="28.21875" customWidth="1"/>
    <col min="6" max="9" width="8.21875" customWidth="1"/>
    <col min="10" max="11" width="8.5546875" customWidth="1"/>
  </cols>
  <sheetData>
    <row r="1" spans="1:11">
      <c r="A1" s="235"/>
      <c r="B1" s="263"/>
      <c r="C1" s="264" t="s">
        <v>477</v>
      </c>
      <c r="D1" s="263"/>
      <c r="E1" s="235"/>
      <c r="F1" s="235"/>
      <c r="G1" s="235"/>
      <c r="H1" s="235"/>
      <c r="I1" s="235"/>
      <c r="J1" s="235"/>
    </row>
    <row r="2" spans="1:11">
      <c r="A2" s="236" t="s">
        <v>286</v>
      </c>
      <c r="B2" s="236" t="s">
        <v>224</v>
      </c>
      <c r="C2" s="236" t="s">
        <v>223</v>
      </c>
      <c r="D2" s="236" t="s">
        <v>287</v>
      </c>
      <c r="E2" s="236" t="s">
        <v>288</v>
      </c>
      <c r="F2" s="236" t="s">
        <v>248</v>
      </c>
      <c r="G2" s="236" t="s">
        <v>249</v>
      </c>
      <c r="H2" s="236" t="s">
        <v>250</v>
      </c>
      <c r="I2" s="236" t="s">
        <v>251</v>
      </c>
      <c r="J2" s="236" t="s">
        <v>252</v>
      </c>
      <c r="K2" s="236" t="s">
        <v>367</v>
      </c>
    </row>
    <row r="3" spans="1:11">
      <c r="A3" s="235"/>
      <c r="B3" s="235"/>
      <c r="C3" s="235"/>
      <c r="D3" s="235"/>
      <c r="E3" s="235"/>
      <c r="F3" s="235"/>
      <c r="G3" s="235"/>
      <c r="H3" s="235"/>
      <c r="I3" s="235"/>
      <c r="J3" s="235"/>
    </row>
    <row r="4" spans="1:11">
      <c r="A4" s="235"/>
      <c r="B4" s="246" t="s">
        <v>383</v>
      </c>
      <c r="C4" s="235" t="s">
        <v>137</v>
      </c>
      <c r="D4" s="235" t="s">
        <v>78</v>
      </c>
      <c r="E4" s="235" t="s">
        <v>433</v>
      </c>
      <c r="F4" s="265">
        <f>+Calc!$M51</f>
        <v>0.36853601864035346</v>
      </c>
      <c r="G4" s="265">
        <f>+Calc!$M51</f>
        <v>0.36853601864035346</v>
      </c>
      <c r="H4" s="265">
        <f>+Calc!$M51</f>
        <v>0.36853601864035346</v>
      </c>
      <c r="I4" s="265">
        <f>+Calc!$M51</f>
        <v>0.36853601864035346</v>
      </c>
      <c r="J4" s="265">
        <f>+Calc!$M51</f>
        <v>0.36853601864035346</v>
      </c>
      <c r="K4" s="245"/>
    </row>
    <row r="5" spans="1:11">
      <c r="B5" s="266" t="s">
        <v>426</v>
      </c>
      <c r="C5" s="267" t="s">
        <v>424</v>
      </c>
      <c r="D5" s="268" t="s">
        <v>78</v>
      </c>
      <c r="E5" s="267" t="s">
        <v>433</v>
      </c>
      <c r="F5" s="269">
        <f>'RCM report'!$J$11</f>
        <v>0.55826105216475652</v>
      </c>
      <c r="G5" s="269">
        <f>'RCM report'!$J$11</f>
        <v>0.55826105216475652</v>
      </c>
      <c r="H5" s="269">
        <f>'RCM report'!$J$11</f>
        <v>0.55826105216475652</v>
      </c>
      <c r="I5" s="269">
        <f>'RCM report'!$J$11</f>
        <v>0.55826105216475652</v>
      </c>
      <c r="J5" s="269">
        <f>'RCM report'!$J$11</f>
        <v>0.55826105216475652</v>
      </c>
      <c r="K5" s="245"/>
    </row>
    <row r="6" spans="1:11">
      <c r="B6" s="266" t="s">
        <v>427</v>
      </c>
      <c r="C6" s="267" t="s">
        <v>425</v>
      </c>
      <c r="D6" s="268" t="s">
        <v>78</v>
      </c>
      <c r="E6" s="267" t="s">
        <v>433</v>
      </c>
      <c r="F6" s="269">
        <f>'RCM report'!$J$12+'RCM report'!$J$13+'RCM report'!$J$14</f>
        <v>-0.18972503352440326</v>
      </c>
      <c r="G6" s="269">
        <f>'RCM report'!$J$12+'RCM report'!$J$13+'RCM report'!$J$14</f>
        <v>-0.18972503352440326</v>
      </c>
      <c r="H6" s="269">
        <f>'RCM report'!$J$12+'RCM report'!$J$13+'RCM report'!$J$14</f>
        <v>-0.18972503352440326</v>
      </c>
      <c r="I6" s="269">
        <f>'RCM report'!$J$12+'RCM report'!$J$13+'RCM report'!$J$14</f>
        <v>-0.18972503352440326</v>
      </c>
      <c r="J6" s="269">
        <f>'RCM report'!$J$12+'RCM report'!$J$13+'RCM report'!$J$14</f>
        <v>-0.18972503352440326</v>
      </c>
      <c r="K6" s="245"/>
    </row>
    <row r="7" spans="1:11">
      <c r="B7" s="246" t="s">
        <v>384</v>
      </c>
      <c r="C7" s="235" t="s">
        <v>156</v>
      </c>
      <c r="D7" s="235" t="s">
        <v>78</v>
      </c>
      <c r="E7" s="235" t="s">
        <v>433</v>
      </c>
      <c r="F7" s="237">
        <f>+Calc!$M96</f>
        <v>0</v>
      </c>
      <c r="G7" s="237">
        <f>+Calc!$M96</f>
        <v>0</v>
      </c>
      <c r="H7" s="237">
        <f>+Calc!$M96</f>
        <v>0</v>
      </c>
      <c r="I7" s="237">
        <f>+Calc!$M96</f>
        <v>0</v>
      </c>
      <c r="J7" s="237">
        <f>+Calc!$M96</f>
        <v>0</v>
      </c>
      <c r="K7" s="245"/>
    </row>
    <row r="8" spans="1:11">
      <c r="B8" s="266" t="s">
        <v>428</v>
      </c>
      <c r="C8" s="268" t="s">
        <v>430</v>
      </c>
      <c r="D8" s="268" t="s">
        <v>78</v>
      </c>
      <c r="E8" s="268" t="s">
        <v>433</v>
      </c>
      <c r="F8" s="269">
        <f>'RCM report'!$J$29</f>
        <v>0</v>
      </c>
      <c r="G8" s="269">
        <f>'RCM report'!$J$29</f>
        <v>0</v>
      </c>
      <c r="H8" s="269">
        <f>'RCM report'!$J$29</f>
        <v>0</v>
      </c>
      <c r="I8" s="269">
        <f>'RCM report'!$J$29</f>
        <v>0</v>
      </c>
      <c r="J8" s="269">
        <f>'RCM report'!$J$29</f>
        <v>0</v>
      </c>
      <c r="K8" s="245"/>
    </row>
    <row r="9" spans="1:11">
      <c r="B9" s="266" t="s">
        <v>429</v>
      </c>
      <c r="C9" s="268" t="s">
        <v>431</v>
      </c>
      <c r="D9" s="268" t="s">
        <v>78</v>
      </c>
      <c r="E9" s="268" t="s">
        <v>433</v>
      </c>
      <c r="F9" s="269">
        <f>'RCM report'!$J$30+'RCM report'!$J$31+'RCM report'!$J$32</f>
        <v>0</v>
      </c>
      <c r="G9" s="269">
        <f>'RCM report'!$J$30+'RCM report'!$J$31+'RCM report'!$J$32</f>
        <v>0</v>
      </c>
      <c r="H9" s="269">
        <f>'RCM report'!$J$30+'RCM report'!$J$31+'RCM report'!$J$32</f>
        <v>0</v>
      </c>
      <c r="I9" s="269">
        <f>'RCM report'!$J$30+'RCM report'!$J$31+'RCM report'!$J$32</f>
        <v>0</v>
      </c>
      <c r="J9" s="269">
        <f>'RCM report'!$J$30+'RCM report'!$J$31+'RCM report'!$J$32</f>
        <v>0</v>
      </c>
      <c r="K9" s="245"/>
    </row>
    <row r="10" spans="1:11">
      <c r="B10" s="246" t="s">
        <v>385</v>
      </c>
      <c r="C10" s="235" t="s">
        <v>366</v>
      </c>
      <c r="D10" s="235" t="s">
        <v>362</v>
      </c>
      <c r="E10" s="235" t="s">
        <v>433</v>
      </c>
      <c r="F10" s="249"/>
      <c r="G10" s="249"/>
      <c r="H10" s="249"/>
      <c r="I10" s="249"/>
      <c r="J10" s="249"/>
      <c r="K10" s="252">
        <f>Input!M60</f>
        <v>3.6699999999999899E-2</v>
      </c>
    </row>
  </sheetData>
  <sheetProtection sort="0"/>
  <pageMargins left="0.75" right="0.75" top="1" bottom="1" header="0.5" footer="0.5"/>
  <pageSetup paperSize="9" scale="2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N50"/>
  <sheetViews>
    <sheetView showGridLines="0" tabSelected="1" zoomScale="70" zoomScaleNormal="70" workbookViewId="0">
      <pane ySplit="2" topLeftCell="A3" activePane="bottomLeft" state="frozen"/>
      <selection pane="bottomLeft" activeCell="A3" sqref="A3"/>
    </sheetView>
  </sheetViews>
  <sheetFormatPr defaultColWidth="9.109375" defaultRowHeight="15"/>
  <cols>
    <col min="1" max="1" width="2.5546875" style="86" customWidth="1"/>
    <col min="2" max="2" width="13.109375" style="86" customWidth="1"/>
    <col min="3" max="3" width="12.33203125" style="86" customWidth="1"/>
    <col min="4" max="4" width="10.109375" style="86" customWidth="1"/>
    <col min="5" max="6" width="20.6640625" style="86" customWidth="1"/>
    <col min="7" max="8" width="16.88671875" style="86" customWidth="1"/>
    <col min="9" max="13" width="10.88671875" style="86" customWidth="1"/>
    <col min="14" max="16384" width="9.109375" style="86"/>
  </cols>
  <sheetData>
    <row r="1" spans="1:14" ht="15.6">
      <c r="A1" s="271" t="s">
        <v>272</v>
      </c>
      <c r="B1" s="270"/>
      <c r="C1" s="270"/>
      <c r="D1" s="270"/>
      <c r="E1" s="270"/>
      <c r="F1" s="270"/>
      <c r="G1" s="270"/>
      <c r="H1" s="270"/>
      <c r="I1" s="270"/>
      <c r="J1" s="270"/>
      <c r="K1" s="270"/>
      <c r="L1" s="270"/>
      <c r="M1" s="270"/>
      <c r="N1" s="270"/>
    </row>
    <row r="2" spans="1:14" ht="15.6">
      <c r="A2" s="271" t="s">
        <v>484</v>
      </c>
      <c r="B2" s="270"/>
      <c r="C2" s="270"/>
      <c r="D2" s="270"/>
      <c r="E2" s="270"/>
      <c r="F2" s="270"/>
      <c r="G2" s="270"/>
      <c r="H2" s="270"/>
      <c r="I2" s="270"/>
      <c r="J2" s="270"/>
      <c r="K2" s="270"/>
      <c r="L2" s="270"/>
      <c r="M2" s="270"/>
      <c r="N2" s="270"/>
    </row>
    <row r="3" spans="1:14" ht="15.6">
      <c r="A3" s="271"/>
      <c r="B3" s="270"/>
      <c r="C3" s="270"/>
      <c r="D3" s="270"/>
      <c r="E3" s="270"/>
      <c r="F3" s="270"/>
      <c r="G3" s="270"/>
      <c r="H3" s="270"/>
      <c r="I3" s="270"/>
      <c r="J3" s="270"/>
      <c r="K3" s="270"/>
      <c r="L3" s="270"/>
      <c r="M3" s="270"/>
      <c r="N3" s="270"/>
    </row>
    <row r="4" spans="1:14" ht="15.6">
      <c r="A4" s="273" t="s">
        <v>222</v>
      </c>
      <c r="B4" s="270"/>
      <c r="C4" s="270"/>
      <c r="D4" s="270"/>
      <c r="E4" s="270"/>
      <c r="F4" s="270"/>
      <c r="G4" s="270"/>
      <c r="H4" s="270"/>
      <c r="I4" s="270"/>
      <c r="J4" s="270"/>
      <c r="K4" s="270"/>
      <c r="L4" s="270"/>
      <c r="M4" s="270"/>
      <c r="N4" s="270"/>
    </row>
    <row r="5" spans="1:14" ht="15.6">
      <c r="A5" s="271"/>
      <c r="B5" s="270"/>
      <c r="C5" s="270"/>
      <c r="D5" s="270"/>
      <c r="E5" s="270"/>
      <c r="F5" s="270"/>
      <c r="G5" s="270"/>
      <c r="H5" s="270"/>
      <c r="I5" s="270"/>
      <c r="J5" s="270"/>
      <c r="K5" s="270"/>
      <c r="L5" s="270"/>
      <c r="M5" s="270"/>
      <c r="N5" s="270"/>
    </row>
    <row r="6" spans="1:14" ht="31.2" customHeight="1">
      <c r="A6" s="274"/>
      <c r="B6" s="275" t="s">
        <v>86</v>
      </c>
      <c r="C6" s="275" t="s">
        <v>229</v>
      </c>
      <c r="D6" s="311" t="s">
        <v>219</v>
      </c>
      <c r="E6" s="312"/>
      <c r="F6" s="312"/>
      <c r="G6" s="312"/>
      <c r="H6" s="312"/>
      <c r="I6" s="312"/>
      <c r="J6" s="312"/>
      <c r="K6" s="312"/>
      <c r="L6" s="312"/>
      <c r="M6" s="313"/>
      <c r="N6" s="275" t="s">
        <v>220</v>
      </c>
    </row>
    <row r="7" spans="1:14" s="210" customFormat="1" ht="256.2" customHeight="1">
      <c r="A7" s="329"/>
      <c r="B7" s="330">
        <v>42382</v>
      </c>
      <c r="C7" s="331" t="s">
        <v>408</v>
      </c>
      <c r="D7" s="332" t="s">
        <v>483</v>
      </c>
      <c r="E7" s="333"/>
      <c r="F7" s="333"/>
      <c r="G7" s="333"/>
      <c r="H7" s="333"/>
      <c r="I7" s="333"/>
      <c r="J7" s="333"/>
      <c r="K7" s="333"/>
      <c r="L7" s="333"/>
      <c r="M7" s="333"/>
      <c r="N7" s="334" t="s">
        <v>247</v>
      </c>
    </row>
    <row r="9" spans="1:14" ht="15.6">
      <c r="A9" s="273" t="s">
        <v>221</v>
      </c>
      <c r="B9" s="270"/>
      <c r="C9" s="270"/>
      <c r="D9" s="270"/>
      <c r="E9" s="270"/>
      <c r="F9" s="270"/>
      <c r="G9" s="270"/>
      <c r="H9" s="270"/>
      <c r="I9" s="270"/>
      <c r="J9" s="270"/>
      <c r="K9" s="270"/>
      <c r="L9" s="270"/>
      <c r="M9" s="270"/>
      <c r="N9" s="270"/>
    </row>
    <row r="10" spans="1:14" ht="15.6">
      <c r="A10" s="271"/>
      <c r="B10" s="270"/>
      <c r="C10" s="270"/>
      <c r="D10" s="270"/>
      <c r="E10" s="270"/>
      <c r="F10" s="270"/>
      <c r="G10" s="270"/>
      <c r="H10" s="270"/>
      <c r="I10" s="270"/>
      <c r="J10" s="270"/>
      <c r="K10" s="270"/>
      <c r="L10" s="270"/>
      <c r="M10" s="270"/>
      <c r="N10" s="270"/>
    </row>
    <row r="11" spans="1:14" ht="31.2" customHeight="1">
      <c r="A11" s="274"/>
      <c r="B11" s="275" t="s">
        <v>86</v>
      </c>
      <c r="C11" s="275" t="s">
        <v>229</v>
      </c>
      <c r="D11" s="311" t="s">
        <v>219</v>
      </c>
      <c r="E11" s="312"/>
      <c r="F11" s="312"/>
      <c r="G11" s="312"/>
      <c r="H11" s="312"/>
      <c r="I11" s="312"/>
      <c r="J11" s="312"/>
      <c r="K11" s="312"/>
      <c r="L11" s="312"/>
      <c r="M11" s="313"/>
      <c r="N11" s="275" t="s">
        <v>220</v>
      </c>
    </row>
    <row r="12" spans="1:14">
      <c r="A12" s="274"/>
      <c r="B12" s="278"/>
      <c r="C12" s="292"/>
      <c r="D12" s="321"/>
      <c r="E12" s="322"/>
      <c r="F12" s="322"/>
      <c r="G12" s="322"/>
      <c r="H12" s="322"/>
      <c r="I12" s="322"/>
      <c r="J12" s="322"/>
      <c r="K12" s="322"/>
      <c r="L12" s="322"/>
      <c r="M12" s="323"/>
      <c r="N12" s="276"/>
    </row>
    <row r="13" spans="1:14">
      <c r="A13" s="274"/>
      <c r="B13" s="278"/>
      <c r="C13" s="293"/>
      <c r="D13" s="321"/>
      <c r="E13" s="322"/>
      <c r="F13" s="322"/>
      <c r="G13" s="322"/>
      <c r="H13" s="322"/>
      <c r="I13" s="322"/>
      <c r="J13" s="322"/>
      <c r="K13" s="322"/>
      <c r="L13" s="322"/>
      <c r="M13" s="323"/>
      <c r="N13" s="276"/>
    </row>
    <row r="14" spans="1:14">
      <c r="A14" s="274"/>
      <c r="B14" s="278"/>
      <c r="C14" s="293"/>
      <c r="D14" s="321"/>
      <c r="E14" s="322"/>
      <c r="F14" s="322"/>
      <c r="G14" s="322"/>
      <c r="H14" s="322"/>
      <c r="I14" s="322"/>
      <c r="J14" s="322"/>
      <c r="K14" s="322"/>
      <c r="L14" s="322"/>
      <c r="M14" s="323"/>
      <c r="N14" s="276"/>
    </row>
    <row r="15" spans="1:14" ht="15.6">
      <c r="A15" s="274"/>
      <c r="B15" s="277"/>
      <c r="C15" s="292"/>
      <c r="D15" s="321"/>
      <c r="E15" s="322"/>
      <c r="F15" s="322"/>
      <c r="G15" s="322"/>
      <c r="H15" s="322"/>
      <c r="I15" s="322"/>
      <c r="J15" s="322"/>
      <c r="K15" s="322"/>
      <c r="L15" s="322"/>
      <c r="M15" s="323"/>
      <c r="N15" s="277"/>
    </row>
    <row r="17" spans="1:14" ht="25.5" customHeight="1">
      <c r="A17" s="273" t="s">
        <v>218</v>
      </c>
      <c r="B17" s="270"/>
      <c r="C17" s="270"/>
      <c r="D17" s="270"/>
      <c r="E17" s="270"/>
      <c r="F17" s="270"/>
      <c r="G17" s="270"/>
      <c r="H17" s="270"/>
      <c r="I17" s="270"/>
      <c r="J17" s="270"/>
      <c r="K17" s="270"/>
      <c r="L17" s="270"/>
      <c r="M17" s="270"/>
      <c r="N17" s="270"/>
    </row>
    <row r="18" spans="1:14" ht="37.5" customHeight="1">
      <c r="A18" s="320" t="s">
        <v>217</v>
      </c>
      <c r="B18" s="320"/>
      <c r="C18" s="320"/>
      <c r="D18" s="320"/>
      <c r="E18" s="320"/>
      <c r="F18" s="320"/>
      <c r="G18" s="320"/>
      <c r="H18" s="320"/>
      <c r="I18" s="320"/>
      <c r="J18" s="320"/>
      <c r="K18" s="320"/>
      <c r="L18" s="320"/>
      <c r="M18" s="320"/>
      <c r="N18" s="270"/>
    </row>
    <row r="19" spans="1:14" s="336" customFormat="1" ht="145.80000000000001" customHeight="1">
      <c r="A19" s="294"/>
      <c r="B19" s="319" t="s">
        <v>485</v>
      </c>
      <c r="C19" s="319"/>
      <c r="D19" s="319"/>
      <c r="E19" s="319"/>
      <c r="F19" s="319"/>
      <c r="G19" s="319"/>
      <c r="H19" s="319"/>
      <c r="I19" s="319"/>
      <c r="J19" s="319"/>
      <c r="K19" s="319"/>
      <c r="L19" s="319"/>
      <c r="M19" s="319"/>
      <c r="N19" s="335"/>
    </row>
    <row r="20" spans="1:14">
      <c r="A20" s="274"/>
      <c r="B20" s="279"/>
      <c r="C20" s="274"/>
      <c r="D20" s="274"/>
      <c r="E20" s="274"/>
      <c r="F20" s="274"/>
      <c r="G20" s="274"/>
      <c r="H20" s="274"/>
      <c r="I20" s="274"/>
      <c r="J20" s="274"/>
      <c r="K20" s="274"/>
      <c r="L20" s="274"/>
      <c r="M20" s="274"/>
      <c r="N20" s="270"/>
    </row>
    <row r="21" spans="1:14" ht="15.6">
      <c r="A21" s="273" t="s">
        <v>216</v>
      </c>
      <c r="B21" s="270"/>
      <c r="C21" s="270"/>
      <c r="D21" s="270"/>
      <c r="E21" s="270"/>
      <c r="F21" s="270"/>
      <c r="G21" s="270"/>
      <c r="H21" s="270"/>
      <c r="I21" s="270"/>
      <c r="J21" s="270"/>
      <c r="K21" s="270"/>
      <c r="L21" s="270"/>
      <c r="M21" s="270"/>
    </row>
    <row r="22" spans="1:14" ht="15.6" customHeight="1">
      <c r="A22" s="280" t="s">
        <v>215</v>
      </c>
      <c r="B22" s="302" t="s">
        <v>273</v>
      </c>
      <c r="C22" s="302"/>
      <c r="D22" s="302"/>
      <c r="E22" s="302"/>
      <c r="F22" s="302"/>
      <c r="G22" s="302"/>
      <c r="H22" s="302"/>
      <c r="I22" s="302"/>
      <c r="J22" s="302"/>
      <c r="K22" s="302"/>
      <c r="L22" s="302"/>
      <c r="M22" s="302"/>
    </row>
    <row r="23" spans="1:14" ht="12.75" customHeight="1">
      <c r="A23" s="281" t="s">
        <v>215</v>
      </c>
      <c r="B23" s="302" t="s">
        <v>274</v>
      </c>
      <c r="C23" s="302"/>
      <c r="D23" s="302"/>
      <c r="E23" s="302"/>
      <c r="F23" s="302"/>
      <c r="G23" s="302"/>
      <c r="H23" s="302"/>
      <c r="I23" s="302"/>
      <c r="J23" s="302"/>
      <c r="K23" s="302"/>
      <c r="L23" s="302"/>
      <c r="M23" s="302"/>
    </row>
    <row r="24" spans="1:14" ht="15.6">
      <c r="A24" s="281" t="s">
        <v>215</v>
      </c>
      <c r="B24" s="303" t="s">
        <v>275</v>
      </c>
      <c r="C24" s="303"/>
      <c r="D24" s="303"/>
      <c r="E24" s="303"/>
      <c r="F24" s="303"/>
      <c r="G24" s="303"/>
      <c r="H24" s="303"/>
      <c r="I24" s="303"/>
      <c r="J24" s="303"/>
      <c r="K24" s="303"/>
      <c r="L24" s="303"/>
      <c r="M24" s="303"/>
    </row>
    <row r="25" spans="1:14" ht="15.6">
      <c r="A25" s="281" t="s">
        <v>215</v>
      </c>
      <c r="B25" s="303" t="s">
        <v>276</v>
      </c>
      <c r="C25" s="303"/>
      <c r="D25" s="303"/>
      <c r="E25" s="303"/>
      <c r="F25" s="303"/>
      <c r="G25" s="303"/>
      <c r="H25" s="303"/>
      <c r="I25" s="303"/>
      <c r="J25" s="303"/>
      <c r="K25" s="303"/>
      <c r="L25" s="303"/>
      <c r="M25" s="303"/>
    </row>
    <row r="26" spans="1:14">
      <c r="A26" s="282"/>
      <c r="B26" s="283"/>
      <c r="C26" s="283"/>
      <c r="D26" s="283"/>
      <c r="E26" s="283"/>
      <c r="F26" s="283"/>
      <c r="G26" s="283"/>
      <c r="H26" s="283"/>
      <c r="I26" s="283"/>
      <c r="J26" s="283"/>
      <c r="K26" s="283"/>
      <c r="L26" s="283"/>
      <c r="M26" s="283"/>
    </row>
    <row r="27" spans="1:14" ht="15.6">
      <c r="A27" s="273" t="s">
        <v>214</v>
      </c>
      <c r="B27" s="284"/>
      <c r="C27" s="284"/>
      <c r="D27" s="284"/>
      <c r="E27" s="284"/>
      <c r="F27" s="284"/>
      <c r="G27" s="284"/>
      <c r="H27" s="284"/>
      <c r="I27" s="284"/>
      <c r="J27" s="284"/>
      <c r="K27" s="284"/>
      <c r="L27" s="284"/>
      <c r="M27" s="284"/>
    </row>
    <row r="28" spans="1:14">
      <c r="A28" s="282"/>
      <c r="B28" s="272" t="s">
        <v>213</v>
      </c>
      <c r="C28" s="272" t="s">
        <v>212</v>
      </c>
      <c r="D28" s="270"/>
      <c r="E28" s="270"/>
      <c r="F28" s="270"/>
      <c r="G28" s="270"/>
      <c r="H28" s="270"/>
      <c r="I28" s="270"/>
      <c r="J28" s="270"/>
      <c r="K28" s="270"/>
      <c r="L28" s="270"/>
      <c r="M28" s="270"/>
    </row>
    <row r="30" spans="1:14" ht="15.6">
      <c r="A30" s="285" t="s">
        <v>211</v>
      </c>
      <c r="B30" s="270"/>
      <c r="C30" s="270"/>
      <c r="D30" s="270"/>
      <c r="E30" s="270"/>
      <c r="F30" s="270"/>
      <c r="G30" s="270"/>
      <c r="H30" s="270"/>
      <c r="I30" s="270"/>
      <c r="J30" s="270"/>
      <c r="K30" s="270"/>
      <c r="L30" s="270"/>
      <c r="M30" s="270"/>
    </row>
    <row r="31" spans="1:14">
      <c r="A31" s="286" t="s">
        <v>210</v>
      </c>
      <c r="B31" s="270"/>
      <c r="C31" s="270"/>
      <c r="D31" s="270"/>
      <c r="E31" s="270"/>
      <c r="F31" s="270"/>
      <c r="G31" s="270"/>
      <c r="H31" s="270"/>
      <c r="I31" s="270"/>
      <c r="J31" s="270"/>
      <c r="K31" s="270"/>
      <c r="L31" s="270"/>
      <c r="M31" s="270"/>
    </row>
    <row r="32" spans="1:14">
      <c r="A32" s="286"/>
      <c r="B32" s="270"/>
      <c r="C32" s="270"/>
      <c r="D32" s="270"/>
      <c r="E32" s="270"/>
      <c r="F32" s="270"/>
      <c r="G32" s="270"/>
      <c r="H32" s="270"/>
      <c r="I32" s="270"/>
      <c r="J32" s="270"/>
      <c r="K32" s="270"/>
      <c r="L32" s="270"/>
      <c r="M32" s="270"/>
    </row>
    <row r="33" spans="1:13" ht="18" customHeight="1">
      <c r="A33" s="286"/>
      <c r="B33" s="306" t="s">
        <v>209</v>
      </c>
      <c r="C33" s="307"/>
      <c r="D33" s="308"/>
      <c r="E33" s="304" t="s">
        <v>31</v>
      </c>
      <c r="F33" s="304"/>
      <c r="G33" s="305" t="s">
        <v>208</v>
      </c>
      <c r="H33" s="305"/>
      <c r="I33" s="304" t="s">
        <v>207</v>
      </c>
      <c r="J33" s="304"/>
      <c r="K33" s="304"/>
      <c r="L33" s="304"/>
      <c r="M33" s="304"/>
    </row>
    <row r="34" spans="1:13" s="87" customFormat="1" ht="84" customHeight="1">
      <c r="A34" s="287"/>
      <c r="B34" s="314" t="s">
        <v>115</v>
      </c>
      <c r="C34" s="315"/>
      <c r="D34" s="316"/>
      <c r="E34" s="309" t="s">
        <v>254</v>
      </c>
      <c r="F34" s="310"/>
      <c r="G34" s="309"/>
      <c r="H34" s="310"/>
      <c r="I34" s="295" t="s">
        <v>255</v>
      </c>
      <c r="J34" s="296"/>
      <c r="K34" s="296"/>
      <c r="L34" s="296"/>
      <c r="M34" s="297"/>
    </row>
    <row r="35" spans="1:13">
      <c r="A35" s="288"/>
      <c r="B35" s="298"/>
      <c r="C35" s="299"/>
      <c r="D35" s="300"/>
      <c r="E35" s="298"/>
      <c r="F35" s="300"/>
      <c r="G35" s="317"/>
      <c r="H35" s="318"/>
      <c r="I35" s="298"/>
      <c r="J35" s="299"/>
      <c r="K35" s="299"/>
      <c r="L35" s="299"/>
      <c r="M35" s="300"/>
    </row>
    <row r="36" spans="1:13" ht="61.5" customHeight="1">
      <c r="A36" s="288"/>
      <c r="B36" s="314" t="s">
        <v>62</v>
      </c>
      <c r="C36" s="315"/>
      <c r="D36" s="316"/>
      <c r="E36" s="301" t="s">
        <v>254</v>
      </c>
      <c r="F36" s="301"/>
      <c r="G36" s="301"/>
      <c r="H36" s="301"/>
      <c r="I36" s="295" t="s">
        <v>256</v>
      </c>
      <c r="J36" s="296"/>
      <c r="K36" s="296"/>
      <c r="L36" s="296"/>
      <c r="M36" s="297"/>
    </row>
    <row r="37" spans="1:13">
      <c r="A37" s="288"/>
      <c r="B37" s="298"/>
      <c r="C37" s="299"/>
      <c r="D37" s="300"/>
      <c r="E37" s="298"/>
      <c r="F37" s="300"/>
      <c r="G37" s="317"/>
      <c r="H37" s="318"/>
      <c r="I37" s="298"/>
      <c r="J37" s="299"/>
      <c r="K37" s="299"/>
      <c r="L37" s="299"/>
      <c r="M37" s="300"/>
    </row>
    <row r="38" spans="1:13" ht="39.75" customHeight="1">
      <c r="A38" s="288"/>
      <c r="B38" s="314" t="s">
        <v>42</v>
      </c>
      <c r="C38" s="315"/>
      <c r="D38" s="316"/>
      <c r="E38" s="301" t="s">
        <v>254</v>
      </c>
      <c r="F38" s="301"/>
      <c r="G38" s="301"/>
      <c r="H38" s="301"/>
      <c r="I38" s="295" t="s">
        <v>257</v>
      </c>
      <c r="J38" s="296"/>
      <c r="K38" s="296"/>
      <c r="L38" s="296"/>
      <c r="M38" s="297"/>
    </row>
    <row r="39" spans="1:13">
      <c r="A39" s="288"/>
      <c r="B39" s="298"/>
      <c r="C39" s="299"/>
      <c r="D39" s="300"/>
      <c r="E39" s="298"/>
      <c r="F39" s="300"/>
      <c r="G39" s="317"/>
      <c r="H39" s="318"/>
      <c r="I39" s="298"/>
      <c r="J39" s="299"/>
      <c r="K39" s="299"/>
      <c r="L39" s="299"/>
      <c r="M39" s="300"/>
    </row>
    <row r="40" spans="1:13">
      <c r="A40" s="288"/>
      <c r="B40" s="289"/>
      <c r="C40" s="289"/>
      <c r="D40" s="289"/>
      <c r="E40" s="289"/>
      <c r="F40" s="289"/>
      <c r="G40" s="290"/>
      <c r="H40" s="290"/>
      <c r="I40" s="289"/>
      <c r="J40" s="289"/>
      <c r="K40" s="289"/>
      <c r="L40" s="289"/>
      <c r="M40" s="289"/>
    </row>
    <row r="41" spans="1:13" ht="15.6">
      <c r="A41" s="271" t="s">
        <v>206</v>
      </c>
      <c r="B41" s="270"/>
      <c r="C41" s="270"/>
      <c r="D41" s="270"/>
      <c r="E41" s="270"/>
      <c r="F41" s="270"/>
      <c r="G41" s="270"/>
      <c r="H41" s="270"/>
      <c r="I41" s="270"/>
      <c r="J41" s="270"/>
      <c r="K41" s="270"/>
      <c r="L41" s="270"/>
      <c r="M41" s="270"/>
    </row>
    <row r="43" spans="1:13" ht="44.25" customHeight="1">
      <c r="A43" s="324"/>
      <c r="B43" s="324"/>
      <c r="C43" s="324"/>
      <c r="D43" s="324"/>
      <c r="E43" s="324"/>
      <c r="F43" s="324"/>
      <c r="G43" s="324"/>
      <c r="H43" s="324"/>
      <c r="I43" s="324"/>
      <c r="J43" s="324"/>
      <c r="K43" s="324"/>
      <c r="L43" s="324"/>
      <c r="M43" s="324"/>
    </row>
    <row r="44" spans="1:13" ht="15.6">
      <c r="A44" s="271"/>
      <c r="B44" s="270"/>
      <c r="C44" s="270"/>
      <c r="D44" s="270"/>
      <c r="E44" s="270"/>
      <c r="F44" s="270"/>
      <c r="G44" s="270"/>
      <c r="H44" s="270"/>
      <c r="I44" s="270"/>
      <c r="J44" s="270"/>
      <c r="K44" s="270"/>
      <c r="L44" s="270"/>
      <c r="M44" s="270"/>
    </row>
    <row r="45" spans="1:13">
      <c r="A45" s="270"/>
      <c r="B45" s="272" t="s">
        <v>205</v>
      </c>
      <c r="C45" s="270"/>
      <c r="D45" s="270"/>
      <c r="E45" s="270"/>
      <c r="F45" s="270"/>
      <c r="G45" s="270"/>
      <c r="H45" s="270"/>
      <c r="I45" s="270"/>
      <c r="J45" s="270"/>
      <c r="K45" s="270"/>
      <c r="L45" s="270"/>
      <c r="M45" s="270"/>
    </row>
    <row r="49" spans="1:13">
      <c r="A49" s="270"/>
      <c r="B49" s="291"/>
      <c r="C49" s="270"/>
      <c r="D49" s="270"/>
      <c r="E49" s="270"/>
      <c r="F49" s="270"/>
      <c r="G49" s="270"/>
      <c r="H49" s="270"/>
      <c r="I49" s="270"/>
      <c r="J49" s="270"/>
      <c r="K49" s="270"/>
      <c r="L49" s="270"/>
      <c r="M49" s="270"/>
    </row>
    <row r="50" spans="1:13">
      <c r="A50" s="270"/>
      <c r="B50" s="291"/>
      <c r="C50" s="270"/>
      <c r="D50" s="270"/>
      <c r="E50" s="270"/>
      <c r="F50" s="270"/>
      <c r="G50" s="270"/>
      <c r="H50" s="270"/>
      <c r="I50" s="270"/>
      <c r="J50" s="270"/>
      <c r="K50" s="270"/>
      <c r="L50" s="270"/>
      <c r="M50" s="270"/>
    </row>
  </sheetData>
  <mergeCells count="42">
    <mergeCell ref="A43:M43"/>
    <mergeCell ref="B38:D38"/>
    <mergeCell ref="B39:D39"/>
    <mergeCell ref="G36:H36"/>
    <mergeCell ref="E36:F36"/>
    <mergeCell ref="E39:F39"/>
    <mergeCell ref="G39:H39"/>
    <mergeCell ref="I39:M39"/>
    <mergeCell ref="B36:D36"/>
    <mergeCell ref="I36:M36"/>
    <mergeCell ref="E38:F38"/>
    <mergeCell ref="E37:F37"/>
    <mergeCell ref="G37:H37"/>
    <mergeCell ref="I37:M37"/>
    <mergeCell ref="D6:M6"/>
    <mergeCell ref="B34:D34"/>
    <mergeCell ref="B35:D35"/>
    <mergeCell ref="E35:F35"/>
    <mergeCell ref="G35:H35"/>
    <mergeCell ref="B19:M19"/>
    <mergeCell ref="A18:M18"/>
    <mergeCell ref="D7:M7"/>
    <mergeCell ref="D11:M11"/>
    <mergeCell ref="D12:M12"/>
    <mergeCell ref="D13:M13"/>
    <mergeCell ref="D14:M14"/>
    <mergeCell ref="D15:M15"/>
    <mergeCell ref="B22:M22"/>
    <mergeCell ref="B24:M24"/>
    <mergeCell ref="B23:M23"/>
    <mergeCell ref="E33:F33"/>
    <mergeCell ref="G33:H33"/>
    <mergeCell ref="B33:D33"/>
    <mergeCell ref="I33:M33"/>
    <mergeCell ref="B25:M25"/>
    <mergeCell ref="I34:M34"/>
    <mergeCell ref="I35:M35"/>
    <mergeCell ref="I38:M38"/>
    <mergeCell ref="G38:H38"/>
    <mergeCell ref="B37:D37"/>
    <mergeCell ref="G34:H34"/>
    <mergeCell ref="E34:F34"/>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7"/>
  <sheetViews>
    <sheetView zoomScale="85" zoomScaleNormal="85" workbookViewId="0">
      <selection sqref="A1:U1"/>
    </sheetView>
  </sheetViews>
  <sheetFormatPr defaultColWidth="9.109375" defaultRowHeight="13.2"/>
  <cols>
    <col min="1" max="1" width="3.109375" style="210" customWidth="1"/>
    <col min="2" max="20" width="12.6640625" style="210" customWidth="1"/>
    <col min="21" max="16384" width="9.109375" style="210"/>
  </cols>
  <sheetData>
    <row r="1" spans="1:21" ht="24.6">
      <c r="A1" s="325" t="s">
        <v>228</v>
      </c>
      <c r="B1" s="325"/>
      <c r="C1" s="325"/>
      <c r="D1" s="325"/>
      <c r="E1" s="325"/>
      <c r="F1" s="325"/>
      <c r="G1" s="325"/>
      <c r="H1" s="325"/>
      <c r="I1" s="325"/>
      <c r="J1" s="325"/>
      <c r="K1" s="325"/>
      <c r="L1" s="325"/>
      <c r="M1" s="325"/>
      <c r="N1" s="325"/>
      <c r="O1" s="325"/>
      <c r="P1" s="325"/>
      <c r="Q1" s="325"/>
      <c r="R1" s="325"/>
      <c r="S1" s="325"/>
      <c r="T1" s="325"/>
      <c r="U1" s="325"/>
    </row>
    <row r="2" spans="1:21" ht="22.8">
      <c r="A2" s="55"/>
      <c r="B2" s="83"/>
      <c r="C2" s="83"/>
      <c r="D2" s="55"/>
      <c r="E2" s="55"/>
      <c r="F2" s="55"/>
      <c r="G2" s="55"/>
      <c r="H2" s="55"/>
      <c r="I2" s="55"/>
      <c r="J2" s="55"/>
      <c r="K2" s="55"/>
      <c r="L2" s="55"/>
      <c r="M2" s="55"/>
      <c r="N2" s="55"/>
      <c r="O2" s="55"/>
      <c r="P2" s="55"/>
      <c r="Q2" s="55"/>
      <c r="R2" s="55"/>
      <c r="S2" s="55"/>
      <c r="T2" s="55"/>
      <c r="U2" s="54"/>
    </row>
    <row r="3" spans="1:21" ht="22.8">
      <c r="A3" s="55"/>
      <c r="B3" s="84" t="s">
        <v>260</v>
      </c>
      <c r="C3" s="212"/>
      <c r="D3" s="81"/>
      <c r="E3" s="81"/>
      <c r="F3" s="81"/>
      <c r="G3" s="81"/>
      <c r="H3" s="81"/>
      <c r="I3" s="81"/>
      <c r="J3" s="82"/>
      <c r="K3" s="81"/>
      <c r="L3" s="81"/>
      <c r="M3" s="81"/>
      <c r="N3" s="81"/>
      <c r="O3" s="82"/>
      <c r="P3" s="81"/>
      <c r="Q3" s="81"/>
      <c r="R3" s="81"/>
      <c r="S3" s="80"/>
      <c r="T3" s="74"/>
    </row>
    <row r="4" spans="1:21" ht="22.8">
      <c r="A4" s="55"/>
      <c r="B4" s="61"/>
      <c r="C4" s="77"/>
      <c r="D4" s="76"/>
      <c r="E4" s="76"/>
      <c r="F4" s="76"/>
      <c r="G4" s="76"/>
      <c r="H4" s="76"/>
      <c r="I4" s="76"/>
      <c r="J4" s="77"/>
      <c r="K4" s="76"/>
      <c r="L4" s="76"/>
      <c r="M4" s="76"/>
      <c r="N4" s="76"/>
      <c r="O4" s="76"/>
      <c r="P4" s="76"/>
      <c r="Q4" s="76"/>
      <c r="R4" s="76"/>
      <c r="S4" s="75"/>
      <c r="T4" s="74"/>
    </row>
    <row r="5" spans="1:21" ht="15.6">
      <c r="A5" s="79"/>
      <c r="B5" s="88" t="s">
        <v>268</v>
      </c>
      <c r="C5" s="90"/>
      <c r="D5" s="89"/>
      <c r="E5" s="89"/>
      <c r="F5" s="89"/>
      <c r="G5" s="89"/>
      <c r="H5" s="90" t="s">
        <v>269</v>
      </c>
      <c r="I5" s="89"/>
      <c r="J5" s="91"/>
      <c r="K5" s="89"/>
      <c r="L5" s="89"/>
      <c r="M5" s="89"/>
      <c r="N5" s="90" t="s">
        <v>270</v>
      </c>
      <c r="O5" s="89"/>
      <c r="P5" s="89"/>
      <c r="Q5" s="89"/>
      <c r="R5" s="89"/>
      <c r="S5" s="92"/>
      <c r="T5" s="78"/>
    </row>
    <row r="6" spans="1:21" ht="15.6">
      <c r="A6" s="79"/>
      <c r="B6" s="93"/>
      <c r="C6" s="94"/>
      <c r="D6" s="89"/>
      <c r="E6" s="89"/>
      <c r="F6" s="89"/>
      <c r="G6" s="89"/>
      <c r="H6" s="94"/>
      <c r="I6" s="89"/>
      <c r="J6" s="95"/>
      <c r="K6" s="89"/>
      <c r="L6" s="89"/>
      <c r="M6" s="89"/>
      <c r="N6" s="96"/>
      <c r="O6" s="89"/>
      <c r="P6" s="89"/>
      <c r="Q6" s="89"/>
      <c r="R6" s="89"/>
      <c r="S6" s="92"/>
      <c r="T6" s="78"/>
    </row>
    <row r="7" spans="1:21" ht="15.6">
      <c r="A7" s="79"/>
      <c r="B7" s="97" t="s">
        <v>258</v>
      </c>
      <c r="C7" s="98"/>
      <c r="D7" s="89"/>
      <c r="E7" s="89"/>
      <c r="F7" s="89"/>
      <c r="G7" s="89"/>
      <c r="H7" s="98" t="s">
        <v>259</v>
      </c>
      <c r="I7" s="89"/>
      <c r="J7" s="95"/>
      <c r="K7" s="89"/>
      <c r="L7" s="89"/>
      <c r="M7" s="96"/>
      <c r="N7" s="98" t="s">
        <v>258</v>
      </c>
      <c r="O7" s="96"/>
      <c r="P7" s="89"/>
      <c r="Q7" s="89"/>
      <c r="R7" s="89"/>
      <c r="S7" s="99"/>
      <c r="T7" s="78"/>
    </row>
    <row r="8" spans="1:21" ht="15.6">
      <c r="A8" s="79"/>
      <c r="B8" s="93"/>
      <c r="C8" s="94"/>
      <c r="D8" s="89"/>
      <c r="E8" s="89"/>
      <c r="F8" s="89"/>
      <c r="G8" s="89"/>
      <c r="H8" s="89"/>
      <c r="I8" s="89"/>
      <c r="J8" s="95"/>
      <c r="K8" s="89"/>
      <c r="L8" s="89"/>
      <c r="M8" s="96"/>
      <c r="N8" s="89"/>
      <c r="O8" s="96"/>
      <c r="P8" s="89"/>
      <c r="Q8" s="89"/>
      <c r="R8" s="89"/>
      <c r="S8" s="99"/>
      <c r="T8" s="78"/>
    </row>
    <row r="9" spans="1:21" ht="15.6">
      <c r="A9" s="79"/>
      <c r="B9" s="93" t="s">
        <v>40</v>
      </c>
      <c r="C9" s="94"/>
      <c r="D9" s="89"/>
      <c r="E9" s="89"/>
      <c r="F9" s="89"/>
      <c r="G9" s="89"/>
      <c r="H9" s="100" t="s">
        <v>266</v>
      </c>
      <c r="I9" s="89"/>
      <c r="J9" s="95"/>
      <c r="K9" s="89"/>
      <c r="L9" s="89"/>
      <c r="M9" s="96"/>
      <c r="N9" s="96"/>
      <c r="O9" s="96"/>
      <c r="P9" s="89"/>
      <c r="Q9" s="89"/>
      <c r="R9" s="89"/>
      <c r="S9" s="99"/>
      <c r="T9" s="78"/>
    </row>
    <row r="10" spans="1:21" ht="15.6">
      <c r="A10" s="79"/>
      <c r="B10" s="93" t="s">
        <v>39</v>
      </c>
      <c r="C10" s="94"/>
      <c r="D10" s="89"/>
      <c r="E10" s="89"/>
      <c r="F10" s="89"/>
      <c r="G10" s="89"/>
      <c r="H10" s="96" t="s">
        <v>45</v>
      </c>
      <c r="I10" s="89"/>
      <c r="J10" s="95"/>
      <c r="K10" s="89"/>
      <c r="L10" s="89"/>
      <c r="M10" s="89"/>
      <c r="N10" s="96" t="s">
        <v>43</v>
      </c>
      <c r="O10" s="89"/>
      <c r="P10" s="89"/>
      <c r="Q10" s="89"/>
      <c r="R10" s="89"/>
      <c r="S10" s="99"/>
      <c r="T10" s="78"/>
    </row>
    <row r="11" spans="1:21" ht="15.6">
      <c r="A11" s="79"/>
      <c r="B11" s="93" t="s">
        <v>37</v>
      </c>
      <c r="C11" s="94"/>
      <c r="D11" s="89"/>
      <c r="E11" s="89"/>
      <c r="F11" s="89"/>
      <c r="G11" s="89"/>
      <c r="H11" s="96" t="s">
        <v>46</v>
      </c>
      <c r="I11" s="89"/>
      <c r="J11" s="95"/>
      <c r="K11" s="89"/>
      <c r="L11" s="89"/>
      <c r="M11" s="89"/>
      <c r="N11" s="89"/>
      <c r="O11" s="89"/>
      <c r="P11" s="89"/>
      <c r="Q11" s="89"/>
      <c r="R11" s="89"/>
      <c r="S11" s="99"/>
      <c r="T11" s="78"/>
    </row>
    <row r="12" spans="1:21" ht="15.6">
      <c r="A12" s="79"/>
      <c r="B12" s="93" t="s">
        <v>104</v>
      </c>
      <c r="C12" s="94"/>
      <c r="D12" s="89"/>
      <c r="E12" s="89"/>
      <c r="F12" s="89"/>
      <c r="G12" s="89"/>
      <c r="H12" s="96" t="s">
        <v>47</v>
      </c>
      <c r="I12" s="89"/>
      <c r="J12" s="95"/>
      <c r="K12" s="89"/>
      <c r="L12" s="89"/>
      <c r="M12" s="89"/>
      <c r="N12" s="98" t="s">
        <v>261</v>
      </c>
      <c r="O12" s="89"/>
      <c r="P12" s="89"/>
      <c r="Q12" s="89"/>
      <c r="R12" s="89"/>
      <c r="S12" s="99"/>
      <c r="T12" s="78"/>
    </row>
    <row r="13" spans="1:21" ht="15.6">
      <c r="A13" s="79"/>
      <c r="B13" s="93" t="s">
        <v>105</v>
      </c>
      <c r="C13" s="94"/>
      <c r="D13" s="89"/>
      <c r="E13" s="89"/>
      <c r="F13" s="89"/>
      <c r="G13" s="89"/>
      <c r="H13" s="96" t="s">
        <v>48</v>
      </c>
      <c r="I13" s="89"/>
      <c r="J13" s="95"/>
      <c r="K13" s="89"/>
      <c r="L13" s="89"/>
      <c r="M13" s="89"/>
      <c r="N13" s="96"/>
      <c r="O13" s="89"/>
      <c r="P13" s="89"/>
      <c r="Q13" s="89"/>
      <c r="R13" s="89"/>
      <c r="S13" s="99"/>
      <c r="T13" s="78"/>
    </row>
    <row r="14" spans="1:21" ht="15.6">
      <c r="A14" s="79"/>
      <c r="B14" s="93" t="s">
        <v>102</v>
      </c>
      <c r="C14" s="94"/>
      <c r="D14" s="89"/>
      <c r="E14" s="89"/>
      <c r="F14" s="89"/>
      <c r="G14" s="89"/>
      <c r="H14" s="96" t="s">
        <v>49</v>
      </c>
      <c r="I14" s="89"/>
      <c r="J14" s="95"/>
      <c r="K14" s="89"/>
      <c r="L14" s="89"/>
      <c r="M14" s="89"/>
      <c r="N14" s="96" t="s">
        <v>44</v>
      </c>
      <c r="O14" s="89"/>
      <c r="P14" s="89"/>
      <c r="Q14" s="89"/>
      <c r="R14" s="89"/>
      <c r="S14" s="99"/>
      <c r="T14" s="78"/>
    </row>
    <row r="15" spans="1:21" ht="15.6">
      <c r="A15" s="79"/>
      <c r="B15" s="93" t="s">
        <v>103</v>
      </c>
      <c r="C15" s="94"/>
      <c r="D15" s="89"/>
      <c r="E15" s="89"/>
      <c r="F15" s="89"/>
      <c r="G15" s="89"/>
      <c r="H15" s="96" t="s">
        <v>285</v>
      </c>
      <c r="I15" s="89"/>
      <c r="J15" s="95"/>
      <c r="K15" s="89"/>
      <c r="L15" s="89"/>
      <c r="M15" s="89"/>
      <c r="N15" s="89"/>
      <c r="O15" s="89"/>
      <c r="P15" s="89"/>
      <c r="Q15" s="89"/>
      <c r="R15" s="89"/>
      <c r="S15" s="99"/>
      <c r="T15" s="78"/>
    </row>
    <row r="16" spans="1:21" ht="15.6">
      <c r="A16" s="79"/>
      <c r="B16" s="93" t="s">
        <v>35</v>
      </c>
      <c r="C16" s="94"/>
      <c r="D16" s="89"/>
      <c r="E16" s="89"/>
      <c r="F16" s="89"/>
      <c r="G16" s="89"/>
      <c r="H16" s="96" t="s">
        <v>284</v>
      </c>
      <c r="I16" s="89"/>
      <c r="J16" s="95"/>
      <c r="K16" s="89"/>
      <c r="L16" s="89"/>
      <c r="M16" s="89"/>
      <c r="N16" s="98" t="s">
        <v>263</v>
      </c>
      <c r="O16" s="89"/>
      <c r="P16" s="89"/>
      <c r="Q16" s="89"/>
      <c r="R16" s="89"/>
      <c r="S16" s="99"/>
      <c r="T16" s="78"/>
    </row>
    <row r="17" spans="1:20" ht="15.6">
      <c r="A17" s="79"/>
      <c r="B17" s="93" t="s">
        <v>38</v>
      </c>
      <c r="C17" s="94"/>
      <c r="D17" s="89"/>
      <c r="E17" s="89"/>
      <c r="F17" s="89"/>
      <c r="G17" s="89"/>
      <c r="H17" s="96" t="s">
        <v>53</v>
      </c>
      <c r="I17" s="89"/>
      <c r="J17" s="95"/>
      <c r="K17" s="89"/>
      <c r="L17" s="89"/>
      <c r="M17" s="89"/>
      <c r="N17" s="89"/>
      <c r="O17" s="89"/>
      <c r="P17" s="89"/>
      <c r="Q17" s="89"/>
      <c r="R17" s="89"/>
      <c r="S17" s="99"/>
      <c r="T17" s="78"/>
    </row>
    <row r="18" spans="1:20" ht="15.6">
      <c r="A18" s="79"/>
      <c r="B18" s="93" t="s">
        <v>41</v>
      </c>
      <c r="C18" s="94"/>
      <c r="D18" s="89"/>
      <c r="E18" s="89"/>
      <c r="F18" s="89"/>
      <c r="G18" s="89"/>
      <c r="H18" s="96" t="s">
        <v>54</v>
      </c>
      <c r="I18" s="89"/>
      <c r="J18" s="95"/>
      <c r="K18" s="89"/>
      <c r="L18" s="89"/>
      <c r="M18" s="89"/>
      <c r="N18" s="96" t="s">
        <v>202</v>
      </c>
      <c r="O18" s="89"/>
      <c r="P18" s="89"/>
      <c r="Q18" s="89"/>
      <c r="R18" s="89"/>
      <c r="S18" s="99"/>
      <c r="T18" s="78"/>
    </row>
    <row r="19" spans="1:20" ht="15.6">
      <c r="A19" s="79"/>
      <c r="B19" s="93"/>
      <c r="C19" s="94"/>
      <c r="D19" s="89"/>
      <c r="E19" s="89"/>
      <c r="F19" s="89"/>
      <c r="G19" s="89"/>
      <c r="H19" s="96" t="s">
        <v>55</v>
      </c>
      <c r="I19" s="89"/>
      <c r="J19" s="95"/>
      <c r="K19" s="89"/>
      <c r="L19" s="89"/>
      <c r="M19" s="89"/>
      <c r="N19" s="96" t="s">
        <v>194</v>
      </c>
      <c r="O19" s="89"/>
      <c r="P19" s="89"/>
      <c r="Q19" s="89"/>
      <c r="R19" s="89"/>
      <c r="S19" s="99"/>
      <c r="T19" s="78"/>
    </row>
    <row r="20" spans="1:20" ht="15.6">
      <c r="A20" s="79"/>
      <c r="B20" s="239" t="s">
        <v>333</v>
      </c>
      <c r="C20" s="90"/>
      <c r="D20" s="89"/>
      <c r="E20" s="89"/>
      <c r="F20" s="89"/>
      <c r="G20" s="89"/>
      <c r="H20" s="96" t="s">
        <v>56</v>
      </c>
      <c r="I20" s="89"/>
      <c r="J20" s="95"/>
      <c r="K20" s="89"/>
      <c r="L20" s="89"/>
      <c r="M20" s="89"/>
      <c r="N20" s="96" t="s">
        <v>79</v>
      </c>
      <c r="O20" s="89"/>
      <c r="P20" s="89"/>
      <c r="Q20" s="89"/>
      <c r="R20" s="89"/>
      <c r="S20" s="99"/>
      <c r="T20" s="78"/>
    </row>
    <row r="21" spans="1:20" ht="15.6">
      <c r="A21" s="79"/>
      <c r="B21" s="88"/>
      <c r="C21" s="90"/>
      <c r="D21" s="89"/>
      <c r="E21" s="89"/>
      <c r="F21" s="89"/>
      <c r="G21" s="89"/>
      <c r="H21" s="96" t="s">
        <v>57</v>
      </c>
      <c r="I21" s="89"/>
      <c r="J21" s="95"/>
      <c r="K21" s="89"/>
      <c r="L21" s="89"/>
      <c r="M21" s="89"/>
      <c r="N21" s="96" t="s">
        <v>80</v>
      </c>
      <c r="O21" s="89"/>
      <c r="P21" s="89"/>
      <c r="Q21" s="89"/>
      <c r="R21" s="89"/>
      <c r="S21" s="99"/>
      <c r="T21" s="78"/>
    </row>
    <row r="22" spans="1:20" ht="15.6">
      <c r="A22" s="79"/>
      <c r="B22" s="93" t="str">
        <f>"Water: Non-households – under 50ML threshold"</f>
        <v>Water: Non-households – under 50ML threshold</v>
      </c>
      <c r="C22" s="94"/>
      <c r="D22" s="89"/>
      <c r="E22" s="89"/>
      <c r="F22" s="89"/>
      <c r="G22" s="89"/>
      <c r="H22" s="96" t="s">
        <v>58</v>
      </c>
      <c r="I22" s="89"/>
      <c r="J22" s="95"/>
      <c r="K22" s="89"/>
      <c r="L22" s="89"/>
      <c r="M22" s="89"/>
      <c r="N22" s="98"/>
      <c r="O22" s="89"/>
      <c r="P22" s="89"/>
      <c r="Q22" s="89"/>
      <c r="R22" s="89"/>
      <c r="S22" s="99"/>
      <c r="T22" s="78"/>
    </row>
    <row r="23" spans="1:20" ht="15.6">
      <c r="A23" s="79"/>
      <c r="B23" s="93" t="str">
        <f>"Water: Non-households – over 50ML threshold"</f>
        <v>Water: Non-households – over 50ML threshold</v>
      </c>
      <c r="C23" s="94"/>
      <c r="D23" s="89"/>
      <c r="E23" s="89"/>
      <c r="F23" s="89"/>
      <c r="G23" s="89"/>
      <c r="H23" s="96" t="s">
        <v>282</v>
      </c>
      <c r="I23" s="89"/>
      <c r="J23" s="95"/>
      <c r="K23" s="89"/>
      <c r="L23" s="89"/>
      <c r="M23" s="89"/>
      <c r="N23" s="98" t="s">
        <v>264</v>
      </c>
      <c r="O23" s="89"/>
      <c r="P23" s="89"/>
      <c r="Q23" s="89"/>
      <c r="R23" s="89"/>
      <c r="S23" s="99"/>
      <c r="T23" s="78"/>
    </row>
    <row r="24" spans="1:20" ht="15.6">
      <c r="A24" s="79"/>
      <c r="B24" s="93" t="str">
        <f>"Sewerage: Non-households – under 50ML threshold"</f>
        <v>Sewerage: Non-households – under 50ML threshold</v>
      </c>
      <c r="C24" s="94"/>
      <c r="D24" s="89"/>
      <c r="E24" s="89"/>
      <c r="F24" s="89"/>
      <c r="G24" s="89"/>
      <c r="H24" s="96" t="s">
        <v>283</v>
      </c>
      <c r="I24" s="89"/>
      <c r="J24" s="95"/>
      <c r="K24" s="89"/>
      <c r="L24" s="89"/>
      <c r="M24" s="89"/>
      <c r="N24" s="98"/>
      <c r="O24" s="89"/>
      <c r="P24" s="89"/>
      <c r="Q24" s="89"/>
      <c r="R24" s="89"/>
      <c r="S24" s="99"/>
      <c r="T24" s="78"/>
    </row>
    <row r="25" spans="1:20" ht="15.6">
      <c r="A25" s="79"/>
      <c r="B25" s="93" t="str">
        <f>"Sewerage: Non-households – over 50ML threshold"</f>
        <v>Sewerage: Non-households – over 50ML threshold</v>
      </c>
      <c r="C25" s="94"/>
      <c r="D25" s="89"/>
      <c r="E25" s="89"/>
      <c r="F25" s="89"/>
      <c r="G25" s="89"/>
      <c r="H25" s="89"/>
      <c r="I25" s="89"/>
      <c r="J25" s="95"/>
      <c r="K25" s="89"/>
      <c r="L25" s="89"/>
      <c r="M25" s="89"/>
      <c r="N25" s="96" t="s">
        <v>168</v>
      </c>
      <c r="O25" s="89"/>
      <c r="P25" s="89"/>
      <c r="Q25" s="89"/>
      <c r="R25" s="89"/>
      <c r="S25" s="99"/>
      <c r="T25" s="78"/>
    </row>
    <row r="26" spans="1:20" ht="15.6">
      <c r="A26" s="79"/>
      <c r="B26" s="93"/>
      <c r="C26" s="94"/>
      <c r="D26" s="89"/>
      <c r="E26" s="89"/>
      <c r="F26" s="89"/>
      <c r="G26" s="89"/>
      <c r="H26" s="100" t="s">
        <v>267</v>
      </c>
      <c r="I26" s="89"/>
      <c r="J26" s="95"/>
      <c r="K26" s="89"/>
      <c r="L26" s="89"/>
      <c r="M26" s="89"/>
      <c r="N26" s="96" t="s">
        <v>81</v>
      </c>
      <c r="O26" s="89"/>
      <c r="P26" s="89"/>
      <c r="Q26" s="89"/>
      <c r="R26" s="89"/>
      <c r="S26" s="99"/>
      <c r="T26" s="78"/>
    </row>
    <row r="27" spans="1:20" ht="15.6">
      <c r="A27" s="79"/>
      <c r="B27" s="93"/>
      <c r="C27" s="94"/>
      <c r="D27" s="89"/>
      <c r="E27" s="89"/>
      <c r="F27" s="89"/>
      <c r="G27" s="89"/>
      <c r="H27" s="96" t="s">
        <v>51</v>
      </c>
      <c r="I27" s="89"/>
      <c r="J27" s="95"/>
      <c r="K27" s="89"/>
      <c r="L27" s="89"/>
      <c r="M27" s="89"/>
      <c r="N27" s="98"/>
      <c r="O27" s="89"/>
      <c r="P27" s="89"/>
      <c r="Q27" s="89"/>
      <c r="R27" s="89"/>
      <c r="S27" s="99"/>
      <c r="T27" s="78"/>
    </row>
    <row r="28" spans="1:20" ht="15.6">
      <c r="A28" s="79"/>
      <c r="B28" s="93"/>
      <c r="C28" s="94"/>
      <c r="D28" s="89"/>
      <c r="E28" s="89"/>
      <c r="F28" s="89"/>
      <c r="G28" s="89"/>
      <c r="H28" s="96" t="s">
        <v>52</v>
      </c>
      <c r="I28" s="89"/>
      <c r="J28" s="95"/>
      <c r="K28" s="89"/>
      <c r="L28" s="89"/>
      <c r="M28" s="89"/>
      <c r="N28" s="98"/>
      <c r="O28" s="89"/>
      <c r="P28" s="89"/>
      <c r="Q28" s="89"/>
      <c r="R28" s="89"/>
      <c r="S28" s="99"/>
      <c r="T28" s="78"/>
    </row>
    <row r="29" spans="1:20" ht="15.6">
      <c r="A29" s="79"/>
      <c r="B29" s="93"/>
      <c r="C29" s="94"/>
      <c r="D29" s="89"/>
      <c r="E29" s="89"/>
      <c r="F29" s="89"/>
      <c r="G29" s="89"/>
      <c r="H29" s="96" t="s">
        <v>50</v>
      </c>
      <c r="I29" s="89"/>
      <c r="J29" s="95"/>
      <c r="K29" s="89"/>
      <c r="L29" s="89"/>
      <c r="M29" s="89"/>
      <c r="N29" s="98"/>
      <c r="O29" s="89"/>
      <c r="P29" s="89"/>
      <c r="Q29" s="89"/>
      <c r="R29" s="89"/>
      <c r="S29" s="99"/>
      <c r="T29" s="78"/>
    </row>
    <row r="30" spans="1:20" ht="15.6">
      <c r="A30" s="79"/>
      <c r="B30" s="93"/>
      <c r="C30" s="94"/>
      <c r="D30" s="89"/>
      <c r="E30" s="89"/>
      <c r="F30" s="89"/>
      <c r="G30" s="89"/>
      <c r="H30" s="96" t="s">
        <v>60</v>
      </c>
      <c r="I30" s="89"/>
      <c r="J30" s="95"/>
      <c r="K30" s="89"/>
      <c r="L30" s="89"/>
      <c r="M30" s="89"/>
      <c r="N30" s="98"/>
      <c r="O30" s="89"/>
      <c r="P30" s="89"/>
      <c r="Q30" s="89"/>
      <c r="R30" s="89"/>
      <c r="S30" s="99"/>
      <c r="T30" s="78"/>
    </row>
    <row r="31" spans="1:20" ht="15.6">
      <c r="A31" s="79"/>
      <c r="B31" s="93"/>
      <c r="C31" s="94"/>
      <c r="D31" s="89"/>
      <c r="E31" s="89"/>
      <c r="F31" s="89"/>
      <c r="G31" s="89"/>
      <c r="H31" s="96" t="s">
        <v>61</v>
      </c>
      <c r="I31" s="89"/>
      <c r="J31" s="95"/>
      <c r="K31" s="89"/>
      <c r="L31" s="89"/>
      <c r="M31" s="89"/>
      <c r="N31" s="98"/>
      <c r="O31" s="89"/>
      <c r="P31" s="89"/>
      <c r="Q31" s="89"/>
      <c r="R31" s="89"/>
      <c r="S31" s="99"/>
      <c r="T31" s="78"/>
    </row>
    <row r="32" spans="1:20" ht="15.6">
      <c r="A32" s="79"/>
      <c r="B32" s="93"/>
      <c r="C32" s="94"/>
      <c r="D32" s="89"/>
      <c r="E32" s="89"/>
      <c r="F32" s="89"/>
      <c r="G32" s="89"/>
      <c r="H32" s="96" t="s">
        <v>59</v>
      </c>
      <c r="I32" s="89"/>
      <c r="J32" s="95"/>
      <c r="K32" s="89"/>
      <c r="L32" s="89"/>
      <c r="M32" s="89"/>
      <c r="N32" s="98"/>
      <c r="O32" s="89"/>
      <c r="P32" s="89"/>
      <c r="Q32" s="89"/>
      <c r="R32" s="89"/>
      <c r="S32" s="99"/>
      <c r="T32" s="78"/>
    </row>
    <row r="33" spans="1:20" ht="22.8">
      <c r="A33" s="55"/>
      <c r="B33" s="101"/>
      <c r="C33" s="102"/>
      <c r="D33" s="102"/>
      <c r="E33" s="102"/>
      <c r="F33" s="102"/>
      <c r="G33" s="102"/>
      <c r="H33" s="102"/>
      <c r="I33" s="102"/>
      <c r="J33" s="102"/>
      <c r="K33" s="102"/>
      <c r="L33" s="102"/>
      <c r="M33" s="102"/>
      <c r="N33" s="102"/>
      <c r="O33" s="102"/>
      <c r="P33" s="102"/>
      <c r="Q33" s="102"/>
      <c r="R33" s="102"/>
      <c r="S33" s="103"/>
      <c r="T33" s="74"/>
    </row>
    <row r="34" spans="1:20" ht="22.8">
      <c r="A34" s="55"/>
      <c r="B34" s="73"/>
      <c r="C34" s="73"/>
      <c r="D34" s="55"/>
      <c r="E34" s="55"/>
      <c r="F34" s="55"/>
      <c r="G34" s="55"/>
      <c r="H34" s="55"/>
      <c r="I34" s="55"/>
      <c r="J34" s="55"/>
      <c r="K34" s="55"/>
      <c r="L34" s="55"/>
      <c r="M34" s="55"/>
      <c r="N34" s="55"/>
      <c r="O34" s="55"/>
      <c r="P34" s="55"/>
      <c r="Q34" s="55"/>
      <c r="R34" s="55"/>
      <c r="S34" s="55"/>
      <c r="T34" s="55"/>
    </row>
    <row r="35" spans="1:20" ht="22.8">
      <c r="A35" s="55"/>
      <c r="B35" s="85" t="s">
        <v>262</v>
      </c>
      <c r="C35" s="213"/>
      <c r="D35" s="72"/>
      <c r="E35" s="72"/>
      <c r="F35" s="72"/>
      <c r="G35" s="72"/>
      <c r="H35" s="72"/>
      <c r="I35" s="72"/>
      <c r="J35" s="72"/>
      <c r="K35" s="72"/>
      <c r="L35" s="72"/>
      <c r="M35" s="72"/>
      <c r="N35" s="72"/>
      <c r="O35" s="72"/>
      <c r="P35" s="72"/>
      <c r="Q35" s="72"/>
      <c r="R35" s="72"/>
      <c r="S35" s="71"/>
      <c r="T35" s="54"/>
    </row>
    <row r="36" spans="1:20" ht="22.8">
      <c r="A36" s="55"/>
      <c r="B36" s="211"/>
      <c r="C36" s="214"/>
      <c r="D36" s="69"/>
      <c r="E36" s="69"/>
      <c r="F36" s="69"/>
      <c r="G36" s="69"/>
      <c r="H36" s="69"/>
      <c r="I36" s="69"/>
      <c r="J36" s="69"/>
      <c r="K36" s="69"/>
      <c r="L36" s="69"/>
      <c r="M36" s="69"/>
      <c r="N36" s="69"/>
      <c r="O36" s="69"/>
      <c r="P36" s="69"/>
      <c r="Q36" s="69"/>
      <c r="R36" s="69"/>
      <c r="S36" s="68"/>
      <c r="T36" s="54"/>
    </row>
    <row r="37" spans="1:20" ht="22.8">
      <c r="A37" s="55"/>
      <c r="B37" s="211"/>
      <c r="C37" s="214"/>
      <c r="D37" s="69"/>
      <c r="E37" s="69"/>
      <c r="F37" s="69"/>
      <c r="G37" s="69"/>
      <c r="H37" s="69"/>
      <c r="I37" s="69"/>
      <c r="J37" s="69"/>
      <c r="K37" s="69"/>
      <c r="L37" s="69"/>
      <c r="M37" s="69"/>
      <c r="N37" s="69"/>
      <c r="O37" s="69"/>
      <c r="P37" s="69"/>
      <c r="Q37" s="69"/>
      <c r="R37" s="69"/>
      <c r="S37" s="68"/>
      <c r="T37" s="54"/>
    </row>
    <row r="38" spans="1:20" ht="22.8">
      <c r="A38" s="55"/>
      <c r="B38" s="211"/>
      <c r="C38" s="214"/>
      <c r="D38" s="69"/>
      <c r="E38" s="69"/>
      <c r="F38" s="69"/>
      <c r="G38" s="69"/>
      <c r="H38" s="69"/>
      <c r="I38" s="69"/>
      <c r="J38" s="69"/>
      <c r="K38" s="69"/>
      <c r="L38" s="69"/>
      <c r="M38" s="69"/>
      <c r="N38" s="69"/>
      <c r="O38" s="69"/>
      <c r="P38" s="69"/>
      <c r="Q38" s="69"/>
      <c r="R38" s="69"/>
      <c r="S38" s="68"/>
      <c r="T38" s="54"/>
    </row>
    <row r="39" spans="1:20" ht="22.8">
      <c r="A39" s="55"/>
      <c r="B39" s="211"/>
      <c r="C39" s="214"/>
      <c r="D39" s="69"/>
      <c r="E39" s="69"/>
      <c r="F39" s="69"/>
      <c r="G39" s="69"/>
      <c r="H39" s="327" t="s">
        <v>280</v>
      </c>
      <c r="I39" s="328"/>
      <c r="J39" s="69"/>
      <c r="K39" s="69"/>
      <c r="L39" s="69"/>
      <c r="M39" s="326" t="s">
        <v>281</v>
      </c>
      <c r="N39" s="326"/>
      <c r="O39" s="69"/>
      <c r="P39" s="69"/>
      <c r="Q39" s="69"/>
      <c r="R39" s="69"/>
      <c r="S39" s="68"/>
      <c r="T39" s="54"/>
    </row>
    <row r="40" spans="1:20" ht="23.25" customHeight="1">
      <c r="A40" s="55"/>
      <c r="B40" s="211"/>
      <c r="C40" s="214"/>
      <c r="D40" s="69"/>
      <c r="E40" s="69"/>
      <c r="F40" s="69"/>
      <c r="G40" s="69"/>
      <c r="H40" s="328"/>
      <c r="I40" s="328"/>
      <c r="J40" s="69"/>
      <c r="K40" s="229"/>
      <c r="L40" s="229"/>
      <c r="M40" s="326"/>
      <c r="N40" s="326"/>
      <c r="O40" s="69"/>
      <c r="P40" s="69"/>
      <c r="Q40" s="229"/>
      <c r="R40" s="229"/>
      <c r="S40" s="68"/>
      <c r="T40" s="54"/>
    </row>
    <row r="41" spans="1:20" ht="22.8">
      <c r="A41" s="55"/>
      <c r="B41" s="211"/>
      <c r="C41" s="214"/>
      <c r="D41" s="69"/>
      <c r="E41" s="69"/>
      <c r="F41" s="69"/>
      <c r="G41" s="69"/>
      <c r="H41" s="69"/>
      <c r="I41" s="69"/>
      <c r="J41" s="69"/>
      <c r="K41" s="230"/>
      <c r="L41" s="229"/>
      <c r="M41" s="229"/>
      <c r="N41" s="69"/>
      <c r="O41" s="69"/>
      <c r="P41" s="69"/>
      <c r="Q41" s="229"/>
      <c r="R41" s="229"/>
      <c r="S41" s="68"/>
      <c r="T41" s="54"/>
    </row>
    <row r="42" spans="1:20" ht="22.8">
      <c r="A42" s="55"/>
      <c r="B42" s="211"/>
      <c r="C42" s="214"/>
      <c r="D42" s="69"/>
      <c r="E42" s="69"/>
      <c r="F42" s="69"/>
      <c r="G42" s="69"/>
      <c r="H42" s="69"/>
      <c r="I42" s="69"/>
      <c r="J42" s="69"/>
      <c r="K42" s="69"/>
      <c r="L42" s="69"/>
      <c r="M42" s="69"/>
      <c r="N42" s="69"/>
      <c r="O42" s="69"/>
      <c r="P42" s="69"/>
      <c r="Q42" s="69"/>
      <c r="R42" s="69"/>
      <c r="S42" s="68"/>
      <c r="T42" s="54"/>
    </row>
    <row r="43" spans="1:20" ht="22.8">
      <c r="A43" s="55"/>
      <c r="B43" s="211"/>
      <c r="C43" s="214"/>
      <c r="D43" s="69"/>
      <c r="E43" s="69"/>
      <c r="F43" s="69"/>
      <c r="G43" s="69"/>
      <c r="H43" s="69"/>
      <c r="I43" s="69"/>
      <c r="J43" s="69"/>
      <c r="K43" s="69"/>
      <c r="L43" s="69"/>
      <c r="M43" s="69"/>
      <c r="N43" s="69"/>
      <c r="O43" s="69"/>
      <c r="P43" s="69"/>
      <c r="Q43" s="69"/>
      <c r="R43" s="69"/>
      <c r="S43" s="68"/>
      <c r="T43" s="54"/>
    </row>
    <row r="44" spans="1:20" ht="22.8">
      <c r="A44" s="55"/>
      <c r="B44" s="211"/>
      <c r="C44" s="216"/>
      <c r="D44" s="217"/>
      <c r="E44" s="217"/>
      <c r="F44" s="217"/>
      <c r="G44" s="217"/>
      <c r="H44" s="217"/>
      <c r="I44" s="217"/>
      <c r="J44" s="217"/>
      <c r="K44" s="217"/>
      <c r="L44" s="217"/>
      <c r="M44" s="217"/>
      <c r="N44" s="217"/>
      <c r="O44" s="217"/>
      <c r="P44" s="217"/>
      <c r="Q44" s="217"/>
      <c r="R44" s="218"/>
      <c r="S44" s="68"/>
      <c r="T44" s="54"/>
    </row>
    <row r="45" spans="1:20" ht="22.8">
      <c r="A45" s="55"/>
      <c r="B45" s="211"/>
      <c r="C45" s="219"/>
      <c r="D45" s="223" t="s">
        <v>279</v>
      </c>
      <c r="E45" s="220"/>
      <c r="F45" s="220"/>
      <c r="G45" s="220"/>
      <c r="H45" s="220"/>
      <c r="I45" s="220"/>
      <c r="J45" s="220"/>
      <c r="K45" s="220"/>
      <c r="L45" s="220"/>
      <c r="M45" s="220"/>
      <c r="N45" s="220"/>
      <c r="O45" s="220"/>
      <c r="P45" s="220"/>
      <c r="Q45" s="220"/>
      <c r="R45" s="221"/>
      <c r="S45" s="68"/>
      <c r="T45" s="54"/>
    </row>
    <row r="46" spans="1:20" ht="22.8">
      <c r="A46" s="55"/>
      <c r="B46" s="211"/>
      <c r="C46" s="219"/>
      <c r="D46" s="220"/>
      <c r="E46" s="220"/>
      <c r="F46" s="220"/>
      <c r="G46" s="220"/>
      <c r="H46" s="220"/>
      <c r="I46" s="220"/>
      <c r="J46" s="220"/>
      <c r="K46" s="220"/>
      <c r="L46" s="220"/>
      <c r="M46" s="220"/>
      <c r="N46" s="220"/>
      <c r="O46" s="220"/>
      <c r="P46" s="220"/>
      <c r="Q46" s="220"/>
      <c r="R46" s="221"/>
      <c r="S46" s="68"/>
      <c r="T46" s="54"/>
    </row>
    <row r="47" spans="1:20" ht="22.8">
      <c r="A47" s="55"/>
      <c r="B47" s="70"/>
      <c r="C47" s="222"/>
      <c r="D47" s="220"/>
      <c r="E47" s="220"/>
      <c r="F47" s="220"/>
      <c r="G47" s="220"/>
      <c r="H47" s="220"/>
      <c r="I47" s="220"/>
      <c r="J47" s="220"/>
      <c r="K47" s="220"/>
      <c r="L47" s="220"/>
      <c r="M47" s="220"/>
      <c r="N47" s="220"/>
      <c r="O47" s="220"/>
      <c r="P47" s="220"/>
      <c r="Q47" s="220"/>
      <c r="R47" s="221"/>
      <c r="S47" s="68"/>
      <c r="T47" s="54"/>
    </row>
    <row r="48" spans="1:20" ht="22.8">
      <c r="A48" s="55"/>
      <c r="B48" s="70"/>
      <c r="C48" s="222"/>
      <c r="D48" s="220"/>
      <c r="E48" s="220"/>
      <c r="F48" s="220"/>
      <c r="G48" s="220"/>
      <c r="H48" s="220"/>
      <c r="I48" s="220"/>
      <c r="J48" s="220"/>
      <c r="K48" s="220"/>
      <c r="L48" s="220"/>
      <c r="M48" s="220"/>
      <c r="N48" s="220"/>
      <c r="O48" s="220"/>
      <c r="P48" s="220"/>
      <c r="Q48" s="220"/>
      <c r="R48" s="221"/>
      <c r="S48" s="68"/>
      <c r="T48" s="54"/>
    </row>
    <row r="49" spans="1:20" ht="22.8">
      <c r="A49" s="55"/>
      <c r="B49" s="70"/>
      <c r="C49" s="222"/>
      <c r="D49" s="220"/>
      <c r="E49" s="220"/>
      <c r="F49" s="220"/>
      <c r="G49" s="220"/>
      <c r="H49" s="220"/>
      <c r="I49" s="220"/>
      <c r="J49" s="220"/>
      <c r="K49" s="220"/>
      <c r="L49" s="220"/>
      <c r="M49" s="220"/>
      <c r="N49" s="220"/>
      <c r="O49" s="220"/>
      <c r="P49" s="220"/>
      <c r="Q49" s="220"/>
      <c r="R49" s="221"/>
      <c r="S49" s="68"/>
      <c r="T49" s="54"/>
    </row>
    <row r="50" spans="1:20" ht="22.8">
      <c r="A50" s="55"/>
      <c r="B50" s="70"/>
      <c r="C50" s="222"/>
      <c r="D50" s="220"/>
      <c r="E50" s="220"/>
      <c r="F50" s="220"/>
      <c r="G50" s="220"/>
      <c r="H50" s="220"/>
      <c r="I50" s="220"/>
      <c r="J50" s="220"/>
      <c r="K50" s="220"/>
      <c r="L50" s="220"/>
      <c r="M50" s="220"/>
      <c r="N50" s="220"/>
      <c r="O50" s="220"/>
      <c r="P50" s="220"/>
      <c r="Q50" s="220"/>
      <c r="R50" s="221"/>
      <c r="S50" s="68"/>
      <c r="T50" s="54"/>
    </row>
    <row r="51" spans="1:20" ht="22.8">
      <c r="A51" s="55"/>
      <c r="B51" s="70"/>
      <c r="C51" s="222"/>
      <c r="D51" s="220"/>
      <c r="E51" s="220"/>
      <c r="F51" s="220"/>
      <c r="G51" s="220"/>
      <c r="H51" s="220"/>
      <c r="I51" s="220"/>
      <c r="J51" s="220"/>
      <c r="K51" s="220"/>
      <c r="L51" s="220"/>
      <c r="M51" s="220"/>
      <c r="N51" s="220"/>
      <c r="O51" s="220"/>
      <c r="P51" s="220"/>
      <c r="Q51" s="220"/>
      <c r="R51" s="221"/>
      <c r="S51" s="68"/>
      <c r="T51" s="54"/>
    </row>
    <row r="52" spans="1:20" ht="22.8">
      <c r="A52" s="55"/>
      <c r="B52" s="70"/>
      <c r="C52" s="222"/>
      <c r="D52" s="220"/>
      <c r="E52" s="220"/>
      <c r="F52" s="220"/>
      <c r="G52" s="220"/>
      <c r="H52" s="220"/>
      <c r="I52" s="220"/>
      <c r="J52" s="220"/>
      <c r="K52" s="220"/>
      <c r="L52" s="220"/>
      <c r="M52" s="220"/>
      <c r="N52" s="220"/>
      <c r="O52" s="220"/>
      <c r="P52" s="220"/>
      <c r="Q52" s="220"/>
      <c r="R52" s="221"/>
      <c r="S52" s="68"/>
      <c r="T52" s="54"/>
    </row>
    <row r="53" spans="1:20" ht="22.8">
      <c r="A53" s="55"/>
      <c r="B53" s="70"/>
      <c r="C53" s="222"/>
      <c r="D53" s="220"/>
      <c r="E53" s="220"/>
      <c r="F53" s="220"/>
      <c r="G53" s="220"/>
      <c r="H53" s="220"/>
      <c r="I53" s="220"/>
      <c r="J53" s="220"/>
      <c r="K53" s="220"/>
      <c r="L53" s="220"/>
      <c r="M53" s="220"/>
      <c r="N53" s="220"/>
      <c r="O53" s="220"/>
      <c r="P53" s="220"/>
      <c r="Q53" s="220"/>
      <c r="R53" s="221"/>
      <c r="S53" s="68"/>
      <c r="T53" s="54"/>
    </row>
    <row r="54" spans="1:20" ht="22.8">
      <c r="A54" s="55"/>
      <c r="B54" s="70"/>
      <c r="C54" s="222"/>
      <c r="D54" s="220"/>
      <c r="E54" s="220"/>
      <c r="F54" s="220"/>
      <c r="G54" s="220"/>
      <c r="H54" s="220"/>
      <c r="I54" s="220"/>
      <c r="J54" s="220"/>
      <c r="K54" s="220"/>
      <c r="L54" s="220"/>
      <c r="M54" s="220"/>
      <c r="N54" s="220"/>
      <c r="O54" s="220"/>
      <c r="P54" s="220"/>
      <c r="Q54" s="220"/>
      <c r="R54" s="221"/>
      <c r="S54" s="68"/>
      <c r="T54" s="54"/>
    </row>
    <row r="55" spans="1:20" ht="22.8">
      <c r="A55" s="55"/>
      <c r="B55" s="70"/>
      <c r="C55" s="222"/>
      <c r="D55" s="220"/>
      <c r="E55" s="220"/>
      <c r="F55" s="220"/>
      <c r="G55" s="220"/>
      <c r="H55" s="220"/>
      <c r="I55" s="220"/>
      <c r="J55" s="220"/>
      <c r="K55" s="220"/>
      <c r="L55" s="220"/>
      <c r="M55" s="220"/>
      <c r="N55" s="220"/>
      <c r="O55" s="220"/>
      <c r="P55" s="220"/>
      <c r="Q55" s="220"/>
      <c r="R55" s="221"/>
      <c r="S55" s="68"/>
      <c r="T55" s="54"/>
    </row>
    <row r="56" spans="1:20" ht="22.8">
      <c r="A56" s="55"/>
      <c r="B56" s="70"/>
      <c r="C56" s="222"/>
      <c r="D56" s="220"/>
      <c r="E56" s="220"/>
      <c r="F56" s="220"/>
      <c r="G56" s="220"/>
      <c r="H56" s="220"/>
      <c r="I56" s="220"/>
      <c r="J56" s="220"/>
      <c r="K56" s="220"/>
      <c r="L56" s="220"/>
      <c r="M56" s="220"/>
      <c r="N56" s="220"/>
      <c r="O56" s="220"/>
      <c r="P56" s="220"/>
      <c r="Q56" s="220"/>
      <c r="R56" s="221"/>
      <c r="S56" s="68"/>
      <c r="T56" s="54"/>
    </row>
    <row r="57" spans="1:20" ht="22.8">
      <c r="A57" s="55"/>
      <c r="B57" s="70"/>
      <c r="C57" s="222"/>
      <c r="D57" s="220" t="s">
        <v>277</v>
      </c>
      <c r="E57" s="220"/>
      <c r="F57" s="220"/>
      <c r="G57" s="220"/>
      <c r="H57" s="220"/>
      <c r="I57" s="220"/>
      <c r="J57" s="223" t="s">
        <v>278</v>
      </c>
      <c r="K57" s="220"/>
      <c r="L57" s="224" t="s">
        <v>278</v>
      </c>
      <c r="M57" s="220"/>
      <c r="N57" s="220"/>
      <c r="O57" s="220"/>
      <c r="P57" s="220"/>
      <c r="Q57" s="224" t="s">
        <v>277</v>
      </c>
      <c r="R57" s="225"/>
      <c r="S57" s="68"/>
      <c r="T57" s="54"/>
    </row>
    <row r="58" spans="1:20" ht="22.8">
      <c r="A58" s="55"/>
      <c r="B58" s="70"/>
      <c r="C58" s="222"/>
      <c r="D58" s="220"/>
      <c r="E58" s="220"/>
      <c r="F58" s="220"/>
      <c r="G58" s="220"/>
      <c r="H58" s="220"/>
      <c r="I58" s="220"/>
      <c r="J58" s="220"/>
      <c r="K58" s="220"/>
      <c r="L58" s="220"/>
      <c r="M58" s="220"/>
      <c r="N58" s="220"/>
      <c r="O58" s="220"/>
      <c r="P58" s="220"/>
      <c r="Q58" s="220"/>
      <c r="R58" s="221"/>
      <c r="S58" s="68"/>
      <c r="T58" s="54"/>
    </row>
    <row r="59" spans="1:20" ht="22.8">
      <c r="A59" s="55"/>
      <c r="B59" s="70"/>
      <c r="C59" s="222"/>
      <c r="D59" s="220"/>
      <c r="E59" s="220"/>
      <c r="F59" s="220"/>
      <c r="G59" s="220"/>
      <c r="H59" s="220"/>
      <c r="I59" s="220"/>
      <c r="J59" s="220"/>
      <c r="K59" s="220"/>
      <c r="L59" s="220"/>
      <c r="M59" s="220"/>
      <c r="N59" s="220"/>
      <c r="O59" s="220"/>
      <c r="P59" s="220"/>
      <c r="Q59" s="220"/>
      <c r="R59" s="221"/>
      <c r="S59" s="68"/>
      <c r="T59" s="54"/>
    </row>
    <row r="60" spans="1:20" ht="22.8">
      <c r="A60" s="55"/>
      <c r="B60" s="70"/>
      <c r="C60" s="222"/>
      <c r="D60" s="220"/>
      <c r="E60" s="220"/>
      <c r="F60" s="220"/>
      <c r="G60" s="220"/>
      <c r="H60" s="220"/>
      <c r="I60" s="220"/>
      <c r="J60" s="220"/>
      <c r="K60" s="220"/>
      <c r="L60" s="220"/>
      <c r="M60" s="220"/>
      <c r="N60" s="220"/>
      <c r="O60" s="220"/>
      <c r="P60" s="220"/>
      <c r="Q60" s="220"/>
      <c r="R60" s="221"/>
      <c r="S60" s="68"/>
      <c r="T60" s="54"/>
    </row>
    <row r="61" spans="1:20" ht="22.8">
      <c r="A61" s="55"/>
      <c r="B61" s="70"/>
      <c r="C61" s="222"/>
      <c r="D61" s="220"/>
      <c r="E61" s="220"/>
      <c r="F61" s="220"/>
      <c r="G61" s="220"/>
      <c r="H61" s="220"/>
      <c r="I61" s="220"/>
      <c r="J61" s="220"/>
      <c r="K61" s="220"/>
      <c r="L61" s="220"/>
      <c r="M61" s="220"/>
      <c r="N61" s="220"/>
      <c r="O61" s="220"/>
      <c r="P61" s="220"/>
      <c r="Q61" s="220"/>
      <c r="R61" s="221"/>
      <c r="S61" s="68"/>
      <c r="T61" s="54"/>
    </row>
    <row r="62" spans="1:20" ht="22.8">
      <c r="A62" s="55"/>
      <c r="B62" s="70"/>
      <c r="C62" s="222"/>
      <c r="D62" s="220"/>
      <c r="E62" s="220"/>
      <c r="F62" s="220"/>
      <c r="G62" s="220"/>
      <c r="H62" s="220"/>
      <c r="I62" s="220"/>
      <c r="J62" s="220"/>
      <c r="K62" s="220"/>
      <c r="L62" s="220"/>
      <c r="M62" s="220"/>
      <c r="N62" s="220"/>
      <c r="O62" s="220"/>
      <c r="P62" s="220"/>
      <c r="Q62" s="220"/>
      <c r="R62" s="221"/>
      <c r="S62" s="68"/>
      <c r="T62" s="54"/>
    </row>
    <row r="63" spans="1:20" ht="22.8">
      <c r="A63" s="55"/>
      <c r="B63" s="70"/>
      <c r="C63" s="222"/>
      <c r="D63" s="220"/>
      <c r="E63" s="220"/>
      <c r="F63" s="220"/>
      <c r="G63" s="220"/>
      <c r="H63" s="220"/>
      <c r="I63" s="220"/>
      <c r="J63" s="220"/>
      <c r="K63" s="220"/>
      <c r="L63" s="220"/>
      <c r="M63" s="220"/>
      <c r="N63" s="220"/>
      <c r="O63" s="220"/>
      <c r="P63" s="220"/>
      <c r="Q63" s="220"/>
      <c r="R63" s="221"/>
      <c r="S63" s="68"/>
      <c r="T63" s="54"/>
    </row>
    <row r="64" spans="1:20" ht="22.8">
      <c r="A64" s="55"/>
      <c r="B64" s="70"/>
      <c r="C64" s="222"/>
      <c r="D64" s="220"/>
      <c r="E64" s="220"/>
      <c r="F64" s="220"/>
      <c r="G64" s="220"/>
      <c r="H64" s="220"/>
      <c r="I64" s="220"/>
      <c r="J64" s="220"/>
      <c r="K64" s="220"/>
      <c r="L64" s="220"/>
      <c r="M64" s="220"/>
      <c r="N64" s="220"/>
      <c r="O64" s="220"/>
      <c r="P64" s="220"/>
      <c r="Q64" s="220"/>
      <c r="R64" s="221"/>
      <c r="S64" s="68"/>
      <c r="T64" s="54"/>
    </row>
    <row r="65" spans="1:20" ht="22.8">
      <c r="A65" s="55"/>
      <c r="B65" s="70"/>
      <c r="C65" s="222"/>
      <c r="D65" s="220"/>
      <c r="E65" s="220"/>
      <c r="F65" s="220"/>
      <c r="G65" s="220"/>
      <c r="H65" s="220"/>
      <c r="I65" s="220"/>
      <c r="J65" s="220"/>
      <c r="K65" s="220"/>
      <c r="L65" s="220"/>
      <c r="M65" s="220"/>
      <c r="N65" s="220"/>
      <c r="O65" s="220"/>
      <c r="P65" s="220"/>
      <c r="Q65" s="220"/>
      <c r="R65" s="221"/>
      <c r="S65" s="68"/>
      <c r="T65" s="54"/>
    </row>
    <row r="66" spans="1:20" ht="22.8">
      <c r="A66" s="55"/>
      <c r="B66" s="70"/>
      <c r="C66" s="222"/>
      <c r="D66" s="220"/>
      <c r="E66" s="220"/>
      <c r="F66" s="220"/>
      <c r="G66" s="220"/>
      <c r="H66" s="220"/>
      <c r="I66" s="220"/>
      <c r="J66" s="220"/>
      <c r="K66" s="220"/>
      <c r="L66" s="220"/>
      <c r="M66" s="220"/>
      <c r="N66" s="220"/>
      <c r="O66" s="220"/>
      <c r="P66" s="220"/>
      <c r="Q66" s="220"/>
      <c r="R66" s="221"/>
      <c r="S66" s="68"/>
      <c r="T66" s="54"/>
    </row>
    <row r="67" spans="1:20" ht="22.8">
      <c r="A67" s="55"/>
      <c r="B67" s="70"/>
      <c r="C67" s="222"/>
      <c r="D67" s="220"/>
      <c r="E67" s="220"/>
      <c r="F67" s="220"/>
      <c r="G67" s="220"/>
      <c r="H67" s="220"/>
      <c r="I67" s="220"/>
      <c r="J67" s="220"/>
      <c r="K67" s="220"/>
      <c r="L67" s="220"/>
      <c r="M67" s="220"/>
      <c r="N67" s="220"/>
      <c r="O67" s="220"/>
      <c r="P67" s="220"/>
      <c r="Q67" s="220"/>
      <c r="R67" s="221"/>
      <c r="S67" s="68"/>
      <c r="T67" s="54"/>
    </row>
    <row r="68" spans="1:20" ht="22.8">
      <c r="A68" s="55"/>
      <c r="B68" s="70"/>
      <c r="C68" s="222"/>
      <c r="D68" s="220"/>
      <c r="E68" s="220"/>
      <c r="F68" s="220"/>
      <c r="G68" s="220"/>
      <c r="H68" s="220"/>
      <c r="I68" s="220"/>
      <c r="J68" s="220"/>
      <c r="K68" s="220"/>
      <c r="L68" s="220"/>
      <c r="M68" s="220"/>
      <c r="N68" s="220"/>
      <c r="O68" s="220"/>
      <c r="P68" s="220"/>
      <c r="Q68" s="220"/>
      <c r="R68" s="221"/>
      <c r="S68" s="68"/>
      <c r="T68" s="54"/>
    </row>
    <row r="69" spans="1:20" ht="22.8">
      <c r="A69" s="55"/>
      <c r="B69" s="70"/>
      <c r="C69" s="222"/>
      <c r="D69" s="220"/>
      <c r="E69" s="220"/>
      <c r="F69" s="220"/>
      <c r="G69" s="220"/>
      <c r="H69" s="220"/>
      <c r="I69" s="220"/>
      <c r="J69" s="220"/>
      <c r="K69" s="220"/>
      <c r="L69" s="220"/>
      <c r="M69" s="220"/>
      <c r="N69" s="220"/>
      <c r="O69" s="220"/>
      <c r="P69" s="220"/>
      <c r="Q69" s="220"/>
      <c r="R69" s="221"/>
      <c r="S69" s="68"/>
      <c r="T69" s="54"/>
    </row>
    <row r="70" spans="1:20" ht="22.8">
      <c r="A70" s="55"/>
      <c r="B70" s="70"/>
      <c r="C70" s="222"/>
      <c r="D70" s="220"/>
      <c r="E70" s="220"/>
      <c r="F70" s="220"/>
      <c r="G70" s="220"/>
      <c r="H70" s="220"/>
      <c r="I70" s="220"/>
      <c r="J70" s="220"/>
      <c r="K70" s="220"/>
      <c r="L70" s="220"/>
      <c r="M70" s="220"/>
      <c r="N70" s="220"/>
      <c r="O70" s="220"/>
      <c r="P70" s="220"/>
      <c r="Q70" s="220"/>
      <c r="R70" s="221"/>
      <c r="S70" s="68"/>
      <c r="T70" s="54"/>
    </row>
    <row r="71" spans="1:20" ht="22.8">
      <c r="A71" s="55"/>
      <c r="B71" s="70"/>
      <c r="C71" s="222"/>
      <c r="D71" s="220"/>
      <c r="E71" s="220"/>
      <c r="F71" s="220"/>
      <c r="G71" s="220"/>
      <c r="H71" s="220"/>
      <c r="I71" s="220"/>
      <c r="J71" s="220"/>
      <c r="K71" s="220"/>
      <c r="L71" s="220"/>
      <c r="M71" s="220"/>
      <c r="N71" s="220"/>
      <c r="O71" s="220"/>
      <c r="P71" s="220"/>
      <c r="Q71" s="220"/>
      <c r="R71" s="221"/>
      <c r="S71" s="68"/>
      <c r="T71" s="54"/>
    </row>
    <row r="72" spans="1:20" ht="22.8">
      <c r="A72" s="55"/>
      <c r="B72" s="70"/>
      <c r="C72" s="222"/>
      <c r="D72" s="220"/>
      <c r="E72" s="220"/>
      <c r="F72" s="220"/>
      <c r="G72" s="220"/>
      <c r="H72" s="220"/>
      <c r="I72" s="220"/>
      <c r="J72" s="220"/>
      <c r="K72" s="220"/>
      <c r="L72" s="220"/>
      <c r="M72" s="220"/>
      <c r="N72" s="220"/>
      <c r="O72" s="220"/>
      <c r="P72" s="220"/>
      <c r="Q72" s="220"/>
      <c r="R72" s="221"/>
      <c r="S72" s="68"/>
      <c r="T72" s="54"/>
    </row>
    <row r="73" spans="1:20" ht="22.8">
      <c r="A73" s="55"/>
      <c r="B73" s="70"/>
      <c r="C73" s="222"/>
      <c r="D73" s="220"/>
      <c r="E73" s="220"/>
      <c r="F73" s="220"/>
      <c r="G73" s="220"/>
      <c r="H73" s="220"/>
      <c r="I73" s="220"/>
      <c r="J73" s="220"/>
      <c r="K73" s="220"/>
      <c r="L73" s="220"/>
      <c r="M73" s="220"/>
      <c r="N73" s="220"/>
      <c r="O73" s="220"/>
      <c r="P73" s="220"/>
      <c r="Q73" s="220"/>
      <c r="R73" s="221"/>
      <c r="S73" s="68"/>
      <c r="T73" s="54"/>
    </row>
    <row r="74" spans="1:20" ht="22.8">
      <c r="A74" s="55"/>
      <c r="B74" s="70"/>
      <c r="C74" s="222"/>
      <c r="D74" s="220"/>
      <c r="E74" s="220"/>
      <c r="F74" s="220"/>
      <c r="G74" s="220"/>
      <c r="H74" s="220"/>
      <c r="I74" s="220"/>
      <c r="J74" s="220"/>
      <c r="K74" s="220"/>
      <c r="L74" s="220"/>
      <c r="M74" s="220"/>
      <c r="N74" s="220"/>
      <c r="O74" s="220"/>
      <c r="P74" s="220"/>
      <c r="Q74" s="220"/>
      <c r="R74" s="221"/>
      <c r="S74" s="68"/>
      <c r="T74" s="54"/>
    </row>
    <row r="75" spans="1:20" ht="22.8">
      <c r="A75" s="55"/>
      <c r="B75" s="70"/>
      <c r="C75" s="222"/>
      <c r="D75" s="220"/>
      <c r="E75" s="220"/>
      <c r="F75" s="220"/>
      <c r="G75" s="220"/>
      <c r="H75" s="220"/>
      <c r="I75" s="220"/>
      <c r="J75" s="220"/>
      <c r="K75" s="220"/>
      <c r="L75" s="220"/>
      <c r="M75" s="220"/>
      <c r="N75" s="220"/>
      <c r="O75" s="220"/>
      <c r="P75" s="220"/>
      <c r="Q75" s="220"/>
      <c r="R75" s="221"/>
      <c r="S75" s="68"/>
      <c r="T75" s="54"/>
    </row>
    <row r="76" spans="1:20" ht="22.8">
      <c r="A76" s="55"/>
      <c r="B76" s="70"/>
      <c r="C76" s="222"/>
      <c r="D76" s="220"/>
      <c r="E76" s="220"/>
      <c r="F76" s="220"/>
      <c r="G76" s="220"/>
      <c r="H76" s="220"/>
      <c r="I76" s="220"/>
      <c r="J76" s="220"/>
      <c r="K76" s="220"/>
      <c r="L76" s="220"/>
      <c r="M76" s="220"/>
      <c r="N76" s="220"/>
      <c r="O76" s="220"/>
      <c r="P76" s="220"/>
      <c r="Q76" s="220"/>
      <c r="R76" s="221"/>
      <c r="S76" s="68"/>
      <c r="T76" s="54"/>
    </row>
    <row r="77" spans="1:20" ht="22.8">
      <c r="A77" s="55"/>
      <c r="B77" s="70"/>
      <c r="C77" s="222"/>
      <c r="D77" s="220"/>
      <c r="E77" s="220"/>
      <c r="F77" s="220"/>
      <c r="G77" s="220"/>
      <c r="H77" s="220"/>
      <c r="I77" s="220"/>
      <c r="J77" s="220"/>
      <c r="K77" s="220"/>
      <c r="L77" s="220"/>
      <c r="M77" s="220"/>
      <c r="N77" s="220"/>
      <c r="O77" s="220"/>
      <c r="P77" s="220"/>
      <c r="Q77" s="220"/>
      <c r="R77" s="221"/>
      <c r="S77" s="68"/>
      <c r="T77" s="54"/>
    </row>
    <row r="78" spans="1:20" ht="22.8">
      <c r="A78" s="55"/>
      <c r="B78" s="70"/>
      <c r="C78" s="222"/>
      <c r="D78" s="220"/>
      <c r="E78" s="220"/>
      <c r="F78" s="220"/>
      <c r="G78" s="220"/>
      <c r="H78" s="220"/>
      <c r="I78" s="220"/>
      <c r="J78" s="220"/>
      <c r="K78" s="220"/>
      <c r="L78" s="220"/>
      <c r="M78" s="220"/>
      <c r="N78" s="220"/>
      <c r="O78" s="220"/>
      <c r="P78" s="220"/>
      <c r="Q78" s="220"/>
      <c r="R78" s="221"/>
      <c r="S78" s="68"/>
      <c r="T78" s="54"/>
    </row>
    <row r="79" spans="1:20" ht="22.8">
      <c r="A79" s="55"/>
      <c r="B79" s="70"/>
      <c r="C79" s="222"/>
      <c r="D79" s="220"/>
      <c r="E79" s="220"/>
      <c r="F79" s="220"/>
      <c r="G79" s="220"/>
      <c r="H79" s="220"/>
      <c r="I79" s="220"/>
      <c r="J79" s="220"/>
      <c r="K79" s="220"/>
      <c r="L79" s="220"/>
      <c r="M79" s="220"/>
      <c r="N79" s="220"/>
      <c r="O79" s="220"/>
      <c r="P79" s="220"/>
      <c r="Q79" s="220"/>
      <c r="R79" s="221"/>
      <c r="S79" s="68"/>
      <c r="T79" s="54"/>
    </row>
    <row r="80" spans="1:20" ht="22.8">
      <c r="A80" s="55"/>
      <c r="B80" s="70"/>
      <c r="C80" s="222"/>
      <c r="D80" s="220"/>
      <c r="E80" s="220"/>
      <c r="F80" s="220"/>
      <c r="G80" s="220"/>
      <c r="H80" s="220"/>
      <c r="I80" s="220"/>
      <c r="J80" s="220"/>
      <c r="K80" s="220"/>
      <c r="L80" s="220"/>
      <c r="M80" s="220"/>
      <c r="N80" s="220"/>
      <c r="O80" s="220"/>
      <c r="P80" s="220"/>
      <c r="Q80" s="220"/>
      <c r="R80" s="221"/>
      <c r="S80" s="68"/>
      <c r="T80" s="54"/>
    </row>
    <row r="81" spans="1:20" ht="22.8">
      <c r="A81" s="55"/>
      <c r="B81" s="70"/>
      <c r="C81" s="222"/>
      <c r="D81" s="220"/>
      <c r="E81" s="220"/>
      <c r="F81" s="220"/>
      <c r="G81" s="220"/>
      <c r="H81" s="220"/>
      <c r="I81" s="220"/>
      <c r="J81" s="220"/>
      <c r="K81" s="220"/>
      <c r="L81" s="220"/>
      <c r="M81" s="220"/>
      <c r="N81" s="220"/>
      <c r="O81" s="220"/>
      <c r="P81" s="220"/>
      <c r="Q81" s="220"/>
      <c r="R81" s="221"/>
      <c r="S81" s="68"/>
      <c r="T81" s="54"/>
    </row>
    <row r="82" spans="1:20" ht="22.8">
      <c r="A82" s="55"/>
      <c r="B82" s="70"/>
      <c r="C82" s="222"/>
      <c r="D82" s="220"/>
      <c r="E82" s="220"/>
      <c r="F82" s="220"/>
      <c r="G82" s="220"/>
      <c r="H82" s="220"/>
      <c r="I82" s="220"/>
      <c r="J82" s="220"/>
      <c r="K82" s="220"/>
      <c r="L82" s="220"/>
      <c r="M82" s="220"/>
      <c r="N82" s="220"/>
      <c r="O82" s="220"/>
      <c r="P82" s="220"/>
      <c r="Q82" s="220"/>
      <c r="R82" s="221"/>
      <c r="S82" s="68"/>
      <c r="T82" s="54"/>
    </row>
    <row r="83" spans="1:20" ht="22.8">
      <c r="A83" s="55"/>
      <c r="B83" s="70"/>
      <c r="C83" s="222"/>
      <c r="D83" s="220"/>
      <c r="E83" s="220"/>
      <c r="F83" s="220"/>
      <c r="G83" s="220"/>
      <c r="H83" s="220"/>
      <c r="I83" s="220"/>
      <c r="J83" s="220"/>
      <c r="K83" s="220"/>
      <c r="L83" s="220"/>
      <c r="M83" s="220"/>
      <c r="N83" s="220"/>
      <c r="O83" s="220"/>
      <c r="P83" s="220"/>
      <c r="Q83" s="220"/>
      <c r="R83" s="221"/>
      <c r="S83" s="68"/>
      <c r="T83" s="54"/>
    </row>
    <row r="84" spans="1:20" ht="22.8">
      <c r="A84" s="55"/>
      <c r="B84" s="70"/>
      <c r="C84" s="222"/>
      <c r="D84" s="220"/>
      <c r="E84" s="220"/>
      <c r="F84" s="220"/>
      <c r="G84" s="220"/>
      <c r="H84" s="220"/>
      <c r="I84" s="220"/>
      <c r="J84" s="220"/>
      <c r="K84" s="220"/>
      <c r="L84" s="220"/>
      <c r="M84" s="220"/>
      <c r="N84" s="220"/>
      <c r="O84" s="220"/>
      <c r="P84" s="220"/>
      <c r="Q84" s="220"/>
      <c r="R84" s="221"/>
      <c r="S84" s="68"/>
      <c r="T84" s="54"/>
    </row>
    <row r="85" spans="1:20" ht="22.8">
      <c r="A85" s="55"/>
      <c r="B85" s="70"/>
      <c r="C85" s="222"/>
      <c r="D85" s="220"/>
      <c r="E85" s="220"/>
      <c r="F85" s="220"/>
      <c r="G85" s="220"/>
      <c r="H85" s="220"/>
      <c r="I85" s="220"/>
      <c r="J85" s="220"/>
      <c r="K85" s="220"/>
      <c r="L85" s="220"/>
      <c r="M85" s="220"/>
      <c r="N85" s="220"/>
      <c r="O85" s="220"/>
      <c r="P85" s="220"/>
      <c r="Q85" s="220"/>
      <c r="R85" s="221"/>
      <c r="S85" s="68"/>
      <c r="T85" s="54"/>
    </row>
    <row r="86" spans="1:20" ht="22.8">
      <c r="A86" s="55"/>
      <c r="B86" s="70"/>
      <c r="C86" s="222"/>
      <c r="D86" s="220"/>
      <c r="E86" s="220"/>
      <c r="F86" s="220"/>
      <c r="G86" s="220"/>
      <c r="H86" s="220"/>
      <c r="I86" s="220"/>
      <c r="J86" s="220"/>
      <c r="K86" s="220"/>
      <c r="L86" s="220"/>
      <c r="M86" s="220"/>
      <c r="N86" s="220"/>
      <c r="O86" s="220"/>
      <c r="P86" s="220"/>
      <c r="Q86" s="220"/>
      <c r="R86" s="221"/>
      <c r="S86" s="68"/>
      <c r="T86" s="54"/>
    </row>
    <row r="87" spans="1:20" ht="22.8">
      <c r="A87" s="55"/>
      <c r="B87" s="70"/>
      <c r="C87" s="222"/>
      <c r="D87" s="220"/>
      <c r="E87" s="220"/>
      <c r="F87" s="220"/>
      <c r="G87" s="220"/>
      <c r="H87" s="220"/>
      <c r="I87" s="220"/>
      <c r="J87" s="220"/>
      <c r="K87" s="220"/>
      <c r="L87" s="220"/>
      <c r="M87" s="220"/>
      <c r="N87" s="220"/>
      <c r="O87" s="220"/>
      <c r="P87" s="220"/>
      <c r="Q87" s="220"/>
      <c r="R87" s="221"/>
      <c r="S87" s="68"/>
      <c r="T87" s="54"/>
    </row>
    <row r="88" spans="1:20" ht="22.8">
      <c r="A88" s="55"/>
      <c r="B88" s="70"/>
      <c r="C88" s="222"/>
      <c r="D88" s="220"/>
      <c r="E88" s="220"/>
      <c r="F88" s="220"/>
      <c r="G88" s="220"/>
      <c r="H88" s="220"/>
      <c r="I88" s="220"/>
      <c r="J88" s="220"/>
      <c r="K88" s="220"/>
      <c r="L88" s="220"/>
      <c r="M88" s="220"/>
      <c r="N88" s="220"/>
      <c r="O88" s="220"/>
      <c r="P88" s="220"/>
      <c r="Q88" s="220"/>
      <c r="R88" s="221"/>
      <c r="S88" s="68"/>
      <c r="T88" s="54"/>
    </row>
    <row r="89" spans="1:20" ht="22.8">
      <c r="A89" s="55"/>
      <c r="B89" s="70"/>
      <c r="C89" s="222"/>
      <c r="D89" s="220"/>
      <c r="E89" s="220"/>
      <c r="F89" s="220"/>
      <c r="G89" s="220"/>
      <c r="H89" s="220"/>
      <c r="I89" s="220"/>
      <c r="J89" s="220"/>
      <c r="K89" s="220"/>
      <c r="L89" s="220"/>
      <c r="M89" s="220"/>
      <c r="N89" s="220"/>
      <c r="O89" s="220"/>
      <c r="P89" s="220"/>
      <c r="Q89" s="220"/>
      <c r="R89" s="221"/>
      <c r="S89" s="68"/>
      <c r="T89" s="54"/>
    </row>
    <row r="90" spans="1:20" ht="22.8">
      <c r="A90" s="55"/>
      <c r="B90" s="70"/>
      <c r="C90" s="222"/>
      <c r="D90" s="220"/>
      <c r="E90" s="220"/>
      <c r="F90" s="220"/>
      <c r="G90" s="220"/>
      <c r="H90" s="220"/>
      <c r="I90" s="220"/>
      <c r="J90" s="220"/>
      <c r="K90" s="220"/>
      <c r="L90" s="220"/>
      <c r="M90" s="220"/>
      <c r="N90" s="220"/>
      <c r="O90" s="220"/>
      <c r="P90" s="220"/>
      <c r="Q90" s="220"/>
      <c r="R90" s="221"/>
      <c r="S90" s="68"/>
      <c r="T90" s="54"/>
    </row>
    <row r="91" spans="1:20" ht="22.8">
      <c r="A91" s="55"/>
      <c r="B91" s="70"/>
      <c r="C91" s="222"/>
      <c r="D91" s="220"/>
      <c r="E91" s="220"/>
      <c r="F91" s="220"/>
      <c r="G91" s="220"/>
      <c r="H91" s="220"/>
      <c r="I91" s="220"/>
      <c r="J91" s="220"/>
      <c r="K91" s="220"/>
      <c r="L91" s="220"/>
      <c r="M91" s="220"/>
      <c r="N91" s="220"/>
      <c r="O91" s="220"/>
      <c r="P91" s="220"/>
      <c r="Q91" s="220"/>
      <c r="R91" s="221"/>
      <c r="S91" s="68"/>
      <c r="T91" s="54"/>
    </row>
    <row r="92" spans="1:20" ht="22.8">
      <c r="A92" s="55"/>
      <c r="B92" s="70"/>
      <c r="C92" s="226"/>
      <c r="D92" s="227"/>
      <c r="E92" s="227"/>
      <c r="F92" s="227"/>
      <c r="G92" s="227"/>
      <c r="H92" s="227"/>
      <c r="I92" s="227"/>
      <c r="J92" s="227"/>
      <c r="K92" s="227"/>
      <c r="L92" s="227"/>
      <c r="M92" s="227"/>
      <c r="N92" s="227"/>
      <c r="O92" s="227"/>
      <c r="P92" s="227"/>
      <c r="Q92" s="227"/>
      <c r="R92" s="228"/>
      <c r="S92" s="68"/>
      <c r="T92" s="54"/>
    </row>
    <row r="93" spans="1:20" ht="22.8">
      <c r="A93" s="55"/>
      <c r="B93" s="70"/>
      <c r="C93" s="69"/>
      <c r="D93" s="69"/>
      <c r="E93" s="69"/>
      <c r="F93" s="69"/>
      <c r="G93" s="69"/>
      <c r="H93" s="69"/>
      <c r="I93" s="69"/>
      <c r="J93" s="69"/>
      <c r="K93" s="69"/>
      <c r="L93" s="69"/>
      <c r="M93" s="69"/>
      <c r="N93" s="69"/>
      <c r="O93" s="69"/>
      <c r="P93" s="69"/>
      <c r="Q93" s="69"/>
      <c r="R93" s="69"/>
      <c r="S93" s="68"/>
      <c r="T93" s="54"/>
    </row>
    <row r="94" spans="1:20" ht="22.8">
      <c r="A94" s="55"/>
      <c r="B94" s="67"/>
      <c r="C94" s="215"/>
      <c r="D94" s="66"/>
      <c r="E94" s="66"/>
      <c r="F94" s="66"/>
      <c r="G94" s="66"/>
      <c r="H94" s="66"/>
      <c r="I94" s="66"/>
      <c r="J94" s="66"/>
      <c r="K94" s="66"/>
      <c r="L94" s="66"/>
      <c r="M94" s="66"/>
      <c r="N94" s="66"/>
      <c r="O94" s="66"/>
      <c r="P94" s="66"/>
      <c r="Q94" s="66"/>
      <c r="R94" s="66"/>
      <c r="S94" s="65"/>
      <c r="T94" s="54"/>
    </row>
    <row r="95" spans="1:20" ht="22.8">
      <c r="A95" s="55"/>
      <c r="B95" s="64"/>
      <c r="C95" s="64"/>
      <c r="D95" s="55"/>
      <c r="E95" s="55"/>
      <c r="F95" s="55"/>
      <c r="G95" s="55"/>
      <c r="H95" s="55"/>
      <c r="I95" s="55"/>
      <c r="J95" s="55"/>
      <c r="K95" s="55"/>
      <c r="L95" s="55"/>
      <c r="M95" s="55"/>
      <c r="N95" s="55"/>
      <c r="O95" s="55"/>
      <c r="P95" s="55"/>
      <c r="Q95" s="55"/>
      <c r="R95" s="55"/>
      <c r="S95" s="55"/>
      <c r="T95" s="54"/>
    </row>
    <row r="96" spans="1:20" ht="22.8">
      <c r="A96" s="55"/>
      <c r="B96" s="84" t="s">
        <v>265</v>
      </c>
      <c r="C96" s="212"/>
      <c r="D96" s="63"/>
      <c r="E96" s="63"/>
      <c r="F96" s="63"/>
      <c r="G96" s="63"/>
      <c r="H96" s="63"/>
      <c r="I96" s="63"/>
      <c r="J96" s="63"/>
      <c r="K96" s="63"/>
      <c r="L96" s="63"/>
      <c r="M96" s="63"/>
      <c r="N96" s="63"/>
      <c r="O96" s="63"/>
      <c r="P96" s="63"/>
      <c r="Q96" s="63"/>
      <c r="R96" s="63"/>
      <c r="S96" s="62"/>
      <c r="T96" s="54"/>
    </row>
    <row r="97" spans="1:20" ht="22.8">
      <c r="A97" s="55"/>
      <c r="B97" s="61"/>
      <c r="C97" s="77"/>
      <c r="D97" s="60"/>
      <c r="E97" s="60"/>
      <c r="F97" s="60"/>
      <c r="G97" s="60"/>
      <c r="H97" s="60"/>
      <c r="I97" s="60"/>
      <c r="J97" s="60"/>
      <c r="K97" s="60"/>
      <c r="L97" s="60"/>
      <c r="M97" s="60"/>
      <c r="N97" s="60"/>
      <c r="O97" s="60"/>
      <c r="P97" s="60"/>
      <c r="Q97" s="60"/>
      <c r="R97" s="60"/>
      <c r="S97" s="59"/>
      <c r="T97" s="54"/>
    </row>
    <row r="98" spans="1:20" ht="22.8">
      <c r="A98" s="55"/>
      <c r="B98" s="61"/>
      <c r="C98" s="77"/>
      <c r="D98" s="60"/>
      <c r="E98" s="60"/>
      <c r="F98" s="60"/>
      <c r="G98" s="60"/>
      <c r="H98" s="60"/>
      <c r="I98" s="60"/>
      <c r="J98" s="60"/>
      <c r="K98" s="60"/>
      <c r="L98" s="60"/>
      <c r="M98" s="60"/>
      <c r="N98" s="60"/>
      <c r="O98" s="60"/>
      <c r="P98" s="60"/>
      <c r="Q98" s="60"/>
      <c r="R98" s="60"/>
      <c r="S98" s="59"/>
      <c r="T98" s="54"/>
    </row>
    <row r="99" spans="1:20" ht="22.8">
      <c r="A99" s="55"/>
      <c r="B99" s="61"/>
      <c r="C99" s="77"/>
      <c r="D99" s="60"/>
      <c r="E99" s="60"/>
      <c r="F99" s="60"/>
      <c r="G99" s="60"/>
      <c r="H99" s="60"/>
      <c r="I99" s="60"/>
      <c r="J99" s="60"/>
      <c r="K99" s="60"/>
      <c r="L99" s="60"/>
      <c r="M99" s="60"/>
      <c r="N99" s="60"/>
      <c r="O99" s="60"/>
      <c r="P99" s="60"/>
      <c r="Q99" s="60"/>
      <c r="R99" s="60"/>
      <c r="S99" s="59"/>
      <c r="T99" s="54"/>
    </row>
    <row r="100" spans="1:20" ht="22.8">
      <c r="A100" s="55"/>
      <c r="B100" s="61"/>
      <c r="C100" s="77"/>
      <c r="D100" s="60"/>
      <c r="E100" s="60"/>
      <c r="F100" s="60"/>
      <c r="G100" s="60"/>
      <c r="H100" s="60"/>
      <c r="I100" s="60"/>
      <c r="J100" s="60"/>
      <c r="K100" s="60"/>
      <c r="L100" s="60"/>
      <c r="M100" s="60"/>
      <c r="N100" s="60"/>
      <c r="O100" s="60"/>
      <c r="P100" s="60"/>
      <c r="Q100" s="60"/>
      <c r="R100" s="60"/>
      <c r="S100" s="59"/>
      <c r="T100" s="54"/>
    </row>
    <row r="101" spans="1:20" ht="22.8">
      <c r="A101" s="55"/>
      <c r="B101" s="61"/>
      <c r="C101" s="77"/>
      <c r="D101" s="60"/>
      <c r="E101" s="60"/>
      <c r="F101" s="60"/>
      <c r="G101" s="60"/>
      <c r="H101" s="60"/>
      <c r="I101" s="60"/>
      <c r="J101" s="60"/>
      <c r="K101" s="60"/>
      <c r="L101" s="60"/>
      <c r="M101" s="60"/>
      <c r="N101" s="60"/>
      <c r="O101" s="60"/>
      <c r="P101" s="60"/>
      <c r="Q101" s="60"/>
      <c r="R101" s="60"/>
      <c r="S101" s="59"/>
      <c r="T101" s="54"/>
    </row>
    <row r="102" spans="1:20" ht="22.8">
      <c r="A102" s="55"/>
      <c r="B102" s="61"/>
      <c r="C102" s="77"/>
      <c r="D102" s="60"/>
      <c r="E102" s="60"/>
      <c r="F102" s="60"/>
      <c r="G102" s="60"/>
      <c r="H102" s="60"/>
      <c r="I102" s="60"/>
      <c r="J102" s="60"/>
      <c r="K102" s="60"/>
      <c r="L102" s="60"/>
      <c r="M102" s="60"/>
      <c r="N102" s="60"/>
      <c r="O102" s="60"/>
      <c r="P102" s="60"/>
      <c r="Q102" s="60"/>
      <c r="R102" s="60"/>
      <c r="S102" s="59"/>
      <c r="T102" s="54"/>
    </row>
    <row r="103" spans="1:20" ht="22.8">
      <c r="A103" s="55"/>
      <c r="B103" s="61"/>
      <c r="C103" s="77"/>
      <c r="D103" s="60"/>
      <c r="E103" s="60"/>
      <c r="F103" s="60"/>
      <c r="G103" s="60"/>
      <c r="H103" s="60"/>
      <c r="I103" s="60"/>
      <c r="J103" s="60"/>
      <c r="K103" s="60"/>
      <c r="L103" s="60"/>
      <c r="M103" s="60"/>
      <c r="N103" s="60"/>
      <c r="O103" s="60"/>
      <c r="P103" s="60"/>
      <c r="Q103" s="60"/>
      <c r="R103" s="60"/>
      <c r="S103" s="59"/>
      <c r="T103" s="54"/>
    </row>
    <row r="104" spans="1:20" ht="22.8">
      <c r="A104" s="55"/>
      <c r="B104" s="61"/>
      <c r="C104" s="77"/>
      <c r="D104" s="60"/>
      <c r="E104" s="60"/>
      <c r="F104" s="60"/>
      <c r="G104" s="60"/>
      <c r="H104" s="60"/>
      <c r="I104" s="60"/>
      <c r="J104" s="60"/>
      <c r="K104" s="60"/>
      <c r="L104" s="60"/>
      <c r="M104" s="60"/>
      <c r="N104" s="60"/>
      <c r="O104" s="60"/>
      <c r="P104" s="60"/>
      <c r="Q104" s="60"/>
      <c r="R104" s="60"/>
      <c r="S104" s="59"/>
      <c r="T104" s="54"/>
    </row>
    <row r="105" spans="1:20" ht="22.8">
      <c r="A105" s="55"/>
      <c r="B105" s="61"/>
      <c r="C105" s="77"/>
      <c r="D105" s="60"/>
      <c r="E105" s="60"/>
      <c r="F105" s="60"/>
      <c r="G105" s="60"/>
      <c r="H105" s="60"/>
      <c r="I105" s="60"/>
      <c r="J105" s="60"/>
      <c r="K105" s="60"/>
      <c r="L105" s="60"/>
      <c r="M105" s="60"/>
      <c r="N105" s="60"/>
      <c r="O105" s="60"/>
      <c r="P105" s="60"/>
      <c r="Q105" s="60"/>
      <c r="R105" s="60"/>
      <c r="S105" s="59"/>
      <c r="T105" s="54"/>
    </row>
    <row r="106" spans="1:20" ht="22.8">
      <c r="A106" s="55"/>
      <c r="B106" s="61"/>
      <c r="C106" s="77"/>
      <c r="D106" s="60"/>
      <c r="E106" s="60"/>
      <c r="F106" s="60"/>
      <c r="G106" s="60"/>
      <c r="H106" s="60"/>
      <c r="I106" s="60"/>
      <c r="J106" s="60"/>
      <c r="K106" s="60"/>
      <c r="L106" s="60"/>
      <c r="M106" s="60"/>
      <c r="N106" s="60"/>
      <c r="O106" s="60"/>
      <c r="P106" s="60"/>
      <c r="Q106" s="60"/>
      <c r="R106" s="60"/>
      <c r="S106" s="59"/>
      <c r="T106" s="54"/>
    </row>
    <row r="107" spans="1:20" ht="22.8">
      <c r="A107" s="55"/>
      <c r="B107" s="58"/>
      <c r="C107" s="57"/>
      <c r="D107" s="57"/>
      <c r="E107" s="57"/>
      <c r="F107" s="57"/>
      <c r="G107" s="57"/>
      <c r="H107" s="57"/>
      <c r="I107" s="57"/>
      <c r="J107" s="57"/>
      <c r="K107" s="57"/>
      <c r="L107" s="57"/>
      <c r="M107" s="57"/>
      <c r="N107" s="57"/>
      <c r="O107" s="57"/>
      <c r="P107" s="57"/>
      <c r="Q107" s="57"/>
      <c r="R107" s="57"/>
      <c r="S107" s="56"/>
      <c r="T107" s="54"/>
    </row>
  </sheetData>
  <mergeCells count="3">
    <mergeCell ref="A1:U1"/>
    <mergeCell ref="M39:N40"/>
    <mergeCell ref="H39:I40"/>
  </mergeCells>
  <pageMargins left="0.7" right="0.7" top="0.75" bottom="0.75" header="0.3" footer="0.3"/>
  <pageSetup paperSize="9"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K126"/>
  <sheetViews>
    <sheetView zoomScale="55" zoomScaleNormal="55" workbookViewId="0">
      <pane xSplit="5" ySplit="3" topLeftCell="F4" activePane="bottomRight" state="frozen"/>
      <selection pane="topRight"/>
      <selection pane="bottomLeft"/>
      <selection pane="bottomRight" activeCell="F4" sqref="F4"/>
    </sheetView>
  </sheetViews>
  <sheetFormatPr defaultColWidth="9.109375" defaultRowHeight="15"/>
  <cols>
    <col min="1" max="1" width="0.6640625" style="107" customWidth="1"/>
    <col min="2" max="2" width="1.6640625" style="107" customWidth="1"/>
    <col min="3" max="3" width="24.33203125" style="9" bestFit="1" customWidth="1"/>
    <col min="4" max="4" width="10" style="140" bestFit="1" customWidth="1"/>
    <col min="5" max="5" width="89.44140625" style="9" bestFit="1" customWidth="1"/>
    <col min="6" max="6" width="14.44140625" style="107" customWidth="1"/>
    <col min="7" max="7" width="37.33203125" style="107" bestFit="1" customWidth="1"/>
    <col min="8" max="8" width="22.44140625" style="107" customWidth="1"/>
    <col min="9" max="9" width="6.109375" style="107" bestFit="1" customWidth="1"/>
    <col min="10" max="10" width="24.5546875" style="107" bestFit="1" customWidth="1"/>
    <col min="11" max="16384" width="9.109375" style="107"/>
  </cols>
  <sheetData>
    <row r="1" spans="3:11" ht="15.6">
      <c r="C1" s="104" t="s">
        <v>65</v>
      </c>
      <c r="D1" s="105"/>
      <c r="E1" s="106" t="s">
        <v>66</v>
      </c>
    </row>
    <row r="2" spans="3:11" ht="15.6">
      <c r="C2" s="108"/>
      <c r="D2" s="109"/>
      <c r="E2" s="110"/>
    </row>
    <row r="3" spans="3:11" ht="15.6">
      <c r="C3" s="111"/>
      <c r="D3" s="112" t="s">
        <v>64</v>
      </c>
      <c r="E3" s="113"/>
      <c r="F3" s="114" t="s">
        <v>21</v>
      </c>
      <c r="G3" s="114" t="s">
        <v>31</v>
      </c>
      <c r="H3" s="114" t="s">
        <v>19</v>
      </c>
      <c r="I3" s="114" t="s">
        <v>20</v>
      </c>
      <c r="J3" s="115" t="s">
        <v>30</v>
      </c>
    </row>
    <row r="4" spans="3:11" ht="15.6">
      <c r="C4" s="116"/>
      <c r="D4" s="117"/>
      <c r="E4" s="116"/>
    </row>
    <row r="5" spans="3:11">
      <c r="C5" s="118" t="s">
        <v>98</v>
      </c>
      <c r="D5" s="118"/>
      <c r="E5" s="118" t="s">
        <v>99</v>
      </c>
      <c r="F5" s="118"/>
      <c r="G5" s="118"/>
      <c r="H5" s="118"/>
      <c r="I5" s="118"/>
      <c r="J5" s="118"/>
      <c r="K5" s="118"/>
    </row>
    <row r="6" spans="3:11" ht="15.6">
      <c r="C6" s="119"/>
      <c r="D6" s="119"/>
      <c r="E6" s="120" t="s">
        <v>115</v>
      </c>
    </row>
    <row r="7" spans="3:11">
      <c r="C7" s="232" t="s">
        <v>316</v>
      </c>
      <c r="D7" s="118" t="s">
        <v>78</v>
      </c>
      <c r="E7" s="118" t="str">
        <f>"Water: Non-households – under "&amp;Threshold&amp;"ML threshold"</f>
        <v>Water: Non-households – under 50ML threshold</v>
      </c>
      <c r="F7" s="107" t="s">
        <v>231</v>
      </c>
      <c r="G7" s="232" t="s">
        <v>315</v>
      </c>
      <c r="H7" s="118"/>
      <c r="J7" s="107" t="s">
        <v>363</v>
      </c>
    </row>
    <row r="8" spans="3:11">
      <c r="C8" s="232" t="s">
        <v>317</v>
      </c>
      <c r="D8" s="118" t="s">
        <v>78</v>
      </c>
      <c r="E8" s="118" t="str">
        <f>"Water: Non-households – over "&amp;Threshold&amp;"ML threshold"</f>
        <v>Water: Non-households – over 50ML threshold</v>
      </c>
      <c r="F8" s="107" t="s">
        <v>231</v>
      </c>
      <c r="G8" s="232" t="s">
        <v>315</v>
      </c>
      <c r="H8" s="118"/>
      <c r="J8" s="107" t="s">
        <v>363</v>
      </c>
    </row>
    <row r="9" spans="3:11">
      <c r="C9" s="232"/>
      <c r="D9" s="118"/>
      <c r="E9" s="118"/>
      <c r="I9" s="118"/>
    </row>
    <row r="10" spans="3:11">
      <c r="C10" s="232" t="s">
        <v>33</v>
      </c>
      <c r="D10" s="118" t="s">
        <v>78</v>
      </c>
      <c r="E10" s="121" t="s">
        <v>40</v>
      </c>
      <c r="F10" s="118" t="s">
        <v>33</v>
      </c>
      <c r="G10" s="118" t="s">
        <v>311</v>
      </c>
      <c r="H10" s="118" t="s">
        <v>1</v>
      </c>
      <c r="I10" s="107">
        <v>54</v>
      </c>
    </row>
    <row r="11" spans="3:11">
      <c r="C11" s="232" t="s">
        <v>27</v>
      </c>
      <c r="D11" s="122" t="s">
        <v>36</v>
      </c>
      <c r="E11" s="122" t="s">
        <v>39</v>
      </c>
      <c r="F11" s="118" t="s">
        <v>27</v>
      </c>
      <c r="G11" s="118" t="s">
        <v>311</v>
      </c>
      <c r="H11" s="118" t="s">
        <v>2</v>
      </c>
      <c r="I11" s="107">
        <v>30</v>
      </c>
    </row>
    <row r="12" spans="3:11">
      <c r="C12" s="232" t="s">
        <v>180</v>
      </c>
      <c r="D12" s="122" t="s">
        <v>36</v>
      </c>
      <c r="E12" s="122" t="s">
        <v>37</v>
      </c>
      <c r="F12" s="118" t="s">
        <v>0</v>
      </c>
      <c r="G12" s="118" t="s">
        <v>311</v>
      </c>
      <c r="H12" s="118" t="s">
        <v>2</v>
      </c>
      <c r="I12" s="107">
        <v>31</v>
      </c>
    </row>
    <row r="13" spans="3:11">
      <c r="C13" s="232" t="s">
        <v>22</v>
      </c>
      <c r="D13" s="122" t="s">
        <v>36</v>
      </c>
      <c r="E13" s="121" t="s">
        <v>104</v>
      </c>
      <c r="F13" s="118" t="s">
        <v>22</v>
      </c>
      <c r="G13" s="118" t="s">
        <v>311</v>
      </c>
      <c r="H13" s="118" t="s">
        <v>1</v>
      </c>
      <c r="I13" s="107">
        <v>71</v>
      </c>
    </row>
    <row r="14" spans="3:11">
      <c r="C14" s="232" t="s">
        <v>23</v>
      </c>
      <c r="D14" s="122" t="s">
        <v>36</v>
      </c>
      <c r="E14" s="121" t="s">
        <v>105</v>
      </c>
      <c r="F14" s="118" t="s">
        <v>23</v>
      </c>
      <c r="G14" s="118" t="s">
        <v>311</v>
      </c>
      <c r="H14" s="118" t="s">
        <v>1</v>
      </c>
      <c r="I14" s="107">
        <v>72</v>
      </c>
    </row>
    <row r="15" spans="3:11">
      <c r="C15" s="232"/>
      <c r="D15" s="118"/>
      <c r="E15" s="118"/>
      <c r="I15" s="118"/>
    </row>
    <row r="16" spans="3:11">
      <c r="C16" s="232" t="s">
        <v>318</v>
      </c>
      <c r="D16" s="123" t="s">
        <v>78</v>
      </c>
      <c r="E16" s="118" t="str">
        <f>"Sewerage: Non-households – under "&amp;Threshold&amp;"ML threshold"</f>
        <v>Sewerage: Non-households – under 50ML threshold</v>
      </c>
      <c r="F16" s="107" t="s">
        <v>231</v>
      </c>
      <c r="G16" s="232" t="s">
        <v>315</v>
      </c>
      <c r="H16" s="118"/>
      <c r="J16" s="107" t="s">
        <v>363</v>
      </c>
    </row>
    <row r="17" spans="3:10">
      <c r="C17" s="232" t="s">
        <v>319</v>
      </c>
      <c r="D17" s="123" t="s">
        <v>78</v>
      </c>
      <c r="E17" s="118" t="str">
        <f>"Sewerage: Non-households – over "&amp;Threshold&amp;"ML threshold"</f>
        <v>Sewerage: Non-households – over 50ML threshold</v>
      </c>
      <c r="F17" s="107" t="s">
        <v>231</v>
      </c>
      <c r="G17" s="232" t="s">
        <v>315</v>
      </c>
      <c r="H17" s="118"/>
      <c r="J17" s="107" t="s">
        <v>363</v>
      </c>
    </row>
    <row r="18" spans="3:10">
      <c r="C18" s="118"/>
      <c r="D18" s="123"/>
      <c r="E18" s="118"/>
      <c r="I18" s="118"/>
    </row>
    <row r="19" spans="3:10">
      <c r="C19" s="118" t="s">
        <v>34</v>
      </c>
      <c r="D19" s="123" t="s">
        <v>78</v>
      </c>
      <c r="E19" s="121" t="s">
        <v>102</v>
      </c>
      <c r="F19" s="118" t="s">
        <v>34</v>
      </c>
      <c r="G19" s="118" t="s">
        <v>311</v>
      </c>
      <c r="H19" s="118" t="s">
        <v>1</v>
      </c>
      <c r="I19" s="118">
        <v>57</v>
      </c>
    </row>
    <row r="20" spans="3:10">
      <c r="C20" s="118" t="s">
        <v>28</v>
      </c>
      <c r="D20" s="124" t="s">
        <v>68</v>
      </c>
      <c r="E20" s="122" t="s">
        <v>103</v>
      </c>
      <c r="F20" s="118" t="s">
        <v>28</v>
      </c>
      <c r="G20" s="118" t="s">
        <v>311</v>
      </c>
      <c r="H20" s="118" t="s">
        <v>2</v>
      </c>
      <c r="I20" s="118">
        <v>32</v>
      </c>
    </row>
    <row r="21" spans="3:10">
      <c r="C21" s="118" t="s">
        <v>29</v>
      </c>
      <c r="D21" s="124" t="s">
        <v>68</v>
      </c>
      <c r="E21" s="122" t="s">
        <v>35</v>
      </c>
      <c r="F21" s="118" t="s">
        <v>29</v>
      </c>
      <c r="G21" s="118" t="s">
        <v>311</v>
      </c>
      <c r="H21" s="118" t="s">
        <v>2</v>
      </c>
      <c r="I21" s="118">
        <v>33</v>
      </c>
    </row>
    <row r="22" spans="3:10">
      <c r="C22" s="118" t="s">
        <v>24</v>
      </c>
      <c r="D22" s="124" t="s">
        <v>68</v>
      </c>
      <c r="E22" s="121" t="s">
        <v>38</v>
      </c>
      <c r="F22" s="118" t="s">
        <v>24</v>
      </c>
      <c r="G22" s="118" t="s">
        <v>311</v>
      </c>
      <c r="H22" s="118" t="s">
        <v>1</v>
      </c>
      <c r="I22" s="118">
        <v>73</v>
      </c>
    </row>
    <row r="23" spans="3:10">
      <c r="C23" s="118" t="s">
        <v>25</v>
      </c>
      <c r="D23" s="124" t="s">
        <v>68</v>
      </c>
      <c r="E23" s="121" t="s">
        <v>41</v>
      </c>
      <c r="F23" s="118" t="s">
        <v>25</v>
      </c>
      <c r="G23" s="118" t="s">
        <v>311</v>
      </c>
      <c r="H23" s="118" t="s">
        <v>1</v>
      </c>
      <c r="I23" s="118">
        <v>74</v>
      </c>
    </row>
    <row r="24" spans="3:10">
      <c r="C24" s="118"/>
      <c r="D24" s="123"/>
      <c r="E24" s="118"/>
      <c r="I24" s="118"/>
    </row>
    <row r="25" spans="3:10">
      <c r="C25" s="118"/>
      <c r="D25" s="118"/>
      <c r="E25" s="125"/>
      <c r="I25" s="118"/>
    </row>
    <row r="26" spans="3:10" ht="15.6">
      <c r="C26" s="119"/>
      <c r="D26" s="119"/>
      <c r="E26" s="120" t="s">
        <v>62</v>
      </c>
      <c r="I26" s="118"/>
    </row>
    <row r="27" spans="3:10">
      <c r="C27" s="118" t="s">
        <v>3</v>
      </c>
      <c r="D27" s="118" t="s">
        <v>78</v>
      </c>
      <c r="E27" s="125" t="s">
        <v>45</v>
      </c>
      <c r="F27" s="118" t="s">
        <v>3</v>
      </c>
      <c r="G27" s="118" t="s">
        <v>307</v>
      </c>
      <c r="H27" s="118" t="s">
        <v>308</v>
      </c>
      <c r="I27" s="118">
        <v>1</v>
      </c>
      <c r="J27" s="118" t="s">
        <v>234</v>
      </c>
    </row>
    <row r="28" spans="3:10">
      <c r="C28" s="118" t="s">
        <v>4</v>
      </c>
      <c r="D28" s="118" t="s">
        <v>78</v>
      </c>
      <c r="E28" s="125" t="s">
        <v>46</v>
      </c>
      <c r="F28" s="118" t="s">
        <v>4</v>
      </c>
      <c r="G28" s="118" t="s">
        <v>307</v>
      </c>
      <c r="H28" s="118" t="s">
        <v>308</v>
      </c>
      <c r="I28" s="118">
        <v>2</v>
      </c>
      <c r="J28" s="118" t="s">
        <v>234</v>
      </c>
    </row>
    <row r="29" spans="3:10">
      <c r="C29" s="118" t="s">
        <v>5</v>
      </c>
      <c r="D29" s="118" t="s">
        <v>78</v>
      </c>
      <c r="E29" s="125" t="s">
        <v>47</v>
      </c>
      <c r="F29" s="118" t="s">
        <v>5</v>
      </c>
      <c r="G29" s="118" t="s">
        <v>307</v>
      </c>
      <c r="H29" s="118" t="s">
        <v>308</v>
      </c>
      <c r="I29" s="118">
        <v>3</v>
      </c>
      <c r="J29" s="118" t="s">
        <v>234</v>
      </c>
    </row>
    <row r="30" spans="3:10">
      <c r="C30" s="118" t="s">
        <v>6</v>
      </c>
      <c r="D30" s="118" t="s">
        <v>78</v>
      </c>
      <c r="E30" s="125" t="s">
        <v>48</v>
      </c>
      <c r="F30" s="118" t="s">
        <v>6</v>
      </c>
      <c r="G30" s="118" t="s">
        <v>307</v>
      </c>
      <c r="H30" s="118" t="s">
        <v>308</v>
      </c>
      <c r="I30" s="118">
        <v>4</v>
      </c>
      <c r="J30" s="118" t="s">
        <v>234</v>
      </c>
    </row>
    <row r="31" spans="3:10">
      <c r="C31" s="118" t="s">
        <v>7</v>
      </c>
      <c r="D31" s="118" t="s">
        <v>78</v>
      </c>
      <c r="E31" s="118" t="s">
        <v>49</v>
      </c>
      <c r="F31" s="118" t="s">
        <v>7</v>
      </c>
      <c r="G31" s="118" t="s">
        <v>307</v>
      </c>
      <c r="H31" s="118" t="s">
        <v>308</v>
      </c>
      <c r="I31" s="118">
        <v>5</v>
      </c>
      <c r="J31" s="118" t="s">
        <v>234</v>
      </c>
    </row>
    <row r="32" spans="3:10">
      <c r="C32" s="126" t="s">
        <v>353</v>
      </c>
      <c r="D32" s="118" t="s">
        <v>78</v>
      </c>
      <c r="E32" s="118" t="s">
        <v>233</v>
      </c>
      <c r="F32" s="118" t="s">
        <v>231</v>
      </c>
      <c r="G32" s="118" t="s">
        <v>307</v>
      </c>
      <c r="H32" s="118" t="s">
        <v>308</v>
      </c>
      <c r="I32" s="127">
        <v>6</v>
      </c>
      <c r="J32" s="118" t="s">
        <v>234</v>
      </c>
    </row>
    <row r="33" spans="3:10">
      <c r="C33" s="126" t="s">
        <v>354</v>
      </c>
      <c r="D33" s="118" t="s">
        <v>78</v>
      </c>
      <c r="E33" s="118" t="s">
        <v>170</v>
      </c>
      <c r="F33" s="118" t="s">
        <v>231</v>
      </c>
      <c r="G33" s="118" t="s">
        <v>307</v>
      </c>
      <c r="H33" s="118" t="s">
        <v>308</v>
      </c>
      <c r="I33" s="118">
        <v>7</v>
      </c>
      <c r="J33" s="118" t="s">
        <v>234</v>
      </c>
    </row>
    <row r="34" spans="3:10">
      <c r="C34" s="128"/>
      <c r="D34" s="129"/>
      <c r="E34" s="128"/>
      <c r="I34" s="118"/>
    </row>
    <row r="35" spans="3:10">
      <c r="C35" s="240"/>
      <c r="D35" s="130" t="s">
        <v>77</v>
      </c>
      <c r="E35" s="125" t="s">
        <v>51</v>
      </c>
      <c r="F35" s="107" t="s">
        <v>336</v>
      </c>
      <c r="G35" s="118" t="s">
        <v>307</v>
      </c>
      <c r="H35" s="118" t="s">
        <v>334</v>
      </c>
      <c r="I35" s="118"/>
      <c r="J35" s="118" t="s">
        <v>338</v>
      </c>
    </row>
    <row r="36" spans="3:10">
      <c r="C36" s="118" t="s">
        <v>8</v>
      </c>
      <c r="D36" s="130" t="s">
        <v>77</v>
      </c>
      <c r="E36" s="125" t="s">
        <v>52</v>
      </c>
      <c r="F36" s="118" t="s">
        <v>8</v>
      </c>
      <c r="G36" s="118" t="s">
        <v>307</v>
      </c>
      <c r="H36" s="118" t="s">
        <v>308</v>
      </c>
      <c r="I36" s="118">
        <v>9</v>
      </c>
      <c r="J36" s="118" t="s">
        <v>234</v>
      </c>
    </row>
    <row r="37" spans="3:10">
      <c r="C37" s="232" t="s">
        <v>330</v>
      </c>
      <c r="D37" s="130" t="s">
        <v>77</v>
      </c>
      <c r="E37" s="118" t="s">
        <v>50</v>
      </c>
      <c r="F37" s="118" t="s">
        <v>231</v>
      </c>
      <c r="G37" s="118" t="s">
        <v>307</v>
      </c>
      <c r="H37" s="118" t="s">
        <v>308</v>
      </c>
      <c r="I37" s="118">
        <v>10</v>
      </c>
      <c r="J37" s="118" t="s">
        <v>234</v>
      </c>
    </row>
    <row r="38" spans="3:10">
      <c r="C38" s="118"/>
      <c r="D38" s="130"/>
      <c r="E38" s="118"/>
    </row>
    <row r="39" spans="3:10">
      <c r="C39" s="118" t="s">
        <v>9</v>
      </c>
      <c r="D39" s="123" t="s">
        <v>78</v>
      </c>
      <c r="E39" s="125" t="s">
        <v>53</v>
      </c>
      <c r="F39" s="118" t="s">
        <v>9</v>
      </c>
      <c r="G39" s="118" t="s">
        <v>309</v>
      </c>
      <c r="H39" s="118" t="s">
        <v>310</v>
      </c>
      <c r="I39" s="118">
        <v>1</v>
      </c>
      <c r="J39" s="118" t="s">
        <v>234</v>
      </c>
    </row>
    <row r="40" spans="3:10">
      <c r="C40" s="118" t="s">
        <v>11</v>
      </c>
      <c r="D40" s="123" t="s">
        <v>78</v>
      </c>
      <c r="E40" s="125" t="s">
        <v>54</v>
      </c>
      <c r="F40" s="118" t="s">
        <v>11</v>
      </c>
      <c r="G40" s="232" t="s">
        <v>309</v>
      </c>
      <c r="H40" s="118" t="s">
        <v>310</v>
      </c>
      <c r="I40" s="118">
        <v>2</v>
      </c>
      <c r="J40" s="118" t="s">
        <v>234</v>
      </c>
    </row>
    <row r="41" spans="3:10">
      <c r="C41" s="118" t="s">
        <v>12</v>
      </c>
      <c r="D41" s="123" t="s">
        <v>78</v>
      </c>
      <c r="E41" s="125" t="s">
        <v>55</v>
      </c>
      <c r="F41" s="118" t="s">
        <v>12</v>
      </c>
      <c r="G41" s="232" t="s">
        <v>309</v>
      </c>
      <c r="H41" s="118" t="s">
        <v>310</v>
      </c>
      <c r="I41" s="118">
        <v>3</v>
      </c>
      <c r="J41" s="118" t="s">
        <v>234</v>
      </c>
    </row>
    <row r="42" spans="3:10">
      <c r="C42" s="118" t="s">
        <v>13</v>
      </c>
      <c r="D42" s="123" t="s">
        <v>78</v>
      </c>
      <c r="E42" s="125" t="s">
        <v>56</v>
      </c>
      <c r="F42" s="118" t="s">
        <v>13</v>
      </c>
      <c r="G42" s="232" t="s">
        <v>309</v>
      </c>
      <c r="H42" s="118" t="s">
        <v>310</v>
      </c>
      <c r="I42" s="118">
        <v>4</v>
      </c>
      <c r="J42" s="118" t="s">
        <v>234</v>
      </c>
    </row>
    <row r="43" spans="3:10">
      <c r="C43" s="118" t="s">
        <v>10</v>
      </c>
      <c r="D43" s="123" t="s">
        <v>78</v>
      </c>
      <c r="E43" s="125" t="s">
        <v>57</v>
      </c>
      <c r="F43" s="118" t="s">
        <v>10</v>
      </c>
      <c r="G43" s="232" t="s">
        <v>309</v>
      </c>
      <c r="H43" s="118" t="s">
        <v>310</v>
      </c>
      <c r="I43" s="118">
        <v>5</v>
      </c>
      <c r="J43" s="118" t="s">
        <v>234</v>
      </c>
    </row>
    <row r="44" spans="3:10">
      <c r="C44" s="118" t="s">
        <v>14</v>
      </c>
      <c r="D44" s="123" t="s">
        <v>78</v>
      </c>
      <c r="E44" s="118" t="s">
        <v>58</v>
      </c>
      <c r="F44" s="118" t="s">
        <v>14</v>
      </c>
      <c r="G44" s="232" t="s">
        <v>309</v>
      </c>
      <c r="H44" s="118" t="s">
        <v>310</v>
      </c>
      <c r="I44" s="127">
        <v>6</v>
      </c>
      <c r="J44" s="118" t="s">
        <v>234</v>
      </c>
    </row>
    <row r="45" spans="3:10">
      <c r="C45" s="126" t="s">
        <v>355</v>
      </c>
      <c r="D45" s="118" t="s">
        <v>78</v>
      </c>
      <c r="E45" s="118" t="s">
        <v>232</v>
      </c>
      <c r="F45" s="118" t="s">
        <v>231</v>
      </c>
      <c r="G45" s="232" t="s">
        <v>309</v>
      </c>
      <c r="H45" s="118" t="s">
        <v>310</v>
      </c>
      <c r="I45" s="118">
        <v>7</v>
      </c>
      <c r="J45" s="118" t="s">
        <v>234</v>
      </c>
    </row>
    <row r="46" spans="3:10">
      <c r="C46" s="126" t="s">
        <v>356</v>
      </c>
      <c r="D46" s="118" t="s">
        <v>78</v>
      </c>
      <c r="E46" s="118" t="s">
        <v>171</v>
      </c>
      <c r="F46" s="118" t="s">
        <v>231</v>
      </c>
      <c r="G46" s="232" t="s">
        <v>309</v>
      </c>
      <c r="H46" s="118" t="s">
        <v>310</v>
      </c>
      <c r="I46" s="118">
        <v>8</v>
      </c>
      <c r="J46" s="118" t="s">
        <v>234</v>
      </c>
    </row>
    <row r="47" spans="3:10">
      <c r="C47" s="129"/>
      <c r="D47" s="131"/>
      <c r="E47" s="129"/>
      <c r="I47" s="129"/>
    </row>
    <row r="48" spans="3:10">
      <c r="C48" s="240"/>
      <c r="D48" s="132" t="s">
        <v>77</v>
      </c>
      <c r="E48" s="125" t="s">
        <v>60</v>
      </c>
      <c r="F48" s="107" t="s">
        <v>337</v>
      </c>
      <c r="G48" s="232" t="s">
        <v>309</v>
      </c>
      <c r="H48" s="118" t="s">
        <v>335</v>
      </c>
      <c r="I48" s="118"/>
      <c r="J48" s="118" t="s">
        <v>338</v>
      </c>
    </row>
    <row r="49" spans="1:11">
      <c r="C49" s="118" t="s">
        <v>16</v>
      </c>
      <c r="D49" s="132" t="s">
        <v>77</v>
      </c>
      <c r="E49" s="125" t="s">
        <v>61</v>
      </c>
      <c r="F49" s="118" t="s">
        <v>16</v>
      </c>
      <c r="G49" s="232" t="s">
        <v>309</v>
      </c>
      <c r="H49" s="118" t="s">
        <v>310</v>
      </c>
      <c r="I49" s="118">
        <v>10</v>
      </c>
      <c r="J49" s="118" t="s">
        <v>234</v>
      </c>
    </row>
    <row r="50" spans="1:11">
      <c r="C50" s="232" t="s">
        <v>352</v>
      </c>
      <c r="D50" s="132" t="s">
        <v>77</v>
      </c>
      <c r="E50" s="118" t="s">
        <v>59</v>
      </c>
      <c r="F50" s="118" t="s">
        <v>231</v>
      </c>
      <c r="G50" s="232" t="s">
        <v>309</v>
      </c>
      <c r="H50" s="118" t="s">
        <v>310</v>
      </c>
      <c r="I50" s="118">
        <v>11</v>
      </c>
      <c r="J50" s="118" t="s">
        <v>234</v>
      </c>
    </row>
    <row r="51" spans="1:11">
      <c r="C51" s="118"/>
      <c r="D51" s="130"/>
      <c r="E51" s="118"/>
      <c r="I51" s="118"/>
    </row>
    <row r="52" spans="1:11" ht="15.6">
      <c r="C52" s="119"/>
      <c r="D52" s="119"/>
      <c r="E52" s="120" t="s">
        <v>42</v>
      </c>
      <c r="I52" s="118"/>
    </row>
    <row r="53" spans="1:11">
      <c r="C53" s="118" t="s">
        <v>18</v>
      </c>
      <c r="D53" s="133" t="s">
        <v>67</v>
      </c>
      <c r="E53" s="118" t="s">
        <v>81</v>
      </c>
      <c r="F53" s="118" t="s">
        <v>231</v>
      </c>
      <c r="G53" s="118" t="s">
        <v>230</v>
      </c>
      <c r="H53" s="118" t="s">
        <v>235</v>
      </c>
      <c r="I53" s="118">
        <v>15</v>
      </c>
      <c r="J53" s="118" t="s">
        <v>234</v>
      </c>
    </row>
    <row r="54" spans="1:11">
      <c r="C54" s="118" t="s">
        <v>17</v>
      </c>
      <c r="D54" s="124" t="s">
        <v>68</v>
      </c>
      <c r="E54" s="118" t="s">
        <v>202</v>
      </c>
      <c r="F54" s="118" t="s">
        <v>17</v>
      </c>
      <c r="G54" s="232" t="s">
        <v>311</v>
      </c>
      <c r="H54" s="107" t="s">
        <v>236</v>
      </c>
      <c r="I54" s="118">
        <v>29</v>
      </c>
      <c r="J54" s="118" t="s">
        <v>246</v>
      </c>
    </row>
    <row r="55" spans="1:11">
      <c r="C55" s="232" t="s">
        <v>312</v>
      </c>
      <c r="D55" s="124" t="s">
        <v>68</v>
      </c>
      <c r="E55" s="118" t="s">
        <v>194</v>
      </c>
      <c r="F55" s="118" t="s">
        <v>312</v>
      </c>
      <c r="G55" s="232" t="s">
        <v>313</v>
      </c>
      <c r="H55" s="107" t="s">
        <v>314</v>
      </c>
      <c r="I55" s="107">
        <v>22</v>
      </c>
      <c r="J55" s="107" t="s">
        <v>246</v>
      </c>
    </row>
    <row r="56" spans="1:11">
      <c r="C56" s="107"/>
      <c r="D56" s="124"/>
      <c r="E56" s="118"/>
      <c r="I56" s="118"/>
    </row>
    <row r="57" spans="1:11">
      <c r="C57" s="118" t="s">
        <v>26</v>
      </c>
      <c r="D57" s="133" t="s">
        <v>67</v>
      </c>
      <c r="E57" s="118" t="s">
        <v>43</v>
      </c>
      <c r="F57" s="118" t="s">
        <v>26</v>
      </c>
      <c r="G57" s="232" t="s">
        <v>311</v>
      </c>
      <c r="I57" s="118"/>
    </row>
    <row r="58" spans="1:11">
      <c r="C58" s="232" t="s">
        <v>324</v>
      </c>
      <c r="D58" s="133" t="s">
        <v>67</v>
      </c>
      <c r="E58" s="125" t="s">
        <v>79</v>
      </c>
      <c r="F58" s="118" t="s">
        <v>231</v>
      </c>
      <c r="G58" s="107" t="s">
        <v>364</v>
      </c>
      <c r="I58" s="118"/>
    </row>
    <row r="59" spans="1:11">
      <c r="C59" s="232" t="s">
        <v>325</v>
      </c>
      <c r="D59" s="133" t="s">
        <v>67</v>
      </c>
      <c r="E59" s="125" t="s">
        <v>80</v>
      </c>
      <c r="F59" s="118" t="s">
        <v>231</v>
      </c>
      <c r="G59" s="107" t="s">
        <v>364</v>
      </c>
      <c r="I59" s="118"/>
    </row>
    <row r="60" spans="1:11">
      <c r="C60" s="134" t="s">
        <v>326</v>
      </c>
      <c r="D60" s="133" t="s">
        <v>67</v>
      </c>
      <c r="E60" s="232" t="s">
        <v>44</v>
      </c>
      <c r="F60" s="118" t="s">
        <v>231</v>
      </c>
      <c r="G60" s="107" t="s">
        <v>271</v>
      </c>
      <c r="I60" s="134"/>
    </row>
    <row r="61" spans="1:11">
      <c r="C61" s="134" t="s">
        <v>327</v>
      </c>
      <c r="D61" s="124" t="s">
        <v>32</v>
      </c>
      <c r="E61" s="232" t="s">
        <v>168</v>
      </c>
      <c r="F61" s="118" t="s">
        <v>231</v>
      </c>
      <c r="G61" s="107" t="s">
        <v>364</v>
      </c>
    </row>
    <row r="62" spans="1:11">
      <c r="A62" s="9"/>
      <c r="B62" s="9"/>
      <c r="C62" s="134"/>
      <c r="D62" s="124"/>
      <c r="E62" s="118"/>
      <c r="F62" s="9"/>
      <c r="H62" s="9"/>
      <c r="I62" s="9"/>
      <c r="J62" s="9"/>
      <c r="K62" s="9"/>
    </row>
    <row r="63" spans="1:11" ht="15.6">
      <c r="A63" s="119"/>
      <c r="B63" s="119"/>
      <c r="C63" s="119"/>
      <c r="D63" s="119"/>
      <c r="E63" s="120" t="s">
        <v>227</v>
      </c>
      <c r="F63" s="9"/>
      <c r="G63" s="9"/>
      <c r="H63" s="9"/>
      <c r="I63" s="9"/>
      <c r="J63" s="9"/>
      <c r="K63" s="9"/>
    </row>
    <row r="64" spans="1:11">
      <c r="A64" s="9"/>
      <c r="B64" s="9"/>
      <c r="C64" s="134"/>
      <c r="D64" s="124"/>
      <c r="E64" s="118"/>
      <c r="F64" s="9"/>
      <c r="G64" s="9"/>
      <c r="H64" s="9"/>
      <c r="I64" s="9"/>
      <c r="J64" s="9"/>
      <c r="K64" s="9"/>
    </row>
    <row r="65" spans="1:11">
      <c r="A65" s="9"/>
      <c r="B65" s="9"/>
      <c r="C65" s="134"/>
      <c r="D65" s="124"/>
      <c r="E65" s="118"/>
      <c r="F65" s="9"/>
      <c r="G65" s="9"/>
      <c r="H65" s="9"/>
      <c r="I65" s="9"/>
      <c r="J65" s="9"/>
      <c r="K65" s="9"/>
    </row>
    <row r="66" spans="1:11">
      <c r="A66" s="9"/>
      <c r="B66" s="9"/>
      <c r="C66" s="135"/>
      <c r="D66" s="136"/>
      <c r="E66" s="136"/>
      <c r="F66" s="9"/>
      <c r="G66" s="9"/>
      <c r="H66" s="9"/>
      <c r="I66" s="9"/>
      <c r="J66" s="9"/>
      <c r="K66" s="9"/>
    </row>
    <row r="67" spans="1:11">
      <c r="A67" s="9"/>
      <c r="B67" s="9"/>
      <c r="C67" s="135"/>
      <c r="D67" s="136"/>
      <c r="E67" s="136"/>
      <c r="F67" s="9"/>
      <c r="G67" s="9"/>
      <c r="H67" s="9"/>
      <c r="I67" s="9"/>
      <c r="J67" s="9"/>
      <c r="K67" s="9"/>
    </row>
    <row r="68" spans="1:11">
      <c r="A68" s="137"/>
      <c r="B68" s="137"/>
      <c r="C68" s="138"/>
      <c r="D68" s="139"/>
      <c r="E68" s="139"/>
      <c r="F68" s="137"/>
      <c r="G68" s="137"/>
      <c r="H68" s="137"/>
      <c r="I68" s="137"/>
      <c r="J68" s="137"/>
      <c r="K68" s="137"/>
    </row>
    <row r="69" spans="1:11">
      <c r="A69" s="9"/>
      <c r="B69" s="9"/>
      <c r="F69" s="9"/>
      <c r="G69" s="9"/>
      <c r="H69" s="9"/>
      <c r="I69" s="9"/>
      <c r="J69" s="9"/>
      <c r="K69" s="9"/>
    </row>
    <row r="126" spans="3:5" ht="15.6">
      <c r="C126" s="2"/>
      <c r="D126" s="141"/>
      <c r="E126" s="2"/>
    </row>
  </sheetData>
  <phoneticPr fontId="10" type="noConversion"/>
  <pageMargins left="0.75" right="0.75" top="1" bottom="1" header="0.5" footer="0.5"/>
  <pageSetup paperSize="9" scale="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sheetData>
    <row r="1" spans="1:2">
      <c r="A1" t="s">
        <v>446</v>
      </c>
      <c r="B1" t="s">
        <v>447</v>
      </c>
    </row>
    <row r="2" spans="1:2">
      <c r="A2" t="s">
        <v>459</v>
      </c>
      <c r="B2" t="s">
        <v>481</v>
      </c>
    </row>
    <row r="3" spans="1:2">
      <c r="A3" t="s">
        <v>465</v>
      </c>
      <c r="B3" t="s">
        <v>482</v>
      </c>
    </row>
    <row r="4" spans="1:2">
      <c r="A4" t="s">
        <v>432</v>
      </c>
      <c r="B4" t="s">
        <v>478</v>
      </c>
    </row>
    <row r="5" spans="1:2">
      <c r="A5" t="s">
        <v>434</v>
      </c>
      <c r="B5" t="s">
        <v>479</v>
      </c>
    </row>
    <row r="6" spans="1:2">
      <c r="A6" t="s">
        <v>436</v>
      </c>
      <c r="B6" t="s">
        <v>480</v>
      </c>
    </row>
    <row r="7" spans="1:2">
      <c r="A7" t="s">
        <v>437</v>
      </c>
      <c r="B7" t="s">
        <v>438</v>
      </c>
    </row>
    <row r="8" spans="1:2">
      <c r="A8" t="s">
        <v>439</v>
      </c>
      <c r="B8" t="s">
        <v>440</v>
      </c>
    </row>
    <row r="9" spans="1:2">
      <c r="A9" t="s">
        <v>441</v>
      </c>
      <c r="B9" t="s">
        <v>438</v>
      </c>
    </row>
    <row r="10" spans="1:2">
      <c r="A10" t="s">
        <v>442</v>
      </c>
      <c r="B10" t="s">
        <v>440</v>
      </c>
    </row>
    <row r="11" spans="1:2">
      <c r="A11" t="s">
        <v>443</v>
      </c>
      <c r="B11" t="s">
        <v>444</v>
      </c>
    </row>
    <row r="12" spans="1:2">
      <c r="A12" t="s">
        <v>445</v>
      </c>
      <c r="B12" t="s">
        <v>435</v>
      </c>
    </row>
    <row r="13" spans="1:2">
      <c r="A13" t="s">
        <v>448</v>
      </c>
      <c r="B13" t="s">
        <v>449</v>
      </c>
    </row>
    <row r="14" spans="1:2">
      <c r="A14" t="s">
        <v>450</v>
      </c>
      <c r="B14" t="s">
        <v>451</v>
      </c>
    </row>
    <row r="15" spans="1:2">
      <c r="A15" t="s">
        <v>452</v>
      </c>
      <c r="B15" t="s">
        <v>466</v>
      </c>
    </row>
    <row r="16" spans="1:2">
      <c r="A16" t="s">
        <v>453</v>
      </c>
      <c r="B16" t="s">
        <v>454</v>
      </c>
    </row>
    <row r="17" spans="1:2">
      <c r="A17" t="s">
        <v>455</v>
      </c>
      <c r="B17" t="s">
        <v>456</v>
      </c>
    </row>
    <row r="18" spans="1:2">
      <c r="A18" t="s">
        <v>460</v>
      </c>
      <c r="B18" t="s">
        <v>467</v>
      </c>
    </row>
    <row r="19" spans="1:2">
      <c r="A19" t="s">
        <v>461</v>
      </c>
      <c r="B19" t="s">
        <v>467</v>
      </c>
    </row>
    <row r="20" spans="1:2">
      <c r="A20" t="s">
        <v>462</v>
      </c>
      <c r="B20" t="s">
        <v>463</v>
      </c>
    </row>
    <row r="21" spans="1:2">
      <c r="A21" t="s">
        <v>464</v>
      </c>
      <c r="B21" t="s">
        <v>468</v>
      </c>
    </row>
    <row r="22" spans="1:2">
      <c r="A22" t="s">
        <v>469</v>
      </c>
      <c r="B22" t="s">
        <v>475</v>
      </c>
    </row>
    <row r="23" spans="1:2">
      <c r="A23" t="s">
        <v>470</v>
      </c>
      <c r="B23" t="s">
        <v>451</v>
      </c>
    </row>
    <row r="24" spans="1:2">
      <c r="A24" t="s">
        <v>471</v>
      </c>
      <c r="B24" t="s">
        <v>476</v>
      </c>
    </row>
    <row r="25" spans="1:2">
      <c r="A25" t="s">
        <v>472</v>
      </c>
      <c r="B25" t="s">
        <v>473</v>
      </c>
    </row>
    <row r="26" spans="1:2">
      <c r="A26" t="s">
        <v>474</v>
      </c>
      <c r="B26" t="s">
        <v>456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4"/>
  <sheetViews>
    <sheetView zoomScale="85" zoomScaleNormal="85" workbookViewId="0"/>
  </sheetViews>
  <sheetFormatPr defaultRowHeight="13.2"/>
  <cols>
    <col min="1" max="1" width="8.5546875" customWidth="1"/>
    <col min="2" max="2" width="7.21875" customWidth="1"/>
    <col min="3" max="3" width="41.5546875" customWidth="1"/>
    <col min="4" max="4" width="3.44140625" customWidth="1"/>
    <col min="5" max="5" width="28.44140625" bestFit="1" customWidth="1"/>
    <col min="6" max="14" width="7.77734375" customWidth="1"/>
  </cols>
  <sheetData>
    <row r="1" spans="1:14">
      <c r="C1" t="s">
        <v>457</v>
      </c>
    </row>
    <row r="2" spans="1:14">
      <c r="A2" t="s">
        <v>286</v>
      </c>
      <c r="B2" t="s">
        <v>224</v>
      </c>
      <c r="C2" t="s">
        <v>223</v>
      </c>
      <c r="D2" t="s">
        <v>287</v>
      </c>
      <c r="E2" t="s">
        <v>288</v>
      </c>
      <c r="F2" t="s">
        <v>69</v>
      </c>
      <c r="G2" t="s">
        <v>70</v>
      </c>
      <c r="H2" t="s">
        <v>71</v>
      </c>
      <c r="I2" t="s">
        <v>72</v>
      </c>
      <c r="J2" t="s">
        <v>73</v>
      </c>
      <c r="K2" t="s">
        <v>74</v>
      </c>
      <c r="L2" t="s">
        <v>75</v>
      </c>
      <c r="M2" t="s">
        <v>76</v>
      </c>
      <c r="N2" t="s">
        <v>367</v>
      </c>
    </row>
    <row r="4" spans="1:14">
      <c r="B4" t="s">
        <v>316</v>
      </c>
      <c r="C4" t="s">
        <v>320</v>
      </c>
      <c r="D4" t="s">
        <v>78</v>
      </c>
      <c r="E4" t="s">
        <v>433</v>
      </c>
      <c r="F4" s="245"/>
      <c r="G4" s="245"/>
      <c r="H4" s="245">
        <v>1.5627043869634401</v>
      </c>
      <c r="I4" s="245">
        <v>1.5831486421717</v>
      </c>
      <c r="J4" s="245">
        <v>1.6452126590027401</v>
      </c>
      <c r="K4" s="245">
        <v>1.7795145670130601</v>
      </c>
      <c r="L4" s="245">
        <v>1.8505571164383701</v>
      </c>
      <c r="M4" s="245">
        <v>1.9098492458088101</v>
      </c>
      <c r="N4" s="245"/>
    </row>
    <row r="5" spans="1:14">
      <c r="B5" t="s">
        <v>317</v>
      </c>
      <c r="C5" t="s">
        <v>321</v>
      </c>
      <c r="D5" t="s">
        <v>78</v>
      </c>
      <c r="E5" t="s">
        <v>433</v>
      </c>
      <c r="F5" s="245"/>
      <c r="G5" s="245"/>
      <c r="H5" s="245">
        <v>1.49692528766736</v>
      </c>
      <c r="I5" s="245">
        <v>1.32918641876188</v>
      </c>
      <c r="J5" s="245">
        <v>1.2744343144113099</v>
      </c>
      <c r="K5" s="245">
        <v>1.2213729185641</v>
      </c>
      <c r="L5" s="245">
        <v>1.28359483083943</v>
      </c>
      <c r="M5" s="245">
        <v>1.3076901687249201</v>
      </c>
      <c r="N5" s="245"/>
    </row>
    <row r="6" spans="1:14">
      <c r="B6" t="s">
        <v>33</v>
      </c>
      <c r="C6" t="s">
        <v>289</v>
      </c>
      <c r="D6" t="s">
        <v>78</v>
      </c>
      <c r="E6" t="s">
        <v>433</v>
      </c>
      <c r="F6" s="245"/>
      <c r="G6" s="245"/>
      <c r="H6" s="245"/>
      <c r="I6" s="245">
        <v>89.825969358260807</v>
      </c>
      <c r="J6" s="245">
        <v>95.616387288940501</v>
      </c>
      <c r="K6" s="245">
        <v>101.867383379076</v>
      </c>
      <c r="L6" s="245">
        <v>109.75615282704599</v>
      </c>
      <c r="M6" s="245">
        <v>118.346148412289</v>
      </c>
      <c r="N6" s="245"/>
    </row>
    <row r="7" spans="1:14">
      <c r="B7" t="s">
        <v>357</v>
      </c>
      <c r="C7" t="s">
        <v>358</v>
      </c>
      <c r="D7" t="s">
        <v>78</v>
      </c>
      <c r="E7" t="s">
        <v>433</v>
      </c>
      <c r="F7" s="245"/>
      <c r="G7" s="245"/>
      <c r="H7" s="245"/>
      <c r="I7" s="245">
        <v>0</v>
      </c>
      <c r="J7" s="245">
        <v>0</v>
      </c>
      <c r="K7" s="245">
        <v>0</v>
      </c>
      <c r="L7" s="245">
        <v>0</v>
      </c>
      <c r="M7" s="245">
        <v>0</v>
      </c>
      <c r="N7" s="245"/>
    </row>
    <row r="8" spans="1:14">
      <c r="B8" t="s">
        <v>386</v>
      </c>
      <c r="C8" t="s">
        <v>290</v>
      </c>
      <c r="D8">
        <v>0</v>
      </c>
      <c r="E8" t="s">
        <v>433</v>
      </c>
      <c r="F8" s="245">
        <v>322.06099999999998</v>
      </c>
      <c r="G8" s="245">
        <v>312.399</v>
      </c>
      <c r="H8" s="245">
        <v>303.02699999999999</v>
      </c>
      <c r="I8" s="245">
        <v>290.90600000000001</v>
      </c>
      <c r="J8" s="245">
        <v>277.16000000000003</v>
      </c>
      <c r="K8" s="245">
        <v>264.53699999999998</v>
      </c>
      <c r="L8" s="245">
        <v>254.48599999999999</v>
      </c>
      <c r="M8" s="245">
        <v>245.48099999999999</v>
      </c>
      <c r="N8" s="245"/>
    </row>
    <row r="9" spans="1:14">
      <c r="B9" t="s">
        <v>180</v>
      </c>
      <c r="C9" t="s">
        <v>291</v>
      </c>
      <c r="D9">
        <v>0</v>
      </c>
      <c r="E9" t="s">
        <v>433</v>
      </c>
      <c r="F9" s="245">
        <v>126.32275</v>
      </c>
      <c r="G9" s="245">
        <v>140.25700000000001</v>
      </c>
      <c r="H9" s="245">
        <v>153.90199999999999</v>
      </c>
      <c r="I9" s="245">
        <v>170.33500000000001</v>
      </c>
      <c r="J9" s="245">
        <v>188.393</v>
      </c>
      <c r="K9" s="245">
        <v>205.328</v>
      </c>
      <c r="L9" s="245">
        <v>219.691</v>
      </c>
      <c r="M9" s="245">
        <v>235.16499999999999</v>
      </c>
      <c r="N9" s="245"/>
    </row>
    <row r="10" spans="1:14">
      <c r="B10" t="s">
        <v>387</v>
      </c>
      <c r="C10" t="s">
        <v>292</v>
      </c>
      <c r="D10">
        <v>0</v>
      </c>
      <c r="E10" t="s">
        <v>433</v>
      </c>
      <c r="F10" s="245">
        <v>6.5919999999999996</v>
      </c>
      <c r="G10" s="245">
        <v>5.9119999999999999</v>
      </c>
      <c r="H10" s="245">
        <v>5.2320000000000002</v>
      </c>
      <c r="I10" s="245">
        <v>4.8520000000000003</v>
      </c>
      <c r="J10" s="245">
        <v>4.4720000000000004</v>
      </c>
      <c r="K10" s="245">
        <v>4.0919999999999996</v>
      </c>
      <c r="L10" s="245">
        <v>3.71199999999999</v>
      </c>
      <c r="M10" s="245">
        <v>3.3319999999999999</v>
      </c>
      <c r="N10" s="245"/>
    </row>
    <row r="11" spans="1:14">
      <c r="B11" t="s">
        <v>388</v>
      </c>
      <c r="C11" t="s">
        <v>293</v>
      </c>
      <c r="D11">
        <v>0</v>
      </c>
      <c r="E11" t="s">
        <v>433</v>
      </c>
      <c r="F11" s="245">
        <v>27.857500000000002</v>
      </c>
      <c r="G11" s="245">
        <v>28.538</v>
      </c>
      <c r="H11" s="245">
        <v>29.218</v>
      </c>
      <c r="I11" s="245">
        <v>29.218</v>
      </c>
      <c r="J11" s="245">
        <v>29.597999999999999</v>
      </c>
      <c r="K11" s="245">
        <v>29.978000000000002</v>
      </c>
      <c r="L11" s="245">
        <v>30.358000000000001</v>
      </c>
      <c r="M11" s="245">
        <v>30.738</v>
      </c>
      <c r="N11" s="245"/>
    </row>
    <row r="12" spans="1:14">
      <c r="B12" t="s">
        <v>318</v>
      </c>
      <c r="C12" t="s">
        <v>322</v>
      </c>
      <c r="D12" t="s">
        <v>78</v>
      </c>
      <c r="E12" t="s">
        <v>433</v>
      </c>
      <c r="F12" s="245"/>
      <c r="G12" s="245"/>
      <c r="H12" s="245">
        <v>0</v>
      </c>
      <c r="I12" s="245">
        <v>0</v>
      </c>
      <c r="J12" s="245">
        <v>0</v>
      </c>
      <c r="K12" s="245">
        <v>0</v>
      </c>
      <c r="L12" s="245">
        <v>0</v>
      </c>
      <c r="M12" s="245">
        <v>0</v>
      </c>
      <c r="N12" s="245"/>
    </row>
    <row r="13" spans="1:14">
      <c r="B13" t="s">
        <v>319</v>
      </c>
      <c r="C13" t="s">
        <v>323</v>
      </c>
      <c r="D13" t="s">
        <v>78</v>
      </c>
      <c r="E13" t="s">
        <v>433</v>
      </c>
      <c r="F13" s="245"/>
      <c r="G13" s="245"/>
      <c r="H13" s="245">
        <v>0</v>
      </c>
      <c r="I13" s="245">
        <v>0</v>
      </c>
      <c r="J13" s="245">
        <v>0</v>
      </c>
      <c r="K13" s="245">
        <v>0</v>
      </c>
      <c r="L13" s="245">
        <v>0</v>
      </c>
      <c r="M13" s="245">
        <v>0</v>
      </c>
      <c r="N13" s="245"/>
    </row>
    <row r="14" spans="1:14">
      <c r="B14" t="s">
        <v>34</v>
      </c>
      <c r="C14" t="s">
        <v>294</v>
      </c>
      <c r="D14" t="s">
        <v>78</v>
      </c>
      <c r="E14" t="s">
        <v>433</v>
      </c>
      <c r="F14" s="245"/>
      <c r="G14" s="245"/>
      <c r="H14" s="245"/>
      <c r="I14" s="245"/>
      <c r="J14" s="245"/>
      <c r="K14" s="245"/>
      <c r="L14" s="245"/>
      <c r="M14" s="245"/>
      <c r="N14" s="245"/>
    </row>
    <row r="15" spans="1:14">
      <c r="B15" t="s">
        <v>359</v>
      </c>
      <c r="C15" t="s">
        <v>360</v>
      </c>
      <c r="D15" t="s">
        <v>78</v>
      </c>
      <c r="E15" t="s">
        <v>433</v>
      </c>
      <c r="F15" s="245"/>
      <c r="G15" s="245"/>
      <c r="H15" s="245"/>
      <c r="I15" s="245">
        <v>0</v>
      </c>
      <c r="J15" s="245">
        <v>0</v>
      </c>
      <c r="K15" s="245">
        <v>0</v>
      </c>
      <c r="L15" s="245">
        <v>0</v>
      </c>
      <c r="M15" s="245">
        <v>0</v>
      </c>
      <c r="N15" s="245"/>
    </row>
    <row r="16" spans="1:14">
      <c r="B16" t="s">
        <v>389</v>
      </c>
      <c r="C16" t="s">
        <v>295</v>
      </c>
      <c r="D16">
        <v>0</v>
      </c>
      <c r="E16" t="s">
        <v>433</v>
      </c>
      <c r="F16" s="245">
        <v>0</v>
      </c>
      <c r="G16" s="245">
        <v>0</v>
      </c>
      <c r="H16" s="245">
        <v>0</v>
      </c>
      <c r="I16" s="245">
        <v>0</v>
      </c>
      <c r="J16" s="245">
        <v>0</v>
      </c>
      <c r="K16" s="245">
        <v>0</v>
      </c>
      <c r="L16" s="245">
        <v>0</v>
      </c>
      <c r="M16" s="245">
        <v>0</v>
      </c>
      <c r="N16" s="245"/>
    </row>
    <row r="17" spans="2:14">
      <c r="B17" t="s">
        <v>390</v>
      </c>
      <c r="C17" t="s">
        <v>296</v>
      </c>
      <c r="D17">
        <v>0</v>
      </c>
      <c r="E17" t="s">
        <v>433</v>
      </c>
      <c r="F17" s="245">
        <v>0</v>
      </c>
      <c r="G17" s="245">
        <v>0</v>
      </c>
      <c r="H17" s="245">
        <v>0</v>
      </c>
      <c r="I17" s="245">
        <v>0</v>
      </c>
      <c r="J17" s="245">
        <v>0</v>
      </c>
      <c r="K17" s="245">
        <v>0</v>
      </c>
      <c r="L17" s="245">
        <v>0</v>
      </c>
      <c r="M17" s="245">
        <v>0</v>
      </c>
      <c r="N17" s="245"/>
    </row>
    <row r="18" spans="2:14">
      <c r="B18" t="s">
        <v>391</v>
      </c>
      <c r="C18" t="s">
        <v>297</v>
      </c>
      <c r="D18">
        <v>0</v>
      </c>
      <c r="E18" t="s">
        <v>433</v>
      </c>
      <c r="F18" s="245"/>
      <c r="G18" s="245"/>
      <c r="H18" s="245"/>
      <c r="I18" s="245"/>
      <c r="J18" s="245"/>
      <c r="K18" s="245"/>
      <c r="L18" s="245"/>
      <c r="M18" s="245"/>
      <c r="N18" s="245"/>
    </row>
    <row r="19" spans="2:14">
      <c r="B19" t="s">
        <v>392</v>
      </c>
      <c r="C19" t="s">
        <v>298</v>
      </c>
      <c r="D19">
        <v>0</v>
      </c>
      <c r="E19" t="s">
        <v>433</v>
      </c>
      <c r="F19" s="245"/>
      <c r="G19" s="245"/>
      <c r="H19" s="245"/>
      <c r="I19" s="245"/>
      <c r="J19" s="245"/>
      <c r="K19" s="245"/>
      <c r="L19" s="245"/>
      <c r="M19" s="245"/>
      <c r="N19" s="245"/>
    </row>
    <row r="20" spans="2:14">
      <c r="B20" t="s">
        <v>397</v>
      </c>
      <c r="C20" t="s">
        <v>45</v>
      </c>
      <c r="D20" t="s">
        <v>78</v>
      </c>
      <c r="E20" t="s">
        <v>433</v>
      </c>
      <c r="F20" s="245"/>
      <c r="G20" s="245"/>
      <c r="H20" s="245"/>
      <c r="I20" s="245">
        <v>50.36</v>
      </c>
      <c r="J20" s="245">
        <v>53.05</v>
      </c>
      <c r="K20" s="245">
        <v>56.05</v>
      </c>
      <c r="L20" s="245">
        <v>58.45</v>
      </c>
      <c r="M20" s="245">
        <v>59.561</v>
      </c>
      <c r="N20" s="245"/>
    </row>
    <row r="21" spans="2:14">
      <c r="B21" t="s">
        <v>4</v>
      </c>
      <c r="C21" t="s">
        <v>458</v>
      </c>
      <c r="D21" t="s">
        <v>78</v>
      </c>
      <c r="E21" t="s">
        <v>433</v>
      </c>
      <c r="F21" s="245"/>
      <c r="G21" s="245"/>
      <c r="H21" s="245"/>
      <c r="I21" s="245">
        <v>1.26</v>
      </c>
      <c r="J21" s="245">
        <v>1.41</v>
      </c>
      <c r="K21" s="245">
        <v>1.49</v>
      </c>
      <c r="L21" s="245">
        <v>1.48</v>
      </c>
      <c r="M21" s="245">
        <v>1.2170000000000001</v>
      </c>
      <c r="N21" s="245"/>
    </row>
    <row r="22" spans="2:14">
      <c r="B22" t="s">
        <v>398</v>
      </c>
      <c r="C22" t="s">
        <v>47</v>
      </c>
      <c r="D22" t="s">
        <v>78</v>
      </c>
      <c r="E22" t="s">
        <v>433</v>
      </c>
      <c r="F22" s="245"/>
      <c r="G22" s="245"/>
      <c r="H22" s="245"/>
      <c r="I22" s="245">
        <v>22.08</v>
      </c>
      <c r="J22" s="245">
        <v>25.5</v>
      </c>
      <c r="K22" s="245">
        <v>29.15</v>
      </c>
      <c r="L22" s="245">
        <v>33.802</v>
      </c>
      <c r="M22" s="245">
        <v>38.664000000000001</v>
      </c>
      <c r="N22" s="245"/>
    </row>
    <row r="23" spans="2:14">
      <c r="B23" t="s">
        <v>6</v>
      </c>
      <c r="C23" t="s">
        <v>299</v>
      </c>
      <c r="D23" t="s">
        <v>78</v>
      </c>
      <c r="E23" t="s">
        <v>433</v>
      </c>
      <c r="F23" s="245"/>
      <c r="G23" s="245"/>
      <c r="H23" s="245"/>
      <c r="I23" s="245">
        <v>16.89</v>
      </c>
      <c r="J23" s="245">
        <v>18.41</v>
      </c>
      <c r="K23" s="245">
        <v>19.22</v>
      </c>
      <c r="L23" s="245">
        <v>21.315999999999999</v>
      </c>
      <c r="M23" s="245">
        <v>23.452999999999999</v>
      </c>
      <c r="N23" s="245"/>
    </row>
    <row r="24" spans="2:14">
      <c r="B24" t="s">
        <v>7</v>
      </c>
      <c r="C24" t="s">
        <v>300</v>
      </c>
      <c r="D24" t="s">
        <v>78</v>
      </c>
      <c r="E24" t="s">
        <v>433</v>
      </c>
      <c r="F24" s="245"/>
      <c r="G24" s="245"/>
      <c r="H24" s="245">
        <v>-0.33</v>
      </c>
      <c r="I24" s="245">
        <v>-0.16</v>
      </c>
      <c r="J24" s="245">
        <v>-0.03</v>
      </c>
      <c r="K24" s="245">
        <v>-0.19</v>
      </c>
      <c r="L24" s="245">
        <v>-0.25</v>
      </c>
      <c r="M24" s="245">
        <v>0.14000000000000001</v>
      </c>
      <c r="N24" s="245"/>
    </row>
    <row r="25" spans="2:14">
      <c r="B25" t="s">
        <v>331</v>
      </c>
      <c r="C25" t="s">
        <v>393</v>
      </c>
      <c r="D25" t="s">
        <v>78</v>
      </c>
      <c r="E25" t="s">
        <v>433</v>
      </c>
      <c r="F25" s="245"/>
      <c r="G25" s="245"/>
      <c r="H25" s="245"/>
      <c r="I25" s="245">
        <v>0.06</v>
      </c>
      <c r="J25" s="245">
        <v>0.12</v>
      </c>
      <c r="K25" s="245">
        <v>0.15</v>
      </c>
      <c r="L25" s="245">
        <v>0.17</v>
      </c>
      <c r="M25" s="245">
        <v>0.13</v>
      </c>
      <c r="N25" s="245"/>
    </row>
    <row r="26" spans="2:14">
      <c r="B26" t="s">
        <v>332</v>
      </c>
      <c r="C26" t="s">
        <v>170</v>
      </c>
      <c r="D26" t="s">
        <v>78</v>
      </c>
      <c r="E26" t="s">
        <v>433</v>
      </c>
      <c r="F26" s="245"/>
      <c r="G26" s="245"/>
      <c r="H26" s="245"/>
      <c r="I26" s="245">
        <v>0</v>
      </c>
      <c r="J26" s="245">
        <v>0</v>
      </c>
      <c r="K26" s="245">
        <v>0</v>
      </c>
      <c r="L26" s="245">
        <v>0</v>
      </c>
      <c r="M26" s="245">
        <v>0</v>
      </c>
      <c r="N26" s="245"/>
    </row>
    <row r="27" spans="2:14">
      <c r="B27" t="s">
        <v>399</v>
      </c>
      <c r="C27" t="s">
        <v>52</v>
      </c>
      <c r="D27" t="s">
        <v>405</v>
      </c>
      <c r="E27" t="s">
        <v>433</v>
      </c>
      <c r="F27" s="245"/>
      <c r="G27" s="245"/>
      <c r="H27" s="245">
        <v>33.71</v>
      </c>
      <c r="I27" s="245">
        <v>32.68</v>
      </c>
      <c r="J27" s="245">
        <v>33.69</v>
      </c>
      <c r="K27" s="245">
        <v>33.409999999999997</v>
      </c>
      <c r="L27" s="245">
        <v>33.39</v>
      </c>
      <c r="M27" s="245">
        <v>33.615000000000002</v>
      </c>
      <c r="N27" s="245"/>
    </row>
    <row r="28" spans="2:14">
      <c r="B28" t="s">
        <v>330</v>
      </c>
      <c r="C28" t="s">
        <v>50</v>
      </c>
      <c r="D28" t="s">
        <v>405</v>
      </c>
      <c r="E28" t="s">
        <v>433</v>
      </c>
      <c r="F28" s="245"/>
      <c r="G28" s="245"/>
      <c r="H28" s="245"/>
      <c r="I28" s="245">
        <v>0</v>
      </c>
      <c r="J28" s="245">
        <v>0</v>
      </c>
      <c r="K28" s="245">
        <v>0</v>
      </c>
      <c r="L28" s="245">
        <v>0</v>
      </c>
      <c r="M28" s="245">
        <v>0</v>
      </c>
      <c r="N28" s="245"/>
    </row>
    <row r="29" spans="2:14">
      <c r="B29" t="s">
        <v>400</v>
      </c>
      <c r="C29" t="s">
        <v>53</v>
      </c>
      <c r="D29" t="s">
        <v>78</v>
      </c>
      <c r="E29" t="s">
        <v>433</v>
      </c>
      <c r="F29" s="245"/>
      <c r="G29" s="245"/>
      <c r="H29" s="245"/>
      <c r="I29" s="245"/>
      <c r="J29" s="245"/>
      <c r="K29" s="245"/>
      <c r="L29" s="245"/>
      <c r="M29" s="245"/>
      <c r="N29" s="245"/>
    </row>
    <row r="30" spans="2:14">
      <c r="B30" t="s">
        <v>11</v>
      </c>
      <c r="C30" t="s">
        <v>301</v>
      </c>
      <c r="D30" t="s">
        <v>78</v>
      </c>
      <c r="E30" t="s">
        <v>433</v>
      </c>
      <c r="F30" s="245"/>
      <c r="G30" s="245"/>
      <c r="H30" s="245"/>
      <c r="I30" s="245"/>
      <c r="J30" s="245"/>
      <c r="K30" s="245"/>
      <c r="L30" s="245"/>
      <c r="M30" s="245"/>
      <c r="N30" s="245"/>
    </row>
    <row r="31" spans="2:14">
      <c r="B31" t="s">
        <v>401</v>
      </c>
      <c r="C31" t="s">
        <v>55</v>
      </c>
      <c r="D31" t="s">
        <v>78</v>
      </c>
      <c r="E31" t="s">
        <v>433</v>
      </c>
      <c r="F31" s="245"/>
      <c r="G31" s="245"/>
      <c r="H31" s="245"/>
      <c r="I31" s="245"/>
      <c r="J31" s="245"/>
      <c r="K31" s="245"/>
      <c r="L31" s="245"/>
      <c r="M31" s="245"/>
      <c r="N31" s="245"/>
    </row>
    <row r="32" spans="2:14">
      <c r="B32" t="s">
        <v>13</v>
      </c>
      <c r="C32" t="s">
        <v>302</v>
      </c>
      <c r="D32" t="s">
        <v>78</v>
      </c>
      <c r="E32" t="s">
        <v>433</v>
      </c>
      <c r="F32" s="245"/>
      <c r="G32" s="245"/>
      <c r="H32" s="245"/>
      <c r="I32" s="245"/>
      <c r="J32" s="245"/>
      <c r="K32" s="245"/>
      <c r="L32" s="245"/>
      <c r="M32" s="245"/>
      <c r="N32" s="245"/>
    </row>
    <row r="33" spans="2:14">
      <c r="B33" t="s">
        <v>10</v>
      </c>
      <c r="C33" t="s">
        <v>303</v>
      </c>
      <c r="D33" t="s">
        <v>78</v>
      </c>
      <c r="E33" t="s">
        <v>433</v>
      </c>
      <c r="F33" s="245"/>
      <c r="G33" s="245"/>
      <c r="H33" s="245"/>
      <c r="I33" s="245"/>
      <c r="J33" s="245"/>
      <c r="K33" s="245"/>
      <c r="L33" s="245"/>
      <c r="M33" s="245"/>
      <c r="N33" s="245"/>
    </row>
    <row r="34" spans="2:14">
      <c r="B34" t="s">
        <v>14</v>
      </c>
      <c r="C34" t="s">
        <v>304</v>
      </c>
      <c r="D34" t="s">
        <v>78</v>
      </c>
      <c r="E34" t="s">
        <v>433</v>
      </c>
      <c r="F34" s="245"/>
      <c r="G34" s="245"/>
      <c r="H34" s="245"/>
      <c r="I34" s="245"/>
      <c r="J34" s="245"/>
      <c r="K34" s="245"/>
      <c r="L34" s="245"/>
      <c r="M34" s="245"/>
      <c r="N34" s="245"/>
    </row>
    <row r="35" spans="2:14">
      <c r="B35" t="s">
        <v>355</v>
      </c>
      <c r="C35" t="s">
        <v>394</v>
      </c>
      <c r="D35" t="s">
        <v>78</v>
      </c>
      <c r="E35" t="s">
        <v>433</v>
      </c>
      <c r="F35" s="245"/>
      <c r="G35" s="245"/>
      <c r="H35" s="245"/>
      <c r="I35" s="245"/>
      <c r="J35" s="245"/>
      <c r="K35" s="245"/>
      <c r="L35" s="245"/>
      <c r="M35" s="245"/>
      <c r="N35" s="245"/>
    </row>
    <row r="36" spans="2:14">
      <c r="B36" t="s">
        <v>356</v>
      </c>
      <c r="C36" t="s">
        <v>171</v>
      </c>
      <c r="D36" t="s">
        <v>78</v>
      </c>
      <c r="E36" t="s">
        <v>433</v>
      </c>
      <c r="F36" s="245"/>
      <c r="G36" s="245"/>
      <c r="H36" s="245"/>
      <c r="I36" s="245"/>
      <c r="J36" s="245"/>
      <c r="K36" s="245"/>
      <c r="L36" s="245"/>
      <c r="M36" s="245"/>
      <c r="N36" s="245"/>
    </row>
    <row r="37" spans="2:14">
      <c r="B37" t="s">
        <v>402</v>
      </c>
      <c r="C37" t="s">
        <v>406</v>
      </c>
      <c r="D37" t="s">
        <v>405</v>
      </c>
      <c r="E37" t="s">
        <v>433</v>
      </c>
      <c r="F37" s="245"/>
      <c r="G37" s="245"/>
      <c r="H37" s="245"/>
      <c r="I37" s="245"/>
      <c r="J37" s="245"/>
      <c r="K37" s="245"/>
      <c r="L37" s="245"/>
      <c r="M37" s="245"/>
      <c r="N37" s="245"/>
    </row>
    <row r="38" spans="2:14">
      <c r="B38" t="s">
        <v>352</v>
      </c>
      <c r="C38" t="s">
        <v>59</v>
      </c>
      <c r="D38" t="s">
        <v>405</v>
      </c>
      <c r="E38" t="s">
        <v>433</v>
      </c>
      <c r="F38" s="245"/>
      <c r="G38" s="245"/>
      <c r="H38" s="245"/>
      <c r="I38" s="245"/>
      <c r="J38" s="245"/>
      <c r="K38" s="245"/>
      <c r="L38" s="245"/>
      <c r="M38" s="245"/>
      <c r="N38" s="245"/>
    </row>
    <row r="39" spans="2:14">
      <c r="B39" t="s">
        <v>346</v>
      </c>
      <c r="C39" t="s">
        <v>340</v>
      </c>
      <c r="D39" t="s">
        <v>405</v>
      </c>
      <c r="E39" t="s">
        <v>433</v>
      </c>
      <c r="F39" s="245"/>
      <c r="G39" s="245"/>
      <c r="H39" s="245"/>
      <c r="I39" s="245">
        <v>299.36099999999999</v>
      </c>
      <c r="J39" s="245">
        <v>292.21600000000001</v>
      </c>
      <c r="K39" s="245">
        <v>282.80099999999999</v>
      </c>
      <c r="L39" s="245">
        <v>273.38</v>
      </c>
      <c r="M39" s="245">
        <v>264.00599999999997</v>
      </c>
      <c r="N39" s="245"/>
    </row>
    <row r="40" spans="2:14">
      <c r="B40" t="s">
        <v>347</v>
      </c>
      <c r="C40" t="s">
        <v>341</v>
      </c>
      <c r="D40" t="s">
        <v>405</v>
      </c>
      <c r="E40" t="s">
        <v>433</v>
      </c>
      <c r="F40" s="245"/>
      <c r="G40" s="245"/>
      <c r="H40" s="245"/>
      <c r="I40" s="245">
        <v>164.21600000000001</v>
      </c>
      <c r="J40" s="245">
        <v>173.679</v>
      </c>
      <c r="K40" s="245">
        <v>186.376</v>
      </c>
      <c r="L40" s="245">
        <v>199.77</v>
      </c>
      <c r="M40" s="245">
        <v>212.71799999999999</v>
      </c>
      <c r="N40" s="245"/>
    </row>
    <row r="41" spans="2:14">
      <c r="B41" t="s">
        <v>348</v>
      </c>
      <c r="C41" t="s">
        <v>342</v>
      </c>
      <c r="D41" t="s">
        <v>405</v>
      </c>
      <c r="E41" t="s">
        <v>433</v>
      </c>
      <c r="F41" s="245"/>
      <c r="G41" s="245"/>
      <c r="H41" s="245"/>
      <c r="I41" s="245">
        <v>0</v>
      </c>
      <c r="J41" s="245">
        <v>0</v>
      </c>
      <c r="K41" s="245">
        <v>0</v>
      </c>
      <c r="L41" s="245">
        <v>0</v>
      </c>
      <c r="M41" s="245">
        <v>0</v>
      </c>
      <c r="N41" s="245"/>
    </row>
    <row r="42" spans="2:14">
      <c r="B42" t="s">
        <v>349</v>
      </c>
      <c r="C42" t="s">
        <v>343</v>
      </c>
      <c r="D42" t="s">
        <v>405</v>
      </c>
      <c r="E42" t="s">
        <v>433</v>
      </c>
      <c r="F42" s="245"/>
      <c r="G42" s="245"/>
      <c r="H42" s="245"/>
      <c r="I42" s="245">
        <v>0</v>
      </c>
      <c r="J42" s="245">
        <v>0</v>
      </c>
      <c r="K42" s="245">
        <v>0</v>
      </c>
      <c r="L42" s="245">
        <v>0</v>
      </c>
      <c r="M42" s="245">
        <v>0</v>
      </c>
      <c r="N42" s="245"/>
    </row>
    <row r="43" spans="2:14">
      <c r="B43" t="s">
        <v>350</v>
      </c>
      <c r="C43" t="s">
        <v>344</v>
      </c>
      <c r="D43" t="s">
        <v>405</v>
      </c>
      <c r="E43" t="s">
        <v>433</v>
      </c>
      <c r="F43" s="245"/>
      <c r="G43" s="245"/>
      <c r="H43" s="245"/>
      <c r="I43" s="245">
        <v>0</v>
      </c>
      <c r="J43" s="245">
        <v>0</v>
      </c>
      <c r="K43" s="245">
        <v>0</v>
      </c>
      <c r="L43" s="245">
        <v>0</v>
      </c>
      <c r="M43" s="245">
        <v>0</v>
      </c>
      <c r="N43" s="245"/>
    </row>
    <row r="44" spans="2:14">
      <c r="B44" t="s">
        <v>351</v>
      </c>
      <c r="C44" t="s">
        <v>345</v>
      </c>
      <c r="D44" t="s">
        <v>405</v>
      </c>
      <c r="E44" t="s">
        <v>433</v>
      </c>
      <c r="F44" s="245"/>
      <c r="G44" s="245"/>
      <c r="H44" s="245"/>
      <c r="I44" s="245">
        <v>0</v>
      </c>
      <c r="J44" s="245">
        <v>0</v>
      </c>
      <c r="K44" s="245">
        <v>0</v>
      </c>
      <c r="L44" s="245">
        <v>0</v>
      </c>
      <c r="M44" s="245">
        <v>0</v>
      </c>
      <c r="N44" s="245"/>
    </row>
    <row r="45" spans="2:14">
      <c r="B45" t="s">
        <v>18</v>
      </c>
      <c r="C45" t="s">
        <v>81</v>
      </c>
      <c r="D45" t="s">
        <v>362</v>
      </c>
      <c r="E45" t="s">
        <v>433</v>
      </c>
      <c r="F45" s="249"/>
      <c r="G45" s="249"/>
      <c r="H45" s="249"/>
      <c r="I45" s="249">
        <v>0.28000000000000003</v>
      </c>
      <c r="J45" s="249">
        <v>0.26</v>
      </c>
      <c r="K45" s="249">
        <v>0.24</v>
      </c>
      <c r="L45" s="249">
        <v>0.23</v>
      </c>
      <c r="M45" s="249">
        <v>0.21</v>
      </c>
      <c r="N45" s="249"/>
    </row>
    <row r="46" spans="2:14">
      <c r="B46" t="s">
        <v>17</v>
      </c>
      <c r="C46" t="s">
        <v>305</v>
      </c>
      <c r="D46" t="s">
        <v>365</v>
      </c>
      <c r="E46" t="s">
        <v>433</v>
      </c>
      <c r="F46" s="250">
        <v>208.59166666666599</v>
      </c>
      <c r="G46" s="250">
        <v>214.78333333333299</v>
      </c>
      <c r="H46" s="250">
        <v>215.766666666666</v>
      </c>
      <c r="I46" s="250">
        <v>222.45543333333299</v>
      </c>
      <c r="J46" s="250">
        <v>228.461730033333</v>
      </c>
      <c r="K46" s="250">
        <v>235.087120204299</v>
      </c>
      <c r="L46" s="250">
        <v>242.37482093063301</v>
      </c>
      <c r="M46" s="250">
        <v>249.16131591669</v>
      </c>
      <c r="N46" s="250"/>
    </row>
    <row r="47" spans="2:14">
      <c r="B47" t="s">
        <v>407</v>
      </c>
      <c r="C47" t="s">
        <v>305</v>
      </c>
      <c r="D47" t="s">
        <v>361</v>
      </c>
      <c r="E47" t="s">
        <v>433</v>
      </c>
      <c r="F47" s="250">
        <v>208.59166666666701</v>
      </c>
      <c r="G47" s="250">
        <v>214.78333333333299</v>
      </c>
      <c r="H47" s="250">
        <v>215.76666666666699</v>
      </c>
      <c r="I47" s="250">
        <v>226.47499999999999</v>
      </c>
      <c r="J47" s="250">
        <v>237.34166666666701</v>
      </c>
      <c r="K47" s="250">
        <v>244.67500000000001</v>
      </c>
      <c r="L47" s="250">
        <v>251.73333333333301</v>
      </c>
      <c r="M47" s="250">
        <v>256.66666666666703</v>
      </c>
      <c r="N47" s="250"/>
    </row>
    <row r="48" spans="2:14">
      <c r="B48" t="s">
        <v>26</v>
      </c>
      <c r="C48" t="s">
        <v>306</v>
      </c>
      <c r="D48" t="s">
        <v>362</v>
      </c>
      <c r="E48" t="s">
        <v>433</v>
      </c>
      <c r="F48" s="249">
        <v>8.2100000000000006E-2</v>
      </c>
      <c r="G48" s="249">
        <v>4.9000000000000002E-2</v>
      </c>
      <c r="H48" s="249">
        <v>4.9000000000000002E-2</v>
      </c>
      <c r="I48" s="249">
        <v>4.2999999999999997E-2</v>
      </c>
      <c r="J48" s="249">
        <v>4.2999999999999997E-2</v>
      </c>
      <c r="K48" s="249">
        <v>4.2999999999999997E-2</v>
      </c>
      <c r="L48" s="249">
        <v>4.2999999999999997E-2</v>
      </c>
      <c r="M48" s="249">
        <v>4.2999999999999997E-2</v>
      </c>
      <c r="N48" s="249"/>
    </row>
    <row r="49" spans="2:14">
      <c r="B49" t="s">
        <v>324</v>
      </c>
      <c r="C49" t="s">
        <v>328</v>
      </c>
      <c r="D49" t="s">
        <v>362</v>
      </c>
      <c r="E49" t="s">
        <v>433</v>
      </c>
      <c r="F49" s="249"/>
      <c r="G49" s="249"/>
      <c r="H49" s="249"/>
      <c r="I49" s="249">
        <v>0.42</v>
      </c>
      <c r="J49" s="249">
        <v>0.42</v>
      </c>
      <c r="K49" s="249">
        <v>0.42</v>
      </c>
      <c r="L49" s="249">
        <v>0.42</v>
      </c>
      <c r="M49" s="249">
        <v>0.42</v>
      </c>
      <c r="N49" s="249"/>
    </row>
    <row r="50" spans="2:14">
      <c r="B50" t="s">
        <v>325</v>
      </c>
      <c r="C50" t="s">
        <v>329</v>
      </c>
      <c r="D50" t="s">
        <v>362</v>
      </c>
      <c r="E50" t="s">
        <v>433</v>
      </c>
      <c r="F50" s="249"/>
      <c r="G50" s="249"/>
      <c r="H50" s="249"/>
      <c r="I50" s="249">
        <v>0</v>
      </c>
      <c r="J50" s="249">
        <v>0.5</v>
      </c>
      <c r="K50" s="249">
        <v>1</v>
      </c>
      <c r="L50" s="249">
        <v>1.5</v>
      </c>
      <c r="M50" s="249">
        <v>0</v>
      </c>
      <c r="N50" s="249"/>
    </row>
    <row r="51" spans="2:14">
      <c r="B51" t="s">
        <v>327</v>
      </c>
      <c r="C51" t="s">
        <v>168</v>
      </c>
      <c r="D51" t="s">
        <v>361</v>
      </c>
      <c r="E51" t="s">
        <v>433</v>
      </c>
      <c r="F51" s="251">
        <v>50</v>
      </c>
      <c r="G51" s="251"/>
      <c r="H51" s="251"/>
      <c r="I51" s="251"/>
      <c r="J51" s="251"/>
      <c r="K51" s="251"/>
      <c r="L51" s="251"/>
      <c r="M51" s="251"/>
      <c r="N51" s="251"/>
    </row>
    <row r="52" spans="2:14">
      <c r="B52" t="s">
        <v>403</v>
      </c>
      <c r="C52" t="s">
        <v>395</v>
      </c>
      <c r="D52">
        <v>0</v>
      </c>
      <c r="E52" t="s">
        <v>433</v>
      </c>
      <c r="F52" s="245">
        <v>452.068749999999</v>
      </c>
      <c r="G52" s="245">
        <v>453.58516599999899</v>
      </c>
      <c r="H52" s="245">
        <v>458.4255</v>
      </c>
      <c r="I52" s="245">
        <v>463.57641666666598</v>
      </c>
      <c r="J52" s="245">
        <v>459.17995833333299</v>
      </c>
      <c r="K52" s="245"/>
      <c r="L52" s="245"/>
      <c r="M52" s="245"/>
      <c r="N52" s="245"/>
    </row>
    <row r="53" spans="2:14">
      <c r="B53" t="s">
        <v>404</v>
      </c>
      <c r="C53" t="s">
        <v>396</v>
      </c>
      <c r="D53">
        <v>0</v>
      </c>
      <c r="E53" t="s">
        <v>433</v>
      </c>
      <c r="F53" s="245">
        <v>0</v>
      </c>
      <c r="G53" s="245">
        <v>0</v>
      </c>
      <c r="H53" s="245">
        <v>0</v>
      </c>
      <c r="I53" s="245">
        <v>0</v>
      </c>
      <c r="J53" s="245"/>
      <c r="K53" s="245"/>
      <c r="L53" s="245"/>
      <c r="M53" s="245"/>
      <c r="N53" s="245"/>
    </row>
    <row r="54" spans="2:14">
      <c r="B54" t="s">
        <v>385</v>
      </c>
      <c r="C54" t="s">
        <v>366</v>
      </c>
      <c r="D54" t="s">
        <v>362</v>
      </c>
      <c r="E54" t="s">
        <v>433</v>
      </c>
      <c r="F54" s="249"/>
      <c r="G54" s="249"/>
      <c r="H54" s="249"/>
      <c r="I54" s="249"/>
      <c r="J54" s="249"/>
      <c r="K54" s="249"/>
      <c r="L54" s="249"/>
      <c r="M54" s="249"/>
      <c r="N54" s="249">
        <v>3.6699999999999899E-2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N132"/>
  <sheetViews>
    <sheetView zoomScale="40" zoomScaleNormal="40"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4" customWidth="1"/>
    <col min="2" max="2" width="13.33203125" style="1" bestFit="1" customWidth="1"/>
    <col min="3" max="3" width="82.88671875" style="1" customWidth="1"/>
    <col min="4" max="4" width="14.6640625" style="5" bestFit="1" customWidth="1"/>
    <col min="5" max="5" width="14.6640625" style="5" customWidth="1"/>
    <col min="6" max="10" width="10.6640625" style="1" customWidth="1"/>
    <col min="11" max="12" width="11.5546875" style="1" bestFit="1" customWidth="1"/>
    <col min="13" max="13" width="10.6640625" style="1" customWidth="1"/>
    <col min="14" max="14" width="9.109375" style="1" customWidth="1"/>
    <col min="15" max="16384" width="9.109375" style="1"/>
  </cols>
  <sheetData>
    <row r="1" spans="1:14" s="52" customFormat="1" ht="15.6">
      <c r="A1" s="142"/>
      <c r="B1" s="241">
        <f>+F_Inputs!A4</f>
        <v>0</v>
      </c>
      <c r="C1" s="143" t="s">
        <v>66</v>
      </c>
      <c r="D1" s="241"/>
      <c r="E1" s="241"/>
      <c r="F1" s="144"/>
      <c r="G1" s="144"/>
      <c r="H1" s="144"/>
      <c r="I1" s="144"/>
      <c r="J1" s="144"/>
      <c r="K1" s="144"/>
      <c r="L1" s="144"/>
      <c r="M1" s="145"/>
    </row>
    <row r="2" spans="1:14" s="53" customFormat="1" ht="18" customHeight="1">
      <c r="A2" s="146"/>
      <c r="B2" s="147" t="s">
        <v>224</v>
      </c>
      <c r="C2" s="149" t="s">
        <v>64</v>
      </c>
      <c r="D2" s="148" t="s">
        <v>237</v>
      </c>
      <c r="E2" s="231"/>
      <c r="F2" s="150" t="s">
        <v>69</v>
      </c>
      <c r="G2" s="150" t="s">
        <v>70</v>
      </c>
      <c r="H2" s="150" t="s">
        <v>71</v>
      </c>
      <c r="I2" s="233" t="s">
        <v>72</v>
      </c>
      <c r="J2" s="233" t="s">
        <v>73</v>
      </c>
      <c r="K2" s="233" t="s">
        <v>74</v>
      </c>
      <c r="L2" s="233" t="s">
        <v>75</v>
      </c>
      <c r="M2" s="233" t="s">
        <v>76</v>
      </c>
    </row>
    <row r="3" spans="1:14" s="53" customFormat="1" ht="15.6">
      <c r="A3" s="151"/>
      <c r="B3" s="152"/>
      <c r="C3" s="153"/>
      <c r="D3" s="152"/>
      <c r="E3" s="152"/>
      <c r="F3" s="154"/>
      <c r="G3" s="154"/>
      <c r="H3" s="154"/>
      <c r="I3" s="234"/>
      <c r="J3" s="234"/>
      <c r="K3" s="234"/>
      <c r="L3" s="234"/>
      <c r="M3" s="234"/>
    </row>
    <row r="4" spans="1:14" s="53" customFormat="1" ht="15">
      <c r="A4" s="155"/>
      <c r="B4" s="156" t="s">
        <v>225</v>
      </c>
      <c r="C4" s="158" t="s">
        <v>226</v>
      </c>
      <c r="D4" s="157"/>
      <c r="E4" s="157"/>
      <c r="F4" s="157">
        <v>2007</v>
      </c>
      <c r="G4" s="157">
        <v>2008</v>
      </c>
      <c r="H4" s="157">
        <v>2009</v>
      </c>
      <c r="I4" s="238">
        <v>2010</v>
      </c>
      <c r="J4" s="238">
        <v>2011</v>
      </c>
      <c r="K4" s="238">
        <v>2012</v>
      </c>
      <c r="L4" s="238">
        <v>2013</v>
      </c>
      <c r="M4" s="238">
        <v>2014</v>
      </c>
    </row>
    <row r="5" spans="1:14" s="53" customFormat="1" ht="15">
      <c r="A5" s="155"/>
      <c r="B5" s="118" t="s">
        <v>98</v>
      </c>
      <c r="C5" s="118" t="s">
        <v>99</v>
      </c>
      <c r="D5" s="232"/>
      <c r="E5" s="232"/>
      <c r="F5" s="118"/>
      <c r="G5" s="118"/>
      <c r="H5" s="118"/>
      <c r="I5" s="159">
        <v>1</v>
      </c>
      <c r="J5" s="159">
        <v>2</v>
      </c>
      <c r="K5" s="159">
        <v>3</v>
      </c>
      <c r="L5" s="159">
        <v>4</v>
      </c>
      <c r="M5" s="159">
        <v>5</v>
      </c>
    </row>
    <row r="6" spans="1:14" ht="15.6">
      <c r="A6" s="119"/>
      <c r="B6" s="119"/>
      <c r="C6" s="120" t="s">
        <v>381</v>
      </c>
      <c r="D6" s="119"/>
      <c r="E6" s="119"/>
      <c r="F6" s="119"/>
      <c r="G6" s="119"/>
      <c r="H6" s="119"/>
      <c r="I6" s="119"/>
      <c r="J6" s="119"/>
      <c r="K6" s="119"/>
      <c r="L6" s="119"/>
      <c r="M6" s="119"/>
    </row>
    <row r="7" spans="1:14" ht="15">
      <c r="A7" s="9"/>
      <c r="B7" s="232" t="s">
        <v>316</v>
      </c>
      <c r="C7" s="118" t="str">
        <f>"Water: Non-households – under "&amp;Threshold&amp;"ML threshold"</f>
        <v>Water: Non-households – under 50ML threshold</v>
      </c>
      <c r="D7" s="232" t="s">
        <v>238</v>
      </c>
      <c r="E7" s="232"/>
      <c r="F7" s="118"/>
      <c r="G7" s="160"/>
      <c r="H7" s="162">
        <f>F_Inputs!H4</f>
        <v>1.5627043869634401</v>
      </c>
      <c r="I7" s="162">
        <f>F_Inputs!I4</f>
        <v>1.5831486421717</v>
      </c>
      <c r="J7" s="162">
        <f>F_Inputs!J4</f>
        <v>1.6452126590027401</v>
      </c>
      <c r="K7" s="162">
        <f>F_Inputs!K4</f>
        <v>1.7795145670130601</v>
      </c>
      <c r="L7" s="162">
        <f>F_Inputs!L4</f>
        <v>1.8505571164383701</v>
      </c>
      <c r="M7" s="162">
        <f>F_Inputs!M4</f>
        <v>1.9098492458088101</v>
      </c>
    </row>
    <row r="8" spans="1:14" ht="15">
      <c r="A8" s="9"/>
      <c r="B8" s="232" t="s">
        <v>317</v>
      </c>
      <c r="C8" s="118" t="str">
        <f>"Water: Non-households – over "&amp;Threshold&amp;"ML threshold"</f>
        <v>Water: Non-households – over 50ML threshold</v>
      </c>
      <c r="D8" s="232" t="s">
        <v>238</v>
      </c>
      <c r="E8" s="232"/>
      <c r="F8" s="118"/>
      <c r="G8" s="160"/>
      <c r="H8" s="162">
        <f>F_Inputs!H5</f>
        <v>1.49692528766736</v>
      </c>
      <c r="I8" s="162">
        <f>F_Inputs!I5</f>
        <v>1.32918641876188</v>
      </c>
      <c r="J8" s="162">
        <f>F_Inputs!J5</f>
        <v>1.2744343144113099</v>
      </c>
      <c r="K8" s="162">
        <f>F_Inputs!K5</f>
        <v>1.2213729185641</v>
      </c>
      <c r="L8" s="162">
        <f>F_Inputs!L5</f>
        <v>1.28359483083943</v>
      </c>
      <c r="M8" s="162">
        <f>F_Inputs!M5</f>
        <v>1.3076901687249201</v>
      </c>
    </row>
    <row r="9" spans="1:14" ht="15">
      <c r="A9" s="9"/>
      <c r="B9" s="232"/>
      <c r="C9" s="118"/>
      <c r="D9" s="232"/>
      <c r="E9" s="232"/>
      <c r="F9" s="118"/>
      <c r="G9" s="160"/>
      <c r="H9" s="161"/>
      <c r="I9" s="161"/>
      <c r="J9" s="161"/>
      <c r="K9" s="161"/>
      <c r="L9" s="161"/>
      <c r="M9" s="161"/>
      <c r="N9" s="3"/>
    </row>
    <row r="10" spans="1:14" ht="15">
      <c r="A10" s="9"/>
      <c r="B10" s="232" t="s">
        <v>33</v>
      </c>
      <c r="C10" s="121" t="s">
        <v>40</v>
      </c>
      <c r="D10" s="232" t="s">
        <v>238</v>
      </c>
      <c r="E10" s="232"/>
      <c r="F10" s="118"/>
      <c r="G10" s="160"/>
      <c r="H10" s="161"/>
      <c r="I10" s="248">
        <f>F_Inputs!I6+F_Inputs!I7</f>
        <v>89.825969358260807</v>
      </c>
      <c r="J10" s="248">
        <f>F_Inputs!J6+F_Inputs!J7</f>
        <v>95.616387288940501</v>
      </c>
      <c r="K10" s="248">
        <f>F_Inputs!K6+F_Inputs!K7</f>
        <v>101.867383379076</v>
      </c>
      <c r="L10" s="248">
        <f>F_Inputs!L6+F_Inputs!L7</f>
        <v>109.75615282704599</v>
      </c>
      <c r="M10" s="248">
        <f>F_Inputs!M6+F_Inputs!M7</f>
        <v>118.346148412289</v>
      </c>
    </row>
    <row r="11" spans="1:14" ht="15">
      <c r="A11" s="9"/>
      <c r="B11" s="232" t="s">
        <v>27</v>
      </c>
      <c r="C11" s="122" t="s">
        <v>39</v>
      </c>
      <c r="D11" s="122" t="s">
        <v>239</v>
      </c>
      <c r="E11" s="122"/>
      <c r="F11" s="118"/>
      <c r="G11" s="160"/>
      <c r="H11" s="162">
        <f>F_Inputs!H8</f>
        <v>303.02699999999999</v>
      </c>
      <c r="I11" s="162">
        <f>F_Inputs!I8</f>
        <v>290.90600000000001</v>
      </c>
      <c r="J11" s="162">
        <f>F_Inputs!J8</f>
        <v>277.16000000000003</v>
      </c>
      <c r="K11" s="162">
        <f>F_Inputs!K8</f>
        <v>264.53699999999998</v>
      </c>
      <c r="L11" s="162">
        <f>F_Inputs!L8</f>
        <v>254.48599999999999</v>
      </c>
      <c r="M11" s="162">
        <f>F_Inputs!M8</f>
        <v>245.48099999999999</v>
      </c>
    </row>
    <row r="12" spans="1:14" ht="15">
      <c r="A12" s="9"/>
      <c r="B12" s="232" t="s">
        <v>180</v>
      </c>
      <c r="C12" s="122" t="s">
        <v>37</v>
      </c>
      <c r="D12" s="122" t="s">
        <v>239</v>
      </c>
      <c r="E12" s="122"/>
      <c r="F12" s="118"/>
      <c r="G12" s="160"/>
      <c r="H12" s="162">
        <f>F_Inputs!H9</f>
        <v>153.90199999999999</v>
      </c>
      <c r="I12" s="162">
        <f>F_Inputs!I9</f>
        <v>170.33500000000001</v>
      </c>
      <c r="J12" s="162">
        <f>F_Inputs!J9</f>
        <v>188.393</v>
      </c>
      <c r="K12" s="162">
        <f>F_Inputs!K9</f>
        <v>205.328</v>
      </c>
      <c r="L12" s="162">
        <f>F_Inputs!L9</f>
        <v>219.691</v>
      </c>
      <c r="M12" s="162">
        <f>F_Inputs!M9</f>
        <v>235.16499999999999</v>
      </c>
    </row>
    <row r="13" spans="1:14" ht="15">
      <c r="A13" s="9"/>
      <c r="B13" s="232" t="s">
        <v>22</v>
      </c>
      <c r="C13" s="121" t="s">
        <v>104</v>
      </c>
      <c r="D13" s="122" t="s">
        <v>239</v>
      </c>
      <c r="E13" s="122"/>
      <c r="F13" s="118"/>
      <c r="G13" s="160"/>
      <c r="H13" s="162">
        <f>F_Inputs!H10</f>
        <v>5.2320000000000002</v>
      </c>
      <c r="I13" s="162">
        <f>F_Inputs!I10</f>
        <v>4.8520000000000003</v>
      </c>
      <c r="J13" s="162">
        <f>F_Inputs!J10</f>
        <v>4.4720000000000004</v>
      </c>
      <c r="K13" s="162">
        <f>F_Inputs!K10</f>
        <v>4.0919999999999996</v>
      </c>
      <c r="L13" s="162">
        <f>F_Inputs!L10</f>
        <v>3.71199999999999</v>
      </c>
      <c r="M13" s="162">
        <f>F_Inputs!M10</f>
        <v>3.3319999999999999</v>
      </c>
    </row>
    <row r="14" spans="1:14" ht="15">
      <c r="A14" s="9"/>
      <c r="B14" s="232" t="s">
        <v>23</v>
      </c>
      <c r="C14" s="121" t="s">
        <v>105</v>
      </c>
      <c r="D14" s="122" t="s">
        <v>239</v>
      </c>
      <c r="E14" s="122"/>
      <c r="F14" s="118"/>
      <c r="G14" s="160"/>
      <c r="H14" s="162">
        <f>F_Inputs!H11</f>
        <v>29.218</v>
      </c>
      <c r="I14" s="162">
        <f>F_Inputs!I11</f>
        <v>29.218</v>
      </c>
      <c r="J14" s="162">
        <f>F_Inputs!J11</f>
        <v>29.597999999999999</v>
      </c>
      <c r="K14" s="162">
        <f>F_Inputs!K11</f>
        <v>29.978000000000002</v>
      </c>
      <c r="L14" s="162">
        <f>F_Inputs!L11</f>
        <v>30.358000000000001</v>
      </c>
      <c r="M14" s="162">
        <f>F_Inputs!M11</f>
        <v>30.738</v>
      </c>
    </row>
    <row r="15" spans="1:14" ht="15">
      <c r="A15" s="9"/>
      <c r="B15" s="232"/>
      <c r="C15" s="118"/>
      <c r="D15" s="232"/>
      <c r="E15" s="232"/>
      <c r="F15" s="118"/>
      <c r="G15" s="160"/>
      <c r="H15" s="161"/>
      <c r="I15" s="161"/>
      <c r="J15" s="161"/>
      <c r="K15" s="161"/>
      <c r="L15" s="161"/>
      <c r="M15" s="161"/>
    </row>
    <row r="16" spans="1:14" s="5" customFormat="1" ht="15">
      <c r="A16" s="140"/>
      <c r="B16" s="232" t="s">
        <v>318</v>
      </c>
      <c r="C16" s="118" t="str">
        <f>"Sewerage: Non-households – under "&amp;Threshold&amp;"ML threshold"</f>
        <v>Sewerage: Non-households – under 50ML threshold</v>
      </c>
      <c r="D16" s="123" t="s">
        <v>238</v>
      </c>
      <c r="E16" s="123"/>
      <c r="F16" s="118"/>
      <c r="G16" s="160"/>
      <c r="H16" s="162">
        <f>F_Inputs!H12</f>
        <v>0</v>
      </c>
      <c r="I16" s="162">
        <f>F_Inputs!I12</f>
        <v>0</v>
      </c>
      <c r="J16" s="162">
        <f>F_Inputs!J12</f>
        <v>0</v>
      </c>
      <c r="K16" s="162">
        <f>F_Inputs!K12</f>
        <v>0</v>
      </c>
      <c r="L16" s="162">
        <f>F_Inputs!L12</f>
        <v>0</v>
      </c>
      <c r="M16" s="162">
        <f>F_Inputs!M12</f>
        <v>0</v>
      </c>
    </row>
    <row r="17" spans="1:13" s="5" customFormat="1" ht="15">
      <c r="A17" s="140"/>
      <c r="B17" s="232" t="s">
        <v>319</v>
      </c>
      <c r="C17" s="118" t="str">
        <f>"Sewerage: Non-households – over "&amp;Threshold&amp;"ML threshold"</f>
        <v>Sewerage: Non-households – over 50ML threshold</v>
      </c>
      <c r="D17" s="123" t="s">
        <v>238</v>
      </c>
      <c r="E17" s="123"/>
      <c r="F17" s="118"/>
      <c r="G17" s="160"/>
      <c r="H17" s="162">
        <f>F_Inputs!H13</f>
        <v>0</v>
      </c>
      <c r="I17" s="162">
        <f>F_Inputs!I13</f>
        <v>0</v>
      </c>
      <c r="J17" s="162">
        <f>F_Inputs!J13</f>
        <v>0</v>
      </c>
      <c r="K17" s="162">
        <f>F_Inputs!K13</f>
        <v>0</v>
      </c>
      <c r="L17" s="162">
        <f>F_Inputs!L13</f>
        <v>0</v>
      </c>
      <c r="M17" s="162">
        <f>F_Inputs!M13</f>
        <v>0</v>
      </c>
    </row>
    <row r="18" spans="1:13" s="5" customFormat="1" ht="15">
      <c r="A18" s="140"/>
      <c r="B18" s="118"/>
      <c r="C18" s="118"/>
      <c r="D18" s="123"/>
      <c r="E18" s="123"/>
      <c r="F18" s="118"/>
      <c r="G18" s="160"/>
      <c r="H18" s="161"/>
      <c r="I18" s="161"/>
      <c r="J18" s="161"/>
      <c r="K18" s="161"/>
      <c r="L18" s="161"/>
      <c r="M18" s="161"/>
    </row>
    <row r="19" spans="1:13" s="5" customFormat="1" ht="15">
      <c r="A19" s="140"/>
      <c r="B19" s="118" t="s">
        <v>34</v>
      </c>
      <c r="C19" s="121" t="s">
        <v>102</v>
      </c>
      <c r="D19" s="123" t="s">
        <v>238</v>
      </c>
      <c r="E19" s="123"/>
      <c r="F19" s="118"/>
      <c r="G19" s="160"/>
      <c r="H19" s="161"/>
      <c r="I19" s="163">
        <f>F_Inputs!I14+F_Inputs!I15</f>
        <v>0</v>
      </c>
      <c r="J19" s="163">
        <f>F_Inputs!J14+F_Inputs!J15</f>
        <v>0</v>
      </c>
      <c r="K19" s="163">
        <f>F_Inputs!K14+F_Inputs!K15</f>
        <v>0</v>
      </c>
      <c r="L19" s="163">
        <f>F_Inputs!L14+F_Inputs!L15</f>
        <v>0</v>
      </c>
      <c r="M19" s="163">
        <f>F_Inputs!M14+F_Inputs!M15</f>
        <v>0</v>
      </c>
    </row>
    <row r="20" spans="1:13" s="5" customFormat="1" ht="15">
      <c r="A20" s="140"/>
      <c r="B20" s="118" t="s">
        <v>28</v>
      </c>
      <c r="C20" s="122" t="s">
        <v>103</v>
      </c>
      <c r="D20" s="122" t="s">
        <v>239</v>
      </c>
      <c r="E20" s="122"/>
      <c r="F20" s="118"/>
      <c r="G20" s="160"/>
      <c r="H20" s="163">
        <f>F_Inputs!H16</f>
        <v>0</v>
      </c>
      <c r="I20" s="162">
        <f>F_Inputs!I16</f>
        <v>0</v>
      </c>
      <c r="J20" s="162">
        <f>F_Inputs!J16</f>
        <v>0</v>
      </c>
      <c r="K20" s="162">
        <f>F_Inputs!K16</f>
        <v>0</v>
      </c>
      <c r="L20" s="162">
        <f>F_Inputs!L16</f>
        <v>0</v>
      </c>
      <c r="M20" s="162">
        <f>F_Inputs!M16</f>
        <v>0</v>
      </c>
    </row>
    <row r="21" spans="1:13" s="5" customFormat="1" ht="15">
      <c r="A21" s="140"/>
      <c r="B21" s="118" t="s">
        <v>29</v>
      </c>
      <c r="C21" s="122" t="s">
        <v>35</v>
      </c>
      <c r="D21" s="122" t="s">
        <v>239</v>
      </c>
      <c r="E21" s="122"/>
      <c r="F21" s="118"/>
      <c r="G21" s="160"/>
      <c r="H21" s="162">
        <f>F_Inputs!H17</f>
        <v>0</v>
      </c>
      <c r="I21" s="162">
        <f>F_Inputs!I17</f>
        <v>0</v>
      </c>
      <c r="J21" s="162">
        <f>F_Inputs!J17</f>
        <v>0</v>
      </c>
      <c r="K21" s="162">
        <f>F_Inputs!K17</f>
        <v>0</v>
      </c>
      <c r="L21" s="162">
        <f>F_Inputs!L17</f>
        <v>0</v>
      </c>
      <c r="M21" s="162">
        <f>F_Inputs!M17</f>
        <v>0</v>
      </c>
    </row>
    <row r="22" spans="1:13" s="5" customFormat="1" ht="15">
      <c r="A22" s="140"/>
      <c r="B22" s="118" t="s">
        <v>24</v>
      </c>
      <c r="C22" s="121" t="s">
        <v>38</v>
      </c>
      <c r="D22" s="122" t="s">
        <v>239</v>
      </c>
      <c r="E22" s="122"/>
      <c r="F22" s="118"/>
      <c r="G22" s="160"/>
      <c r="H22" s="163">
        <f>F_Inputs!H18</f>
        <v>0</v>
      </c>
      <c r="I22" s="162">
        <f>F_Inputs!I18</f>
        <v>0</v>
      </c>
      <c r="J22" s="162">
        <f>F_Inputs!J18</f>
        <v>0</v>
      </c>
      <c r="K22" s="162">
        <f>F_Inputs!K18</f>
        <v>0</v>
      </c>
      <c r="L22" s="162">
        <f>F_Inputs!L18</f>
        <v>0</v>
      </c>
      <c r="M22" s="162">
        <f>F_Inputs!M18</f>
        <v>0</v>
      </c>
    </row>
    <row r="23" spans="1:13" s="5" customFormat="1" ht="15">
      <c r="A23" s="140"/>
      <c r="B23" s="118" t="s">
        <v>25</v>
      </c>
      <c r="C23" s="121" t="s">
        <v>41</v>
      </c>
      <c r="D23" s="122" t="s">
        <v>239</v>
      </c>
      <c r="E23" s="122"/>
      <c r="F23" s="118"/>
      <c r="G23" s="160"/>
      <c r="H23" s="162">
        <f>F_Inputs!H19</f>
        <v>0</v>
      </c>
      <c r="I23" s="162">
        <f>F_Inputs!I19</f>
        <v>0</v>
      </c>
      <c r="J23" s="162">
        <f>F_Inputs!J19</f>
        <v>0</v>
      </c>
      <c r="K23" s="162">
        <f>F_Inputs!K19</f>
        <v>0</v>
      </c>
      <c r="L23" s="162">
        <f>F_Inputs!L19</f>
        <v>0</v>
      </c>
      <c r="M23" s="162">
        <f>F_Inputs!M19</f>
        <v>0</v>
      </c>
    </row>
    <row r="24" spans="1:13" s="5" customFormat="1" ht="15">
      <c r="A24" s="140"/>
      <c r="B24" s="118"/>
      <c r="C24" s="118"/>
      <c r="D24" s="123"/>
      <c r="E24" s="123"/>
      <c r="F24" s="118"/>
      <c r="G24" s="160"/>
      <c r="H24" s="161"/>
      <c r="I24" s="161"/>
      <c r="J24" s="161"/>
      <c r="K24" s="161"/>
      <c r="L24" s="161"/>
      <c r="M24" s="161"/>
    </row>
    <row r="25" spans="1:13" ht="15">
      <c r="A25" s="9"/>
      <c r="B25" s="118"/>
      <c r="C25" s="125"/>
      <c r="D25" s="232"/>
      <c r="E25" s="232"/>
      <c r="F25" s="118"/>
      <c r="G25" s="118"/>
      <c r="H25" s="118"/>
      <c r="I25" s="172"/>
      <c r="J25" s="172"/>
      <c r="K25" s="172"/>
      <c r="L25" s="172"/>
      <c r="M25" s="172"/>
    </row>
    <row r="26" spans="1:13" ht="15.6">
      <c r="A26" s="119"/>
      <c r="B26" s="119"/>
      <c r="C26" s="120" t="s">
        <v>382</v>
      </c>
      <c r="D26" s="119"/>
      <c r="E26" s="119"/>
      <c r="F26" s="119"/>
      <c r="G26" s="119"/>
      <c r="H26" s="119"/>
      <c r="I26" s="119"/>
      <c r="J26" s="119"/>
      <c r="K26" s="119"/>
      <c r="L26" s="119"/>
      <c r="M26" s="119"/>
    </row>
    <row r="27" spans="1:13" ht="15">
      <c r="A27" s="9"/>
      <c r="B27" s="118" t="s">
        <v>3</v>
      </c>
      <c r="C27" s="125" t="s">
        <v>45</v>
      </c>
      <c r="D27" s="123" t="s">
        <v>238</v>
      </c>
      <c r="E27" s="123"/>
      <c r="F27" s="118"/>
      <c r="G27" s="118"/>
      <c r="H27" s="118"/>
      <c r="I27" s="165">
        <f>F_Inputs!I20</f>
        <v>50.36</v>
      </c>
      <c r="J27" s="165">
        <f>F_Inputs!J20</f>
        <v>53.05</v>
      </c>
      <c r="K27" s="165">
        <f>F_Inputs!K20</f>
        <v>56.05</v>
      </c>
      <c r="L27" s="165">
        <f>F_Inputs!L20</f>
        <v>58.45</v>
      </c>
      <c r="M27" s="165">
        <f>F_Inputs!M20</f>
        <v>59.561</v>
      </c>
    </row>
    <row r="28" spans="1:13" ht="15">
      <c r="A28" s="9"/>
      <c r="B28" s="118" t="s">
        <v>4</v>
      </c>
      <c r="C28" s="125" t="s">
        <v>46</v>
      </c>
      <c r="D28" s="123" t="s">
        <v>238</v>
      </c>
      <c r="E28" s="123"/>
      <c r="F28" s="118"/>
      <c r="G28" s="118"/>
      <c r="H28" s="118"/>
      <c r="I28" s="165">
        <f>F_Inputs!I21</f>
        <v>1.26</v>
      </c>
      <c r="J28" s="165">
        <f>F_Inputs!J21</f>
        <v>1.41</v>
      </c>
      <c r="K28" s="165">
        <f>F_Inputs!K21</f>
        <v>1.49</v>
      </c>
      <c r="L28" s="165">
        <f>F_Inputs!L21</f>
        <v>1.48</v>
      </c>
      <c r="M28" s="165">
        <f>F_Inputs!M21</f>
        <v>1.2170000000000001</v>
      </c>
    </row>
    <row r="29" spans="1:13" ht="15">
      <c r="A29" s="9"/>
      <c r="B29" s="118" t="s">
        <v>5</v>
      </c>
      <c r="C29" s="125" t="s">
        <v>47</v>
      </c>
      <c r="D29" s="123" t="s">
        <v>238</v>
      </c>
      <c r="E29" s="123"/>
      <c r="F29" s="118"/>
      <c r="G29" s="118"/>
      <c r="H29" s="118"/>
      <c r="I29" s="165">
        <f>F_Inputs!I22</f>
        <v>22.08</v>
      </c>
      <c r="J29" s="165">
        <f>F_Inputs!J22</f>
        <v>25.5</v>
      </c>
      <c r="K29" s="165">
        <f>F_Inputs!K22</f>
        <v>29.15</v>
      </c>
      <c r="L29" s="165">
        <f>F_Inputs!L22</f>
        <v>33.802</v>
      </c>
      <c r="M29" s="165">
        <f>F_Inputs!M22</f>
        <v>38.664000000000001</v>
      </c>
    </row>
    <row r="30" spans="1:13" ht="15">
      <c r="A30" s="9"/>
      <c r="B30" s="118" t="s">
        <v>6</v>
      </c>
      <c r="C30" s="125" t="s">
        <v>48</v>
      </c>
      <c r="D30" s="123" t="s">
        <v>238</v>
      </c>
      <c r="E30" s="123"/>
      <c r="F30" s="118"/>
      <c r="G30" s="118"/>
      <c r="H30" s="118"/>
      <c r="I30" s="165">
        <f>F_Inputs!I23</f>
        <v>16.89</v>
      </c>
      <c r="J30" s="165">
        <f>F_Inputs!J23</f>
        <v>18.41</v>
      </c>
      <c r="K30" s="165">
        <f>F_Inputs!K23</f>
        <v>19.22</v>
      </c>
      <c r="L30" s="165">
        <f>F_Inputs!L23</f>
        <v>21.315999999999999</v>
      </c>
      <c r="M30" s="165">
        <f>F_Inputs!M23</f>
        <v>23.452999999999999</v>
      </c>
    </row>
    <row r="31" spans="1:13" ht="15">
      <c r="A31" s="9"/>
      <c r="B31" s="118" t="s">
        <v>7</v>
      </c>
      <c r="C31" s="118" t="s">
        <v>49</v>
      </c>
      <c r="D31" s="123" t="s">
        <v>238</v>
      </c>
      <c r="E31" s="123"/>
      <c r="F31" s="166"/>
      <c r="G31" s="167"/>
      <c r="H31" s="162">
        <f>F_Inputs!H24</f>
        <v>-0.33</v>
      </c>
      <c r="I31" s="162">
        <f>F_Inputs!I24</f>
        <v>-0.16</v>
      </c>
      <c r="J31" s="162">
        <f>F_Inputs!J24</f>
        <v>-0.03</v>
      </c>
      <c r="K31" s="162">
        <f>F_Inputs!K24</f>
        <v>-0.19</v>
      </c>
      <c r="L31" s="162">
        <f>F_Inputs!L24</f>
        <v>-0.25</v>
      </c>
      <c r="M31" s="162">
        <f>F_Inputs!M24</f>
        <v>0.14000000000000001</v>
      </c>
    </row>
    <row r="32" spans="1:13" s="3" customFormat="1" ht="15">
      <c r="A32" s="128"/>
      <c r="B32" s="126" t="s">
        <v>331</v>
      </c>
      <c r="C32" s="118" t="s">
        <v>233</v>
      </c>
      <c r="D32" s="123" t="s">
        <v>238</v>
      </c>
      <c r="E32" s="123"/>
      <c r="F32" s="166"/>
      <c r="G32" s="167"/>
      <c r="H32" s="161"/>
      <c r="I32" s="162">
        <f>F_Inputs!I25</f>
        <v>0.06</v>
      </c>
      <c r="J32" s="162">
        <f>F_Inputs!J25</f>
        <v>0.12</v>
      </c>
      <c r="K32" s="162">
        <f>F_Inputs!K25</f>
        <v>0.15</v>
      </c>
      <c r="L32" s="162">
        <f>F_Inputs!L25</f>
        <v>0.17</v>
      </c>
      <c r="M32" s="162">
        <f>F_Inputs!M25</f>
        <v>0.13</v>
      </c>
    </row>
    <row r="33" spans="1:14" s="3" customFormat="1" ht="15">
      <c r="A33" s="128"/>
      <c r="B33" s="126" t="s">
        <v>332</v>
      </c>
      <c r="C33" s="118" t="s">
        <v>170</v>
      </c>
      <c r="D33" s="123" t="s">
        <v>238</v>
      </c>
      <c r="E33" s="123"/>
      <c r="F33" s="166"/>
      <c r="G33" s="167"/>
      <c r="H33" s="161"/>
      <c r="I33" s="162">
        <f>F_Inputs!I26</f>
        <v>0</v>
      </c>
      <c r="J33" s="162">
        <f>F_Inputs!J26</f>
        <v>0</v>
      </c>
      <c r="K33" s="162">
        <f>F_Inputs!K26</f>
        <v>0</v>
      </c>
      <c r="L33" s="162">
        <f>F_Inputs!L26</f>
        <v>0</v>
      </c>
      <c r="M33" s="162">
        <f>F_Inputs!M26</f>
        <v>0</v>
      </c>
    </row>
    <row r="34" spans="1:14" ht="15">
      <c r="A34" s="9"/>
      <c r="B34" s="9"/>
      <c r="C34" s="9"/>
      <c r="D34" s="140"/>
      <c r="E34" s="140"/>
      <c r="F34" s="9"/>
      <c r="G34" s="168"/>
      <c r="H34" s="206"/>
      <c r="I34" s="206"/>
      <c r="J34" s="206"/>
      <c r="K34" s="206"/>
      <c r="L34" s="206"/>
      <c r="M34" s="206"/>
      <c r="N34" s="3"/>
    </row>
    <row r="35" spans="1:14" ht="15">
      <c r="A35" s="9"/>
      <c r="B35" s="118" t="s">
        <v>380</v>
      </c>
      <c r="C35" s="125" t="s">
        <v>51</v>
      </c>
      <c r="D35" s="122" t="s">
        <v>239</v>
      </c>
      <c r="E35" s="122"/>
      <c r="F35" s="118"/>
      <c r="G35" s="161"/>
      <c r="H35" s="244">
        <f>F_Inputs!H52</f>
        <v>458.4255</v>
      </c>
      <c r="I35" s="244">
        <f>+F_Inputs!I39+F_Inputs!I40+F_Inputs!I43+F_Inputs!I44</f>
        <v>463.577</v>
      </c>
      <c r="J35" s="244">
        <f>+F_Inputs!J39+F_Inputs!J40+F_Inputs!J43+F_Inputs!J44</f>
        <v>465.89499999999998</v>
      </c>
      <c r="K35" s="244">
        <f>+F_Inputs!K39+F_Inputs!K40+F_Inputs!K43+F_Inputs!K44</f>
        <v>469.17700000000002</v>
      </c>
      <c r="L35" s="244">
        <f>+F_Inputs!L39+F_Inputs!L40+F_Inputs!L43+F_Inputs!L44</f>
        <v>473.15</v>
      </c>
      <c r="M35" s="244">
        <f>+F_Inputs!M39+F_Inputs!M40+F_Inputs!M43+F_Inputs!M44</f>
        <v>476.72399999999993</v>
      </c>
    </row>
    <row r="36" spans="1:14" ht="15">
      <c r="A36" s="9"/>
      <c r="B36" s="118" t="s">
        <v>8</v>
      </c>
      <c r="C36" s="125" t="s">
        <v>52</v>
      </c>
      <c r="D36" s="122" t="s">
        <v>239</v>
      </c>
      <c r="E36" s="122"/>
      <c r="F36" s="118"/>
      <c r="G36" s="161"/>
      <c r="H36" s="162">
        <f>F_Inputs!H27</f>
        <v>33.71</v>
      </c>
      <c r="I36" s="162">
        <f>F_Inputs!I27</f>
        <v>32.68</v>
      </c>
      <c r="J36" s="162">
        <f>F_Inputs!J27</f>
        <v>33.69</v>
      </c>
      <c r="K36" s="162">
        <f>F_Inputs!K27</f>
        <v>33.409999999999997</v>
      </c>
      <c r="L36" s="162">
        <f>F_Inputs!L27</f>
        <v>33.39</v>
      </c>
      <c r="M36" s="162">
        <f>F_Inputs!M27</f>
        <v>33.615000000000002</v>
      </c>
    </row>
    <row r="37" spans="1:14" ht="15">
      <c r="A37" s="9"/>
      <c r="B37" s="118" t="s">
        <v>330</v>
      </c>
      <c r="C37" s="118" t="s">
        <v>50</v>
      </c>
      <c r="D37" s="122" t="s">
        <v>239</v>
      </c>
      <c r="E37" s="122"/>
      <c r="F37" s="118"/>
      <c r="G37" s="161"/>
      <c r="H37" s="161"/>
      <c r="I37" s="162">
        <f>F_Inputs!I28</f>
        <v>0</v>
      </c>
      <c r="J37" s="162">
        <f>F_Inputs!J28</f>
        <v>0</v>
      </c>
      <c r="K37" s="162">
        <f>F_Inputs!K28</f>
        <v>0</v>
      </c>
      <c r="L37" s="162">
        <f>F_Inputs!L28</f>
        <v>0</v>
      </c>
      <c r="M37" s="162">
        <f>F_Inputs!M28</f>
        <v>0</v>
      </c>
    </row>
    <row r="38" spans="1:14" ht="15">
      <c r="A38" s="9"/>
      <c r="B38" s="118"/>
      <c r="C38" s="118"/>
      <c r="D38" s="130"/>
      <c r="E38" s="130"/>
      <c r="F38" s="118"/>
      <c r="G38" s="161"/>
      <c r="H38" s="161"/>
      <c r="I38" s="161"/>
      <c r="J38" s="161"/>
      <c r="K38" s="161"/>
      <c r="L38" s="161"/>
      <c r="M38" s="161"/>
      <c r="N38" s="3"/>
    </row>
    <row r="39" spans="1:14" s="5" customFormat="1" ht="15">
      <c r="A39" s="140"/>
      <c r="B39" s="118" t="s">
        <v>9</v>
      </c>
      <c r="C39" s="125" t="s">
        <v>53</v>
      </c>
      <c r="D39" s="123" t="s">
        <v>238</v>
      </c>
      <c r="E39" s="123"/>
      <c r="F39" s="118"/>
      <c r="G39" s="161"/>
      <c r="H39" s="161"/>
      <c r="I39" s="165">
        <f>F_Inputs!I29</f>
        <v>0</v>
      </c>
      <c r="J39" s="165">
        <f>F_Inputs!J29</f>
        <v>0</v>
      </c>
      <c r="K39" s="165">
        <f>F_Inputs!K29</f>
        <v>0</v>
      </c>
      <c r="L39" s="165">
        <f>F_Inputs!L29</f>
        <v>0</v>
      </c>
      <c r="M39" s="165">
        <f>F_Inputs!M29</f>
        <v>0</v>
      </c>
    </row>
    <row r="40" spans="1:14" s="5" customFormat="1" ht="15">
      <c r="A40" s="140"/>
      <c r="B40" s="118" t="s">
        <v>11</v>
      </c>
      <c r="C40" s="125" t="s">
        <v>54</v>
      </c>
      <c r="D40" s="123" t="s">
        <v>238</v>
      </c>
      <c r="E40" s="123"/>
      <c r="F40" s="118"/>
      <c r="G40" s="161"/>
      <c r="H40" s="161"/>
      <c r="I40" s="165">
        <f>F_Inputs!I30</f>
        <v>0</v>
      </c>
      <c r="J40" s="165">
        <f>F_Inputs!J30</f>
        <v>0</v>
      </c>
      <c r="K40" s="165">
        <f>F_Inputs!K30</f>
        <v>0</v>
      </c>
      <c r="L40" s="165">
        <f>F_Inputs!L30</f>
        <v>0</v>
      </c>
      <c r="M40" s="165">
        <f>F_Inputs!M30</f>
        <v>0</v>
      </c>
    </row>
    <row r="41" spans="1:14" s="5" customFormat="1" ht="15">
      <c r="A41" s="140"/>
      <c r="B41" s="118" t="s">
        <v>12</v>
      </c>
      <c r="C41" s="125" t="s">
        <v>55</v>
      </c>
      <c r="D41" s="123" t="s">
        <v>238</v>
      </c>
      <c r="E41" s="123"/>
      <c r="F41" s="118"/>
      <c r="G41" s="161"/>
      <c r="H41" s="161"/>
      <c r="I41" s="165">
        <f>F_Inputs!I31</f>
        <v>0</v>
      </c>
      <c r="J41" s="165">
        <f>F_Inputs!J31</f>
        <v>0</v>
      </c>
      <c r="K41" s="165">
        <f>F_Inputs!K31</f>
        <v>0</v>
      </c>
      <c r="L41" s="165">
        <f>F_Inputs!L31</f>
        <v>0</v>
      </c>
      <c r="M41" s="165">
        <f>F_Inputs!M31</f>
        <v>0</v>
      </c>
    </row>
    <row r="42" spans="1:14" s="5" customFormat="1" ht="15">
      <c r="A42" s="140"/>
      <c r="B42" s="118" t="s">
        <v>13</v>
      </c>
      <c r="C42" s="125" t="s">
        <v>56</v>
      </c>
      <c r="D42" s="123" t="s">
        <v>238</v>
      </c>
      <c r="E42" s="123"/>
      <c r="F42" s="118"/>
      <c r="G42" s="161"/>
      <c r="H42" s="161"/>
      <c r="I42" s="165">
        <f>F_Inputs!I32</f>
        <v>0</v>
      </c>
      <c r="J42" s="165">
        <f>F_Inputs!J32</f>
        <v>0</v>
      </c>
      <c r="K42" s="165">
        <f>F_Inputs!K32</f>
        <v>0</v>
      </c>
      <c r="L42" s="165">
        <f>F_Inputs!L32</f>
        <v>0</v>
      </c>
      <c r="M42" s="165">
        <f>F_Inputs!M32</f>
        <v>0</v>
      </c>
    </row>
    <row r="43" spans="1:14" s="5" customFormat="1" ht="15">
      <c r="A43" s="140"/>
      <c r="B43" s="118" t="s">
        <v>10</v>
      </c>
      <c r="C43" s="125" t="s">
        <v>57</v>
      </c>
      <c r="D43" s="123" t="s">
        <v>238</v>
      </c>
      <c r="E43" s="123"/>
      <c r="F43" s="118"/>
      <c r="G43" s="161"/>
      <c r="H43" s="161"/>
      <c r="I43" s="165">
        <f>F_Inputs!I33</f>
        <v>0</v>
      </c>
      <c r="J43" s="165">
        <f>F_Inputs!J33</f>
        <v>0</v>
      </c>
      <c r="K43" s="165">
        <f>F_Inputs!K33</f>
        <v>0</v>
      </c>
      <c r="L43" s="165">
        <f>F_Inputs!L33</f>
        <v>0</v>
      </c>
      <c r="M43" s="165">
        <f>F_Inputs!M33</f>
        <v>0</v>
      </c>
    </row>
    <row r="44" spans="1:14" s="5" customFormat="1" ht="15">
      <c r="A44" s="140"/>
      <c r="B44" s="118" t="s">
        <v>14</v>
      </c>
      <c r="C44" s="118" t="s">
        <v>58</v>
      </c>
      <c r="D44" s="123" t="s">
        <v>238</v>
      </c>
      <c r="E44" s="123"/>
      <c r="F44" s="166"/>
      <c r="G44" s="161"/>
      <c r="H44" s="162">
        <f>F_Inputs!H34</f>
        <v>0</v>
      </c>
      <c r="I44" s="162">
        <f>F_Inputs!I34</f>
        <v>0</v>
      </c>
      <c r="J44" s="162">
        <f>F_Inputs!J34</f>
        <v>0</v>
      </c>
      <c r="K44" s="162">
        <f>F_Inputs!K34</f>
        <v>0</v>
      </c>
      <c r="L44" s="162">
        <f>F_Inputs!L34</f>
        <v>0</v>
      </c>
      <c r="M44" s="162">
        <f>F_Inputs!M34</f>
        <v>0</v>
      </c>
    </row>
    <row r="45" spans="1:14" s="5" customFormat="1" ht="15">
      <c r="A45" s="128"/>
      <c r="B45" s="126" t="s">
        <v>355</v>
      </c>
      <c r="C45" s="118" t="s">
        <v>232</v>
      </c>
      <c r="D45" s="123" t="s">
        <v>238</v>
      </c>
      <c r="E45" s="123"/>
      <c r="F45" s="166"/>
      <c r="G45" s="167"/>
      <c r="H45" s="161"/>
      <c r="I45" s="162">
        <f>F_Inputs!I35</f>
        <v>0</v>
      </c>
      <c r="J45" s="162">
        <f>F_Inputs!J35</f>
        <v>0</v>
      </c>
      <c r="K45" s="162">
        <f>F_Inputs!K35</f>
        <v>0</v>
      </c>
      <c r="L45" s="162">
        <f>F_Inputs!L35</f>
        <v>0</v>
      </c>
      <c r="M45" s="162">
        <f>F_Inputs!M35</f>
        <v>0</v>
      </c>
    </row>
    <row r="46" spans="1:14" s="5" customFormat="1" ht="15">
      <c r="A46" s="128"/>
      <c r="B46" s="126" t="s">
        <v>356</v>
      </c>
      <c r="C46" s="118" t="s">
        <v>171</v>
      </c>
      <c r="D46" s="123" t="s">
        <v>238</v>
      </c>
      <c r="E46" s="123"/>
      <c r="F46" s="166"/>
      <c r="G46" s="167"/>
      <c r="H46" s="161"/>
      <c r="I46" s="162">
        <f>F_Inputs!I36</f>
        <v>0</v>
      </c>
      <c r="J46" s="162">
        <f>F_Inputs!J36</f>
        <v>0</v>
      </c>
      <c r="K46" s="162">
        <f>F_Inputs!K36</f>
        <v>0</v>
      </c>
      <c r="L46" s="162">
        <f>F_Inputs!L36</f>
        <v>0</v>
      </c>
      <c r="M46" s="162">
        <f>F_Inputs!M36</f>
        <v>0</v>
      </c>
    </row>
    <row r="47" spans="1:14" s="5" customFormat="1" ht="15">
      <c r="A47" s="140"/>
      <c r="B47" s="129"/>
      <c r="C47" s="129"/>
      <c r="D47" s="131"/>
      <c r="E47" s="131"/>
      <c r="F47" s="129"/>
      <c r="G47" s="169"/>
      <c r="H47" s="169"/>
      <c r="I47" s="169"/>
      <c r="J47" s="169"/>
      <c r="K47" s="169"/>
      <c r="L47" s="169"/>
      <c r="M47" s="169"/>
    </row>
    <row r="48" spans="1:14" s="5" customFormat="1" ht="15">
      <c r="A48" s="140"/>
      <c r="B48" s="118" t="s">
        <v>15</v>
      </c>
      <c r="C48" s="125" t="s">
        <v>60</v>
      </c>
      <c r="D48" s="122" t="s">
        <v>239</v>
      </c>
      <c r="E48" s="122"/>
      <c r="F48" s="118"/>
      <c r="G48" s="161"/>
      <c r="H48" s="244">
        <f>F_Inputs!H53</f>
        <v>0</v>
      </c>
      <c r="I48" s="244">
        <f>+F_Inputs!I41+F_Inputs!I42+F_Inputs!I43+F_Inputs!I44</f>
        <v>0</v>
      </c>
      <c r="J48" s="244">
        <f>+F_Inputs!J41+F_Inputs!J42+F_Inputs!J43+F_Inputs!J44</f>
        <v>0</v>
      </c>
      <c r="K48" s="244">
        <f>+F_Inputs!K41+F_Inputs!K42+F_Inputs!K43+F_Inputs!K44</f>
        <v>0</v>
      </c>
      <c r="L48" s="244">
        <f>+F_Inputs!L41+F_Inputs!L42+F_Inputs!L43+F_Inputs!L44</f>
        <v>0</v>
      </c>
      <c r="M48" s="244">
        <f>+F_Inputs!M41+F_Inputs!M42+F_Inputs!M43+F_Inputs!M44</f>
        <v>0</v>
      </c>
    </row>
    <row r="49" spans="1:14" s="5" customFormat="1" ht="15">
      <c r="A49" s="140"/>
      <c r="B49" s="118" t="s">
        <v>16</v>
      </c>
      <c r="C49" s="125" t="s">
        <v>61</v>
      </c>
      <c r="D49" s="122" t="s">
        <v>239</v>
      </c>
      <c r="E49" s="122"/>
      <c r="F49" s="118"/>
      <c r="G49" s="161"/>
      <c r="H49" s="162">
        <f>F_Inputs!H37</f>
        <v>0</v>
      </c>
      <c r="I49" s="162">
        <f>F_Inputs!I37</f>
        <v>0</v>
      </c>
      <c r="J49" s="162">
        <f>F_Inputs!J37</f>
        <v>0</v>
      </c>
      <c r="K49" s="162">
        <f>F_Inputs!K37</f>
        <v>0</v>
      </c>
      <c r="L49" s="162">
        <f>F_Inputs!L37</f>
        <v>0</v>
      </c>
      <c r="M49" s="162">
        <f>F_Inputs!M37</f>
        <v>0</v>
      </c>
    </row>
    <row r="50" spans="1:14" s="5" customFormat="1" ht="15">
      <c r="A50" s="140"/>
      <c r="B50" s="118" t="s">
        <v>352</v>
      </c>
      <c r="C50" s="118" t="s">
        <v>59</v>
      </c>
      <c r="D50" s="122" t="s">
        <v>239</v>
      </c>
      <c r="E50" s="122"/>
      <c r="F50" s="118"/>
      <c r="G50" s="161"/>
      <c r="H50" s="161"/>
      <c r="I50" s="162">
        <f>F_Inputs!I38</f>
        <v>0</v>
      </c>
      <c r="J50" s="162">
        <f>F_Inputs!J38</f>
        <v>0</v>
      </c>
      <c r="K50" s="162">
        <f>F_Inputs!K38</f>
        <v>0</v>
      </c>
      <c r="L50" s="162">
        <f>F_Inputs!L38</f>
        <v>0</v>
      </c>
      <c r="M50" s="162">
        <f>F_Inputs!M38</f>
        <v>0</v>
      </c>
    </row>
    <row r="51" spans="1:14" ht="15">
      <c r="A51" s="9"/>
      <c r="B51" s="118"/>
      <c r="C51" s="118"/>
      <c r="D51" s="130"/>
      <c r="E51" s="130"/>
      <c r="F51" s="118"/>
      <c r="G51" s="118"/>
      <c r="H51" s="118"/>
      <c r="I51" s="118"/>
      <c r="J51" s="118"/>
      <c r="K51" s="118"/>
      <c r="L51" s="118"/>
      <c r="M51" s="118"/>
    </row>
    <row r="52" spans="1:14" ht="15.6">
      <c r="A52" s="119"/>
      <c r="B52" s="119"/>
      <c r="C52" s="120" t="s">
        <v>42</v>
      </c>
      <c r="D52" s="119"/>
      <c r="E52" s="119"/>
      <c r="F52" s="170"/>
      <c r="G52" s="170"/>
      <c r="H52" s="170"/>
      <c r="I52" s="170"/>
      <c r="J52" s="170"/>
      <c r="K52" s="170"/>
      <c r="L52" s="119"/>
      <c r="M52" s="119"/>
    </row>
    <row r="53" spans="1:14" ht="15">
      <c r="A53" s="9"/>
      <c r="B53" s="118" t="s">
        <v>18</v>
      </c>
      <c r="C53" s="118" t="s">
        <v>81</v>
      </c>
      <c r="D53" s="133" t="s">
        <v>378</v>
      </c>
      <c r="E53" s="133"/>
      <c r="F53" s="118"/>
      <c r="G53" s="118"/>
      <c r="H53" s="118"/>
      <c r="I53" s="190">
        <f>F_Inputs!I45</f>
        <v>0.28000000000000003</v>
      </c>
      <c r="J53" s="190">
        <f>F_Inputs!J45</f>
        <v>0.26</v>
      </c>
      <c r="K53" s="190">
        <f>F_Inputs!K45</f>
        <v>0.24</v>
      </c>
      <c r="L53" s="190">
        <f>F_Inputs!L45</f>
        <v>0.23</v>
      </c>
      <c r="M53" s="190">
        <f>F_Inputs!M45</f>
        <v>0.21</v>
      </c>
    </row>
    <row r="54" spans="1:14" ht="15">
      <c r="A54" s="9"/>
      <c r="B54" s="118" t="s">
        <v>17</v>
      </c>
      <c r="C54" s="118" t="s">
        <v>202</v>
      </c>
      <c r="D54" s="124" t="s">
        <v>240</v>
      </c>
      <c r="E54" s="124"/>
      <c r="F54" s="162">
        <f>F_Inputs!F46</f>
        <v>208.59166666666599</v>
      </c>
      <c r="G54" s="162">
        <f>F_Inputs!G46</f>
        <v>214.78333333333299</v>
      </c>
      <c r="H54" s="162">
        <f>F_Inputs!H46</f>
        <v>215.766666666666</v>
      </c>
      <c r="I54" s="162">
        <f>F_Inputs!I46</f>
        <v>222.45543333333299</v>
      </c>
      <c r="J54" s="162">
        <f>F_Inputs!J46</f>
        <v>228.461730033333</v>
      </c>
      <c r="K54" s="162">
        <f>F_Inputs!K46</f>
        <v>235.087120204299</v>
      </c>
      <c r="L54" s="162">
        <f>F_Inputs!L46</f>
        <v>242.37482093063301</v>
      </c>
      <c r="M54" s="162">
        <f>F_Inputs!M46</f>
        <v>249.16131591669</v>
      </c>
    </row>
    <row r="55" spans="1:14" ht="15">
      <c r="A55" s="9"/>
      <c r="B55" s="118" t="s">
        <v>312</v>
      </c>
      <c r="C55" s="118" t="s">
        <v>194</v>
      </c>
      <c r="D55" s="124" t="s">
        <v>240</v>
      </c>
      <c r="E55" s="124"/>
      <c r="F55" s="162">
        <f>F_Inputs!F47</f>
        <v>208.59166666666701</v>
      </c>
      <c r="G55" s="162">
        <f>F_Inputs!G47</f>
        <v>214.78333333333299</v>
      </c>
      <c r="H55" s="162">
        <f>F_Inputs!H47</f>
        <v>215.76666666666699</v>
      </c>
      <c r="I55" s="162">
        <f>F_Inputs!I47</f>
        <v>226.47499999999999</v>
      </c>
      <c r="J55" s="162">
        <f>F_Inputs!J47</f>
        <v>237.34166666666701</v>
      </c>
      <c r="K55" s="162">
        <f>F_Inputs!K47</f>
        <v>244.67500000000001</v>
      </c>
      <c r="L55" s="162">
        <f>F_Inputs!L47</f>
        <v>251.73333333333301</v>
      </c>
      <c r="M55" s="162">
        <f>F_Inputs!M47</f>
        <v>256.66666666666703</v>
      </c>
    </row>
    <row r="56" spans="1:14" ht="15">
      <c r="A56" s="9"/>
      <c r="B56" s="107"/>
      <c r="C56" s="118"/>
      <c r="D56" s="124"/>
      <c r="E56" s="124"/>
      <c r="F56" s="160"/>
      <c r="G56" s="118"/>
      <c r="H56" s="160"/>
      <c r="I56" s="118"/>
      <c r="J56" s="118"/>
      <c r="K56" s="118"/>
      <c r="L56" s="118"/>
      <c r="M56" s="118"/>
    </row>
    <row r="57" spans="1:14" ht="15">
      <c r="A57" s="9"/>
      <c r="B57" s="118" t="s">
        <v>26</v>
      </c>
      <c r="C57" s="118" t="s">
        <v>43</v>
      </c>
      <c r="D57" s="133" t="s">
        <v>378</v>
      </c>
      <c r="E57" s="133"/>
      <c r="F57" s="118"/>
      <c r="G57" s="118"/>
      <c r="H57" s="118"/>
      <c r="I57" s="171">
        <f>F_Inputs!I48</f>
        <v>4.2999999999999997E-2</v>
      </c>
      <c r="J57" s="171">
        <f>F_Inputs!J48</f>
        <v>4.2999999999999997E-2</v>
      </c>
      <c r="K57" s="171">
        <f>F_Inputs!K48</f>
        <v>4.2999999999999997E-2</v>
      </c>
      <c r="L57" s="171">
        <f>F_Inputs!L48</f>
        <v>4.2999999999999997E-2</v>
      </c>
      <c r="M57" s="171">
        <f>F_Inputs!M48</f>
        <v>4.2999999999999997E-2</v>
      </c>
    </row>
    <row r="58" spans="1:14" ht="15">
      <c r="A58" s="9"/>
      <c r="B58" s="118" t="s">
        <v>324</v>
      </c>
      <c r="C58" s="125" t="s">
        <v>79</v>
      </c>
      <c r="D58" s="133" t="s">
        <v>378</v>
      </c>
      <c r="E58" s="133"/>
      <c r="F58" s="118"/>
      <c r="G58" s="118"/>
      <c r="H58" s="172"/>
      <c r="I58" s="247">
        <f>F_Inputs!I49</f>
        <v>0.42</v>
      </c>
      <c r="J58" s="247">
        <f>F_Inputs!J49</f>
        <v>0.42</v>
      </c>
      <c r="K58" s="247">
        <f>F_Inputs!K49</f>
        <v>0.42</v>
      </c>
      <c r="L58" s="247">
        <f>F_Inputs!L49</f>
        <v>0.42</v>
      </c>
      <c r="M58" s="247">
        <f>F_Inputs!M49</f>
        <v>0.42</v>
      </c>
    </row>
    <row r="59" spans="1:14" ht="15">
      <c r="A59" s="9"/>
      <c r="B59" s="118" t="s">
        <v>325</v>
      </c>
      <c r="C59" s="125" t="s">
        <v>80</v>
      </c>
      <c r="D59" s="133" t="s">
        <v>378</v>
      </c>
      <c r="E59" s="133"/>
      <c r="F59" s="118"/>
      <c r="G59" s="118"/>
      <c r="H59" s="118"/>
      <c r="I59" s="247">
        <f>F_Inputs!I50</f>
        <v>0</v>
      </c>
      <c r="J59" s="247">
        <f>F_Inputs!J50</f>
        <v>0.5</v>
      </c>
      <c r="K59" s="247">
        <f>F_Inputs!K50</f>
        <v>1</v>
      </c>
      <c r="L59" s="247">
        <f>F_Inputs!L50</f>
        <v>1.5</v>
      </c>
      <c r="M59" s="247">
        <f>F_Inputs!M50</f>
        <v>0</v>
      </c>
    </row>
    <row r="60" spans="1:14" ht="15">
      <c r="A60" s="9"/>
      <c r="B60" s="134" t="s">
        <v>326</v>
      </c>
      <c r="C60" s="118" t="s">
        <v>44</v>
      </c>
      <c r="D60" s="133" t="s">
        <v>378</v>
      </c>
      <c r="E60" s="133"/>
      <c r="F60" s="134"/>
      <c r="G60" s="134"/>
      <c r="H60" s="134"/>
      <c r="I60" s="134"/>
      <c r="J60" s="134"/>
      <c r="K60" s="134"/>
      <c r="L60" s="134"/>
      <c r="M60" s="171">
        <f>F_Inputs!N54</f>
        <v>3.6699999999999899E-2</v>
      </c>
    </row>
    <row r="61" spans="1:14" ht="15">
      <c r="A61" s="9"/>
      <c r="B61" s="134" t="s">
        <v>327</v>
      </c>
      <c r="C61" s="118" t="s">
        <v>168</v>
      </c>
      <c r="D61" s="124" t="s">
        <v>32</v>
      </c>
      <c r="E61" s="124"/>
      <c r="F61" s="209">
        <f>F_Inputs!F51</f>
        <v>50</v>
      </c>
      <c r="G61" s="134"/>
      <c r="H61" s="134"/>
      <c r="I61" s="134"/>
      <c r="J61" s="134"/>
      <c r="K61" s="134"/>
      <c r="L61" s="134"/>
      <c r="M61" s="207"/>
    </row>
    <row r="62" spans="1:14" ht="15">
      <c r="A62" s="9"/>
      <c r="B62" s="134"/>
      <c r="C62" s="118"/>
      <c r="D62" s="124"/>
      <c r="E62" s="124"/>
      <c r="F62" s="173"/>
      <c r="G62" s="134"/>
      <c r="H62" s="134"/>
      <c r="I62" s="134"/>
      <c r="J62" s="134"/>
      <c r="K62" s="134"/>
      <c r="L62" s="134"/>
      <c r="M62" s="207"/>
    </row>
    <row r="63" spans="1:14" ht="15.6">
      <c r="A63" s="119"/>
      <c r="B63" s="119"/>
      <c r="C63" s="120" t="s">
        <v>227</v>
      </c>
      <c r="D63" s="119"/>
      <c r="E63" s="119"/>
      <c r="F63" s="170"/>
      <c r="G63" s="170"/>
      <c r="H63" s="170"/>
      <c r="I63" s="170"/>
      <c r="J63" s="170"/>
      <c r="K63" s="170"/>
      <c r="L63" s="119"/>
      <c r="M63" s="119"/>
    </row>
    <row r="64" spans="1:14" ht="15">
      <c r="A64" s="9"/>
      <c r="B64" s="134"/>
      <c r="C64" s="118"/>
      <c r="D64" s="124"/>
      <c r="E64" s="124"/>
      <c r="F64" s="173"/>
      <c r="G64" s="134"/>
      <c r="H64" s="134"/>
      <c r="I64" s="134"/>
      <c r="J64" s="134"/>
      <c r="K64" s="134"/>
      <c r="L64" s="134"/>
      <c r="M64" s="207"/>
      <c r="N64" s="3"/>
    </row>
    <row r="65" spans="1:14" ht="15">
      <c r="A65" s="9"/>
      <c r="B65" s="134"/>
      <c r="C65" s="118"/>
      <c r="D65" s="124"/>
      <c r="E65" s="124"/>
      <c r="F65" s="173"/>
      <c r="G65" s="134"/>
      <c r="H65" s="134"/>
      <c r="I65" s="134"/>
      <c r="J65" s="134"/>
      <c r="K65" s="134"/>
      <c r="L65" s="134"/>
      <c r="M65" s="207"/>
      <c r="N65" s="3"/>
    </row>
    <row r="66" spans="1:14" ht="15">
      <c r="A66" s="9"/>
      <c r="B66" s="135"/>
      <c r="C66" s="136"/>
      <c r="D66" s="136"/>
      <c r="E66" s="136"/>
      <c r="F66" s="173"/>
      <c r="G66" s="134"/>
      <c r="H66" s="134"/>
      <c r="I66" s="134"/>
      <c r="J66" s="134"/>
      <c r="K66" s="134"/>
      <c r="L66" s="134"/>
      <c r="M66" s="207"/>
      <c r="N66" s="3"/>
    </row>
    <row r="67" spans="1:14" ht="15">
      <c r="A67" s="9"/>
      <c r="B67" s="135"/>
      <c r="C67" s="136"/>
      <c r="D67" s="136"/>
      <c r="E67" s="136"/>
      <c r="F67" s="173"/>
      <c r="G67" s="134"/>
      <c r="H67" s="134"/>
      <c r="I67" s="134"/>
      <c r="J67" s="134"/>
      <c r="K67" s="134"/>
      <c r="L67" s="134"/>
      <c r="M67" s="207"/>
      <c r="N67" s="3"/>
    </row>
    <row r="68" spans="1:14" ht="15">
      <c r="A68" s="137"/>
      <c r="B68" s="138"/>
      <c r="C68" s="139"/>
      <c r="D68" s="139"/>
      <c r="E68" s="139"/>
      <c r="F68" s="138"/>
      <c r="G68" s="138"/>
      <c r="H68" s="138"/>
      <c r="I68" s="138"/>
      <c r="J68" s="138"/>
      <c r="K68" s="138"/>
      <c r="L68" s="138"/>
      <c r="M68" s="208"/>
      <c r="N68" s="3"/>
    </row>
    <row r="132" spans="1:5" ht="15.6">
      <c r="A132" s="13"/>
      <c r="B132" s="2"/>
      <c r="C132" s="2"/>
      <c r="D132" s="7"/>
      <c r="E132" s="7"/>
    </row>
  </sheetData>
  <phoneticPr fontId="10" type="noConversion"/>
  <pageMargins left="0.75" right="0.75" top="0.46" bottom="0.47" header="0.17" footer="0.16"/>
  <pageSetup paperSize="9" scale="67" orientation="portrait" r:id="rId1"/>
  <headerFooter alignWithMargins="0">
    <oddFooter>&amp;L&amp;Z&amp;F\&amp;A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IT100"/>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5" customWidth="1"/>
    <col min="2" max="2" width="10.33203125" style="14" bestFit="1" customWidth="1"/>
    <col min="3" max="3" width="90.109375" style="14" customWidth="1"/>
    <col min="4" max="4" width="12.109375" style="15" bestFit="1" customWidth="1"/>
    <col min="5" max="5" width="9.44140625" style="15" customWidth="1"/>
    <col min="6" max="13" width="12.6640625" style="14" customWidth="1"/>
    <col min="14" max="16384" width="9.109375" style="5"/>
  </cols>
  <sheetData>
    <row r="1" spans="1:254" customFormat="1" ht="15.6">
      <c r="A1" s="174"/>
      <c r="B1" s="242">
        <f>+F_Inputs!A4</f>
        <v>0</v>
      </c>
      <c r="C1" s="106" t="s">
        <v>339</v>
      </c>
      <c r="D1" s="242"/>
      <c r="E1" s="242"/>
      <c r="F1" s="175"/>
      <c r="G1" s="175"/>
      <c r="H1" s="170"/>
      <c r="I1" s="170"/>
      <c r="J1" s="170"/>
      <c r="K1" s="170"/>
      <c r="L1" s="170"/>
      <c r="M1" s="17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customFormat="1" ht="15.6">
      <c r="A2" s="174"/>
      <c r="B2" s="108"/>
      <c r="C2" s="110"/>
      <c r="D2" s="176"/>
      <c r="E2" s="176"/>
      <c r="F2" s="177"/>
      <c r="G2" s="177"/>
      <c r="H2" s="178"/>
      <c r="I2" s="179"/>
      <c r="J2" s="179"/>
      <c r="K2" s="179"/>
      <c r="L2" s="179"/>
      <c r="M2" s="17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customFormat="1" ht="15.6">
      <c r="A3" s="180"/>
      <c r="B3" s="181"/>
      <c r="C3" s="183"/>
      <c r="D3" s="182" t="s">
        <v>64</v>
      </c>
      <c r="E3" s="243"/>
      <c r="F3" s="184" t="str">
        <f>+Input!F2</f>
        <v>2007-08</v>
      </c>
      <c r="G3" s="185" t="s">
        <v>70</v>
      </c>
      <c r="H3" s="185" t="s">
        <v>71</v>
      </c>
      <c r="I3" s="185" t="s">
        <v>72</v>
      </c>
      <c r="J3" s="185" t="s">
        <v>73</v>
      </c>
      <c r="K3" s="185" t="s">
        <v>74</v>
      </c>
      <c r="L3" s="185" t="s">
        <v>75</v>
      </c>
      <c r="M3" s="185" t="s">
        <v>76</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1" customFormat="1" ht="15">
      <c r="A4" s="9"/>
      <c r="B4" s="118" t="s">
        <v>98</v>
      </c>
      <c r="C4" s="118" t="s">
        <v>99</v>
      </c>
      <c r="D4" s="232"/>
      <c r="E4" s="232"/>
      <c r="F4" s="118"/>
      <c r="G4" s="118"/>
      <c r="H4" s="118"/>
      <c r="I4" s="159">
        <f>Input!I5</f>
        <v>1</v>
      </c>
      <c r="J4" s="159">
        <f>Input!J5</f>
        <v>2</v>
      </c>
      <c r="K4" s="159">
        <f>Input!K5</f>
        <v>3</v>
      </c>
      <c r="L4" s="159">
        <f>Input!L5</f>
        <v>4</v>
      </c>
      <c r="M4" s="159">
        <f>Input!M5</f>
        <v>5</v>
      </c>
    </row>
    <row r="5" spans="1:254" s="1" customFormat="1" ht="15.6">
      <c r="A5" s="119"/>
      <c r="B5" s="119"/>
      <c r="C5" s="120" t="s">
        <v>241</v>
      </c>
      <c r="D5" s="119"/>
      <c r="E5" s="119"/>
      <c r="F5" s="119"/>
      <c r="G5" s="119"/>
      <c r="H5" s="119"/>
      <c r="I5" s="119"/>
      <c r="J5" s="119"/>
      <c r="K5" s="119"/>
      <c r="L5" s="119"/>
      <c r="M5" s="119"/>
    </row>
    <row r="6" spans="1:254" s="3" customFormat="1" ht="15">
      <c r="A6" s="128"/>
      <c r="B6" s="127" t="s">
        <v>169</v>
      </c>
      <c r="C6" s="187" t="str">
        <f>"RPI: Fin year average - deflate to base year ("&amp;F$3&amp;")"</f>
        <v>RPI: Fin year average - deflate to base year (2007-08)</v>
      </c>
      <c r="D6" s="186" t="s">
        <v>67</v>
      </c>
      <c r="E6" s="186"/>
      <c r="F6" s="188">
        <f>IF(Input!F$54="",0,Input!$F$54/Input!F$54)</f>
        <v>1</v>
      </c>
      <c r="G6" s="188">
        <f>IF(Input!G$54="",0,Input!$F$54/Input!G$54)</f>
        <v>0.97117249941801653</v>
      </c>
      <c r="H6" s="188">
        <f>IF(Input!H$54="",0,Input!$F$54/Input!H$54)</f>
        <v>0.96674648540089592</v>
      </c>
      <c r="I6" s="189">
        <f>IF(Input!I$54="",0,Input!$F$54/Input!I$54)</f>
        <v>0.93767845334713329</v>
      </c>
      <c r="J6" s="189">
        <f>IF(Input!J$54="",0,Input!$F$54/Input!J$54)</f>
        <v>0.91302673159409264</v>
      </c>
      <c r="K6" s="189">
        <f>IF(Input!K$54="",0,Input!$F$54/Input!K$54)</f>
        <v>0.88729517161719651</v>
      </c>
      <c r="L6" s="189">
        <f>IF(Input!L$54="",0,Input!$F$54/Input!L$54)</f>
        <v>0.86061607334354395</v>
      </c>
      <c r="M6" s="189">
        <f>IF(Input!M$54="",0,Input!$F$54/Input!M$54)</f>
        <v>0.83717516862212693</v>
      </c>
    </row>
    <row r="7" spans="1:254" s="3" customFormat="1" ht="15">
      <c r="A7" s="128"/>
      <c r="B7" s="127"/>
      <c r="C7" s="187" t="str">
        <f>"Outturn RPI FYA - deflate to base year ("&amp;F$3&amp;")"</f>
        <v>Outturn RPI FYA - deflate to base year (2007-08)</v>
      </c>
      <c r="D7" s="186" t="s">
        <v>67</v>
      </c>
      <c r="E7" s="186"/>
      <c r="F7" s="188">
        <f>IF(Input!F$55="",0,Input!$F$55/Input!F$55)</f>
        <v>1</v>
      </c>
      <c r="G7" s="188">
        <f>IF(Input!G$55="",0,Input!$F$55/Input!G$55)</f>
        <v>0.97117249941802131</v>
      </c>
      <c r="H7" s="188">
        <f>IF(Input!H$55="",0,Input!$F$55/Input!H$55)</f>
        <v>0.96674648540089614</v>
      </c>
      <c r="I7" s="189">
        <f>IF(Input!I$55="",0,Input!$F$55/Input!I$55)</f>
        <v>0.92103617029105644</v>
      </c>
      <c r="J7" s="189">
        <f>IF(Input!J$55="",0,Input!$F$55/Input!J$55)</f>
        <v>0.87886661282960588</v>
      </c>
      <c r="K7" s="189">
        <f>IF(Input!K$55="",0,Input!$F$55/Input!K$55)</f>
        <v>0.85252545894213549</v>
      </c>
      <c r="L7" s="189">
        <f>IF(Input!L$55="",0,Input!$F$55/Input!L$55)</f>
        <v>0.82862155720339226</v>
      </c>
      <c r="M7" s="189">
        <f>IF(Input!M$55="",0,Input!$F$55/Input!M$55)</f>
        <v>0.81269480519480541</v>
      </c>
    </row>
    <row r="8" spans="1:254" s="1" customFormat="1" ht="15">
      <c r="A8" s="9"/>
      <c r="B8" s="118"/>
      <c r="C8" s="118"/>
      <c r="D8" s="232"/>
      <c r="E8" s="232"/>
      <c r="F8" s="118"/>
      <c r="G8" s="118"/>
      <c r="H8" s="118"/>
      <c r="I8" s="159"/>
      <c r="J8" s="159"/>
      <c r="K8" s="159"/>
      <c r="L8" s="159"/>
      <c r="M8" s="159"/>
    </row>
    <row r="9" spans="1:254" s="1" customFormat="1" ht="15.6">
      <c r="A9" s="119"/>
      <c r="B9" s="119"/>
      <c r="C9" s="120" t="s">
        <v>242</v>
      </c>
      <c r="D9" s="119"/>
      <c r="E9" s="119"/>
      <c r="F9" s="119"/>
      <c r="G9" s="119"/>
      <c r="H9" s="119"/>
      <c r="I9" s="119"/>
      <c r="J9" s="119"/>
      <c r="K9" s="119"/>
      <c r="L9" s="119"/>
      <c r="M9" s="119"/>
    </row>
    <row r="10" spans="1:254" s="8" customFormat="1" ht="15.6">
      <c r="A10" s="120"/>
      <c r="B10" s="120"/>
      <c r="C10" s="120" t="str">
        <f>"2.1 Revenue expectation ("&amp;F$3&amp;" prices)"</f>
        <v>2.1 Revenue expectation (2007-08 prices)</v>
      </c>
      <c r="D10" s="120"/>
      <c r="E10" s="120"/>
      <c r="F10" s="120"/>
      <c r="G10" s="120"/>
      <c r="H10" s="120"/>
      <c r="I10" s="120"/>
      <c r="J10" s="120"/>
      <c r="K10" s="120"/>
      <c r="L10" s="120"/>
      <c r="M10" s="120"/>
      <c r="N10" s="1"/>
      <c r="O10" s="1"/>
      <c r="P10" s="1"/>
      <c r="Q10" s="1"/>
      <c r="R10" s="1"/>
      <c r="S10" s="1"/>
    </row>
    <row r="11" spans="1:254" s="3" customFormat="1" ht="15">
      <c r="A11" s="128"/>
      <c r="B11" s="173" t="s">
        <v>253</v>
      </c>
      <c r="C11" s="128" t="s">
        <v>108</v>
      </c>
      <c r="D11" s="232" t="s">
        <v>78</v>
      </c>
      <c r="E11" s="232"/>
      <c r="F11" s="173"/>
      <c r="G11" s="173"/>
      <c r="H11" s="161">
        <f>IF(Input!H$31&gt;=0,Input!H$31*Calc!H$7,0)</f>
        <v>0</v>
      </c>
      <c r="I11" s="164">
        <f>IF(Input!I$31&gt;=0,Input!I$31*Calc!I$7,0)</f>
        <v>0</v>
      </c>
      <c r="J11" s="164">
        <f>IF(Input!J$31&gt;=0,Input!J$31*Calc!J$7,0)</f>
        <v>0</v>
      </c>
      <c r="K11" s="164">
        <f>IF(Input!K$31&gt;=0,Input!K$31*Calc!K$7,0)</f>
        <v>0</v>
      </c>
      <c r="L11" s="164">
        <f>IF(Input!L$31&gt;=0,Input!L$31*Calc!L$7,0)</f>
        <v>0</v>
      </c>
      <c r="M11" s="164">
        <f>IF(Input!M$31&gt;=0,Input!M$31*Calc!M$7,0)</f>
        <v>0.11377727272727277</v>
      </c>
      <c r="N11" s="48"/>
      <c r="O11" s="48"/>
      <c r="P11" s="48"/>
    </row>
    <row r="12" spans="1:254" s="3" customFormat="1" ht="15">
      <c r="A12" s="128"/>
      <c r="B12" s="173" t="s">
        <v>253</v>
      </c>
      <c r="C12" s="128" t="s">
        <v>109</v>
      </c>
      <c r="D12" s="232" t="s">
        <v>78</v>
      </c>
      <c r="E12" s="232"/>
      <c r="F12" s="173"/>
      <c r="G12" s="173"/>
      <c r="H12" s="161">
        <f>IF(Input!H$31&lt;0,Input!H$31*Calc!H$7,0)</f>
        <v>-0.31902634018229575</v>
      </c>
      <c r="I12" s="164">
        <f>IF(Input!I$31&lt;0,Input!I$31*Calc!I$7,0)</f>
        <v>-0.14736578724656904</v>
      </c>
      <c r="J12" s="164">
        <f>IF(Input!J$31&lt;0,Input!J$31*Calc!J$7,0)</f>
        <v>-2.6365998384888175E-2</v>
      </c>
      <c r="K12" s="164">
        <f>IF(Input!K$31&lt;0,Input!K$31*Calc!K$7,0)</f>
        <v>-0.16197983719900574</v>
      </c>
      <c r="L12" s="164">
        <f>IF(Input!L$31&lt;0,Input!L$31*Calc!L$7,0)</f>
        <v>-0.20715538930084806</v>
      </c>
      <c r="M12" s="164">
        <f>IF(Input!M$31&lt;0,Input!M$31*Calc!M$7,0)</f>
        <v>0</v>
      </c>
      <c r="N12" s="48"/>
      <c r="O12" s="48"/>
      <c r="P12" s="48"/>
    </row>
    <row r="13" spans="1:254" s="3" customFormat="1" ht="15">
      <c r="A13" s="128"/>
      <c r="B13" s="173"/>
      <c r="C13" s="128"/>
      <c r="D13" s="232"/>
      <c r="E13" s="232"/>
      <c r="F13" s="173"/>
      <c r="G13" s="173"/>
      <c r="H13" s="161"/>
      <c r="I13" s="164"/>
      <c r="J13" s="164"/>
      <c r="K13" s="164"/>
      <c r="L13" s="164"/>
      <c r="M13" s="164"/>
      <c r="N13" s="48"/>
      <c r="O13" s="48"/>
      <c r="P13" s="48"/>
    </row>
    <row r="14" spans="1:254" s="3" customFormat="1" ht="15">
      <c r="A14" s="128"/>
      <c r="B14" s="173" t="s">
        <v>253</v>
      </c>
      <c r="C14" s="125" t="str">
        <f>"Water: Change in non-household groups under "&amp;Threshold&amp;"ML threshold"</f>
        <v>Water: Change in non-household groups under 50ML threshold</v>
      </c>
      <c r="D14" s="232" t="s">
        <v>67</v>
      </c>
      <c r="E14" s="232"/>
      <c r="F14" s="173"/>
      <c r="G14" s="173"/>
      <c r="H14" s="173"/>
      <c r="I14" s="190">
        <f>IF(Input!H$7=0,0,Input!I$7/Input!H$7)</f>
        <v>1.0130826120274647</v>
      </c>
      <c r="J14" s="190">
        <f>IF(Input!I$7=0,0,Input!J$7/Input!I$7)</f>
        <v>1.0392028993221401</v>
      </c>
      <c r="K14" s="190">
        <f>IF(Input!J$7=0,0,Input!K$7/Input!J$7)</f>
        <v>1.0816319442203468</v>
      </c>
      <c r="L14" s="190">
        <f>IF(Input!K$7=0,0,Input!L$7/Input!K$7)</f>
        <v>1.0399224320734592</v>
      </c>
      <c r="M14" s="190">
        <f>IF(Input!L$7=0,0,Input!M$7/Input!L$7)</f>
        <v>1.0320401509598121</v>
      </c>
      <c r="N14" s="48"/>
      <c r="O14" s="48"/>
      <c r="P14" s="48"/>
    </row>
    <row r="15" spans="1:254" s="3" customFormat="1" ht="15">
      <c r="A15" s="128"/>
      <c r="B15" s="173" t="s">
        <v>253</v>
      </c>
      <c r="C15" s="125" t="str">
        <f>"Water: Change in non-household groups over "&amp;Threshold&amp;"ML threshold"</f>
        <v>Water: Change in non-household groups over 50ML threshold</v>
      </c>
      <c r="D15" s="232" t="s">
        <v>67</v>
      </c>
      <c r="E15" s="232"/>
      <c r="F15" s="173"/>
      <c r="G15" s="173"/>
      <c r="H15" s="173"/>
      <c r="I15" s="190">
        <f>IF(Input!H$8=0,0,Input!I$8/Input!H$8)</f>
        <v>0.88794439489570964</v>
      </c>
      <c r="J15" s="190">
        <f>IF(Input!I$8=0,0,Input!J$8/Input!I$8)</f>
        <v>0.95880780635603324</v>
      </c>
      <c r="K15" s="190">
        <f>IF(Input!J$8=0,0,Input!K$8/Input!J$8)</f>
        <v>0.95836474642341984</v>
      </c>
      <c r="L15" s="190">
        <f>IF(Input!K$8=0,0,Input!L$8/Input!K$8)</f>
        <v>1.0509442376931697</v>
      </c>
      <c r="M15" s="190">
        <f>IF(Input!L$8=0,0,Input!M$8/Input!L$8)</f>
        <v>1.0187717629477617</v>
      </c>
      <c r="N15" s="48"/>
      <c r="O15" s="48"/>
      <c r="P15" s="48"/>
    </row>
    <row r="16" spans="1:254" s="3" customFormat="1" ht="15">
      <c r="A16" s="128"/>
      <c r="B16" s="173"/>
      <c r="C16" s="125"/>
      <c r="D16" s="232"/>
      <c r="E16" s="232"/>
      <c r="F16" s="173"/>
      <c r="G16" s="173"/>
      <c r="H16" s="173"/>
      <c r="I16" s="190"/>
      <c r="J16" s="190"/>
      <c r="K16" s="190"/>
      <c r="L16" s="190"/>
      <c r="M16" s="190"/>
      <c r="N16" s="48"/>
      <c r="O16" s="48"/>
      <c r="P16" s="48"/>
    </row>
    <row r="17" spans="1:19" s="3" customFormat="1" ht="15">
      <c r="A17" s="128"/>
      <c r="B17" s="173" t="s">
        <v>253</v>
      </c>
      <c r="C17" s="125" t="str">
        <f>"Water: Revenue adjustment in non-household groups under "&amp;Threshold&amp;"ML threshold"</f>
        <v>Water: Revenue adjustment in non-household groups under 50ML threshold</v>
      </c>
      <c r="D17" s="232" t="s">
        <v>78</v>
      </c>
      <c r="E17" s="232"/>
      <c r="F17" s="173"/>
      <c r="G17" s="173"/>
      <c r="H17" s="161">
        <f t="shared" ref="H17:M18" si="0">+G17*H14+H11</f>
        <v>0</v>
      </c>
      <c r="I17" s="164">
        <f t="shared" si="0"/>
        <v>0</v>
      </c>
      <c r="J17" s="164">
        <f t="shared" si="0"/>
        <v>0</v>
      </c>
      <c r="K17" s="164">
        <f t="shared" si="0"/>
        <v>0</v>
      </c>
      <c r="L17" s="164">
        <f t="shared" si="0"/>
        <v>0</v>
      </c>
      <c r="M17" s="164">
        <f t="shared" si="0"/>
        <v>0.11377727272727277</v>
      </c>
      <c r="N17" s="48"/>
      <c r="O17" s="48"/>
      <c r="P17" s="48"/>
    </row>
    <row r="18" spans="1:19" s="3" customFormat="1" ht="15">
      <c r="A18" s="128"/>
      <c r="B18" s="173" t="s">
        <v>253</v>
      </c>
      <c r="C18" s="125" t="str">
        <f>"Water: Revenue adjustment in non-household groups over "&amp;Threshold&amp;"ML threshold"</f>
        <v>Water: Revenue adjustment in non-household groups over 50ML threshold</v>
      </c>
      <c r="D18" s="232" t="s">
        <v>78</v>
      </c>
      <c r="E18" s="232"/>
      <c r="F18" s="173"/>
      <c r="G18" s="173"/>
      <c r="H18" s="161">
        <f t="shared" si="0"/>
        <v>-0.31902634018229575</v>
      </c>
      <c r="I18" s="164">
        <f t="shared" si="0"/>
        <v>-0.4306434378355305</v>
      </c>
      <c r="J18" s="164">
        <f t="shared" si="0"/>
        <v>-0.43927028833759396</v>
      </c>
      <c r="K18" s="164">
        <f t="shared" si="0"/>
        <v>-0.58296099569300652</v>
      </c>
      <c r="L18" s="164">
        <f t="shared" si="0"/>
        <v>-0.81981488852428597</v>
      </c>
      <c r="M18" s="164">
        <f t="shared" si="0"/>
        <v>-0.83520425927270958</v>
      </c>
      <c r="N18" s="48"/>
      <c r="O18" s="48"/>
      <c r="P18" s="48"/>
    </row>
    <row r="19" spans="1:19" s="3" customFormat="1" ht="15">
      <c r="A19" s="128"/>
      <c r="B19" s="173"/>
      <c r="C19" s="125"/>
      <c r="D19" s="232"/>
      <c r="E19" s="232"/>
      <c r="F19" s="173"/>
      <c r="G19" s="173"/>
      <c r="H19" s="161"/>
      <c r="I19" s="164"/>
      <c r="J19" s="164"/>
      <c r="K19" s="164"/>
      <c r="L19" s="164"/>
      <c r="M19" s="164"/>
      <c r="N19" s="48"/>
      <c r="O19" s="48"/>
      <c r="P19" s="48"/>
    </row>
    <row r="20" spans="1:19" s="3" customFormat="1" ht="15">
      <c r="A20" s="128"/>
      <c r="B20" s="173" t="s">
        <v>253</v>
      </c>
      <c r="C20" s="125" t="s">
        <v>121</v>
      </c>
      <c r="D20" s="232" t="s">
        <v>78</v>
      </c>
      <c r="E20" s="232"/>
      <c r="F20" s="173"/>
      <c r="G20" s="173"/>
      <c r="H20" s="161">
        <f t="shared" ref="H20:M20" si="1">+H17+H18</f>
        <v>-0.31902634018229575</v>
      </c>
      <c r="I20" s="164">
        <f t="shared" si="1"/>
        <v>-0.4306434378355305</v>
      </c>
      <c r="J20" s="164">
        <f t="shared" si="1"/>
        <v>-0.43927028833759396</v>
      </c>
      <c r="K20" s="164">
        <f t="shared" si="1"/>
        <v>-0.58296099569300652</v>
      </c>
      <c r="L20" s="164">
        <f t="shared" si="1"/>
        <v>-0.81981488852428597</v>
      </c>
      <c r="M20" s="164">
        <f t="shared" si="1"/>
        <v>-0.7214269865454368</v>
      </c>
      <c r="N20" s="48"/>
      <c r="O20" s="48"/>
      <c r="P20" s="48"/>
    </row>
    <row r="21" spans="1:19" s="3" customFormat="1" ht="15">
      <c r="A21" s="128"/>
      <c r="B21" s="173" t="s">
        <v>253</v>
      </c>
      <c r="C21" s="125" t="s">
        <v>122</v>
      </c>
      <c r="D21" s="232" t="s">
        <v>78</v>
      </c>
      <c r="E21" s="232"/>
      <c r="F21" s="173"/>
      <c r="G21" s="173"/>
      <c r="H21" s="161"/>
      <c r="I21" s="164">
        <f>Input!I10*Calc!I6-I20</f>
        <v>84.658519456096514</v>
      </c>
      <c r="J21" s="164">
        <f>Input!J10*Calc!J6-J20</f>
        <v>87.73958786159389</v>
      </c>
      <c r="K21" s="164">
        <f>Input!K10*Calc!K6-K20</f>
        <v>90.969398413224994</v>
      </c>
      <c r="L21" s="164">
        <f>Input!L10*Calc!L6-L20</f>
        <v>95.277724159830527</v>
      </c>
      <c r="M21" s="164">
        <f>Input!M10*Calc!M6-M20</f>
        <v>99.79788373938274</v>
      </c>
      <c r="N21" s="48"/>
      <c r="O21" s="48"/>
      <c r="P21" s="48"/>
    </row>
    <row r="22" spans="1:19" s="1" customFormat="1" ht="15.6">
      <c r="A22" s="9"/>
      <c r="B22" s="173"/>
      <c r="C22" s="191"/>
      <c r="D22" s="232"/>
      <c r="E22" s="232"/>
      <c r="F22" s="173"/>
      <c r="G22" s="173"/>
      <c r="H22" s="173"/>
      <c r="I22" s="164"/>
      <c r="J22" s="164"/>
      <c r="K22" s="164"/>
      <c r="L22" s="164"/>
      <c r="M22" s="164"/>
    </row>
    <row r="23" spans="1:19" s="10" customFormat="1" ht="15.6">
      <c r="A23" s="120"/>
      <c r="B23" s="120"/>
      <c r="C23" s="120" t="str">
        <f>"2.2 Revenue subtotals ("&amp;F$3&amp;" prices)"</f>
        <v>2.2 Revenue subtotals (2007-08 prices)</v>
      </c>
      <c r="D23" s="120"/>
      <c r="E23" s="120"/>
      <c r="F23" s="120"/>
      <c r="G23" s="120"/>
      <c r="H23" s="120"/>
      <c r="I23" s="192"/>
      <c r="J23" s="192"/>
      <c r="K23" s="192"/>
      <c r="L23" s="192"/>
      <c r="M23" s="192"/>
      <c r="N23" s="9"/>
      <c r="O23" s="9"/>
      <c r="P23" s="9"/>
      <c r="Q23" s="9"/>
      <c r="R23" s="9"/>
      <c r="S23" s="9"/>
    </row>
    <row r="24" spans="1:19" s="1" customFormat="1" ht="15">
      <c r="A24" s="9"/>
      <c r="B24" s="118" t="s">
        <v>94</v>
      </c>
      <c r="C24" s="118" t="s">
        <v>123</v>
      </c>
      <c r="D24" s="232" t="s">
        <v>78</v>
      </c>
      <c r="E24" s="232"/>
      <c r="F24" s="118"/>
      <c r="G24" s="118"/>
      <c r="H24" s="118"/>
      <c r="I24" s="164">
        <f>(Input!I27+Input!I28)*I$7</f>
        <v>47.543887110424329</v>
      </c>
      <c r="J24" s="164">
        <f>(Input!J27+Input!J28)*J$7</f>
        <v>47.863075734700331</v>
      </c>
      <c r="K24" s="164">
        <f>(Input!K27+Input!K28)*K$7</f>
        <v>49.054314907530475</v>
      </c>
      <c r="L24" s="164">
        <f>(Input!L27+Input!L28)*L$7</f>
        <v>49.659289923199296</v>
      </c>
      <c r="M24" s="164">
        <f>(Input!M27+Input!M28)*M$7</f>
        <v>49.393964870129885</v>
      </c>
    </row>
    <row r="25" spans="1:19" s="1" customFormat="1" ht="15">
      <c r="A25" s="9"/>
      <c r="B25" s="118" t="s">
        <v>96</v>
      </c>
      <c r="C25" s="118" t="s">
        <v>124</v>
      </c>
      <c r="D25" s="232" t="s">
        <v>78</v>
      </c>
      <c r="E25" s="232"/>
      <c r="F25" s="118"/>
      <c r="G25" s="118"/>
      <c r="H25" s="118"/>
      <c r="I25" s="164">
        <f>(Input!I29+Input!I30)*I$7</f>
        <v>35.892779556242466</v>
      </c>
      <c r="J25" s="164">
        <f>(Input!J29+Input!J30)*J$7</f>
        <v>38.591032969347992</v>
      </c>
      <c r="K25" s="164">
        <f>(Input!K29+Input!K30)*K$7</f>
        <v>41.236656449031095</v>
      </c>
      <c r="L25" s="164">
        <f>(Input!L29+Input!L30)*L$7</f>
        <v>45.671962989936567</v>
      </c>
      <c r="M25" s="164">
        <f>(Input!M29+Input!M30)*M$7</f>
        <v>50.482163214285734</v>
      </c>
    </row>
    <row r="26" spans="1:19" s="1" customFormat="1" ht="15">
      <c r="A26" s="9"/>
      <c r="B26" s="118"/>
      <c r="C26" s="118"/>
      <c r="D26" s="232"/>
      <c r="E26" s="232"/>
      <c r="F26" s="118"/>
      <c r="G26" s="118"/>
      <c r="H26" s="118"/>
      <c r="I26" s="164"/>
      <c r="J26" s="164"/>
      <c r="K26" s="164"/>
      <c r="L26" s="164"/>
      <c r="M26" s="164"/>
    </row>
    <row r="27" spans="1:19" s="10" customFormat="1" ht="15.6">
      <c r="A27" s="120"/>
      <c r="B27" s="120"/>
      <c r="C27" s="120" t="str">
        <f>"2.3 Revenue correction ("&amp;F$3&amp;" prices)"</f>
        <v>2.3 Revenue correction (2007-08 prices)</v>
      </c>
      <c r="D27" s="120"/>
      <c r="E27" s="120"/>
      <c r="F27" s="120"/>
      <c r="G27" s="120"/>
      <c r="H27" s="120"/>
      <c r="I27" s="192"/>
      <c r="J27" s="192"/>
      <c r="K27" s="192"/>
      <c r="L27" s="192"/>
      <c r="M27" s="192"/>
      <c r="N27" s="9"/>
      <c r="O27" s="9"/>
      <c r="P27" s="9"/>
      <c r="Q27" s="9"/>
      <c r="R27" s="9"/>
      <c r="S27" s="9"/>
    </row>
    <row r="28" spans="1:19" s="1" customFormat="1" ht="15">
      <c r="A28" s="9"/>
      <c r="B28" s="118"/>
      <c r="C28" s="118" t="s">
        <v>125</v>
      </c>
      <c r="D28" s="232" t="s">
        <v>78</v>
      </c>
      <c r="E28" s="232"/>
      <c r="F28" s="118"/>
      <c r="G28" s="118"/>
      <c r="H28" s="118"/>
      <c r="I28" s="164">
        <f>+I24+I25+Input!I32*I7</f>
        <v>83.491928836884256</v>
      </c>
      <c r="J28" s="164">
        <f>+J24+J25+Input!J32*J7</f>
        <v>86.559572697587882</v>
      </c>
      <c r="K28" s="164">
        <f>+K24+K25+Input!K32*K7</f>
        <v>90.418850175402895</v>
      </c>
      <c r="L28" s="164">
        <f>+L24+L25+Input!L32*L7</f>
        <v>95.472118577860442</v>
      </c>
      <c r="M28" s="164">
        <f>+M24+M25+Input!M32*M7</f>
        <v>99.98177840909095</v>
      </c>
    </row>
    <row r="29" spans="1:19" s="1" customFormat="1" ht="15">
      <c r="A29" s="9"/>
      <c r="B29" s="173" t="s">
        <v>253</v>
      </c>
      <c r="C29" s="118" t="s">
        <v>126</v>
      </c>
      <c r="D29" s="232" t="s">
        <v>78</v>
      </c>
      <c r="E29" s="232"/>
      <c r="F29" s="118"/>
      <c r="G29" s="118"/>
      <c r="H29" s="118"/>
      <c r="I29" s="164">
        <f>I28-I21</f>
        <v>-1.1665906192122577</v>
      </c>
      <c r="J29" s="164">
        <f>J28-J21</f>
        <v>-1.1800151640060079</v>
      </c>
      <c r="K29" s="164">
        <f>K28-K21</f>
        <v>-0.55054823782209894</v>
      </c>
      <c r="L29" s="164">
        <f>L28-L21</f>
        <v>0.19439441802991553</v>
      </c>
      <c r="M29" s="164">
        <f>M28-M21</f>
        <v>0.18389466970820934</v>
      </c>
    </row>
    <row r="30" spans="1:19" s="1" customFormat="1" ht="15">
      <c r="A30" s="9"/>
      <c r="B30" s="173" t="s">
        <v>253</v>
      </c>
      <c r="C30" s="118" t="s">
        <v>127</v>
      </c>
      <c r="D30" s="232" t="s">
        <v>78</v>
      </c>
      <c r="E30" s="232"/>
      <c r="F30" s="130"/>
      <c r="G30" s="130"/>
      <c r="H30" s="130"/>
      <c r="I30" s="193">
        <f>-I29*Input!I53</f>
        <v>0.32664537337943217</v>
      </c>
      <c r="J30" s="193">
        <f>-J29*Input!J53</f>
        <v>0.30680394264156208</v>
      </c>
      <c r="K30" s="193">
        <f>-K29*Input!K53</f>
        <v>0.13213157707730375</v>
      </c>
      <c r="L30" s="193">
        <f>-L29*Input!L53</f>
        <v>-4.4710716146880575E-2</v>
      </c>
      <c r="M30" s="193">
        <f>-M29*Input!M53</f>
        <v>-3.8617880638723956E-2</v>
      </c>
    </row>
    <row r="31" spans="1:19" s="1" customFormat="1" ht="15">
      <c r="A31" s="9"/>
      <c r="B31" s="173" t="s">
        <v>253</v>
      </c>
      <c r="C31" s="118" t="s">
        <v>369</v>
      </c>
      <c r="D31" s="232" t="s">
        <v>78</v>
      </c>
      <c r="E31" s="232"/>
      <c r="F31" s="118"/>
      <c r="G31" s="118"/>
      <c r="H31" s="118"/>
      <c r="I31" s="193">
        <f>(I29+I30)*(1+Input!I57)^(5-I4)</f>
        <v>-0.99400417838562882</v>
      </c>
      <c r="J31" s="193">
        <f>(J29+J30)*(1+Input!J57)^(5-J4)</f>
        <v>-0.99076859796994465</v>
      </c>
      <c r="K31" s="193">
        <f>(K29+K30)*(1+Input!K57)^(5-K4)</f>
        <v>-0.45517414597456468</v>
      </c>
      <c r="L31" s="193">
        <f>(L29+L30)*(1+Input!L57)^(5-L4)</f>
        <v>0.15612010106400545</v>
      </c>
      <c r="M31" s="193">
        <f>(M29+M30)*(1+Input!M57)^(5-M4)</f>
        <v>0.14527678906948538</v>
      </c>
    </row>
    <row r="32" spans="1:19" s="1" customFormat="1" ht="15">
      <c r="A32" s="9"/>
      <c r="B32" s="118"/>
      <c r="C32" s="118"/>
      <c r="D32" s="232"/>
      <c r="E32" s="232"/>
      <c r="F32" s="118"/>
      <c r="G32" s="118"/>
      <c r="H32" s="118"/>
      <c r="I32" s="164"/>
      <c r="J32" s="164"/>
      <c r="K32" s="164"/>
      <c r="L32" s="164"/>
      <c r="M32" s="164"/>
    </row>
    <row r="33" spans="1:19" s="10" customFormat="1" ht="15.6">
      <c r="A33" s="120"/>
      <c r="B33" s="120"/>
      <c r="C33" s="120" t="str">
        <f>"2.4 Billing incentive ("&amp;F$3&amp;" prices)"</f>
        <v>2.4 Billing incentive (2007-08 prices)</v>
      </c>
      <c r="D33" s="120"/>
      <c r="E33" s="120"/>
      <c r="F33" s="120"/>
      <c r="G33" s="120"/>
      <c r="H33" s="120"/>
      <c r="I33" s="192"/>
      <c r="J33" s="192"/>
      <c r="K33" s="192"/>
      <c r="L33" s="192"/>
      <c r="M33" s="192"/>
      <c r="N33" s="9"/>
      <c r="O33" s="9"/>
      <c r="P33" s="9"/>
      <c r="Q33" s="9"/>
      <c r="R33" s="9"/>
      <c r="S33" s="9"/>
    </row>
    <row r="34" spans="1:19" s="1" customFormat="1" ht="15">
      <c r="A34" s="9"/>
      <c r="B34" s="173" t="s">
        <v>253</v>
      </c>
      <c r="C34" s="125" t="s">
        <v>189</v>
      </c>
      <c r="D34" s="130" t="s">
        <v>77</v>
      </c>
      <c r="E34" s="130"/>
      <c r="F34" s="118"/>
      <c r="G34" s="118"/>
      <c r="H34" s="118"/>
      <c r="I34" s="164">
        <f>Input!I11+Input!I12+Input!I13+Input!I14-(Input!$H11+Input!$H12+Input!$H13+Input!$H14)</f>
        <v>3.9319999999999595</v>
      </c>
      <c r="J34" s="164">
        <f>Input!J11+Input!J12+Input!J13+Input!J14-(Input!$H11+Input!$H12+Input!$H13+Input!$H14)</f>
        <v>8.2439999999999714</v>
      </c>
      <c r="K34" s="164">
        <f>Input!K11+Input!K12+Input!K13+Input!K14-(Input!$H11+Input!$H12+Input!$H13+Input!$H14)</f>
        <v>12.555999999999983</v>
      </c>
      <c r="L34" s="164">
        <f>Input!L11+Input!L12+Input!L13+Input!L14-(Input!$H11+Input!$H12+Input!$H13+Input!$H14)</f>
        <v>16.867999999999995</v>
      </c>
      <c r="M34" s="164">
        <f>Input!M11+Input!M12+Input!M13+Input!M14-(Input!$H11+Input!$H12+Input!$H13+Input!$H14)</f>
        <v>23.336999999999875</v>
      </c>
      <c r="N34" s="19"/>
      <c r="O34" s="19"/>
      <c r="P34" s="19"/>
    </row>
    <row r="35" spans="1:19" s="1" customFormat="1" ht="15">
      <c r="A35" s="9"/>
      <c r="B35" s="173" t="s">
        <v>253</v>
      </c>
      <c r="C35" s="118" t="s">
        <v>128</v>
      </c>
      <c r="D35" s="232" t="s">
        <v>78</v>
      </c>
      <c r="E35" s="232"/>
      <c r="F35" s="118"/>
      <c r="G35" s="118"/>
      <c r="H35" s="161"/>
      <c r="I35" s="164">
        <f>(Input!I27+Input!I29)*I$7</f>
        <v>66.719860175884122</v>
      </c>
      <c r="J35" s="164">
        <f>(Input!J27+Input!J29)*J$7</f>
        <v>69.034972437765532</v>
      </c>
      <c r="K35" s="164">
        <f>(Input!K27+Input!K29)*K$7</f>
        <v>72.635169101869934</v>
      </c>
      <c r="L35" s="164">
        <f>(Input!L27+Input!L29)*L$7</f>
        <v>76.441995895127349</v>
      </c>
      <c r="M35" s="164">
        <f>(Input!M27+Input!M29)*M$7</f>
        <v>79.826947240259756</v>
      </c>
    </row>
    <row r="36" spans="1:19" s="1" customFormat="1" ht="15">
      <c r="A36" s="9"/>
      <c r="B36" s="173" t="s">
        <v>253</v>
      </c>
      <c r="C36" s="125" t="s">
        <v>129</v>
      </c>
      <c r="D36" s="123" t="s">
        <v>379</v>
      </c>
      <c r="E36" s="232"/>
      <c r="F36" s="118"/>
      <c r="G36" s="118"/>
      <c r="H36" s="118"/>
      <c r="I36" s="164">
        <f>IF(Input!I35=0,0,(I35/Input!I35)*1000)</f>
        <v>143.9240086887057</v>
      </c>
      <c r="J36" s="164">
        <f>IF(Input!J35=0,0,(J35/Input!J35)*1000)</f>
        <v>148.17710522277667</v>
      </c>
      <c r="K36" s="164">
        <f>IF(Input!K35=0,0,(K35/Input!K35)*1000)</f>
        <v>154.81400218226796</v>
      </c>
      <c r="L36" s="164">
        <f>IF(Input!L35=0,0,(L35/Input!L35)*1000)</f>
        <v>161.55975038598194</v>
      </c>
      <c r="M36" s="164">
        <f>IF(Input!M35=0,0,(M35/Input!M35)*1000)</f>
        <v>167.44897936806152</v>
      </c>
    </row>
    <row r="37" spans="1:19" s="1" customFormat="1" ht="15">
      <c r="A37" s="9"/>
      <c r="B37" s="173" t="s">
        <v>253</v>
      </c>
      <c r="C37" s="125" t="s">
        <v>130</v>
      </c>
      <c r="D37" s="123" t="s">
        <v>379</v>
      </c>
      <c r="E37" s="232"/>
      <c r="F37" s="118"/>
      <c r="G37" s="118"/>
      <c r="H37" s="118"/>
      <c r="I37" s="164">
        <f>I36*Input!I58</f>
        <v>60.44808364925639</v>
      </c>
      <c r="J37" s="164">
        <f>J36*Input!J58</f>
        <v>62.2343841935662</v>
      </c>
      <c r="K37" s="164">
        <f>K36*Input!K58</f>
        <v>65.021880916552533</v>
      </c>
      <c r="L37" s="164">
        <f>L36*Input!L58</f>
        <v>67.85509516211242</v>
      </c>
      <c r="M37" s="164">
        <f>M36*Input!M58</f>
        <v>70.328571334585831</v>
      </c>
    </row>
    <row r="38" spans="1:19" s="1" customFormat="1" ht="15">
      <c r="A38" s="9"/>
      <c r="B38" s="173" t="s">
        <v>253</v>
      </c>
      <c r="C38" s="125" t="s">
        <v>186</v>
      </c>
      <c r="D38" s="130" t="s">
        <v>77</v>
      </c>
      <c r="E38" s="130"/>
      <c r="F38" s="118"/>
      <c r="G38" s="118"/>
      <c r="H38" s="118"/>
      <c r="I38" s="164">
        <f>Input!I35+Input!I36-(Input!$H$35+Input!$H$36)</f>
        <v>4.1215000000000259</v>
      </c>
      <c r="J38" s="164">
        <f>Input!J35+Input!J36-(Input!$H$35+Input!$H$36)</f>
        <v>7.4495000000000005</v>
      </c>
      <c r="K38" s="164">
        <f>Input!K35+Input!K36-(Input!$H$35+Input!$H$36)</f>
        <v>10.45150000000001</v>
      </c>
      <c r="L38" s="164">
        <f>Input!L35+Input!L36-(Input!$H$35+Input!$H$36)</f>
        <v>14.404499999999985</v>
      </c>
      <c r="M38" s="164">
        <f>Input!M35+Input!M36-(Input!$H$35+Input!$H$36)</f>
        <v>18.203499999999963</v>
      </c>
    </row>
    <row r="39" spans="1:19" s="1" customFormat="1" ht="15">
      <c r="A39" s="9"/>
      <c r="B39" s="173" t="s">
        <v>253</v>
      </c>
      <c r="C39" s="125" t="s">
        <v>131</v>
      </c>
      <c r="D39" s="130" t="s">
        <v>77</v>
      </c>
      <c r="E39" s="130"/>
      <c r="F39" s="118"/>
      <c r="G39" s="118"/>
      <c r="H39" s="118"/>
      <c r="I39" s="164">
        <f>I38-I34</f>
        <v>0.18950000000006639</v>
      </c>
      <c r="J39" s="164">
        <f>J38-J34</f>
        <v>-0.7944999999999709</v>
      </c>
      <c r="K39" s="164">
        <f>K38-K34</f>
        <v>-2.1044999999999732</v>
      </c>
      <c r="L39" s="164">
        <f>L38-L34</f>
        <v>-2.4635000000000105</v>
      </c>
      <c r="M39" s="164">
        <f>M38-M34</f>
        <v>-5.1334999999999127</v>
      </c>
    </row>
    <row r="40" spans="1:19" s="1" customFormat="1" ht="15">
      <c r="A40" s="9"/>
      <c r="B40" s="173" t="s">
        <v>253</v>
      </c>
      <c r="C40" s="125" t="s">
        <v>132</v>
      </c>
      <c r="D40" s="130" t="s">
        <v>77</v>
      </c>
      <c r="E40" s="130"/>
      <c r="F40" s="118"/>
      <c r="G40" s="118"/>
      <c r="H40" s="118"/>
      <c r="I40" s="164">
        <f>IF(I39&gt;MAX($I$39:I39,0),I39-MAX($I$39:I39,0),0)</f>
        <v>0</v>
      </c>
      <c r="J40" s="164">
        <f>IF(J39&gt;MAX($I$39:I39,0),J39-MAX($I$39:I39,0),0)</f>
        <v>0</v>
      </c>
      <c r="K40" s="164">
        <f>IF(K39&gt;MAX($I$39:J39,0),K39-MAX($I$39:J39,0),0)</f>
        <v>0</v>
      </c>
      <c r="L40" s="164">
        <f>IF(L39&gt;MAX($I$39:K39,0),L39-MAX($I$39:K39,0),0)</f>
        <v>0</v>
      </c>
      <c r="M40" s="164">
        <f>IF(M39&gt;MAX($I$39:L39,0),M39-MAX($I$39:L39,0),0)</f>
        <v>0</v>
      </c>
    </row>
    <row r="41" spans="1:19" s="1" customFormat="1" ht="15">
      <c r="A41" s="9"/>
      <c r="B41" s="173" t="s">
        <v>253</v>
      </c>
      <c r="C41" s="125" t="s">
        <v>133</v>
      </c>
      <c r="D41" s="232" t="s">
        <v>78</v>
      </c>
      <c r="E41" s="232"/>
      <c r="F41" s="118"/>
      <c r="G41" s="118"/>
      <c r="H41" s="118"/>
      <c r="I41" s="164">
        <f>I39*I37/1000</f>
        <v>1.14549118515381E-2</v>
      </c>
      <c r="J41" s="164">
        <f>J39*J37/1000</f>
        <v>-4.9445218241786534E-2</v>
      </c>
      <c r="K41" s="164">
        <f>K39*K37/1000</f>
        <v>-0.13683854838888304</v>
      </c>
      <c r="L41" s="164">
        <f>L39*L37/1000</f>
        <v>-0.16716102693186466</v>
      </c>
      <c r="M41" s="164">
        <f>M39*M37/1000</f>
        <v>-0.36103172094609021</v>
      </c>
    </row>
    <row r="42" spans="1:19" s="1" customFormat="1" ht="15">
      <c r="A42" s="9"/>
      <c r="B42" s="173" t="s">
        <v>253</v>
      </c>
      <c r="C42" s="125" t="s">
        <v>134</v>
      </c>
      <c r="D42" s="232" t="s">
        <v>78</v>
      </c>
      <c r="E42" s="232"/>
      <c r="F42" s="118"/>
      <c r="G42" s="118"/>
      <c r="H42" s="118"/>
      <c r="I42" s="164">
        <f>I40*I37*Input!I59/1000</f>
        <v>0</v>
      </c>
      <c r="J42" s="164">
        <f>J40*J37*Input!J59/1000</f>
        <v>0</v>
      </c>
      <c r="K42" s="164">
        <f>K40*K37*Input!K59/1000</f>
        <v>0</v>
      </c>
      <c r="L42" s="164">
        <f>L40*L37*Input!L59/1000</f>
        <v>0</v>
      </c>
      <c r="M42" s="164">
        <f>M40*M37*Input!M59/1000</f>
        <v>0</v>
      </c>
    </row>
    <row r="43" spans="1:19" s="1" customFormat="1" ht="15">
      <c r="A43" s="9"/>
      <c r="B43" s="173" t="s">
        <v>253</v>
      </c>
      <c r="C43" s="125" t="s">
        <v>135</v>
      </c>
      <c r="D43" s="232" t="s">
        <v>78</v>
      </c>
      <c r="E43" s="232"/>
      <c r="F43" s="118"/>
      <c r="G43" s="118"/>
      <c r="H43" s="118"/>
      <c r="I43" s="164">
        <f>+I41+I42+Input!I33*I$7</f>
        <v>1.14549118515381E-2</v>
      </c>
      <c r="J43" s="164">
        <f>+J41+J42+Input!J33*J$7</f>
        <v>-4.9445218241786534E-2</v>
      </c>
      <c r="K43" s="164">
        <f>+K41+K42+Input!K33*K$7</f>
        <v>-0.13683854838888304</v>
      </c>
      <c r="L43" s="164">
        <f>+L41+L42+Input!L33*L$7</f>
        <v>-0.16716102693186466</v>
      </c>
      <c r="M43" s="164">
        <f>+M41+M42+Input!M33*M$7</f>
        <v>-0.36103172094609021</v>
      </c>
    </row>
    <row r="44" spans="1:19" s="1" customFormat="1" ht="15">
      <c r="A44" s="9"/>
      <c r="B44" s="173" t="s">
        <v>253</v>
      </c>
      <c r="C44" s="125" t="s">
        <v>136</v>
      </c>
      <c r="D44" s="232" t="s">
        <v>78</v>
      </c>
      <c r="E44" s="232"/>
      <c r="F44" s="130"/>
      <c r="G44" s="130"/>
      <c r="H44" s="118"/>
      <c r="I44" s="164">
        <f>-(1-Input!I58)*I36*Input!I37/1000</f>
        <v>0</v>
      </c>
      <c r="J44" s="164">
        <f>-(1-Input!J58)*J36*Input!J37/1000</f>
        <v>0</v>
      </c>
      <c r="K44" s="164">
        <f>-(1-Input!K58)*K36*Input!K37/1000</f>
        <v>0</v>
      </c>
      <c r="L44" s="164">
        <f>-(1-Input!L58)*L36*Input!L37/1000</f>
        <v>0</v>
      </c>
      <c r="M44" s="164">
        <f>-(1-Input!M58)*M36*Input!M37/1000</f>
        <v>0</v>
      </c>
    </row>
    <row r="45" spans="1:19" s="1" customFormat="1" ht="15">
      <c r="A45" s="9"/>
      <c r="B45" s="173" t="s">
        <v>253</v>
      </c>
      <c r="C45" s="125" t="s">
        <v>368</v>
      </c>
      <c r="D45" s="232" t="s">
        <v>78</v>
      </c>
      <c r="E45" s="232"/>
      <c r="F45" s="173"/>
      <c r="G45" s="173"/>
      <c r="H45" s="173"/>
      <c r="I45" s="164">
        <f>(I43+I44)*(1+Input!I57)^(5-I4)</f>
        <v>1.3555919626854027E-2</v>
      </c>
      <c r="J45" s="164">
        <f>(J43+J44)*(1+Input!J57)^(5-J4)</f>
        <v>-5.6101855261530921E-2</v>
      </c>
      <c r="K45" s="164">
        <f>(K43+K44)*(1+Input!K57)^(5-K4)</f>
        <v>-0.14885967802629801</v>
      </c>
      <c r="L45" s="164">
        <f>(L43+L44)*(1+Input!L57)^(5-L4)</f>
        <v>-0.17434895108993484</v>
      </c>
      <c r="M45" s="164">
        <f>(M43+M44)*(1+Input!M57)^(5-M4)</f>
        <v>-0.36103172094609021</v>
      </c>
    </row>
    <row r="46" spans="1:19" s="3" customFormat="1" ht="15">
      <c r="A46" s="128"/>
      <c r="B46" s="173" t="s">
        <v>253</v>
      </c>
      <c r="C46" s="125" t="s">
        <v>370</v>
      </c>
      <c r="D46" s="232" t="s">
        <v>78</v>
      </c>
      <c r="E46" s="232"/>
      <c r="F46" s="173"/>
      <c r="G46" s="173"/>
      <c r="H46" s="173"/>
      <c r="I46" s="164">
        <f>I45-I31</f>
        <v>1.0075600980124828</v>
      </c>
      <c r="J46" s="164">
        <f>J45-J31</f>
        <v>0.93466674270841377</v>
      </c>
      <c r="K46" s="164">
        <f>K45-K31</f>
        <v>0.30631446794826667</v>
      </c>
      <c r="L46" s="164">
        <f>L45-L31</f>
        <v>-0.33046905215394029</v>
      </c>
      <c r="M46" s="164">
        <f>M45-M31</f>
        <v>-0.50630851001557553</v>
      </c>
      <c r="N46" s="4"/>
      <c r="O46" s="4"/>
      <c r="P46" s="4"/>
      <c r="Q46" s="4"/>
      <c r="R46" s="11"/>
      <c r="S46" s="11"/>
    </row>
    <row r="47" spans="1:19" s="1" customFormat="1" ht="15">
      <c r="A47" s="9"/>
      <c r="B47" s="173"/>
      <c r="C47" s="125"/>
      <c r="D47" s="232"/>
      <c r="E47" s="232"/>
      <c r="F47" s="173"/>
      <c r="G47" s="173"/>
      <c r="H47" s="173"/>
      <c r="I47" s="164"/>
      <c r="J47" s="164"/>
      <c r="K47" s="164"/>
      <c r="L47" s="164"/>
      <c r="M47" s="164"/>
    </row>
    <row r="48" spans="1:19" s="10" customFormat="1" ht="15.6">
      <c r="A48" s="120"/>
      <c r="B48" s="120"/>
      <c r="C48" s="120" t="s">
        <v>243</v>
      </c>
      <c r="D48" s="120"/>
      <c r="E48" s="120"/>
      <c r="F48" s="120"/>
      <c r="G48" s="120"/>
      <c r="H48" s="120"/>
      <c r="I48" s="120"/>
      <c r="J48" s="120"/>
      <c r="K48" s="120"/>
      <c r="L48" s="120"/>
      <c r="M48" s="120"/>
      <c r="N48" s="9"/>
      <c r="O48" s="9"/>
      <c r="P48" s="9"/>
      <c r="Q48" s="9"/>
      <c r="R48" s="9"/>
      <c r="S48" s="9"/>
    </row>
    <row r="49" spans="1:19" s="1" customFormat="1" ht="15">
      <c r="A49" s="9"/>
      <c r="B49" s="173" t="s">
        <v>253</v>
      </c>
      <c r="C49" s="118" t="s">
        <v>374</v>
      </c>
      <c r="D49" s="232" t="s">
        <v>78</v>
      </c>
      <c r="E49" s="232"/>
      <c r="F49" s="134"/>
      <c r="G49" s="134"/>
      <c r="H49" s="134"/>
      <c r="I49" s="194"/>
      <c r="J49" s="194"/>
      <c r="K49" s="194"/>
      <c r="L49" s="194"/>
      <c r="M49" s="164">
        <f>SUM(I46:M46)</f>
        <v>1.4117637464996478</v>
      </c>
      <c r="N49" s="4"/>
      <c r="O49" s="4"/>
      <c r="P49" s="4"/>
      <c r="Q49" s="4"/>
      <c r="R49" s="4"/>
      <c r="S49" s="4"/>
    </row>
    <row r="50" spans="1:19" s="1" customFormat="1" ht="15">
      <c r="A50" s="9"/>
      <c r="B50" s="173" t="s">
        <v>253</v>
      </c>
      <c r="C50" s="118" t="s">
        <v>375</v>
      </c>
      <c r="D50" s="232" t="s">
        <v>78</v>
      </c>
      <c r="E50" s="232"/>
      <c r="F50" s="134"/>
      <c r="G50" s="134"/>
      <c r="H50" s="134"/>
      <c r="I50" s="194"/>
      <c r="J50" s="194"/>
      <c r="K50" s="194"/>
      <c r="L50" s="194"/>
      <c r="M50" s="164">
        <f>IF(Input!F55=0,0,M49*(Input!K55/Input!F55))</f>
        <v>1.6559784012215291</v>
      </c>
      <c r="N50" s="4"/>
      <c r="O50" s="4"/>
      <c r="P50" s="4"/>
      <c r="Q50" s="4"/>
      <c r="R50" s="4"/>
      <c r="S50" s="4"/>
    </row>
    <row r="51" spans="1:19" s="1" customFormat="1" ht="15">
      <c r="A51" s="9"/>
      <c r="B51" s="173" t="s">
        <v>253</v>
      </c>
      <c r="C51" s="118" t="s">
        <v>137</v>
      </c>
      <c r="D51" s="232" t="s">
        <v>78</v>
      </c>
      <c r="E51" s="232"/>
      <c r="F51" s="134"/>
      <c r="G51" s="134"/>
      <c r="H51" s="134"/>
      <c r="I51" s="194"/>
      <c r="J51" s="194"/>
      <c r="K51" s="194"/>
      <c r="L51" s="194"/>
      <c r="M51" s="164">
        <f>-PMT(Input!M60,5,M50)</f>
        <v>0.36853601864035346</v>
      </c>
      <c r="N51" s="4"/>
      <c r="O51" s="4"/>
      <c r="P51" s="4"/>
      <c r="Q51" s="4"/>
      <c r="R51" s="4"/>
      <c r="S51" s="4"/>
    </row>
    <row r="52" spans="1:19" s="1" customFormat="1" ht="15">
      <c r="A52" s="140"/>
      <c r="B52" s="140"/>
      <c r="C52" s="140"/>
      <c r="D52" s="140"/>
      <c r="E52" s="140"/>
      <c r="F52" s="9"/>
      <c r="G52" s="9"/>
      <c r="H52" s="9"/>
      <c r="I52" s="195"/>
      <c r="J52" s="195"/>
      <c r="K52" s="195"/>
      <c r="L52" s="195"/>
      <c r="M52" s="195"/>
      <c r="N52" s="4"/>
      <c r="O52" s="4"/>
      <c r="P52" s="4"/>
      <c r="Q52" s="4"/>
      <c r="R52" s="4"/>
      <c r="S52" s="4"/>
    </row>
    <row r="53" spans="1:19" ht="15">
      <c r="A53" s="140"/>
      <c r="B53" s="118"/>
      <c r="C53" s="125"/>
      <c r="D53" s="123"/>
      <c r="E53" s="123"/>
      <c r="F53" s="118"/>
      <c r="G53" s="118"/>
      <c r="H53" s="118"/>
      <c r="I53" s="196"/>
      <c r="J53" s="196"/>
      <c r="K53" s="196"/>
      <c r="L53" s="196"/>
      <c r="M53" s="196"/>
    </row>
    <row r="54" spans="1:19" s="1" customFormat="1" ht="15.6">
      <c r="A54" s="119"/>
      <c r="B54" s="119"/>
      <c r="C54" s="120" t="s">
        <v>244</v>
      </c>
      <c r="D54" s="119"/>
      <c r="E54" s="119"/>
      <c r="F54" s="119"/>
      <c r="G54" s="119"/>
      <c r="H54" s="119"/>
      <c r="I54" s="119"/>
      <c r="J54" s="119"/>
      <c r="K54" s="119"/>
      <c r="L54" s="119"/>
      <c r="M54" s="119"/>
    </row>
    <row r="55" spans="1:19" s="8" customFormat="1" ht="15.6">
      <c r="A55" s="120"/>
      <c r="B55" s="120"/>
      <c r="C55" s="120" t="str">
        <f>"3.1 Revenue expectation ("&amp;F$3&amp;" prices)"</f>
        <v>3.1 Revenue expectation (2007-08 prices)</v>
      </c>
      <c r="D55" s="120"/>
      <c r="E55" s="120"/>
      <c r="F55" s="120"/>
      <c r="G55" s="120"/>
      <c r="H55" s="120"/>
      <c r="I55" s="120"/>
      <c r="J55" s="120"/>
      <c r="K55" s="120"/>
      <c r="L55" s="120"/>
      <c r="M55" s="120"/>
      <c r="N55" s="1"/>
      <c r="O55" s="1"/>
      <c r="P55" s="1"/>
      <c r="Q55" s="1"/>
      <c r="R55" s="1"/>
      <c r="S55" s="1"/>
    </row>
    <row r="56" spans="1:19" s="3" customFormat="1" ht="15">
      <c r="A56" s="128"/>
      <c r="B56" s="173" t="s">
        <v>253</v>
      </c>
      <c r="C56" s="128" t="s">
        <v>138</v>
      </c>
      <c r="D56" s="232" t="s">
        <v>78</v>
      </c>
      <c r="E56" s="232"/>
      <c r="F56" s="173"/>
      <c r="G56" s="173"/>
      <c r="H56" s="161">
        <f>IF(Input!H$44&gt;=0,Input!H$44*H$7,0)</f>
        <v>0</v>
      </c>
      <c r="I56" s="164">
        <f>IF(Input!I$44&gt;=0,Input!I$44*I$7,0)</f>
        <v>0</v>
      </c>
      <c r="J56" s="164">
        <f>IF(Input!J$44&gt;=0,Input!J$44*J$7,0)</f>
        <v>0</v>
      </c>
      <c r="K56" s="164">
        <f>IF(Input!K$44&gt;=0,Input!K$44*K$7,0)</f>
        <v>0</v>
      </c>
      <c r="L56" s="164">
        <f>IF(Input!L$44&gt;=0,Input!L$44*L$7,0)</f>
        <v>0</v>
      </c>
      <c r="M56" s="164">
        <f>IF(Input!M$44&gt;=0,Input!M$44*M$7,0)</f>
        <v>0</v>
      </c>
      <c r="N56" s="48"/>
      <c r="O56" s="48"/>
      <c r="P56" s="48"/>
    </row>
    <row r="57" spans="1:19" s="3" customFormat="1" ht="15">
      <c r="A57" s="128"/>
      <c r="B57" s="173" t="s">
        <v>253</v>
      </c>
      <c r="C57" s="128" t="s">
        <v>139</v>
      </c>
      <c r="D57" s="232" t="s">
        <v>78</v>
      </c>
      <c r="E57" s="232"/>
      <c r="F57" s="173"/>
      <c r="G57" s="173"/>
      <c r="H57" s="161">
        <f>IF(Input!H$44&lt;0,Input!H$44*H$7,0)</f>
        <v>0</v>
      </c>
      <c r="I57" s="164">
        <f>IF(Input!I$44&lt;0,Input!I$44*I$7,0)</f>
        <v>0</v>
      </c>
      <c r="J57" s="164">
        <f>IF(Input!J$44&lt;0,Input!J$44*J$7,0)</f>
        <v>0</v>
      </c>
      <c r="K57" s="164">
        <f>IF(Input!K$44&lt;0,Input!K$44*K$7,0)</f>
        <v>0</v>
      </c>
      <c r="L57" s="164">
        <f>IF(Input!L$44&lt;0,Input!L$44*L$7,0)</f>
        <v>0</v>
      </c>
      <c r="M57" s="164">
        <f>IF(Input!M$44&lt;0,Input!M$44*M$7,0)</f>
        <v>0</v>
      </c>
      <c r="N57" s="48"/>
      <c r="O57" s="48"/>
      <c r="P57" s="48"/>
    </row>
    <row r="58" spans="1:19" s="3" customFormat="1" ht="15">
      <c r="A58" s="128"/>
      <c r="B58" s="173"/>
      <c r="C58" s="128"/>
      <c r="D58" s="232"/>
      <c r="E58" s="232"/>
      <c r="F58" s="173"/>
      <c r="G58" s="173"/>
      <c r="H58" s="161"/>
      <c r="I58" s="164"/>
      <c r="J58" s="164"/>
      <c r="K58" s="164"/>
      <c r="L58" s="164"/>
      <c r="M58" s="164"/>
      <c r="N58" s="48"/>
      <c r="O58" s="48"/>
      <c r="P58" s="48"/>
    </row>
    <row r="59" spans="1:19" s="3" customFormat="1" ht="15">
      <c r="A59" s="128"/>
      <c r="B59" s="173" t="s">
        <v>253</v>
      </c>
      <c r="C59" s="125" t="str">
        <f>"Sewerage: Change in non-household groups under "&amp;Threshold&amp;"ML threshold"</f>
        <v>Sewerage: Change in non-household groups under 50ML threshold</v>
      </c>
      <c r="D59" s="232" t="s">
        <v>67</v>
      </c>
      <c r="E59" s="232"/>
      <c r="F59" s="173"/>
      <c r="G59" s="173"/>
      <c r="H59" s="173"/>
      <c r="I59" s="190">
        <f>IF(Input!H$16=0,0,Input!I$16/Input!H$16)</f>
        <v>0</v>
      </c>
      <c r="J59" s="190">
        <f>IF(Input!I$16=0,0,Input!J$16/Input!I$16)</f>
        <v>0</v>
      </c>
      <c r="K59" s="190">
        <f>IF(Input!J$16=0,0,Input!K$16/Input!J$16)</f>
        <v>0</v>
      </c>
      <c r="L59" s="190">
        <f>IF(Input!K$16=0,0,Input!L$16/Input!K$16)</f>
        <v>0</v>
      </c>
      <c r="M59" s="190">
        <f>IF(Input!L$16=0,0,Input!M$16/Input!L$16)</f>
        <v>0</v>
      </c>
      <c r="N59" s="48"/>
      <c r="O59" s="48"/>
      <c r="P59" s="48"/>
    </row>
    <row r="60" spans="1:19" s="3" customFormat="1" ht="15">
      <c r="A60" s="128"/>
      <c r="B60" s="173" t="s">
        <v>253</v>
      </c>
      <c r="C60" s="125" t="str">
        <f>"Sewerage: Change in non-household groups over "&amp;Threshold&amp;"ML threshold"</f>
        <v>Sewerage: Change in non-household groups over 50ML threshold</v>
      </c>
      <c r="D60" s="232" t="s">
        <v>67</v>
      </c>
      <c r="E60" s="232"/>
      <c r="F60" s="173"/>
      <c r="G60" s="173"/>
      <c r="H60" s="173"/>
      <c r="I60" s="190">
        <f>IF(Input!H$17=0,0,Input!I$17/Input!H$17)</f>
        <v>0</v>
      </c>
      <c r="J60" s="190">
        <f>IF(Input!I$17=0,0,Input!J$17/Input!I$17)</f>
        <v>0</v>
      </c>
      <c r="K60" s="190">
        <f>IF(Input!J$17=0,0,Input!K$17/Input!J$17)</f>
        <v>0</v>
      </c>
      <c r="L60" s="190">
        <f>IF(Input!K$17=0,0,Input!L$17/Input!K$17)</f>
        <v>0</v>
      </c>
      <c r="M60" s="190">
        <f>IF(Input!L$17=0,0,Input!M$17/Input!L$17)</f>
        <v>0</v>
      </c>
      <c r="N60" s="48"/>
      <c r="O60" s="48"/>
      <c r="P60" s="48"/>
    </row>
    <row r="61" spans="1:19" s="3" customFormat="1" ht="15">
      <c r="A61" s="128"/>
      <c r="B61" s="173"/>
      <c r="C61" s="125"/>
      <c r="D61" s="232"/>
      <c r="E61" s="232"/>
      <c r="F61" s="173"/>
      <c r="G61" s="173"/>
      <c r="H61" s="173"/>
      <c r="I61" s="190"/>
      <c r="J61" s="190"/>
      <c r="K61" s="190"/>
      <c r="L61" s="190"/>
      <c r="M61" s="190"/>
      <c r="N61" s="48"/>
      <c r="O61" s="48"/>
      <c r="P61" s="48"/>
    </row>
    <row r="62" spans="1:19" s="3" customFormat="1" ht="15">
      <c r="A62" s="128"/>
      <c r="B62" s="173" t="s">
        <v>253</v>
      </c>
      <c r="C62" s="125" t="str">
        <f>"Sewerage: Revenue adjustment in non-household groups under "&amp;Threshold&amp;"ML threshold"</f>
        <v>Sewerage: Revenue adjustment in non-household groups under 50ML threshold</v>
      </c>
      <c r="D62" s="232" t="s">
        <v>78</v>
      </c>
      <c r="E62" s="232"/>
      <c r="F62" s="173"/>
      <c r="G62" s="173"/>
      <c r="H62" s="161">
        <f t="shared" ref="H62:M63" si="2">+G62*H59+H56</f>
        <v>0</v>
      </c>
      <c r="I62" s="164">
        <f t="shared" si="2"/>
        <v>0</v>
      </c>
      <c r="J62" s="164">
        <f t="shared" si="2"/>
        <v>0</v>
      </c>
      <c r="K62" s="164">
        <f t="shared" si="2"/>
        <v>0</v>
      </c>
      <c r="L62" s="164">
        <f t="shared" si="2"/>
        <v>0</v>
      </c>
      <c r="M62" s="164">
        <f t="shared" si="2"/>
        <v>0</v>
      </c>
      <c r="N62" s="48"/>
      <c r="O62" s="48"/>
      <c r="P62" s="48"/>
    </row>
    <row r="63" spans="1:19" s="3" customFormat="1" ht="15">
      <c r="A63" s="128"/>
      <c r="B63" s="173" t="s">
        <v>253</v>
      </c>
      <c r="C63" s="125" t="str">
        <f>"Sewerage: Revenue adjustment in non-household groups over "&amp;Threshold&amp;"ML threshold"</f>
        <v>Sewerage: Revenue adjustment in non-household groups over 50ML threshold</v>
      </c>
      <c r="D63" s="232" t="s">
        <v>78</v>
      </c>
      <c r="E63" s="232"/>
      <c r="F63" s="173"/>
      <c r="G63" s="173"/>
      <c r="H63" s="161">
        <f t="shared" si="2"/>
        <v>0</v>
      </c>
      <c r="I63" s="164">
        <f t="shared" si="2"/>
        <v>0</v>
      </c>
      <c r="J63" s="164">
        <f t="shared" si="2"/>
        <v>0</v>
      </c>
      <c r="K63" s="164">
        <f t="shared" si="2"/>
        <v>0</v>
      </c>
      <c r="L63" s="164">
        <f t="shared" si="2"/>
        <v>0</v>
      </c>
      <c r="M63" s="164">
        <f t="shared" si="2"/>
        <v>0</v>
      </c>
      <c r="N63" s="48"/>
      <c r="O63" s="48"/>
      <c r="P63" s="48"/>
    </row>
    <row r="64" spans="1:19" s="3" customFormat="1" ht="15">
      <c r="A64" s="128"/>
      <c r="B64" s="173"/>
      <c r="C64" s="125"/>
      <c r="D64" s="232"/>
      <c r="E64" s="232"/>
      <c r="F64" s="173"/>
      <c r="G64" s="173"/>
      <c r="H64" s="161"/>
      <c r="I64" s="164"/>
      <c r="J64" s="164"/>
      <c r="K64" s="164"/>
      <c r="L64" s="164"/>
      <c r="M64" s="164"/>
      <c r="N64" s="48"/>
      <c r="O64" s="48"/>
      <c r="P64" s="48"/>
    </row>
    <row r="65" spans="1:19" s="3" customFormat="1" ht="15">
      <c r="A65" s="128"/>
      <c r="B65" s="173" t="s">
        <v>253</v>
      </c>
      <c r="C65" s="125" t="s">
        <v>140</v>
      </c>
      <c r="D65" s="232" t="s">
        <v>78</v>
      </c>
      <c r="E65" s="232"/>
      <c r="F65" s="173"/>
      <c r="G65" s="173"/>
      <c r="H65" s="161">
        <f t="shared" ref="H65:M65" si="3">+H62+H63</f>
        <v>0</v>
      </c>
      <c r="I65" s="164">
        <f t="shared" si="3"/>
        <v>0</v>
      </c>
      <c r="J65" s="164">
        <f t="shared" si="3"/>
        <v>0</v>
      </c>
      <c r="K65" s="164">
        <f t="shared" si="3"/>
        <v>0</v>
      </c>
      <c r="L65" s="164">
        <f t="shared" si="3"/>
        <v>0</v>
      </c>
      <c r="M65" s="164">
        <f t="shared" si="3"/>
        <v>0</v>
      </c>
      <c r="N65" s="48"/>
      <c r="O65" s="48"/>
      <c r="P65" s="48"/>
    </row>
    <row r="66" spans="1:19" s="3" customFormat="1" ht="15">
      <c r="A66" s="128"/>
      <c r="B66" s="173" t="s">
        <v>253</v>
      </c>
      <c r="C66" s="125" t="s">
        <v>141</v>
      </c>
      <c r="D66" s="232" t="s">
        <v>78</v>
      </c>
      <c r="E66" s="232"/>
      <c r="F66" s="173"/>
      <c r="G66" s="173"/>
      <c r="H66" s="161"/>
      <c r="I66" s="164">
        <f>Input!I19*I6-I65</f>
        <v>0</v>
      </c>
      <c r="J66" s="164">
        <f>Input!J19*J6-J65</f>
        <v>0</v>
      </c>
      <c r="K66" s="164">
        <f>Input!K19*K6-K65</f>
        <v>0</v>
      </c>
      <c r="L66" s="164">
        <f>Input!L19*L6-L65</f>
        <v>0</v>
      </c>
      <c r="M66" s="164">
        <f>Input!M19*M6-M65</f>
        <v>0</v>
      </c>
      <c r="N66" s="48"/>
      <c r="O66" s="48"/>
      <c r="P66" s="48"/>
    </row>
    <row r="67" spans="1:19" ht="15.6">
      <c r="A67" s="140"/>
      <c r="B67" s="173"/>
      <c r="C67" s="191"/>
      <c r="D67" s="123"/>
      <c r="E67" s="123"/>
      <c r="F67" s="173"/>
      <c r="G67" s="173"/>
      <c r="H67" s="161"/>
      <c r="I67" s="164"/>
      <c r="J67" s="164"/>
      <c r="K67" s="164"/>
      <c r="L67" s="164"/>
      <c r="M67" s="164"/>
    </row>
    <row r="68" spans="1:19" s="10" customFormat="1" ht="15.6">
      <c r="A68" s="120"/>
      <c r="B68" s="120"/>
      <c r="C68" s="120" t="str">
        <f>"3.2 Revenue subtotals ("&amp;F$3&amp;" prices)"</f>
        <v>3.2 Revenue subtotals (2007-08 prices)</v>
      </c>
      <c r="D68" s="120"/>
      <c r="E68" s="120"/>
      <c r="F68" s="120"/>
      <c r="G68" s="120"/>
      <c r="H68" s="192"/>
      <c r="I68" s="192"/>
      <c r="J68" s="192"/>
      <c r="K68" s="192"/>
      <c r="L68" s="192"/>
      <c r="M68" s="192"/>
      <c r="N68" s="9"/>
      <c r="O68" s="9"/>
      <c r="P68" s="9"/>
      <c r="Q68" s="9"/>
      <c r="R68" s="9"/>
      <c r="S68" s="9"/>
    </row>
    <row r="69" spans="1:19" ht="15">
      <c r="A69" s="140"/>
      <c r="B69" s="118" t="s">
        <v>95</v>
      </c>
      <c r="C69" s="118" t="s">
        <v>142</v>
      </c>
      <c r="D69" s="123" t="s">
        <v>78</v>
      </c>
      <c r="E69" s="123"/>
      <c r="F69" s="118"/>
      <c r="G69" s="118"/>
      <c r="H69" s="161"/>
      <c r="I69" s="164">
        <f>(Input!I39+Input!I40)*I7</f>
        <v>0</v>
      </c>
      <c r="J69" s="164">
        <f>(Input!J39+Input!J40)*J7</f>
        <v>0</v>
      </c>
      <c r="K69" s="164">
        <f>(Input!K39+Input!K40)*K7</f>
        <v>0</v>
      </c>
      <c r="L69" s="164">
        <f>(Input!L39+Input!L40)*L7</f>
        <v>0</v>
      </c>
      <c r="M69" s="164">
        <f>(Input!M39+Input!M40)*M7</f>
        <v>0</v>
      </c>
    </row>
    <row r="70" spans="1:19" ht="15">
      <c r="A70" s="140"/>
      <c r="B70" s="118" t="s">
        <v>97</v>
      </c>
      <c r="C70" s="118" t="s">
        <v>143</v>
      </c>
      <c r="D70" s="123" t="s">
        <v>78</v>
      </c>
      <c r="E70" s="123"/>
      <c r="F70" s="118"/>
      <c r="G70" s="118"/>
      <c r="H70" s="161"/>
      <c r="I70" s="164">
        <f>(Input!I41+Input!I42+Input!I43)*I7</f>
        <v>0</v>
      </c>
      <c r="J70" s="164">
        <f>(Input!J41+Input!J42+Input!J43)*J7</f>
        <v>0</v>
      </c>
      <c r="K70" s="164">
        <f>(Input!K41+Input!K42+Input!K43)*K7</f>
        <v>0</v>
      </c>
      <c r="L70" s="164">
        <f>(Input!L41+Input!L42+Input!L43)*L7</f>
        <v>0</v>
      </c>
      <c r="M70" s="164">
        <f>(Input!M41+Input!M42+Input!M43)*M7</f>
        <v>0</v>
      </c>
    </row>
    <row r="71" spans="1:19" ht="15.6">
      <c r="A71" s="140"/>
      <c r="B71" s="118"/>
      <c r="C71" s="141"/>
      <c r="D71" s="123"/>
      <c r="E71" s="123"/>
      <c r="F71" s="118"/>
      <c r="G71" s="118"/>
      <c r="H71" s="161"/>
      <c r="I71" s="164"/>
      <c r="J71" s="164"/>
      <c r="K71" s="164"/>
      <c r="L71" s="164"/>
      <c r="M71" s="164"/>
    </row>
    <row r="72" spans="1:19" s="10" customFormat="1" ht="15.6">
      <c r="A72" s="120"/>
      <c r="B72" s="120"/>
      <c r="C72" s="120" t="str">
        <f>"3.3 Revenue correction ("&amp;F$3&amp;" prices)"</f>
        <v>3.3 Revenue correction (2007-08 prices)</v>
      </c>
      <c r="D72" s="120"/>
      <c r="E72" s="120"/>
      <c r="F72" s="120"/>
      <c r="G72" s="120"/>
      <c r="H72" s="192"/>
      <c r="I72" s="192"/>
      <c r="J72" s="192"/>
      <c r="K72" s="192"/>
      <c r="L72" s="192"/>
      <c r="M72" s="192"/>
      <c r="N72" s="9"/>
      <c r="O72" s="9"/>
      <c r="P72" s="9"/>
      <c r="Q72" s="9"/>
      <c r="R72" s="9"/>
      <c r="S72" s="9"/>
    </row>
    <row r="73" spans="1:19" ht="15">
      <c r="A73" s="140"/>
      <c r="B73" s="173" t="s">
        <v>253</v>
      </c>
      <c r="C73" s="118" t="s">
        <v>144</v>
      </c>
      <c r="D73" s="123" t="s">
        <v>78</v>
      </c>
      <c r="E73" s="123"/>
      <c r="F73" s="118"/>
      <c r="G73" s="118"/>
      <c r="H73" s="161"/>
      <c r="I73" s="164">
        <f>I69+I70+Input!I45*Calc!I$7</f>
        <v>0</v>
      </c>
      <c r="J73" s="164">
        <f>J69+J70+Input!J45*Calc!J$7</f>
        <v>0</v>
      </c>
      <c r="K73" s="164">
        <f>K69+K70+Input!K45*Calc!K$7</f>
        <v>0</v>
      </c>
      <c r="L73" s="164">
        <f>L69+L70+Input!L45*Calc!L$7</f>
        <v>0</v>
      </c>
      <c r="M73" s="164">
        <f>M69+M70+Input!M45*Calc!M$7</f>
        <v>0</v>
      </c>
    </row>
    <row r="74" spans="1:19" ht="15">
      <c r="A74" s="140"/>
      <c r="B74" s="173" t="s">
        <v>253</v>
      </c>
      <c r="C74" s="118" t="s">
        <v>145</v>
      </c>
      <c r="D74" s="123" t="s">
        <v>78</v>
      </c>
      <c r="E74" s="123"/>
      <c r="F74" s="118"/>
      <c r="G74" s="118"/>
      <c r="H74" s="161"/>
      <c r="I74" s="164">
        <f>I73-I66</f>
        <v>0</v>
      </c>
      <c r="J74" s="164">
        <f>J73-J66</f>
        <v>0</v>
      </c>
      <c r="K74" s="164">
        <f>K73-K66</f>
        <v>0</v>
      </c>
      <c r="L74" s="164">
        <f>L73-L66</f>
        <v>0</v>
      </c>
      <c r="M74" s="164">
        <f>M73-M66</f>
        <v>0</v>
      </c>
    </row>
    <row r="75" spans="1:19" ht="15">
      <c r="A75" s="140"/>
      <c r="B75" s="173" t="s">
        <v>253</v>
      </c>
      <c r="C75" s="118" t="s">
        <v>146</v>
      </c>
      <c r="D75" s="123" t="s">
        <v>78</v>
      </c>
      <c r="E75" s="123"/>
      <c r="F75" s="130"/>
      <c r="G75" s="130"/>
      <c r="H75" s="197"/>
      <c r="I75" s="193">
        <f>-I74*Input!I53</f>
        <v>0</v>
      </c>
      <c r="J75" s="193">
        <f>-J74*Input!J53</f>
        <v>0</v>
      </c>
      <c r="K75" s="193">
        <f>-K74*Input!K53</f>
        <v>0</v>
      </c>
      <c r="L75" s="193">
        <f>-L74*Input!L53</f>
        <v>0</v>
      </c>
      <c r="M75" s="193">
        <f>-M74*Input!M53</f>
        <v>0</v>
      </c>
    </row>
    <row r="76" spans="1:19" ht="15">
      <c r="A76" s="140"/>
      <c r="B76" s="173" t="s">
        <v>253</v>
      </c>
      <c r="C76" s="118" t="s">
        <v>371</v>
      </c>
      <c r="D76" s="123" t="s">
        <v>78</v>
      </c>
      <c r="E76" s="123"/>
      <c r="F76" s="118"/>
      <c r="G76" s="118"/>
      <c r="H76" s="161"/>
      <c r="I76" s="193">
        <f>(I74+I75)*(1+Input!I57)^(5-I4)</f>
        <v>0</v>
      </c>
      <c r="J76" s="193">
        <f>(J74+J75)*(1+Input!J57)^(5-J4)</f>
        <v>0</v>
      </c>
      <c r="K76" s="193">
        <f>(K74+K75)*(1+Input!K57)^(5-K4)</f>
        <v>0</v>
      </c>
      <c r="L76" s="193">
        <f>(L74+L75)*(1+Input!L57)^(5-L4)</f>
        <v>0</v>
      </c>
      <c r="M76" s="193">
        <f>(M74+M75)*(1+Input!M57)^(5-M4)</f>
        <v>0</v>
      </c>
    </row>
    <row r="77" spans="1:19" ht="15">
      <c r="A77" s="140"/>
      <c r="B77" s="173"/>
      <c r="C77" s="118"/>
      <c r="D77" s="123"/>
      <c r="E77" s="123"/>
      <c r="F77" s="118"/>
      <c r="G77" s="118"/>
      <c r="H77" s="161"/>
      <c r="I77" s="164"/>
      <c r="J77" s="164"/>
      <c r="K77" s="164"/>
      <c r="L77" s="164"/>
      <c r="M77" s="164"/>
    </row>
    <row r="78" spans="1:19" s="10" customFormat="1" ht="15.6">
      <c r="A78" s="120"/>
      <c r="B78" s="120"/>
      <c r="C78" s="120" t="str">
        <f>"3.4 Billing incentive ("&amp;F$3&amp;" prices)"</f>
        <v>3.4 Billing incentive (2007-08 prices)</v>
      </c>
      <c r="D78" s="120"/>
      <c r="E78" s="120"/>
      <c r="F78" s="120"/>
      <c r="G78" s="120"/>
      <c r="H78" s="192"/>
      <c r="I78" s="192"/>
      <c r="J78" s="192"/>
      <c r="K78" s="192"/>
      <c r="L78" s="192"/>
      <c r="M78" s="192"/>
      <c r="N78" s="9"/>
      <c r="O78" s="9"/>
      <c r="P78" s="9"/>
      <c r="Q78" s="9"/>
      <c r="R78" s="9"/>
      <c r="S78" s="9"/>
    </row>
    <row r="79" spans="1:19" ht="15">
      <c r="A79" s="140"/>
      <c r="B79" s="173" t="s">
        <v>253</v>
      </c>
      <c r="C79" s="125" t="s">
        <v>188</v>
      </c>
      <c r="D79" s="132" t="s">
        <v>77</v>
      </c>
      <c r="E79" s="132"/>
      <c r="F79" s="118"/>
      <c r="G79" s="118"/>
      <c r="H79" s="161"/>
      <c r="I79" s="164">
        <f>Input!I20+Input!I21+Input!I22+Input!I23-(Input!$H20+Input!$H21+Input!$H22+Input!$H23)</f>
        <v>0</v>
      </c>
      <c r="J79" s="164">
        <f>Input!J20+Input!J21+Input!J22+Input!J23-(Input!$H20+Input!$H21+Input!$H22+Input!$H23)</f>
        <v>0</v>
      </c>
      <c r="K79" s="164">
        <f>Input!K20+Input!K21+Input!K22+Input!K23-(Input!$H20+Input!$H21+Input!$H22+Input!$H23)</f>
        <v>0</v>
      </c>
      <c r="L79" s="164">
        <f>Input!L20+Input!L21+Input!L22+Input!L23-(Input!$H20+Input!$H21+Input!$H22+Input!$H23)</f>
        <v>0</v>
      </c>
      <c r="M79" s="164">
        <f>Input!M20+Input!M21+Input!M22+Input!M23-(Input!$H20+Input!$H21+Input!$H22+Input!$H23)</f>
        <v>0</v>
      </c>
      <c r="N79" s="19"/>
      <c r="O79" s="19"/>
      <c r="P79" s="19"/>
    </row>
    <row r="80" spans="1:19" ht="15">
      <c r="A80" s="140"/>
      <c r="B80" s="173" t="s">
        <v>253</v>
      </c>
      <c r="C80" s="118" t="s">
        <v>147</v>
      </c>
      <c r="D80" s="123" t="s">
        <v>78</v>
      </c>
      <c r="E80" s="123"/>
      <c r="F80" s="118"/>
      <c r="G80" s="118"/>
      <c r="H80" s="161"/>
      <c r="I80" s="164">
        <f>(Input!I39+Input!I41)*I$7</f>
        <v>0</v>
      </c>
      <c r="J80" s="164">
        <f>(Input!J39+Input!J41)*J$7</f>
        <v>0</v>
      </c>
      <c r="K80" s="164">
        <f>(Input!K39+Input!K41)*K$7</f>
        <v>0</v>
      </c>
      <c r="L80" s="164">
        <f>(Input!L39+Input!L41)*L$7</f>
        <v>0</v>
      </c>
      <c r="M80" s="164">
        <f>(Input!M39+Input!M41)*M$7</f>
        <v>0</v>
      </c>
    </row>
    <row r="81" spans="1:19" ht="15">
      <c r="A81" s="140"/>
      <c r="B81" s="173" t="s">
        <v>253</v>
      </c>
      <c r="C81" s="125" t="s">
        <v>148</v>
      </c>
      <c r="D81" s="123" t="s">
        <v>379</v>
      </c>
      <c r="E81" s="123"/>
      <c r="F81" s="118"/>
      <c r="G81" s="118"/>
      <c r="H81" s="161"/>
      <c r="I81" s="164">
        <f>IF(Input!I48=0,0,(I80/Input!I48)*1000)</f>
        <v>0</v>
      </c>
      <c r="J81" s="164">
        <f>IF(Input!J48=0,0,(J80/Input!J48)*1000)</f>
        <v>0</v>
      </c>
      <c r="K81" s="164">
        <f>IF(Input!K48=0,0,(K80/Input!K48)*1000)</f>
        <v>0</v>
      </c>
      <c r="L81" s="164">
        <f>IF(Input!L48=0,0,(L80/Input!L48)*1000)</f>
        <v>0</v>
      </c>
      <c r="M81" s="164">
        <f>IF(Input!M48=0,0,(M80/Input!M48)*1000)</f>
        <v>0</v>
      </c>
    </row>
    <row r="82" spans="1:19" ht="15">
      <c r="A82" s="140"/>
      <c r="B82" s="173" t="s">
        <v>253</v>
      </c>
      <c r="C82" s="125" t="s">
        <v>149</v>
      </c>
      <c r="D82" s="123" t="s">
        <v>379</v>
      </c>
      <c r="E82" s="123"/>
      <c r="F82" s="118"/>
      <c r="G82" s="118"/>
      <c r="H82" s="161"/>
      <c r="I82" s="164">
        <f>I81*Input!I58</f>
        <v>0</v>
      </c>
      <c r="J82" s="164">
        <f>J81*Input!J58</f>
        <v>0</v>
      </c>
      <c r="K82" s="164">
        <f>K81*Input!K58</f>
        <v>0</v>
      </c>
      <c r="L82" s="164">
        <f>L81*Input!L58</f>
        <v>0</v>
      </c>
      <c r="M82" s="164">
        <f>M81*Input!M58</f>
        <v>0</v>
      </c>
    </row>
    <row r="83" spans="1:19" ht="15">
      <c r="A83" s="140"/>
      <c r="B83" s="173" t="s">
        <v>253</v>
      </c>
      <c r="C83" s="125" t="s">
        <v>187</v>
      </c>
      <c r="D83" s="132" t="s">
        <v>77</v>
      </c>
      <c r="E83" s="132"/>
      <c r="F83" s="118"/>
      <c r="G83" s="118"/>
      <c r="H83" s="161"/>
      <c r="I83" s="164">
        <f>Input!I48+Input!I49-(Input!$H$48+Input!$H$49)</f>
        <v>0</v>
      </c>
      <c r="J83" s="164">
        <f>Input!J48+Input!J49-(Input!$H$48+Input!$H$49)</f>
        <v>0</v>
      </c>
      <c r="K83" s="164">
        <f>Input!K48+Input!K49-(Input!$H$48+Input!$H$49)</f>
        <v>0</v>
      </c>
      <c r="L83" s="164">
        <f>Input!L48+Input!L49-(Input!$H$48+Input!$H$49)</f>
        <v>0</v>
      </c>
      <c r="M83" s="164">
        <f>Input!M48+Input!M49-(Input!$H$48+Input!$H$49)</f>
        <v>0</v>
      </c>
    </row>
    <row r="84" spans="1:19" ht="15">
      <c r="A84" s="140"/>
      <c r="B84" s="173" t="s">
        <v>253</v>
      </c>
      <c r="C84" s="125" t="s">
        <v>150</v>
      </c>
      <c r="D84" s="132" t="s">
        <v>77</v>
      </c>
      <c r="E84" s="132"/>
      <c r="F84" s="118"/>
      <c r="G84" s="118"/>
      <c r="H84" s="161"/>
      <c r="I84" s="164">
        <f>I83-I79</f>
        <v>0</v>
      </c>
      <c r="J84" s="164">
        <f>J83-J79</f>
        <v>0</v>
      </c>
      <c r="K84" s="164">
        <f>K83-K79</f>
        <v>0</v>
      </c>
      <c r="L84" s="164">
        <f>L83-L79</f>
        <v>0</v>
      </c>
      <c r="M84" s="164">
        <f>M83-M79</f>
        <v>0</v>
      </c>
    </row>
    <row r="85" spans="1:19" ht="15">
      <c r="A85" s="140"/>
      <c r="B85" s="173" t="s">
        <v>253</v>
      </c>
      <c r="C85" s="125" t="s">
        <v>151</v>
      </c>
      <c r="D85" s="132" t="s">
        <v>77</v>
      </c>
      <c r="E85" s="132"/>
      <c r="F85" s="118"/>
      <c r="G85" s="118"/>
      <c r="H85" s="161"/>
      <c r="I85" s="164">
        <f>IF(I84&gt;MAX($I$84:I84,0),I84-MAX($I$84:I84,0),0)</f>
        <v>0</v>
      </c>
      <c r="J85" s="198">
        <f>IF(J84&gt;MAX($I$84:I84,0),J84-MAX($I$84:I84,0),0)</f>
        <v>0</v>
      </c>
      <c r="K85" s="164">
        <f>IF(K84&gt;MAX($I$84:J84,0),K84-MAX($I$84:J84,0),0)</f>
        <v>0</v>
      </c>
      <c r="L85" s="164">
        <f>IF(L84&gt;MAX($I$84:K84,0),L84-MAX($I$84:K84,0),0)</f>
        <v>0</v>
      </c>
      <c r="M85" s="164">
        <f>IF(M84&gt;MAX($I$84:L84,0),M84-MAX($I$84:L84,0),0)</f>
        <v>0</v>
      </c>
    </row>
    <row r="86" spans="1:19" ht="15">
      <c r="A86" s="140"/>
      <c r="B86" s="173" t="s">
        <v>253</v>
      </c>
      <c r="C86" s="125" t="s">
        <v>152</v>
      </c>
      <c r="D86" s="123" t="s">
        <v>78</v>
      </c>
      <c r="E86" s="123"/>
      <c r="F86" s="118"/>
      <c r="G86" s="118"/>
      <c r="H86" s="161"/>
      <c r="I86" s="164">
        <f>I84*I82/1000</f>
        <v>0</v>
      </c>
      <c r="J86" s="164">
        <f>J84*J82/1000</f>
        <v>0</v>
      </c>
      <c r="K86" s="164">
        <f>K84*K82/1000</f>
        <v>0</v>
      </c>
      <c r="L86" s="164">
        <f>L84*L82/1000</f>
        <v>0</v>
      </c>
      <c r="M86" s="164">
        <f>M84*M82/1000</f>
        <v>0</v>
      </c>
    </row>
    <row r="87" spans="1:19" ht="15">
      <c r="A87" s="140"/>
      <c r="B87" s="173" t="s">
        <v>253</v>
      </c>
      <c r="C87" s="125" t="s">
        <v>153</v>
      </c>
      <c r="D87" s="123" t="s">
        <v>78</v>
      </c>
      <c r="E87" s="123"/>
      <c r="F87" s="118"/>
      <c r="G87" s="118"/>
      <c r="H87" s="161"/>
      <c r="I87" s="164">
        <f>I85*I82*Input!I59/1000</f>
        <v>0</v>
      </c>
      <c r="J87" s="164">
        <f>J85*J82*Input!J59/1000</f>
        <v>0</v>
      </c>
      <c r="K87" s="164">
        <f>K85*K82*Input!K59/1000</f>
        <v>0</v>
      </c>
      <c r="L87" s="164">
        <f>L85*L82*Input!L59/1000</f>
        <v>0</v>
      </c>
      <c r="M87" s="164">
        <f>M85*M82*Input!M59/1000</f>
        <v>0</v>
      </c>
    </row>
    <row r="88" spans="1:19" ht="15">
      <c r="A88" s="140"/>
      <c r="B88" s="173" t="s">
        <v>253</v>
      </c>
      <c r="C88" s="125" t="s">
        <v>154</v>
      </c>
      <c r="D88" s="123" t="s">
        <v>78</v>
      </c>
      <c r="E88" s="123"/>
      <c r="F88" s="118"/>
      <c r="G88" s="118"/>
      <c r="H88" s="161"/>
      <c r="I88" s="164">
        <f>+I86+I87+Input!I46*I$7</f>
        <v>0</v>
      </c>
      <c r="J88" s="164">
        <f>+J86+J87+Input!J46*J$7</f>
        <v>0</v>
      </c>
      <c r="K88" s="164">
        <f>+K86+K87+Input!K46*K$7</f>
        <v>0</v>
      </c>
      <c r="L88" s="164">
        <f>+L86+L87+Input!L46*L$7</f>
        <v>0</v>
      </c>
      <c r="M88" s="164">
        <f>+M86+M87+Input!M46*M$7</f>
        <v>0</v>
      </c>
    </row>
    <row r="89" spans="1:19" ht="15">
      <c r="A89" s="140"/>
      <c r="B89" s="173" t="s">
        <v>253</v>
      </c>
      <c r="C89" s="125" t="s">
        <v>155</v>
      </c>
      <c r="D89" s="123" t="s">
        <v>78</v>
      </c>
      <c r="E89" s="123"/>
      <c r="F89" s="130"/>
      <c r="G89" s="130"/>
      <c r="H89" s="161"/>
      <c r="I89" s="164">
        <f>-(1-Input!I58)*I81*Input!I50/1000</f>
        <v>0</v>
      </c>
      <c r="J89" s="164">
        <f>-(1-Input!J58)*J81*Input!J50/1000</f>
        <v>0</v>
      </c>
      <c r="K89" s="164">
        <f>-(1-Input!K58)*K81*Input!K50/1000</f>
        <v>0</v>
      </c>
      <c r="L89" s="164">
        <f>-(1-Input!L58)*L81*Input!L50/1000</f>
        <v>0</v>
      </c>
      <c r="M89" s="164">
        <f>-(1-Input!M58)*M81*Input!M50/1000</f>
        <v>0</v>
      </c>
    </row>
    <row r="90" spans="1:19" ht="15">
      <c r="A90" s="140"/>
      <c r="B90" s="173" t="s">
        <v>253</v>
      </c>
      <c r="C90" s="125" t="s">
        <v>372</v>
      </c>
      <c r="D90" s="123" t="s">
        <v>78</v>
      </c>
      <c r="E90" s="123"/>
      <c r="F90" s="173"/>
      <c r="G90" s="173"/>
      <c r="H90" s="161"/>
      <c r="I90" s="164">
        <f>(I88+I89)*(1+Input!I57)^(5-I4)</f>
        <v>0</v>
      </c>
      <c r="J90" s="164">
        <f>(J88+J89)*(1+Input!J57)^(5-J4)</f>
        <v>0</v>
      </c>
      <c r="K90" s="164">
        <f>(K88+K89)*(1+Input!K57)^(5-K4)</f>
        <v>0</v>
      </c>
      <c r="L90" s="164">
        <f>(L88+L89)*(1+Input!L57)^(5-L4)</f>
        <v>0</v>
      </c>
      <c r="M90" s="164">
        <f>(M88+M89)*(1+Input!M57)^(5-M4)</f>
        <v>0</v>
      </c>
    </row>
    <row r="91" spans="1:19" s="3" customFormat="1" ht="15">
      <c r="A91" s="128"/>
      <c r="B91" s="173" t="s">
        <v>253</v>
      </c>
      <c r="C91" s="125" t="s">
        <v>373</v>
      </c>
      <c r="D91" s="232" t="s">
        <v>78</v>
      </c>
      <c r="E91" s="232"/>
      <c r="F91" s="173"/>
      <c r="G91" s="173"/>
      <c r="H91" s="161"/>
      <c r="I91" s="164">
        <f>I90-I76</f>
        <v>0</v>
      </c>
      <c r="J91" s="164">
        <f>J90-J76</f>
        <v>0</v>
      </c>
      <c r="K91" s="164">
        <f>K90-K76</f>
        <v>0</v>
      </c>
      <c r="L91" s="164">
        <f>L90-L76</f>
        <v>0</v>
      </c>
      <c r="M91" s="164">
        <f>M90-M76</f>
        <v>0</v>
      </c>
      <c r="N91" s="4"/>
      <c r="O91" s="4"/>
      <c r="P91" s="4"/>
      <c r="Q91" s="4"/>
    </row>
    <row r="92" spans="1:19" ht="15">
      <c r="A92" s="140"/>
      <c r="B92" s="173"/>
      <c r="C92" s="125"/>
      <c r="D92" s="123"/>
      <c r="E92" s="123"/>
      <c r="F92" s="173"/>
      <c r="G92" s="173"/>
      <c r="H92" s="161"/>
      <c r="I92" s="164"/>
      <c r="J92" s="164"/>
      <c r="K92" s="164"/>
      <c r="L92" s="164"/>
      <c r="M92" s="164"/>
    </row>
    <row r="93" spans="1:19" s="10" customFormat="1" ht="15.6">
      <c r="A93" s="120"/>
      <c r="B93" s="120"/>
      <c r="C93" s="120" t="s">
        <v>245</v>
      </c>
      <c r="D93" s="120"/>
      <c r="E93" s="120"/>
      <c r="F93" s="120"/>
      <c r="G93" s="120"/>
      <c r="H93" s="192"/>
      <c r="I93" s="192"/>
      <c r="J93" s="192"/>
      <c r="K93" s="192"/>
      <c r="L93" s="192"/>
      <c r="M93" s="192"/>
      <c r="N93" s="9"/>
      <c r="O93" s="9"/>
      <c r="P93" s="9"/>
      <c r="Q93" s="9"/>
      <c r="R93" s="9"/>
      <c r="S93" s="9"/>
    </row>
    <row r="94" spans="1:19" ht="15">
      <c r="A94" s="140"/>
      <c r="B94" s="173" t="s">
        <v>253</v>
      </c>
      <c r="C94" s="118" t="s">
        <v>376</v>
      </c>
      <c r="D94" s="123" t="s">
        <v>78</v>
      </c>
      <c r="E94" s="123"/>
      <c r="F94" s="134"/>
      <c r="G94" s="134"/>
      <c r="H94" s="199"/>
      <c r="I94" s="200"/>
      <c r="J94" s="200"/>
      <c r="K94" s="200"/>
      <c r="L94" s="200"/>
      <c r="M94" s="164">
        <f>SUM(I91:M91)</f>
        <v>0</v>
      </c>
      <c r="N94" s="4"/>
      <c r="O94" s="4"/>
      <c r="P94" s="4"/>
      <c r="Q94" s="4"/>
    </row>
    <row r="95" spans="1:19" ht="15">
      <c r="A95" s="140"/>
      <c r="B95" s="173" t="s">
        <v>253</v>
      </c>
      <c r="C95" s="118" t="s">
        <v>377</v>
      </c>
      <c r="D95" s="123" t="s">
        <v>78</v>
      </c>
      <c r="E95" s="123"/>
      <c r="F95" s="134"/>
      <c r="G95" s="134"/>
      <c r="H95" s="199"/>
      <c r="I95" s="200"/>
      <c r="J95" s="200"/>
      <c r="K95" s="200"/>
      <c r="L95" s="200"/>
      <c r="M95" s="164">
        <f>IF(Input!F55=0,0,M94*(Input!K55/Input!F55))</f>
        <v>0</v>
      </c>
      <c r="N95" s="4"/>
      <c r="O95" s="4"/>
      <c r="P95" s="4"/>
      <c r="Q95" s="4"/>
    </row>
    <row r="96" spans="1:19" ht="15">
      <c r="A96" s="140"/>
      <c r="B96" s="173" t="s">
        <v>253</v>
      </c>
      <c r="C96" s="118" t="s">
        <v>156</v>
      </c>
      <c r="D96" s="123" t="s">
        <v>78</v>
      </c>
      <c r="E96" s="123"/>
      <c r="F96" s="134"/>
      <c r="G96" s="134"/>
      <c r="H96" s="199"/>
      <c r="I96" s="200"/>
      <c r="J96" s="200"/>
      <c r="K96" s="200"/>
      <c r="L96" s="200"/>
      <c r="M96" s="164">
        <f>-PMT(Input!M60,5,M95)</f>
        <v>0</v>
      </c>
    </row>
    <row r="97" spans="1:13" ht="15">
      <c r="A97" s="140"/>
      <c r="B97" s="129"/>
      <c r="C97" s="129"/>
      <c r="D97" s="131"/>
      <c r="E97" s="131"/>
      <c r="F97" s="129"/>
      <c r="G97" s="129"/>
      <c r="H97" s="129"/>
      <c r="I97" s="201"/>
      <c r="J97" s="201"/>
      <c r="K97" s="201"/>
      <c r="L97" s="201"/>
      <c r="M97" s="201"/>
    </row>
    <row r="98" spans="1:13" ht="15.6">
      <c r="A98" s="203"/>
      <c r="B98" s="202"/>
      <c r="C98" s="203"/>
      <c r="D98" s="204"/>
      <c r="E98" s="204"/>
      <c r="F98" s="202"/>
      <c r="G98" s="202"/>
      <c r="H98" s="202"/>
      <c r="I98" s="205"/>
      <c r="J98" s="205"/>
      <c r="K98" s="205"/>
      <c r="L98" s="205"/>
      <c r="M98" s="205"/>
    </row>
    <row r="100" spans="1:13">
      <c r="B100" s="7"/>
      <c r="C100" s="7"/>
      <c r="D100" s="12"/>
      <c r="E100" s="12"/>
      <c r="F100" s="7"/>
      <c r="G100" s="7"/>
      <c r="H100" s="7"/>
      <c r="I100" s="7"/>
      <c r="J100" s="7"/>
      <c r="K100" s="7"/>
      <c r="L100" s="7"/>
      <c r="M100" s="7"/>
    </row>
  </sheetData>
  <phoneticPr fontId="10" type="noConversion"/>
  <pageMargins left="0.75" right="0.75" top="0.46" bottom="0.45" header="0.23" footer="0.18"/>
  <pageSetup paperSize="9" scale="40" orientation="portrait" r:id="rId1"/>
  <headerFooter alignWithMargins="0">
    <oddFooter>&amp;L&amp;D\&amp;A&amp;R&amp;D</oddFooter>
  </headerFooter>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4"/>
  <sheetViews>
    <sheetView zoomScale="72" workbookViewId="0"/>
  </sheetViews>
  <sheetFormatPr defaultRowHeight="13.2"/>
  <cols>
    <col min="1" max="1" width="64.33203125" bestFit="1" customWidth="1"/>
    <col min="2" max="6" width="15.88671875" customWidth="1"/>
    <col min="8" max="8" width="13.33203125" bestFit="1" customWidth="1"/>
    <col min="10" max="10" width="31.88671875" bestFit="1" customWidth="1"/>
  </cols>
  <sheetData>
    <row r="1" spans="1:12" ht="15.6">
      <c r="A1" s="9"/>
      <c r="B1" s="185" t="s">
        <v>72</v>
      </c>
      <c r="C1" s="185" t="s">
        <v>73</v>
      </c>
      <c r="D1" s="185" t="s">
        <v>74</v>
      </c>
      <c r="E1" s="185" t="s">
        <v>75</v>
      </c>
      <c r="F1" s="185" t="s">
        <v>76</v>
      </c>
      <c r="G1" s="10"/>
      <c r="H1" s="185" t="s">
        <v>409</v>
      </c>
      <c r="I1" s="10"/>
      <c r="J1" s="253"/>
      <c r="K1" s="253"/>
      <c r="L1" s="253"/>
    </row>
    <row r="2" spans="1:12" ht="15">
      <c r="A2" s="254" t="s">
        <v>374</v>
      </c>
      <c r="B2" s="9"/>
      <c r="C2" s="9"/>
      <c r="D2" s="9"/>
      <c r="E2" s="9"/>
      <c r="F2" s="9"/>
      <c r="G2" s="9"/>
      <c r="H2" s="9"/>
      <c r="I2" s="9"/>
      <c r="J2" s="9"/>
      <c r="K2" s="3"/>
      <c r="L2" s="3"/>
    </row>
    <row r="3" spans="1:12" ht="15">
      <c r="A3" s="9" t="s">
        <v>410</v>
      </c>
      <c r="B3" s="168">
        <f>-Calc!I31</f>
        <v>0.99400417838562882</v>
      </c>
      <c r="C3" s="168">
        <f>-Calc!J31</f>
        <v>0.99076859796994465</v>
      </c>
      <c r="D3" s="168">
        <f>-Calc!K31</f>
        <v>0.45517414597456468</v>
      </c>
      <c r="E3" s="168">
        <f>-Calc!L31</f>
        <v>-0.15612010106400545</v>
      </c>
      <c r="F3" s="168">
        <f>-Calc!M31</f>
        <v>-0.14527678906948538</v>
      </c>
      <c r="G3" s="9"/>
      <c r="H3" s="168">
        <f>SUM(B3:F3)</f>
        <v>2.1385500321966475</v>
      </c>
      <c r="I3" s="9"/>
      <c r="J3" s="9"/>
      <c r="K3" s="3"/>
      <c r="L3" s="3"/>
    </row>
    <row r="4" spans="1:12" ht="15">
      <c r="A4" s="9" t="s">
        <v>411</v>
      </c>
      <c r="B4" s="255">
        <f>(Calc!I41+Calc!I42)*(1+Input!I57)^(5-Calc!I4)</f>
        <v>1.3555919626854027E-2</v>
      </c>
      <c r="C4" s="255">
        <f>(Calc!J41+Calc!J42)*(1+Input!J57)^(5-Calc!J4)</f>
        <v>-5.6101855261530921E-2</v>
      </c>
      <c r="D4" s="255">
        <f>(Calc!K41+Calc!K42)*(1+Input!K57)^(5-Calc!K4)</f>
        <v>-0.14885967802629801</v>
      </c>
      <c r="E4" s="255">
        <f>(Calc!L41+Calc!L42)*(1+Input!L57)^(5-Calc!L4)</f>
        <v>-0.17434895108993484</v>
      </c>
      <c r="F4" s="255">
        <f>(Calc!M41+Calc!M42)*(1+Input!M57)^(5-Calc!M4)</f>
        <v>-0.36103172094609021</v>
      </c>
      <c r="G4" s="9"/>
      <c r="H4" s="168">
        <f>SUM(B4:F4)</f>
        <v>-0.72678628569699999</v>
      </c>
      <c r="I4" s="9"/>
      <c r="J4" s="9"/>
      <c r="K4" s="3"/>
      <c r="L4" s="3"/>
    </row>
    <row r="5" spans="1:12" ht="15">
      <c r="A5" s="9" t="s">
        <v>412</v>
      </c>
      <c r="B5" s="255">
        <f>(+Input!I33*Calc!I$7)*(1+Input!I57)^(5-Calc!I4)</f>
        <v>0</v>
      </c>
      <c r="C5" s="255">
        <f>(+Input!J33*Calc!J$7)*(1+Input!J57)^(5-Calc!J4)</f>
        <v>0</v>
      </c>
      <c r="D5" s="255">
        <f>(+Input!K33*Calc!K$7)*(1+Input!K57)^(5-Calc!K4)</f>
        <v>0</v>
      </c>
      <c r="E5" s="255">
        <f>(+Input!L33*Calc!L$7)*(1+Input!L57)^(5-Calc!L4)</f>
        <v>0</v>
      </c>
      <c r="F5" s="255">
        <f>(+Input!M33*Calc!M$7)*(1+Input!M57)^(5-Calc!M4)</f>
        <v>0</v>
      </c>
      <c r="G5" s="9"/>
      <c r="H5" s="168">
        <f>SUM(B5:F5)</f>
        <v>0</v>
      </c>
      <c r="I5" s="9"/>
      <c r="J5" s="9"/>
      <c r="K5" s="3"/>
      <c r="L5" s="3"/>
    </row>
    <row r="6" spans="1:12" ht="15">
      <c r="A6" s="9" t="s">
        <v>413</v>
      </c>
      <c r="B6" s="255">
        <f>Calc!I44*(1+Input!I57)^(5-Calc!I4)</f>
        <v>0</v>
      </c>
      <c r="C6" s="255">
        <f>Calc!J44*(1+Input!J57)^(5-Calc!J4)</f>
        <v>0</v>
      </c>
      <c r="D6" s="255">
        <f>Calc!K44*(1+Input!K57)^(5-Calc!K4)</f>
        <v>0</v>
      </c>
      <c r="E6" s="255">
        <f>Calc!L44*(1+Input!L57)^(5-Calc!L4)</f>
        <v>0</v>
      </c>
      <c r="F6" s="255">
        <f>Calc!M44*(1+Input!M57)^(5-Calc!M4)</f>
        <v>0</v>
      </c>
      <c r="G6" s="9"/>
      <c r="H6" s="168">
        <f>SUM(B6:F6)</f>
        <v>0</v>
      </c>
      <c r="I6" s="9"/>
      <c r="J6" s="9"/>
      <c r="K6" s="3"/>
      <c r="L6" s="3"/>
    </row>
    <row r="7" spans="1:12" ht="15.6" thickBot="1">
      <c r="A7" s="9" t="s">
        <v>414</v>
      </c>
      <c r="B7" s="256">
        <f>SUM(B3:B6)</f>
        <v>1.0075600980124828</v>
      </c>
      <c r="C7" s="256">
        <f>SUM(C3:C6)</f>
        <v>0.93466674270841377</v>
      </c>
      <c r="D7" s="256">
        <f>SUM(D3:D6)</f>
        <v>0.30631446794826667</v>
      </c>
      <c r="E7" s="256">
        <f>SUM(E3:E6)</f>
        <v>-0.33046905215394029</v>
      </c>
      <c r="F7" s="256">
        <f>SUM(F3:F6)</f>
        <v>-0.50630851001557553</v>
      </c>
      <c r="G7" s="9"/>
      <c r="H7" s="256">
        <f>SUM(B7:F7)</f>
        <v>1.4117637464996478</v>
      </c>
      <c r="I7" s="9"/>
      <c r="J7" s="9"/>
      <c r="K7" s="3"/>
      <c r="L7" s="3"/>
    </row>
    <row r="8" spans="1:12" ht="15.6" thickTop="1">
      <c r="A8" s="9"/>
      <c r="B8" s="257" t="b">
        <f>Calc!I46=B7</f>
        <v>1</v>
      </c>
      <c r="C8" s="257" t="b">
        <f>Calc!J46=C7</f>
        <v>1</v>
      </c>
      <c r="D8" s="257" t="b">
        <f>Calc!K46=D7</f>
        <v>1</v>
      </c>
      <c r="E8" s="257" t="b">
        <f>Calc!L46=E7</f>
        <v>1</v>
      </c>
      <c r="F8" s="257" t="b">
        <f>Calc!M46=F7</f>
        <v>1</v>
      </c>
      <c r="G8" s="257"/>
      <c r="H8" s="257" t="b">
        <f>Calc!M49=H7</f>
        <v>1</v>
      </c>
      <c r="I8" s="9"/>
      <c r="J8" s="9"/>
      <c r="K8" s="3"/>
      <c r="L8" s="3"/>
    </row>
    <row r="9" spans="1:12" ht="15">
      <c r="A9" s="9"/>
      <c r="B9" s="9"/>
      <c r="C9" s="9"/>
      <c r="D9" s="9"/>
      <c r="E9" s="9"/>
      <c r="F9" s="9"/>
      <c r="G9" s="9"/>
      <c r="H9" s="9"/>
      <c r="I9" s="9"/>
      <c r="J9" s="9"/>
      <c r="K9" s="3"/>
      <c r="L9" s="3"/>
    </row>
    <row r="10" spans="1:12" ht="15.6">
      <c r="A10" s="254" t="s">
        <v>375</v>
      </c>
      <c r="B10" s="185" t="s">
        <v>72</v>
      </c>
      <c r="C10" s="185" t="s">
        <v>73</v>
      </c>
      <c r="D10" s="185" t="s">
        <v>74</v>
      </c>
      <c r="E10" s="185" t="s">
        <v>75</v>
      </c>
      <c r="F10" s="185" t="s">
        <v>76</v>
      </c>
      <c r="G10" s="10"/>
      <c r="H10" s="185" t="s">
        <v>409</v>
      </c>
      <c r="I10" s="10"/>
      <c r="J10" s="120" t="s">
        <v>415</v>
      </c>
      <c r="K10" s="258"/>
      <c r="L10" s="120" t="s">
        <v>416</v>
      </c>
    </row>
    <row r="11" spans="1:12" ht="15">
      <c r="A11" s="9" t="s">
        <v>410</v>
      </c>
      <c r="B11" s="168">
        <f>B3*Input!$K$55/Input!$F$55</f>
        <v>1.1659524861803523</v>
      </c>
      <c r="C11" s="168">
        <f>C3*Input!$K$55/Input!$F$55</f>
        <v>1.1621571972751987</v>
      </c>
      <c r="D11" s="168">
        <f>D3*Input!$K$55/Input!$F$55</f>
        <v>0.53391267228473382</v>
      </c>
      <c r="E11" s="168">
        <f>E3*Input!$K$55/Input!$F$55</f>
        <v>-0.18312661449164064</v>
      </c>
      <c r="F11" s="168">
        <f>F3*Input!$K$55/Input!$F$55</f>
        <v>-0.17040756677196892</v>
      </c>
      <c r="G11" s="9"/>
      <c r="H11" s="168">
        <f>SUM(B11:F11)</f>
        <v>2.5084881744766752</v>
      </c>
      <c r="I11" s="9"/>
      <c r="J11" s="255">
        <f>-PMT(Input!$M$60,5,H11)</f>
        <v>0.55826105216475652</v>
      </c>
      <c r="K11" s="3"/>
      <c r="L11" s="255">
        <f>J11*5</f>
        <v>2.7913052608237825</v>
      </c>
    </row>
    <row r="12" spans="1:12" ht="15">
      <c r="A12" s="9" t="s">
        <v>411</v>
      </c>
      <c r="B12" s="168">
        <f>B4*Input!$K$55/Input!$F$55</f>
        <v>1.5900897134116115E-2</v>
      </c>
      <c r="C12" s="168">
        <f>C4*Input!$K$55/Input!$F$55</f>
        <v>-6.5806662631688981E-2</v>
      </c>
      <c r="D12" s="168">
        <f>D4*Input!$K$55/Input!$F$55</f>
        <v>-0.17461024355919177</v>
      </c>
      <c r="E12" s="168">
        <f>E4*Input!$K$55/Input!$F$55</f>
        <v>-0.20450879121695373</v>
      </c>
      <c r="F12" s="168">
        <f>F4*Input!$K$55/Input!$F$55</f>
        <v>-0.42348497298142851</v>
      </c>
      <c r="G12" s="9"/>
      <c r="H12" s="168">
        <f>SUM(B12:F12)</f>
        <v>-0.85250977325514687</v>
      </c>
      <c r="I12" s="9"/>
      <c r="J12" s="255">
        <f>-PMT(Input!$M$60,5,H12)</f>
        <v>-0.18972503352440326</v>
      </c>
      <c r="K12" s="3"/>
      <c r="L12" s="255">
        <f>J12*5</f>
        <v>-0.94862516762201632</v>
      </c>
    </row>
    <row r="13" spans="1:12" ht="15">
      <c r="A13" s="9" t="s">
        <v>412</v>
      </c>
      <c r="B13" s="168">
        <f>B5*Input!$K$55/Input!$F$55</f>
        <v>0</v>
      </c>
      <c r="C13" s="168">
        <f>C5*Input!$K$55/Input!$F$55</f>
        <v>0</v>
      </c>
      <c r="D13" s="168">
        <f>D5*Input!$K$55/Input!$F$55</f>
        <v>0</v>
      </c>
      <c r="E13" s="168">
        <f>E5*Input!$K$55/Input!$F$55</f>
        <v>0</v>
      </c>
      <c r="F13" s="168">
        <f>F5*Input!$K$55/Input!$F$55</f>
        <v>0</v>
      </c>
      <c r="G13" s="9"/>
      <c r="H13" s="168">
        <f>SUM(B13:F13)</f>
        <v>0</v>
      </c>
      <c r="I13" s="9"/>
      <c r="J13" s="255">
        <f>-PMT(Input!$M$60,5,H13)</f>
        <v>0</v>
      </c>
      <c r="K13" s="3"/>
      <c r="L13" s="255">
        <f>J13*5</f>
        <v>0</v>
      </c>
    </row>
    <row r="14" spans="1:12" ht="15">
      <c r="A14" s="9" t="s">
        <v>413</v>
      </c>
      <c r="B14" s="168">
        <f>B6*Input!$K$55/Input!$F$55</f>
        <v>0</v>
      </c>
      <c r="C14" s="168">
        <f>C6*Input!$K$55/Input!$F$55</f>
        <v>0</v>
      </c>
      <c r="D14" s="168">
        <f>D6*Input!$K$55/Input!$F$55</f>
        <v>0</v>
      </c>
      <c r="E14" s="168">
        <f>E6*Input!$K$55/Input!$F$55</f>
        <v>0</v>
      </c>
      <c r="F14" s="168">
        <f>F6*Input!$K$55/Input!$F$55</f>
        <v>0</v>
      </c>
      <c r="G14" s="128"/>
      <c r="H14" s="168">
        <f>SUM(B14:F14)</f>
        <v>0</v>
      </c>
      <c r="I14" s="128"/>
      <c r="J14" s="255">
        <f>-PMT(Input!$M$60,5,H14)</f>
        <v>0</v>
      </c>
      <c r="K14" s="3"/>
      <c r="L14" s="255">
        <f>J14*5</f>
        <v>0</v>
      </c>
    </row>
    <row r="15" spans="1:12" ht="15.6" thickBot="1">
      <c r="A15" s="9" t="s">
        <v>414</v>
      </c>
      <c r="B15" s="256">
        <f>SUM(B9:B14)</f>
        <v>1.1818533833144684</v>
      </c>
      <c r="C15" s="256">
        <f>SUM(C9:C14)</f>
        <v>1.0963505346435098</v>
      </c>
      <c r="D15" s="256">
        <f>SUM(D9:D14)</f>
        <v>0.35930242872554208</v>
      </c>
      <c r="E15" s="256">
        <f>SUM(E9:E14)</f>
        <v>-0.38763540570859434</v>
      </c>
      <c r="F15" s="256">
        <f>SUM(F9:F14)</f>
        <v>-0.5938925397533974</v>
      </c>
      <c r="G15" s="9"/>
      <c r="H15" s="256">
        <f>SUM(B15:F15)</f>
        <v>1.6559784012215291</v>
      </c>
      <c r="I15" s="9"/>
      <c r="J15" s="259">
        <f>-PMT(Input!$M$60,5,H15)</f>
        <v>0.36853601864035346</v>
      </c>
      <c r="K15" s="3"/>
      <c r="L15" s="259">
        <f>J15*5</f>
        <v>1.8426800932017673</v>
      </c>
    </row>
    <row r="16" spans="1:12" ht="15.6" thickTop="1">
      <c r="A16" s="9"/>
      <c r="B16" s="9"/>
      <c r="C16" s="9"/>
      <c r="D16" s="9"/>
      <c r="E16" s="9"/>
      <c r="F16" s="9"/>
      <c r="G16" s="10"/>
      <c r="H16" s="257" t="b">
        <f>Calc!M50=H15</f>
        <v>1</v>
      </c>
      <c r="I16" s="257"/>
      <c r="J16" s="257" t="b">
        <f>Calc!M51=J15</f>
        <v>1</v>
      </c>
      <c r="K16" s="260"/>
      <c r="L16" s="260"/>
    </row>
    <row r="17" spans="1:12">
      <c r="A17" s="261"/>
      <c r="B17" s="261"/>
      <c r="C17" s="261"/>
      <c r="D17" s="261"/>
      <c r="E17" s="261"/>
      <c r="F17" s="261"/>
      <c r="G17" s="261"/>
      <c r="H17" s="261"/>
      <c r="I17" s="261"/>
      <c r="J17" s="261"/>
      <c r="K17" s="258"/>
      <c r="L17" s="258"/>
    </row>
    <row r="18" spans="1:12">
      <c r="A18" s="261"/>
      <c r="B18" s="261"/>
      <c r="C18" s="261"/>
      <c r="D18" s="261"/>
      <c r="E18" s="261"/>
      <c r="F18" s="261"/>
      <c r="G18" s="261"/>
      <c r="H18" s="261"/>
      <c r="I18" s="261"/>
      <c r="J18" s="261"/>
      <c r="K18" s="258"/>
      <c r="L18" s="258"/>
    </row>
    <row r="19" spans="1:12" ht="15.6">
      <c r="A19" s="9"/>
      <c r="B19" s="185" t="s">
        <v>72</v>
      </c>
      <c r="C19" s="185" t="s">
        <v>73</v>
      </c>
      <c r="D19" s="185" t="s">
        <v>74</v>
      </c>
      <c r="E19" s="185" t="s">
        <v>75</v>
      </c>
      <c r="F19" s="185" t="s">
        <v>76</v>
      </c>
      <c r="G19" s="10"/>
      <c r="H19" s="185" t="s">
        <v>409</v>
      </c>
      <c r="I19" s="10"/>
      <c r="J19" s="253"/>
      <c r="K19" s="253"/>
      <c r="L19" s="253"/>
    </row>
    <row r="20" spans="1:12" ht="15">
      <c r="A20" s="254" t="s">
        <v>376</v>
      </c>
      <c r="B20" s="9"/>
      <c r="C20" s="9"/>
      <c r="D20" s="9"/>
      <c r="E20" s="9"/>
      <c r="F20" s="9"/>
      <c r="G20" s="9"/>
      <c r="H20" s="9"/>
      <c r="I20" s="9"/>
      <c r="J20" s="9"/>
      <c r="K20" s="262"/>
      <c r="L20" s="262"/>
    </row>
    <row r="21" spans="1:12" ht="15">
      <c r="A21" s="9" t="s">
        <v>417</v>
      </c>
      <c r="B21" s="168">
        <f>-Calc!I76</f>
        <v>0</v>
      </c>
      <c r="C21" s="168">
        <f>-Calc!J76</f>
        <v>0</v>
      </c>
      <c r="D21" s="168">
        <f>-Calc!K76</f>
        <v>0</v>
      </c>
      <c r="E21" s="168">
        <f>-Calc!L76</f>
        <v>0</v>
      </c>
      <c r="F21" s="168">
        <f>-Calc!M76</f>
        <v>0</v>
      </c>
      <c r="G21" s="9"/>
      <c r="H21" s="168">
        <f>SUM(B21:F21)</f>
        <v>0</v>
      </c>
      <c r="I21" s="9"/>
      <c r="J21" s="9"/>
      <c r="K21" s="262"/>
      <c r="L21" s="262"/>
    </row>
    <row r="22" spans="1:12" ht="15">
      <c r="A22" s="9" t="s">
        <v>418</v>
      </c>
      <c r="B22" s="255">
        <f>(Calc!I86+Calc!I87)*(1+Input!I57)^(5-Calc!I4)</f>
        <v>0</v>
      </c>
      <c r="C22" s="255">
        <f>(Calc!J86+Calc!J87)*(1+Input!J57)^(5-Calc!J4)</f>
        <v>0</v>
      </c>
      <c r="D22" s="255">
        <f>(Calc!K86+Calc!K87)*(1+Input!K57)^(5-Calc!K4)</f>
        <v>0</v>
      </c>
      <c r="E22" s="255">
        <f>(Calc!L86+Calc!L87)*(1+Input!L57)^(5-Calc!L4)</f>
        <v>0</v>
      </c>
      <c r="F22" s="255">
        <f>(Calc!M86+Calc!M87)*(1+Input!M57)^(5-Calc!M4)</f>
        <v>0</v>
      </c>
      <c r="G22" s="9"/>
      <c r="H22" s="168">
        <f>SUM(B22:F22)</f>
        <v>0</v>
      </c>
      <c r="I22" s="9"/>
      <c r="J22" s="9"/>
      <c r="K22" s="262"/>
      <c r="L22" s="262"/>
    </row>
    <row r="23" spans="1:12" ht="15">
      <c r="A23" s="9" t="s">
        <v>419</v>
      </c>
      <c r="B23" s="255">
        <f>(+Input!I46*Calc!I$7)*(1+Input!I57)^(5-Calc!I4)</f>
        <v>0</v>
      </c>
      <c r="C23" s="255">
        <f>(+Input!J46*Calc!J$7)*(1+Input!J57)^(5-Calc!J4)</f>
        <v>0</v>
      </c>
      <c r="D23" s="255">
        <f>(+Input!K46*Calc!K$7)*(1+Input!K57)^(5-Calc!K4)</f>
        <v>0</v>
      </c>
      <c r="E23" s="255">
        <f>(+Input!L46*Calc!L$7)*(1+Input!L57)^(5-Calc!L4)</f>
        <v>0</v>
      </c>
      <c r="F23" s="255">
        <f>(+Input!M46*Calc!M$7)*(1+Input!M57)^(5-Calc!M4)</f>
        <v>0</v>
      </c>
      <c r="G23" s="9"/>
      <c r="H23" s="168">
        <f>SUM(B23:F23)</f>
        <v>0</v>
      </c>
      <c r="I23" s="9"/>
      <c r="J23" s="9"/>
      <c r="K23" s="262"/>
      <c r="L23" s="262"/>
    </row>
    <row r="24" spans="1:12" ht="15">
      <c r="A24" s="9" t="s">
        <v>420</v>
      </c>
      <c r="B24" s="255">
        <f>Calc!I89*(1+Input!I57)^(5-Calc!I4)</f>
        <v>0</v>
      </c>
      <c r="C24" s="255">
        <f>Calc!J89*(1+Input!J57)^(5-Calc!J4)</f>
        <v>0</v>
      </c>
      <c r="D24" s="255">
        <f>Calc!K89*(1+Input!K57)^(5-Calc!K4)</f>
        <v>0</v>
      </c>
      <c r="E24" s="255">
        <f>Calc!L89*(1+Input!L57)^(5-Calc!L4)</f>
        <v>0</v>
      </c>
      <c r="F24" s="255">
        <f>Calc!M89*(1+Input!M57)^(5-Calc!M4)</f>
        <v>0</v>
      </c>
      <c r="G24" s="9"/>
      <c r="H24" s="168">
        <f>SUM(B24:F24)</f>
        <v>0</v>
      </c>
      <c r="I24" s="9"/>
      <c r="J24" s="9"/>
      <c r="K24" s="262"/>
      <c r="L24" s="262"/>
    </row>
    <row r="25" spans="1:12" ht="15.6" thickBot="1">
      <c r="A25" s="9" t="s">
        <v>421</v>
      </c>
      <c r="B25" s="256">
        <f>SUM(B18:B24)</f>
        <v>0</v>
      </c>
      <c r="C25" s="256">
        <f>SUM(C18:C24)</f>
        <v>0</v>
      </c>
      <c r="D25" s="256">
        <f>SUM(D18:D24)</f>
        <v>0</v>
      </c>
      <c r="E25" s="256">
        <f>SUM(E18:E24)</f>
        <v>0</v>
      </c>
      <c r="F25" s="256">
        <f>SUM(F18:F24)</f>
        <v>0</v>
      </c>
      <c r="G25" s="9"/>
      <c r="H25" s="256">
        <f>SUM(B25:F25)</f>
        <v>0</v>
      </c>
      <c r="I25" s="9"/>
      <c r="J25" s="9"/>
      <c r="K25" s="262"/>
      <c r="L25" s="262"/>
    </row>
    <row r="26" spans="1:12" ht="15.6" thickTop="1">
      <c r="A26" s="9"/>
      <c r="B26" s="257" t="b">
        <f>Calc!I91=B25</f>
        <v>1</v>
      </c>
      <c r="C26" s="257" t="b">
        <f>Calc!J91=C25</f>
        <v>1</v>
      </c>
      <c r="D26" s="257" t="b">
        <f>Calc!K91=D25</f>
        <v>1</v>
      </c>
      <c r="E26" s="257" t="b">
        <f>Calc!L91=E25</f>
        <v>1</v>
      </c>
      <c r="F26" s="257" t="b">
        <f>Calc!M91=F25</f>
        <v>1</v>
      </c>
      <c r="G26" s="257"/>
      <c r="H26" s="257" t="b">
        <f>Calc!M94=H25</f>
        <v>1</v>
      </c>
      <c r="I26" s="9"/>
      <c r="J26" s="9"/>
      <c r="K26" s="262"/>
      <c r="L26" s="262"/>
    </row>
    <row r="27" spans="1:12" ht="15">
      <c r="A27" s="9"/>
      <c r="B27" s="9"/>
      <c r="C27" s="9"/>
      <c r="D27" s="9"/>
      <c r="E27" s="9"/>
      <c r="F27" s="9"/>
      <c r="G27" s="9"/>
      <c r="H27" s="9"/>
      <c r="I27" s="9"/>
      <c r="J27" s="9"/>
      <c r="K27" s="262"/>
      <c r="L27" s="262"/>
    </row>
    <row r="28" spans="1:12" ht="15.6">
      <c r="A28" s="254" t="s">
        <v>422</v>
      </c>
      <c r="B28" s="185" t="s">
        <v>72</v>
      </c>
      <c r="C28" s="185" t="s">
        <v>73</v>
      </c>
      <c r="D28" s="185" t="s">
        <v>74</v>
      </c>
      <c r="E28" s="185" t="s">
        <v>75</v>
      </c>
      <c r="F28" s="185" t="s">
        <v>76</v>
      </c>
      <c r="G28" s="10"/>
      <c r="H28" s="185" t="s">
        <v>409</v>
      </c>
      <c r="I28" s="10"/>
      <c r="J28" s="120" t="s">
        <v>423</v>
      </c>
      <c r="K28" s="253"/>
      <c r="L28" s="120" t="s">
        <v>416</v>
      </c>
    </row>
    <row r="29" spans="1:12" ht="15">
      <c r="A29" s="9" t="s">
        <v>417</v>
      </c>
      <c r="B29" s="168">
        <f>B21*Input!$K$55/Input!$F$55</f>
        <v>0</v>
      </c>
      <c r="C29" s="168">
        <f>C21*Input!$K$55/Input!$F$55</f>
        <v>0</v>
      </c>
      <c r="D29" s="168">
        <f>D21*Input!$K$55/Input!$F$55</f>
        <v>0</v>
      </c>
      <c r="E29" s="168">
        <f>E21*Input!$K$55/Input!$F$55</f>
        <v>0</v>
      </c>
      <c r="F29" s="168">
        <f>F21*Input!$K$55/Input!$F$55</f>
        <v>0</v>
      </c>
      <c r="G29" s="9"/>
      <c r="H29" s="168">
        <f>SUM(B29:F29)</f>
        <v>0</v>
      </c>
      <c r="I29" s="9"/>
      <c r="J29" s="255">
        <f>-PMT(Input!$M$60,5,H29)</f>
        <v>0</v>
      </c>
      <c r="K29" s="262"/>
      <c r="L29" s="255">
        <f>J29*5</f>
        <v>0</v>
      </c>
    </row>
    <row r="30" spans="1:12" ht="15">
      <c r="A30" s="9" t="s">
        <v>418</v>
      </c>
      <c r="B30" s="168">
        <f>B22*Input!$K$55/Input!$F$55</f>
        <v>0</v>
      </c>
      <c r="C30" s="168">
        <f>C22*Input!$K$55/Input!$F$55</f>
        <v>0</v>
      </c>
      <c r="D30" s="168">
        <f>D22*Input!$K$55/Input!$F$55</f>
        <v>0</v>
      </c>
      <c r="E30" s="168">
        <f>E22*Input!$K$55/Input!$F$55</f>
        <v>0</v>
      </c>
      <c r="F30" s="168">
        <f>F22*Input!$K$55/Input!$F$55</f>
        <v>0</v>
      </c>
      <c r="G30" s="9"/>
      <c r="H30" s="168">
        <f>SUM(B30:F30)</f>
        <v>0</v>
      </c>
      <c r="I30" s="9"/>
      <c r="J30" s="255">
        <f>-PMT(Input!$M$60,5,H30)</f>
        <v>0</v>
      </c>
      <c r="K30" s="262"/>
      <c r="L30" s="255">
        <f>J30*5</f>
        <v>0</v>
      </c>
    </row>
    <row r="31" spans="1:12" ht="15">
      <c r="A31" s="9" t="s">
        <v>419</v>
      </c>
      <c r="B31" s="168">
        <f>B23*Input!$K$55/Input!$F$55</f>
        <v>0</v>
      </c>
      <c r="C31" s="168">
        <f>C23*Input!$K$55/Input!$F$55</f>
        <v>0</v>
      </c>
      <c r="D31" s="168">
        <f>D23*Input!$K$55/Input!$F$55</f>
        <v>0</v>
      </c>
      <c r="E31" s="168">
        <f>E23*Input!$K$55/Input!$F$55</f>
        <v>0</v>
      </c>
      <c r="F31" s="168">
        <f>F23*Input!$K$55/Input!$F$55</f>
        <v>0</v>
      </c>
      <c r="G31" s="9"/>
      <c r="H31" s="168">
        <f>SUM(B31:F31)</f>
        <v>0</v>
      </c>
      <c r="I31" s="9"/>
      <c r="J31" s="255">
        <f>-PMT(Input!$M$60,5,H31)</f>
        <v>0</v>
      </c>
      <c r="K31" s="262"/>
      <c r="L31" s="255">
        <f>J31*5</f>
        <v>0</v>
      </c>
    </row>
    <row r="32" spans="1:12" ht="15">
      <c r="A32" s="9" t="s">
        <v>420</v>
      </c>
      <c r="B32" s="168">
        <f>B24*Input!$K$55/Input!$F$55</f>
        <v>0</v>
      </c>
      <c r="C32" s="168">
        <f>C24*Input!$K$55/Input!$F$55</f>
        <v>0</v>
      </c>
      <c r="D32" s="168">
        <f>D24*Input!$K$55/Input!$F$55</f>
        <v>0</v>
      </c>
      <c r="E32" s="168">
        <f>E24*Input!$K$55/Input!$F$55</f>
        <v>0</v>
      </c>
      <c r="F32" s="168">
        <f>F24*Input!$K$55/Input!$F$55</f>
        <v>0</v>
      </c>
      <c r="G32" s="128"/>
      <c r="H32" s="168">
        <f>SUM(B32:F32)</f>
        <v>0</v>
      </c>
      <c r="I32" s="128"/>
      <c r="J32" s="255">
        <f>-PMT(Input!$M$60,5,H32)</f>
        <v>0</v>
      </c>
      <c r="K32" s="3"/>
      <c r="L32" s="255">
        <f>J32*5</f>
        <v>0</v>
      </c>
    </row>
    <row r="33" spans="1:12" ht="15.6" thickBot="1">
      <c r="A33" s="9" t="s">
        <v>421</v>
      </c>
      <c r="B33" s="256">
        <f>SUM(B27:B32)</f>
        <v>0</v>
      </c>
      <c r="C33" s="256">
        <f>SUM(C27:C32)</f>
        <v>0</v>
      </c>
      <c r="D33" s="256">
        <f>SUM(D27:D32)</f>
        <v>0</v>
      </c>
      <c r="E33" s="256">
        <f>SUM(E27:E32)</f>
        <v>0</v>
      </c>
      <c r="F33" s="256">
        <f>SUM(F27:F32)</f>
        <v>0</v>
      </c>
      <c r="G33" s="9"/>
      <c r="H33" s="256">
        <f>SUM(B33:F33)</f>
        <v>0</v>
      </c>
      <c r="I33" s="9"/>
      <c r="J33" s="259">
        <f>-PMT(Input!$M$60,5,H33)</f>
        <v>0</v>
      </c>
      <c r="K33" s="262"/>
      <c r="L33" s="259">
        <f>J33*5</f>
        <v>0</v>
      </c>
    </row>
    <row r="34" spans="1:12" ht="15.6" thickTop="1">
      <c r="A34" s="9"/>
      <c r="B34" s="168"/>
      <c r="C34" s="9"/>
      <c r="D34" s="140"/>
      <c r="E34" s="140"/>
      <c r="F34" s="140"/>
      <c r="G34" s="10"/>
      <c r="H34" s="257" t="b">
        <f>Calc!M95=H33</f>
        <v>1</v>
      </c>
      <c r="I34" s="257"/>
      <c r="J34" s="257" t="b">
        <f>Calc!M96=J33</f>
        <v>1</v>
      </c>
      <c r="K34" s="260"/>
      <c r="L34" s="26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Version info</vt:lpstr>
      <vt:lpstr>Cover</vt:lpstr>
      <vt:lpstr>Flowchart</vt:lpstr>
      <vt:lpstr>Map</vt:lpstr>
      <vt:lpstr>CLEAR_SHEET</vt:lpstr>
      <vt:lpstr>F_Inputs</vt:lpstr>
      <vt:lpstr>Input</vt:lpstr>
      <vt:lpstr>Calc</vt:lpstr>
      <vt:lpstr>RCM report</vt:lpstr>
      <vt:lpstr>F_Outputs</vt:lpstr>
      <vt:lpstr>CoName</vt:lpstr>
      <vt:lpstr>IDoK_submissions_for_claim_under_RCC4</vt:lpstr>
      <vt:lpstr>Input!Print_Area</vt:lpstr>
      <vt:lpstr>Threshold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2016-09-30T14:28:30Z</dcterms:created>
  <dcterms:modified xsi:type="dcterms:W3CDTF">2016-09-30T14:28:37Z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