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M86" i="11"/>
  <c r="I89" i="11"/>
  <c r="B24" i="30" s="1"/>
  <c r="J44" i="11"/>
  <c r="C6" i="30" s="1"/>
  <c r="C14" i="30" s="1"/>
  <c r="J28" i="11"/>
  <c r="M41" i="11"/>
  <c r="K85" i="11"/>
  <c r="L40" i="11"/>
  <c r="I86" i="11"/>
  <c r="I41" i="11"/>
  <c r="M85" i="11"/>
  <c r="M87" i="11" s="1"/>
  <c r="I42" i="11"/>
  <c r="I18" i="11"/>
  <c r="J18" i="11" s="1"/>
  <c r="K18" i="11" s="1"/>
  <c r="L18" i="11" s="1"/>
  <c r="M18" i="11" s="1"/>
  <c r="L85" i="11"/>
  <c r="L87" i="11" s="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I65" i="11" l="1"/>
  <c r="I66" i="11" s="1"/>
  <c r="K87" i="1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L88" i="11"/>
  <c r="L90" i="11" s="1"/>
  <c r="M88" i="11"/>
  <c r="M90" i="11" s="1"/>
  <c r="I20" i="11"/>
  <c r="I21" i="11" s="1"/>
  <c r="I29" i="11" s="1"/>
  <c r="M43" i="11"/>
  <c r="M45" i="11" s="1"/>
  <c r="K88" i="11"/>
  <c r="K90"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H21" i="30" s="1"/>
  <c r="D11" i="30"/>
  <c r="D15" i="30" s="1"/>
  <c r="D7" i="30"/>
  <c r="D8" i="30" s="1"/>
  <c r="B8" i="30"/>
  <c r="M94" i="11"/>
  <c r="M49" i="11" l="1"/>
  <c r="M50" i="11" s="1"/>
  <c r="H3" i="30"/>
  <c r="E11" i="30"/>
  <c r="E15" i="30" s="1"/>
  <c r="E7" i="30"/>
  <c r="F11" i="30"/>
  <c r="F15" i="30" s="1"/>
  <c r="F7" i="30"/>
  <c r="F8" i="30" s="1"/>
  <c r="F29" i="30"/>
  <c r="F33" i="30" s="1"/>
  <c r="F25" i="30"/>
  <c r="F26" i="30" s="1"/>
  <c r="E29" i="30"/>
  <c r="E33" i="30" s="1"/>
  <c r="H33" i="30" s="1"/>
  <c r="J33" i="30" s="1"/>
  <c r="L33" i="30" s="1"/>
  <c r="E25" i="30"/>
  <c r="M95" i="11"/>
  <c r="H15" i="30" l="1"/>
  <c r="J15" i="30" s="1"/>
  <c r="L15" i="30" s="1"/>
  <c r="H29" i="30"/>
  <c r="J29" i="30" s="1"/>
  <c r="E26" i="30"/>
  <c r="H25" i="30"/>
  <c r="H26" i="30" s="1"/>
  <c r="E8" i="30"/>
  <c r="H7" i="30"/>
  <c r="H8" i="30" s="1"/>
  <c r="H11" i="30"/>
  <c r="J11" i="30" s="1"/>
  <c r="M51" i="11"/>
  <c r="H16" i="30"/>
  <c r="M96" i="11"/>
  <c r="H34" i="30"/>
  <c r="H5" i="32" l="1"/>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<sst xmlns="http://schemas.openxmlformats.org/spreadsheetml/2006/main" count="1162" uniqueCount="486">
  <si>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</si>
  <si>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</si>
  <si>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</si>
  <si>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</si>
  <si>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</si>
  <si>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</si>
  <si>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</si>
  <si>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</si>
  <si>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</si>
  <si>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</si>
  <si>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</si>
  <si>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</si>
  <si>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</si>
  <si>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</si>
  <si>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</si>
  <si>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</si>
  <si>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</si>
  <si>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</si>
  <si>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</si>
  <si>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</si>
  <si>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</si>
  <si>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</si>
  <si>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</si>
  <si>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</si>
  <si>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</si>
  <si>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</si>
  <si>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</si>
  <si>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</si>
  <si>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</si>
  <si>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</si>
  <si>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</si>
  <si>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</si>
  <si>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</si>
  <si>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</si>
  <si>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</si>
  <si>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</si>
  <si>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</si>
  <si>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</si>
  <si>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</si>
  <si>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</si>
  <si>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</si>
  <si>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</si>
  <si>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</si>
  <si>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</si>
  <si>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</si>
  <si>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</si>
  <si>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</si>
  <si>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</si>
  <si>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</si>
  <si>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</si>
  <si>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</si>
  <si>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</si>
  <si>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</si>
  <si>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</si>
  <si>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</si>
  <si>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</si>
  <si>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</si>
  <si>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</si>
  <si>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</si>
  <si>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</si>
  <si>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</si>
  <si>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</si>
  <si>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</si>
  <si>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</si>
  <si>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</si>
  <si>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</si>
  <si>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</si>
  <si>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</si>
  <si>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</si>
  <si>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</si>
  <si>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</si>
  <si>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</si>
  <si>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</si>
  <si>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</si>
  <si>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</si>
  <si>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</si>
  <si>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</si>
  <si>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</si>
  <si>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</si>
  <si>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</si>
  <si>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</si>
  <si>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</si>
  <si>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</si>
  <si>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</si>
  <si>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</si>
  <si>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</si>
  <si>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</si>
  <si>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</si>
  <si>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</si>
  <si>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</si>
  <si>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</si>
  <si>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</si>
  <si>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</si>
  <si>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</si>
  <si>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</si>
  <si>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</si>
  <si>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</si>
  <si>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</si>
  <si>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</si>
  <si>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</si>
  <si>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</si>
  <si>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</si>
  <si>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</si>
  <si>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</si>
  <si>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</si>
  <si>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</si>
  <si>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</si>
  <si>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</si>
  <si>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</si>
  <si>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</si>
  <si>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</si>
  <si>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</si>
  <si>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</si>
  <si>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</si>
  <si>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</si>
  <si>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</si>
  <si>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</si>
  <si>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</si>
  <si>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</si>
  <si>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</si>
  <si>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</si>
  <si>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</si>
  <si>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</si>
  <si>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</si>
  <si>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</si>
  <si>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</si>
  <si>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</si>
  <si>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</si>
  <si>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</si>
  <si>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</si>
  <si>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</si>
  <si>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</si>
  <si>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</si>
  <si>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</si>
  <si>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</si>
  <si>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</si>
  <si>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</si>
  <si>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</si>
  <si>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</si>
  <si>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</si>
  <si>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</si>
  <si>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</si>
  <si>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</si>
  <si>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</si>
  <si>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</si>
  <si>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</si>
  <si>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</si>
  <si>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</si>
  <si>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</si>
  <si>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</si>
  <si>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</si>
  <si>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</si>
  <si>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</si>
  <si>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</si>
  <si>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</si>
  <si>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</si>
  <si>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</si>
  <si>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</si>
  <si>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</si>
  <si>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</si>
  <si>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</si>
  <si>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</si>
  <si>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</si>
  <si>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</si>
  <si>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</si>
  <si>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</si>
  <si>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</si>
  <si>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</si>
  <si>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</si>
  <si>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</si>
  <si>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</si>
  <si>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</si>
  <si>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</si>
  <si>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</si>
  <si>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</si>
  <si>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</si>
  <si>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</si>
  <si>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</si>
  <si>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</si>
  <si>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</si>
  <si>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</si>
  <si>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</si>
  <si>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</si>
  <si>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</si>
  <si>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</si>
  <si>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</si>
  <si>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</si>
  <si>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</si>
  <si>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</si>
  <si>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</si>
  <si>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</si>
  <si>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</si>
  <si>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</si>
  <si>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</si>
  <si>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</si>
  <si>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</si>
  <si>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</si>
  <si>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</si>
  <si>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</si>
  <si>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</si>
  <si>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</si>
  <si>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</si>
  <si>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</si>
  <si>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</si>
  <si>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</si>
  <si>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</si>
  <si>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</si>
  <si>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</si>
  <si>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</si>
  <si>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</si>
  <si>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</si>
  <si>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</si>
  <si>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</si>
  <si>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</si>
  <si>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</si>
  <si>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</si>
  <si>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</si>
  <si>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</si>
  <si>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</si>
  <si>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</si>
  <si>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</si>
  <si>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</si>
  <si>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</si>
  <si>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</si>
  <si>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</si>
  <si>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</si>
  <si>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</si>
  <si>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</si>
  <si>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</si>
  <si>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</si>
  <si>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</si>
  <si>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</si>
  <si>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</si>
  <si>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</si>
  <si>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</si>
  <si>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</si>
  <si>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</si>
  <si>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</si>
  <si>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</si>
  <si>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</si>
  <si>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</si>
  <si>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</si>
  <si>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</si>
  <si>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</si>
  <si>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</si>
  <si>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</si>
  <si>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</si>
  <si>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</si>
  <si>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</si>
  <si>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</si>
  <si>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</si>
  <si>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</si>
  <si>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</si>
  <si>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</si>
  <si>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</si>
  <si>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</si>
  <si>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</si>
  <si>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</si>
  <si>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</si>
  <si>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</si>
  <si>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</si>
  <si>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</si>
  <si>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</si>
  <si>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</si>
  <si>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</si>
  <si>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</si>
  <si>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</si>
  <si>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</si>
  <si>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</si>
  <si>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</si>
  <si>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</si>
  <si>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</si>
  <si>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</si>
  <si>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</si>
  <si>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</si>
  <si>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</si>
  <si>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</si>
  <si>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</si>
  <si>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</si>
  <si>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</si>
  <si>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</si>
  <si>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</si>
  <si>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</si>
  <si>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</si>
  <si>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</si>
  <si>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</si>
  <si>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</si>
  <si>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</si>
  <si>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</si>
  <si>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</si>
  <si>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</si>
  <si>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</si>
  <si>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</si>
  <si>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</si>
  <si>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</si>
  <si>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</si>
  <si>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</si>
  <si>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</si>
  <si>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</si>
  <si>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</si>
  <si>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</si>
  <si>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</si>
  <si>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</si>
  <si>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</si>
  <si>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</si>
  <si>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</si>
  <si>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</si>
  <si>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</si>
  <si>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</si>
  <si>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</si>
  <si>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</si>
  <si>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</si>
  <si>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</si>
  <si>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</si>
  <si>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</si>
  <si>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</si>
  <si>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</si>
  <si>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</si>
  <si>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</si>
  <si>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</si>
  <si>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</si>
  <si>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</si>
  <si>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</si>
  <si>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</si>
  <si>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</si>
  <si>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</si>
  <si>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</si>
  <si>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</si>
  <si>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</si>
  <si>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</si>
  <si>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</si>
  <si>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</si>
  <si>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</si>
  <si>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</si>
  <si>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</si>
  <si>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</si>
  <si>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</si>
  <si>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</si>
  <si>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</si>
  <si>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</si>
  <si>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</si>
  <si>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</si>
  <si>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</si>
  <si>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</si>
  <si>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</si>
  <si>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</si>
  <si>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</si>
  <si>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</si>
  <si>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</si>
  <si>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</si>
  <si>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</si>
  <si>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</si>
  <si>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</si>
  <si>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</si>
  <si>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</si>
  <si>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</si>
  <si>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</si>
  <si>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</si>
  <si>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</si>
  <si>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</si>
  <si>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</si>
  <si>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</si>
  <si>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</si>
  <si>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</si>
  <si>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</si>
  <si>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</si>
  <si>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</si>
  <si>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</si>
  <si>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</si>
  <si>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</si>
  <si>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</si>
  <si>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</si>
  <si>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</si>
  <si>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</si>
  <si>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</si>
  <si>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</si>
  <si>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</si>
  <si>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</si>
  <si>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</si>
  <si>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</si>
  <si>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</si>
  <si>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</si>
  <si>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</si>
  <si>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</si>
  <si>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</si>
  <si>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</si>
  <si>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</si>
  <si>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</si>
  <si>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</si>
  <si>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</si>
  <si>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</si>
  <si>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</si>
  <si>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</si>
  <si>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</si>
  <si>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</si>
  <si>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</si>
  <si>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</si>
  <si>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</si>
  <si>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</si>
  <si>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</si>
  <si>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</si>
  <si>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</si>
  <si>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</si>
  <si>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</si>
  <si>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</si>
  <si>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</si>
  <si>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</si>
  <si>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</si>
  <si>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</si>
  <si>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</si>
  <si>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</si>
  <si>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</si>
  <si>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</si>
  <si>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</si>
  <si>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</si>
  <si>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</si>
  <si>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</si>
  <si>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</si>
  <si>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</si>
  <si>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</si>
  <si>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</si>
  <si>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</si>
  <si>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</si>
  <si>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</si>
  <si>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</si>
  <si>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</si>
  <si>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</si>
  <si>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</si>
  <si>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</si>
  <si>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</si>
  <si>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</si>
  <si>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</si>
  <si>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</si>
  <si>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</si>
  <si>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</si>
  <si>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</si>
  <si>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</si>
  <si>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</si>
  <si>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</si>
  <si>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</si>
  <si>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</si>
  <si>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</si>
  <si>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</si>
  <si>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</si>
  <si>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</si>
  <si>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</si>
  <si>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</si>
  <si>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</si>
  <si>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</si>
  <si>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</si>
  <si>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</si>
  <si>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</si>
  <si>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</si>
  <si>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</si>
  <si>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</si>
  <si>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</si>
  <si>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</si>
  <si>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</si>
  <si>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</si>
  <si>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</si>
  <si>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</si>
  <si>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</si>
  <si>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</si>
  <si>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</si>
  <si>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</si>
  <si>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</si>
  <si>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</si>
  <si>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</si>
  <si>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</si>
  <si>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</si>
  <si>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</si>
  <si>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</si>
  <si>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</si>
  <si>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</si>
  <si>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</si>
  <si>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</si>
  <si>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</si>
  <si>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</si>
  <si>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http://fnttest202:8082/Fountain/rest-services_XLSPF</t>
  </si>
  <si>
    <t>50_XLSPF</t>
  </si>
  <si>
    <t>United Utilities Water Plc_XLSPF</t>
  </si>
  <si>
    <t>10/05/2016 17:48:41_XLSPF</t>
  </si>
  <si>
    <t>10/05/2016 17:49:36_XLSPF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</si>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</sst>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4">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12" fillId="0" borderId="0" xfId="62" applyFont="1" applyFill="1" applyAlignment="1">
      <alignment vertical="top"/>
    </xf>
    <xf numFmtId="0" fontId="12" fillId="0" borderId="0" xfId="62" applyFont="1" applyAlignment="1">
      <alignment vertical="top" wrapText="1"/>
    </xf>
    <xf numFmtId="0" fontId="11" fillId="0" borderId="0" xfId="62" applyFont="1" applyAlignment="1">
      <alignmen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5" borderId="36" xfId="62" applyFont="1" applyFill="1" applyBorder="1" applyAlignment="1">
      <alignment horizontal="center"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applyFont="1" applyAlignment="1">
      <alignment horizontal="left" vertical="top" wrapText="1"/>
    </xf>
    <xf numFmtId="0" fontId="43" fillId="0" borderId="0" xfId="62" quotePrefix="1" applyFont="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 fillId="0" borderId="36" xfId="62" applyFont="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1" fillId="0" borderId="0" xfId="61" applyFont="1" applyAlignment="1"/>
    <xf numFmtId="0" fontId="11" fillId="0" borderId="0" xfId="62" applyFont="1"/>
  </cellXfs>
  <cellStyles count="94">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90"/>
    <cellStyle name="Comma 2 3" xfId="86"/>
    <cellStyle name="Comma 3" xfId="66"/>
    <cellStyle name="Comma 3 2" xfId="67"/>
    <cellStyle name="Comma 3 2 2" xfId="92"/>
    <cellStyle name="Comma 3 2 3" xfId="88"/>
    <cellStyle name="Comma 3 3" xfId="91"/>
    <cellStyle name="Comma 3 4"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93"/>
    <cellStyle name="Fountain Error 3"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3"/>
      <c r="C1" s="264" t="s">
        <v>477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5">
        <f>+Calc!$M51</f>
        <v>6.4800063921209601</v>
      </c>
      <c r="G4" s="265">
        <f>+Calc!$M51</f>
        <v>6.4800063921209601</v>
      </c>
      <c r="H4" s="265">
        <f>+Calc!$M51</f>
        <v>6.4800063921209601</v>
      </c>
      <c r="I4" s="265">
        <f>+Calc!$M51</f>
        <v>6.4800063921209601</v>
      </c>
      <c r="J4" s="265">
        <f>+Calc!$M51</f>
        <v>6.4800063921209601</v>
      </c>
      <c r="K4" s="245"/>
    </row>
    <row r="5" spans="1:11">
      <c r="B5" s="266" t="s">
        <v>426</v>
      </c>
      <c r="C5" s="267" t="s">
        <v>424</v>
      </c>
      <c r="D5" s="268" t="s">
        <v>78</v>
      </c>
      <c r="E5" s="267" t="s">
        <v>433</v>
      </c>
      <c r="F5" s="269">
        <f>'RCM report'!$J$11</f>
        <v>7.3188300437322278</v>
      </c>
      <c r="G5" s="269">
        <f>'RCM report'!$J$11</f>
        <v>7.3188300437322278</v>
      </c>
      <c r="H5" s="269">
        <f>'RCM report'!$J$11</f>
        <v>7.3188300437322278</v>
      </c>
      <c r="I5" s="269">
        <f>'RCM report'!$J$11</f>
        <v>7.3188300437322278</v>
      </c>
      <c r="J5" s="269">
        <f>'RCM report'!$J$11</f>
        <v>7.3188300437322278</v>
      </c>
      <c r="K5" s="245"/>
    </row>
    <row r="6" spans="1:11">
      <c r="B6" s="266" t="s">
        <v>427</v>
      </c>
      <c r="C6" s="267" t="s">
        <v>425</v>
      </c>
      <c r="D6" s="268" t="s">
        <v>78</v>
      </c>
      <c r="E6" s="267" t="s">
        <v>433</v>
      </c>
      <c r="F6" s="269">
        <f>'RCM report'!$J$12+'RCM report'!$J$13+'RCM report'!$J$14</f>
        <v>-0.83882365161126649</v>
      </c>
      <c r="G6" s="269">
        <f>'RCM report'!$J$12+'RCM report'!$J$13+'RCM report'!$J$14</f>
        <v>-0.83882365161126649</v>
      </c>
      <c r="H6" s="269">
        <f>'RCM report'!$J$12+'RCM report'!$J$13+'RCM report'!$J$14</f>
        <v>-0.83882365161126649</v>
      </c>
      <c r="I6" s="269">
        <f>'RCM report'!$J$12+'RCM report'!$J$13+'RCM report'!$J$14</f>
        <v>-0.83882365161126649</v>
      </c>
      <c r="J6" s="269">
        <f>'RCM report'!$J$12+'RCM report'!$J$13+'RCM report'!$J$14</f>
        <v>-0.83882365161126649</v>
      </c>
      <c r="K6" s="245"/>
    </row>
    <row r="7" spans="1:11">
      <c r="B7" s="246" t="s">
        <v>384</v>
      </c>
      <c r="C7" s="235" t="s">
        <v>156</v>
      </c>
      <c r="D7" s="235" t="s">
        <v>78</v>
      </c>
      <c r="E7" s="235" t="s">
        <v>433</v>
      </c>
      <c r="F7" s="237">
        <f>+Calc!$M96</f>
        <v>13.339666497018946</v>
      </c>
      <c r="G7" s="237">
        <f>+Calc!$M96</f>
        <v>13.339666497018946</v>
      </c>
      <c r="H7" s="237">
        <f>+Calc!$M96</f>
        <v>13.339666497018946</v>
      </c>
      <c r="I7" s="237">
        <f>+Calc!$M96</f>
        <v>13.339666497018946</v>
      </c>
      <c r="J7" s="237">
        <f>+Calc!$M96</f>
        <v>13.339666497018946</v>
      </c>
      <c r="K7" s="245"/>
    </row>
    <row r="8" spans="1:11">
      <c r="B8" s="266" t="s">
        <v>428</v>
      </c>
      <c r="C8" s="268" t="s">
        <v>430</v>
      </c>
      <c r="D8" s="268" t="s">
        <v>78</v>
      </c>
      <c r="E8" s="268" t="s">
        <v>433</v>
      </c>
      <c r="F8" s="269">
        <f>'RCM report'!$J$29</f>
        <v>14.550570976357024</v>
      </c>
      <c r="G8" s="269">
        <f>'RCM report'!$J$29</f>
        <v>14.550570976357024</v>
      </c>
      <c r="H8" s="269">
        <f>'RCM report'!$J$29</f>
        <v>14.550570976357024</v>
      </c>
      <c r="I8" s="269">
        <f>'RCM report'!$J$29</f>
        <v>14.550570976357024</v>
      </c>
      <c r="J8" s="269">
        <f>'RCM report'!$J$29</f>
        <v>14.550570976357024</v>
      </c>
      <c r="K8" s="245"/>
    </row>
    <row r="9" spans="1:11">
      <c r="B9" s="266" t="s">
        <v>429</v>
      </c>
      <c r="C9" s="268" t="s">
        <v>431</v>
      </c>
      <c r="D9" s="268" t="s">
        <v>78</v>
      </c>
      <c r="E9" s="268" t="s">
        <v>433</v>
      </c>
      <c r="F9" s="269">
        <f>'RCM report'!$J$30+'RCM report'!$J$31+'RCM report'!$J$32</f>
        <v>-1.2109044793380757</v>
      </c>
      <c r="G9" s="269">
        <f>'RCM report'!$J$30+'RCM report'!$J$31+'RCM report'!$J$32</f>
        <v>-1.2109044793380757</v>
      </c>
      <c r="H9" s="269">
        <f>'RCM report'!$J$30+'RCM report'!$J$31+'RCM report'!$J$32</f>
        <v>-1.2109044793380757</v>
      </c>
      <c r="I9" s="269">
        <f>'RCM report'!$J$30+'RCM report'!$J$31+'RCM report'!$J$32</f>
        <v>-1.2109044793380757</v>
      </c>
      <c r="J9" s="269">
        <f>'RCM report'!$J$30+'RCM report'!$J$31+'RCM report'!$J$32</f>
        <v>-1.2109044793380757</v>
      </c>
      <c r="K9" s="245"/>
    </row>
    <row r="10" spans="1:11">
      <c r="B10" s="246" t="s">
        <v>385</v>
      </c>
      <c r="C10" s="235" t="s">
        <v>366</v>
      </c>
      <c r="D10" s="235" t="s">
        <v>362</v>
      </c>
      <c r="E10" s="235" t="s">
        <v>433</v>
      </c>
      <c r="F10" s="249"/>
      <c r="G10" s="249"/>
      <c r="H10" s="249"/>
      <c r="I10" s="249"/>
      <c r="J10" s="249"/>
      <c r="K10" s="252">
        <f>Input!M60</f>
        <v>3.5999999999999997E-2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484</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03" t="s">
        <v>219</v>
      </c>
      <c r="E6" s="304"/>
      <c r="F6" s="304"/>
      <c r="G6" s="304"/>
      <c r="H6" s="304"/>
      <c r="I6" s="304"/>
      <c r="J6" s="304"/>
      <c r="K6" s="304"/>
      <c r="L6" s="304"/>
      <c r="M6" s="305"/>
      <c r="N6" s="275" t="s">
        <v>220</v>
      </c>
    </row>
    <row r="7" spans="1:14" s="210" customFormat="1" ht="256.2" customHeight="1">
      <c r="A7" s="329"/>
      <c r="B7" s="330">
        <v>42382</v>
      </c>
      <c r="C7" s="331" t="s">
        <v>408</v>
      </c>
      <c r="D7" s="332" t="s">
        <v>483</v>
      </c>
      <c r="E7" s="333"/>
      <c r="F7" s="333"/>
      <c r="G7" s="333"/>
      <c r="H7" s="333"/>
      <c r="I7" s="333"/>
      <c r="J7" s="333"/>
      <c r="K7" s="333"/>
      <c r="L7" s="333"/>
      <c r="M7" s="333"/>
      <c r="N7" s="334"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03" t="s">
        <v>219</v>
      </c>
      <c r="E11" s="304"/>
      <c r="F11" s="304"/>
      <c r="G11" s="304"/>
      <c r="H11" s="304"/>
      <c r="I11" s="304"/>
      <c r="J11" s="304"/>
      <c r="K11" s="304"/>
      <c r="L11" s="304"/>
      <c r="M11" s="305"/>
      <c r="N11" s="275" t="s">
        <v>220</v>
      </c>
    </row>
    <row r="12" spans="1:14">
      <c r="A12" s="274"/>
      <c r="B12" s="278"/>
      <c r="C12" s="292"/>
      <c r="D12" s="320"/>
      <c r="E12" s="321"/>
      <c r="F12" s="321"/>
      <c r="G12" s="321"/>
      <c r="H12" s="321"/>
      <c r="I12" s="321"/>
      <c r="J12" s="321"/>
      <c r="K12" s="321"/>
      <c r="L12" s="321"/>
      <c r="M12" s="322"/>
      <c r="N12" s="276"/>
    </row>
    <row r="13" spans="1:14">
      <c r="A13" s="274"/>
      <c r="B13" s="278"/>
      <c r="C13" s="293"/>
      <c r="D13" s="320"/>
      <c r="E13" s="321"/>
      <c r="F13" s="321"/>
      <c r="G13" s="321"/>
      <c r="H13" s="321"/>
      <c r="I13" s="321"/>
      <c r="J13" s="321"/>
      <c r="K13" s="321"/>
      <c r="L13" s="321"/>
      <c r="M13" s="322"/>
      <c r="N13" s="276"/>
    </row>
    <row r="14" spans="1:14">
      <c r="A14" s="274"/>
      <c r="B14" s="278"/>
      <c r="C14" s="293"/>
      <c r="D14" s="320"/>
      <c r="E14" s="321"/>
      <c r="F14" s="321"/>
      <c r="G14" s="321"/>
      <c r="H14" s="321"/>
      <c r="I14" s="321"/>
      <c r="J14" s="321"/>
      <c r="K14" s="321"/>
      <c r="L14" s="321"/>
      <c r="M14" s="322"/>
      <c r="N14" s="276"/>
    </row>
    <row r="15" spans="1:14" ht="15.6">
      <c r="A15" s="274"/>
      <c r="B15" s="277"/>
      <c r="C15" s="292"/>
      <c r="D15" s="320"/>
      <c r="E15" s="321"/>
      <c r="F15" s="321"/>
      <c r="G15" s="321"/>
      <c r="H15" s="321"/>
      <c r="I15" s="321"/>
      <c r="J15" s="321"/>
      <c r="K15" s="321"/>
      <c r="L15" s="321"/>
      <c r="M15" s="322"/>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23" t="s">
        <v>217</v>
      </c>
      <c r="B18" s="323"/>
      <c r="C18" s="323"/>
      <c r="D18" s="323"/>
      <c r="E18" s="323"/>
      <c r="F18" s="323"/>
      <c r="G18" s="323"/>
      <c r="H18" s="323"/>
      <c r="I18" s="323"/>
      <c r="J18" s="323"/>
      <c r="K18" s="323"/>
      <c r="L18" s="323"/>
      <c r="M18" s="323"/>
      <c r="N18" s="270"/>
    </row>
    <row r="19" spans="1:14" s="336" customFormat="1" ht="145.80000000000001" customHeight="1">
      <c r="A19" s="294"/>
      <c r="B19" s="302" t="s">
        <v>485</v>
      </c>
      <c r="C19" s="302"/>
      <c r="D19" s="302"/>
      <c r="E19" s="302"/>
      <c r="F19" s="302"/>
      <c r="G19" s="302"/>
      <c r="H19" s="302"/>
      <c r="I19" s="302"/>
      <c r="J19" s="302"/>
      <c r="K19" s="302"/>
      <c r="L19" s="302"/>
      <c r="M19" s="302"/>
      <c r="N19" s="335"/>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01" t="s">
        <v>273</v>
      </c>
      <c r="C22" s="301"/>
      <c r="D22" s="301"/>
      <c r="E22" s="301"/>
      <c r="F22" s="301"/>
      <c r="G22" s="301"/>
      <c r="H22" s="301"/>
      <c r="I22" s="301"/>
      <c r="J22" s="301"/>
      <c r="K22" s="301"/>
      <c r="L22" s="301"/>
      <c r="M22" s="301"/>
    </row>
    <row r="23" spans="1:14" ht="12.75" customHeight="1">
      <c r="A23" s="281" t="s">
        <v>215</v>
      </c>
      <c r="B23" s="301" t="s">
        <v>274</v>
      </c>
      <c r="C23" s="301"/>
      <c r="D23" s="301"/>
      <c r="E23" s="301"/>
      <c r="F23" s="301"/>
      <c r="G23" s="301"/>
      <c r="H23" s="301"/>
      <c r="I23" s="301"/>
      <c r="J23" s="301"/>
      <c r="K23" s="301"/>
      <c r="L23" s="301"/>
      <c r="M23" s="301"/>
    </row>
    <row r="24" spans="1:14" ht="15.6">
      <c r="A24" s="281" t="s">
        <v>215</v>
      </c>
      <c r="B24" s="300" t="s">
        <v>275</v>
      </c>
      <c r="C24" s="300"/>
      <c r="D24" s="300"/>
      <c r="E24" s="300"/>
      <c r="F24" s="300"/>
      <c r="G24" s="300"/>
      <c r="H24" s="300"/>
      <c r="I24" s="300"/>
      <c r="J24" s="300"/>
      <c r="K24" s="300"/>
      <c r="L24" s="300"/>
      <c r="M24" s="300"/>
    </row>
    <row r="25" spans="1:14" ht="15.6">
      <c r="A25" s="281" t="s">
        <v>215</v>
      </c>
      <c r="B25" s="300" t="s">
        <v>276</v>
      </c>
      <c r="C25" s="300"/>
      <c r="D25" s="300"/>
      <c r="E25" s="300"/>
      <c r="F25" s="300"/>
      <c r="G25" s="300"/>
      <c r="H25" s="300"/>
      <c r="I25" s="300"/>
      <c r="J25" s="300"/>
      <c r="K25" s="300"/>
      <c r="L25" s="300"/>
      <c r="M25" s="300"/>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297" t="s">
        <v>209</v>
      </c>
      <c r="C33" s="298"/>
      <c r="D33" s="299"/>
      <c r="E33" s="295" t="s">
        <v>31</v>
      </c>
      <c r="F33" s="295"/>
      <c r="G33" s="296" t="s">
        <v>208</v>
      </c>
      <c r="H33" s="296"/>
      <c r="I33" s="295" t="s">
        <v>207</v>
      </c>
      <c r="J33" s="295"/>
      <c r="K33" s="295"/>
      <c r="L33" s="295"/>
      <c r="M33" s="295"/>
    </row>
    <row r="34" spans="1:13" s="87" customFormat="1" ht="84" customHeight="1">
      <c r="A34" s="287"/>
      <c r="B34" s="317" t="s">
        <v>115</v>
      </c>
      <c r="C34" s="318"/>
      <c r="D34" s="319"/>
      <c r="E34" s="313" t="s">
        <v>254</v>
      </c>
      <c r="F34" s="314"/>
      <c r="G34" s="313"/>
      <c r="H34" s="314"/>
      <c r="I34" s="309" t="s">
        <v>255</v>
      </c>
      <c r="J34" s="310"/>
      <c r="K34" s="310"/>
      <c r="L34" s="310"/>
      <c r="M34" s="311"/>
    </row>
    <row r="35" spans="1:13">
      <c r="A35" s="288"/>
      <c r="B35" s="306"/>
      <c r="C35" s="307"/>
      <c r="D35" s="308"/>
      <c r="E35" s="306"/>
      <c r="F35" s="308"/>
      <c r="G35" s="315"/>
      <c r="H35" s="316"/>
      <c r="I35" s="306"/>
      <c r="J35" s="307"/>
      <c r="K35" s="307"/>
      <c r="L35" s="307"/>
      <c r="M35" s="308"/>
    </row>
    <row r="36" spans="1:13" ht="61.5" customHeight="1">
      <c r="A36" s="288"/>
      <c r="B36" s="317" t="s">
        <v>62</v>
      </c>
      <c r="C36" s="318"/>
      <c r="D36" s="319"/>
      <c r="E36" s="312" t="s">
        <v>254</v>
      </c>
      <c r="F36" s="312"/>
      <c r="G36" s="312"/>
      <c r="H36" s="312"/>
      <c r="I36" s="309" t="s">
        <v>256</v>
      </c>
      <c r="J36" s="310"/>
      <c r="K36" s="310"/>
      <c r="L36" s="310"/>
      <c r="M36" s="311"/>
    </row>
    <row r="37" spans="1:13">
      <c r="A37" s="288"/>
      <c r="B37" s="306"/>
      <c r="C37" s="307"/>
      <c r="D37" s="308"/>
      <c r="E37" s="306"/>
      <c r="F37" s="308"/>
      <c r="G37" s="315"/>
      <c r="H37" s="316"/>
      <c r="I37" s="306"/>
      <c r="J37" s="307"/>
      <c r="K37" s="307"/>
      <c r="L37" s="307"/>
      <c r="M37" s="308"/>
    </row>
    <row r="38" spans="1:13" ht="39.75" customHeight="1">
      <c r="A38" s="288"/>
      <c r="B38" s="317" t="s">
        <v>42</v>
      </c>
      <c r="C38" s="318"/>
      <c r="D38" s="319"/>
      <c r="E38" s="312" t="s">
        <v>254</v>
      </c>
      <c r="F38" s="312"/>
      <c r="G38" s="312"/>
      <c r="H38" s="312"/>
      <c r="I38" s="309" t="s">
        <v>257</v>
      </c>
      <c r="J38" s="310"/>
      <c r="K38" s="310"/>
      <c r="L38" s="310"/>
      <c r="M38" s="311"/>
    </row>
    <row r="39" spans="1:13">
      <c r="A39" s="288"/>
      <c r="B39" s="306"/>
      <c r="C39" s="307"/>
      <c r="D39" s="308"/>
      <c r="E39" s="306"/>
      <c r="F39" s="308"/>
      <c r="G39" s="315"/>
      <c r="H39" s="316"/>
      <c r="I39" s="306"/>
      <c r="J39" s="307"/>
      <c r="K39" s="307"/>
      <c r="L39" s="307"/>
      <c r="M39" s="308"/>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324"/>
      <c r="B43" s="324"/>
      <c r="C43" s="324"/>
      <c r="D43" s="324"/>
      <c r="E43" s="324"/>
      <c r="F43" s="324"/>
      <c r="G43" s="324"/>
      <c r="H43" s="324"/>
      <c r="I43" s="324"/>
      <c r="J43" s="324"/>
      <c r="K43" s="324"/>
      <c r="L43" s="324"/>
      <c r="M43" s="324"/>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D7:M7"/>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D6:M6"/>
    <mergeCell ref="B37:D37"/>
    <mergeCell ref="I34:M34"/>
    <mergeCell ref="I35:M35"/>
    <mergeCell ref="I38:M38"/>
    <mergeCell ref="G38:H38"/>
    <mergeCell ref="G34:H34"/>
    <mergeCell ref="G35:H35"/>
    <mergeCell ref="E34:F34"/>
    <mergeCell ref="B34:D34"/>
    <mergeCell ref="B35:D35"/>
    <mergeCell ref="E35:F35"/>
    <mergeCell ref="D12:M12"/>
    <mergeCell ref="D13:M13"/>
    <mergeCell ref="D14:M14"/>
    <mergeCell ref="D15:M15"/>
    <mergeCell ref="B22:M22"/>
    <mergeCell ref="B24:M24"/>
    <mergeCell ref="B23:M23"/>
    <mergeCell ref="B19:M19"/>
    <mergeCell ref="D11:M11"/>
    <mergeCell ref="A18:M18"/>
    <mergeCell ref="E33:F33"/>
    <mergeCell ref="G33:H33"/>
    <mergeCell ref="B33:D33"/>
    <mergeCell ref="I33:M33"/>
    <mergeCell ref="B25:M25"/>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 sqref="B3"/>
    </sheetView>
  </sheetViews>
  <sheetFormatPr defaultRowHeight="13.2"/>
  <cols>
    <col min="1" max="1" width="25.6640625" bestFit="1" customWidth="1"/>
    <col min="2" max="2" width="44" bestFit="1" customWidth="1"/>
  </cols>
  <sheetData>
    <row r="1" spans="1:2">
      <c r="A1" t="s">
        <v>446</v>
      </c>
      <c r="B1" t="s">
        <v>447</v>
      </c>
    </row>
    <row r="2" spans="1:2">
      <c r="A2" t="s">
        <v>459</v>
      </c>
      <c r="B2" t="s">
        <v>481</v>
      </c>
    </row>
    <row r="3" spans="1:2">
      <c r="A3" t="s">
        <v>465</v>
      </c>
      <c r="B3" t="s">
        <v>482</v>
      </c>
    </row>
    <row r="4" spans="1:2">
      <c r="A4" t="s">
        <v>432</v>
      </c>
      <c r="B4" t="s">
        <v>478</v>
      </c>
    </row>
    <row r="5" spans="1:2">
      <c r="A5" t="s">
        <v>434</v>
      </c>
      <c r="B5" t="s">
        <v>479</v>
      </c>
    </row>
    <row r="6" spans="1:2">
      <c r="A6" t="s">
        <v>436</v>
      </c>
      <c r="B6" t="s">
        <v>480</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123.438675865676</v>
      </c>
      <c r="I4" s="245">
        <v>118.340817214041</v>
      </c>
      <c r="J4" s="245">
        <v>120.235633321024</v>
      </c>
      <c r="K4" s="245">
        <v>121.067257415496</v>
      </c>
      <c r="L4" s="245">
        <v>122.07404652570401</v>
      </c>
      <c r="M4" s="245">
        <v>123.20413129160001</v>
      </c>
      <c r="N4" s="245"/>
    </row>
    <row r="5" spans="1:14">
      <c r="B5" t="s">
        <v>317</v>
      </c>
      <c r="C5" t="s">
        <v>321</v>
      </c>
      <c r="D5" t="s">
        <v>78</v>
      </c>
      <c r="E5" t="s">
        <v>433</v>
      </c>
      <c r="F5" s="245"/>
      <c r="G5" s="245"/>
      <c r="H5" s="245">
        <v>24.1609462636793</v>
      </c>
      <c r="I5" s="245">
        <v>22.458232872597101</v>
      </c>
      <c r="J5" s="245">
        <v>22.5142522580716</v>
      </c>
      <c r="K5" s="245">
        <v>22.6654355866978</v>
      </c>
      <c r="L5" s="245">
        <v>22.753312916337102</v>
      </c>
      <c r="M5" s="245">
        <v>22.872793216728301</v>
      </c>
      <c r="N5" s="245"/>
    </row>
    <row r="6" spans="1:14">
      <c r="B6" t="s">
        <v>33</v>
      </c>
      <c r="C6" t="s">
        <v>289</v>
      </c>
      <c r="D6" t="s">
        <v>78</v>
      </c>
      <c r="E6" t="s">
        <v>433</v>
      </c>
      <c r="F6" s="245"/>
      <c r="G6" s="245"/>
      <c r="H6" s="245"/>
      <c r="I6" s="245">
        <v>609.93646609524501</v>
      </c>
      <c r="J6" s="245">
        <v>628.62913998022702</v>
      </c>
      <c r="K6" s="245">
        <v>643.57172260059201</v>
      </c>
      <c r="L6" s="245">
        <v>658.69646648046501</v>
      </c>
      <c r="M6" s="245">
        <v>672.79589436384595</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2128.1030000000001</v>
      </c>
      <c r="G8" s="245">
        <v>2084.8702550437301</v>
      </c>
      <c r="H8" s="245">
        <v>2031.9350413023301</v>
      </c>
      <c r="I8" s="245">
        <v>1981.22905993993</v>
      </c>
      <c r="J8" s="245">
        <v>1930.1786413970799</v>
      </c>
      <c r="K8" s="245">
        <v>1880.87279807287</v>
      </c>
      <c r="L8" s="245">
        <v>1833.7604359049201</v>
      </c>
      <c r="M8" s="245">
        <v>1789.8266984613299</v>
      </c>
      <c r="N8" s="245"/>
    </row>
    <row r="9" spans="1:14">
      <c r="B9" t="s">
        <v>180</v>
      </c>
      <c r="C9" t="s">
        <v>291</v>
      </c>
      <c r="D9">
        <v>0</v>
      </c>
      <c r="E9" t="s">
        <v>433</v>
      </c>
      <c r="F9" s="245">
        <v>655.29600000000005</v>
      </c>
      <c r="G9" s="245">
        <v>723.30260954923006</v>
      </c>
      <c r="H9" s="245">
        <v>790.84111056573897</v>
      </c>
      <c r="I9" s="245">
        <v>852.92824610024502</v>
      </c>
      <c r="J9" s="245">
        <v>916.15784024761399</v>
      </c>
      <c r="K9" s="245">
        <v>979.35109676415095</v>
      </c>
      <c r="L9" s="245">
        <v>1042.0703251566799</v>
      </c>
      <c r="M9" s="245">
        <v>1103.3415973015301</v>
      </c>
      <c r="N9" s="245"/>
    </row>
    <row r="10" spans="1:14">
      <c r="B10" t="s">
        <v>387</v>
      </c>
      <c r="C10" t="s">
        <v>292</v>
      </c>
      <c r="D10">
        <v>0</v>
      </c>
      <c r="E10" t="s">
        <v>433</v>
      </c>
      <c r="F10" s="245">
        <v>19.326000000000001</v>
      </c>
      <c r="G10" s="245">
        <v>20.486999999999998</v>
      </c>
      <c r="H10" s="245">
        <v>19.568000000000001</v>
      </c>
      <c r="I10" s="245">
        <v>18.649000000000001</v>
      </c>
      <c r="J10" s="245">
        <v>17.73</v>
      </c>
      <c r="K10" s="245">
        <v>16.811</v>
      </c>
      <c r="L10" s="245">
        <v>15.891999999999999</v>
      </c>
      <c r="M10" s="245">
        <v>14.973000000000001</v>
      </c>
      <c r="N10" s="245"/>
    </row>
    <row r="11" spans="1:14">
      <c r="B11" t="s">
        <v>388</v>
      </c>
      <c r="C11" t="s">
        <v>293</v>
      </c>
      <c r="D11">
        <v>0</v>
      </c>
      <c r="E11" t="s">
        <v>433</v>
      </c>
      <c r="F11" s="245">
        <v>152.25800000000001</v>
      </c>
      <c r="G11" s="245">
        <v>160.28115433206</v>
      </c>
      <c r="H11" s="245">
        <v>161.42473149808899</v>
      </c>
      <c r="I11" s="245">
        <v>162.717382415971</v>
      </c>
      <c r="J11" s="245">
        <v>164.15710708570501</v>
      </c>
      <c r="K11" s="245">
        <v>165.74590550729201</v>
      </c>
      <c r="L11" s="245">
        <v>167.48177768073</v>
      </c>
      <c r="M11" s="245">
        <v>169.366723606021</v>
      </c>
      <c r="N11" s="245"/>
    </row>
    <row r="12" spans="1:14">
      <c r="B12" t="s">
        <v>318</v>
      </c>
      <c r="C12" t="s">
        <v>322</v>
      </c>
      <c r="D12" t="s">
        <v>78</v>
      </c>
      <c r="E12" t="s">
        <v>433</v>
      </c>
      <c r="F12" s="245"/>
      <c r="G12" s="245"/>
      <c r="H12" s="245">
        <v>262.11791729405201</v>
      </c>
      <c r="I12" s="245">
        <v>233.64629805644799</v>
      </c>
      <c r="J12" s="245">
        <v>232.89045753732501</v>
      </c>
      <c r="K12" s="245">
        <v>241.34559944160901</v>
      </c>
      <c r="L12" s="245">
        <v>251.74510073105901</v>
      </c>
      <c r="M12" s="245">
        <v>263.18377104056299</v>
      </c>
      <c r="N12" s="245"/>
    </row>
    <row r="13" spans="1:14">
      <c r="B13" t="s">
        <v>319</v>
      </c>
      <c r="C13" t="s">
        <v>323</v>
      </c>
      <c r="D13" t="s">
        <v>78</v>
      </c>
      <c r="E13" t="s">
        <v>433</v>
      </c>
      <c r="F13" s="245"/>
      <c r="G13" s="245"/>
      <c r="H13" s="245">
        <v>44.587384159785302</v>
      </c>
      <c r="I13" s="245">
        <v>38.0145396766017</v>
      </c>
      <c r="J13" s="245">
        <v>36.9364087309133</v>
      </c>
      <c r="K13" s="245">
        <v>37.6315190994791</v>
      </c>
      <c r="L13" s="245">
        <v>38.671719650434603</v>
      </c>
      <c r="M13" s="245">
        <v>39.9561138162384</v>
      </c>
      <c r="N13" s="245"/>
    </row>
    <row r="14" spans="1:14">
      <c r="B14" t="s">
        <v>34</v>
      </c>
      <c r="C14" t="s">
        <v>294</v>
      </c>
      <c r="D14" t="s">
        <v>78</v>
      </c>
      <c r="E14" t="s">
        <v>433</v>
      </c>
      <c r="F14" s="245"/>
      <c r="G14" s="245"/>
      <c r="H14" s="245"/>
      <c r="I14" s="245">
        <v>761.90149263515605</v>
      </c>
      <c r="J14" s="245">
        <v>765.88681680342995</v>
      </c>
      <c r="K14" s="245">
        <v>796.72579255945504</v>
      </c>
      <c r="L14" s="245">
        <v>833.93273446174601</v>
      </c>
      <c r="M14" s="245">
        <v>874.26062250313305</v>
      </c>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2109.627</v>
      </c>
      <c r="G16" s="245">
        <v>2066.39425504373</v>
      </c>
      <c r="H16" s="245">
        <v>2013.45904130233</v>
      </c>
      <c r="I16" s="245">
        <v>1962.7530599399299</v>
      </c>
      <c r="J16" s="245">
        <v>1911.70264139708</v>
      </c>
      <c r="K16" s="245">
        <v>1862.3967980728701</v>
      </c>
      <c r="L16" s="245">
        <v>1815.28443590492</v>
      </c>
      <c r="M16" s="245">
        <v>1771.35069846133</v>
      </c>
      <c r="N16" s="245"/>
    </row>
    <row r="17" spans="2:14">
      <c r="B17" t="s">
        <v>390</v>
      </c>
      <c r="C17" t="s">
        <v>296</v>
      </c>
      <c r="D17">
        <v>0</v>
      </c>
      <c r="E17" t="s">
        <v>433</v>
      </c>
      <c r="F17" s="245">
        <v>650.11900000000003</v>
      </c>
      <c r="G17" s="245">
        <v>718.12560954923003</v>
      </c>
      <c r="H17" s="245">
        <v>785.66411056573895</v>
      </c>
      <c r="I17" s="245">
        <v>847.751246100245</v>
      </c>
      <c r="J17" s="245">
        <v>910.98084024761397</v>
      </c>
      <c r="K17" s="245">
        <v>974.17409676415105</v>
      </c>
      <c r="L17" s="245">
        <v>1036.89332515668</v>
      </c>
      <c r="M17" s="245">
        <v>1098.16459730153</v>
      </c>
      <c r="N17" s="245"/>
    </row>
    <row r="18" spans="2:14">
      <c r="B18" t="s">
        <v>391</v>
      </c>
      <c r="C18" t="s">
        <v>297</v>
      </c>
      <c r="D18">
        <v>0</v>
      </c>
      <c r="E18" t="s">
        <v>433</v>
      </c>
      <c r="F18" s="245">
        <v>20.847999999999999</v>
      </c>
      <c r="G18" s="245">
        <v>19.881</v>
      </c>
      <c r="H18" s="245">
        <v>18.962</v>
      </c>
      <c r="I18" s="245">
        <v>18.042999999999999</v>
      </c>
      <c r="J18" s="245">
        <v>17.123999999999999</v>
      </c>
      <c r="K18" s="245">
        <v>16.204999999999998</v>
      </c>
      <c r="L18" s="245">
        <v>15.286</v>
      </c>
      <c r="M18" s="245">
        <v>14.367000000000001</v>
      </c>
      <c r="N18" s="245"/>
    </row>
    <row r="19" spans="2:14">
      <c r="B19" t="s">
        <v>392</v>
      </c>
      <c r="C19" t="s">
        <v>298</v>
      </c>
      <c r="D19">
        <v>0</v>
      </c>
      <c r="E19" t="s">
        <v>433</v>
      </c>
      <c r="F19" s="245">
        <v>166.24299999999999</v>
      </c>
      <c r="G19" s="245">
        <v>167.88715433205999</v>
      </c>
      <c r="H19" s="245">
        <v>169.03073149808901</v>
      </c>
      <c r="I19" s="245">
        <v>170.323382415971</v>
      </c>
      <c r="J19" s="245">
        <v>171.763107085705</v>
      </c>
      <c r="K19" s="245">
        <v>173.351905507292</v>
      </c>
      <c r="L19" s="245">
        <v>175.08777768073</v>
      </c>
      <c r="M19" s="245">
        <v>176.97272360602099</v>
      </c>
      <c r="N19" s="245"/>
    </row>
    <row r="20" spans="2:14">
      <c r="B20" t="s">
        <v>397</v>
      </c>
      <c r="C20" t="s">
        <v>45</v>
      </c>
      <c r="D20" t="s">
        <v>78</v>
      </c>
      <c r="E20" t="s">
        <v>433</v>
      </c>
      <c r="F20" s="245"/>
      <c r="G20" s="245"/>
      <c r="H20" s="245"/>
      <c r="I20" s="245">
        <v>361.63099999999997</v>
      </c>
      <c r="J20" s="245">
        <v>376.62299999999999</v>
      </c>
      <c r="K20" s="245">
        <v>378.25700000000001</v>
      </c>
      <c r="L20" s="245">
        <v>378.49</v>
      </c>
      <c r="M20" s="245">
        <v>373.28953174296402</v>
      </c>
      <c r="N20" s="245"/>
    </row>
    <row r="21" spans="2:14">
      <c r="B21" t="s">
        <v>4</v>
      </c>
      <c r="C21" t="s">
        <v>458</v>
      </c>
      <c r="D21" t="s">
        <v>78</v>
      </c>
      <c r="E21" t="s">
        <v>433</v>
      </c>
      <c r="F21" s="245"/>
      <c r="G21" s="245"/>
      <c r="H21" s="245"/>
      <c r="I21" s="245">
        <v>4.7850000000000001</v>
      </c>
      <c r="J21" s="245">
        <v>4.59</v>
      </c>
      <c r="K21" s="245">
        <v>4.5339999999999998</v>
      </c>
      <c r="L21" s="245">
        <v>4.4370000000000003</v>
      </c>
      <c r="M21" s="245">
        <v>4.3930557117535596</v>
      </c>
      <c r="N21" s="245"/>
    </row>
    <row r="22" spans="2:14">
      <c r="B22" t="s">
        <v>398</v>
      </c>
      <c r="C22" t="s">
        <v>47</v>
      </c>
      <c r="D22" t="s">
        <v>78</v>
      </c>
      <c r="E22" t="s">
        <v>433</v>
      </c>
      <c r="F22" s="245"/>
      <c r="G22" s="245"/>
      <c r="H22" s="245"/>
      <c r="I22" s="245">
        <v>130.76900000000001</v>
      </c>
      <c r="J22" s="245">
        <v>141.24299999999999</v>
      </c>
      <c r="K22" s="245">
        <v>157.98099999999999</v>
      </c>
      <c r="L22" s="245">
        <v>174.495</v>
      </c>
      <c r="M22" s="245">
        <v>186.482883372651</v>
      </c>
      <c r="N22" s="245"/>
    </row>
    <row r="23" spans="2:14">
      <c r="B23" t="s">
        <v>6</v>
      </c>
      <c r="C23" t="s">
        <v>299</v>
      </c>
      <c r="D23" t="s">
        <v>78</v>
      </c>
      <c r="E23" t="s">
        <v>433</v>
      </c>
      <c r="F23" s="245"/>
      <c r="G23" s="245"/>
      <c r="H23" s="245"/>
      <c r="I23" s="245">
        <v>126.557</v>
      </c>
      <c r="J23" s="245">
        <v>127.801</v>
      </c>
      <c r="K23" s="245">
        <v>132.124</v>
      </c>
      <c r="L23" s="245">
        <v>137.17500000000001</v>
      </c>
      <c r="M23" s="245">
        <v>137.46819380886299</v>
      </c>
      <c r="N23" s="245"/>
    </row>
    <row r="24" spans="2:14">
      <c r="B24" t="s">
        <v>7</v>
      </c>
      <c r="C24" t="s">
        <v>300</v>
      </c>
      <c r="D24" t="s">
        <v>78</v>
      </c>
      <c r="E24" t="s">
        <v>433</v>
      </c>
      <c r="F24" s="245"/>
      <c r="G24" s="245"/>
      <c r="H24" s="245">
        <v>0.67400000000000004</v>
      </c>
      <c r="I24" s="245">
        <v>0.94499999999999995</v>
      </c>
      <c r="J24" s="245">
        <v>0.85099999999999998</v>
      </c>
      <c r="K24" s="245">
        <v>1.6E-2</v>
      </c>
      <c r="L24" s="245">
        <v>0.77400000000000002</v>
      </c>
      <c r="M24" s="245">
        <v>0.53300000000000003</v>
      </c>
      <c r="N24" s="245"/>
    </row>
    <row r="25" spans="2:14">
      <c r="B25" t="s">
        <v>331</v>
      </c>
      <c r="C25" t="s">
        <v>393</v>
      </c>
      <c r="D25" t="s">
        <v>78</v>
      </c>
      <c r="E25" t="s">
        <v>433</v>
      </c>
      <c r="F25" s="245"/>
      <c r="G25" s="245"/>
      <c r="H25" s="245"/>
      <c r="I25" s="245">
        <v>0.34100000000000003</v>
      </c>
      <c r="J25" s="245">
        <v>0.45600000000000002</v>
      </c>
      <c r="K25" s="245">
        <v>0.55000000000000004</v>
      </c>
      <c r="L25" s="245">
        <v>0.66100000000000003</v>
      </c>
      <c r="M25" s="245">
        <v>9.3483361860658203</v>
      </c>
      <c r="N25" s="245"/>
    </row>
    <row r="26" spans="2:14">
      <c r="B26" t="s">
        <v>332</v>
      </c>
      <c r="C26" t="s">
        <v>170</v>
      </c>
      <c r="D26" t="s">
        <v>78</v>
      </c>
      <c r="E26" t="s">
        <v>433</v>
      </c>
      <c r="F26" s="245"/>
      <c r="G26" s="245"/>
      <c r="H26" s="245"/>
      <c r="I26" s="245">
        <v>0</v>
      </c>
      <c r="J26" s="245">
        <v>0</v>
      </c>
      <c r="K26" s="245">
        <v>0</v>
      </c>
      <c r="L26" s="245">
        <v>0</v>
      </c>
      <c r="M26" s="245">
        <v>0</v>
      </c>
      <c r="N26" s="245"/>
    </row>
    <row r="27" spans="2:14">
      <c r="B27" t="s">
        <v>399</v>
      </c>
      <c r="C27" t="s">
        <v>52</v>
      </c>
      <c r="D27" t="s">
        <v>405</v>
      </c>
      <c r="E27" t="s">
        <v>433</v>
      </c>
      <c r="F27" s="245"/>
      <c r="G27" s="245"/>
      <c r="H27" s="245">
        <v>176.333</v>
      </c>
      <c r="I27" s="245">
        <v>174.196</v>
      </c>
      <c r="J27" s="245">
        <v>173.14099999999999</v>
      </c>
      <c r="K27" s="245">
        <v>172.93799999999999</v>
      </c>
      <c r="L27" s="245">
        <v>172.155</v>
      </c>
      <c r="M27" s="245">
        <v>171.05199999999999</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v>387.01799999999997</v>
      </c>
      <c r="J29" s="245">
        <v>389.74900000000002</v>
      </c>
      <c r="K29" s="245">
        <v>395.49700000000001</v>
      </c>
      <c r="L29" s="245">
        <v>404.27699999999999</v>
      </c>
      <c r="M29" s="245">
        <v>407.99200258658198</v>
      </c>
      <c r="N29" s="245"/>
    </row>
    <row r="30" spans="2:14">
      <c r="B30" t="s">
        <v>11</v>
      </c>
      <c r="C30" t="s">
        <v>301</v>
      </c>
      <c r="D30" t="s">
        <v>78</v>
      </c>
      <c r="E30" t="s">
        <v>433</v>
      </c>
      <c r="F30" s="245"/>
      <c r="G30" s="245"/>
      <c r="H30" s="245"/>
      <c r="I30" s="245">
        <v>5.9619999999999997</v>
      </c>
      <c r="J30" s="245">
        <v>5.71</v>
      </c>
      <c r="K30" s="245">
        <v>5.4349999999999996</v>
      </c>
      <c r="L30" s="245">
        <v>5.8239999999999998</v>
      </c>
      <c r="M30" s="245">
        <v>6.2817295954061301</v>
      </c>
      <c r="N30" s="245"/>
    </row>
    <row r="31" spans="2:14">
      <c r="B31" t="s">
        <v>401</v>
      </c>
      <c r="C31" t="s">
        <v>55</v>
      </c>
      <c r="D31" t="s">
        <v>78</v>
      </c>
      <c r="E31" t="s">
        <v>433</v>
      </c>
      <c r="F31" s="245"/>
      <c r="G31" s="245"/>
      <c r="H31" s="245"/>
      <c r="I31" s="245">
        <v>148.41499999999999</v>
      </c>
      <c r="J31" s="245">
        <v>157.65600000000001</v>
      </c>
      <c r="K31" s="245">
        <v>179.11199999999999</v>
      </c>
      <c r="L31" s="245">
        <v>202.20099999999999</v>
      </c>
      <c r="M31" s="245">
        <v>216.985410927803</v>
      </c>
      <c r="N31" s="245"/>
    </row>
    <row r="32" spans="2:14">
      <c r="B32" t="s">
        <v>13</v>
      </c>
      <c r="C32" t="s">
        <v>302</v>
      </c>
      <c r="D32" t="s">
        <v>78</v>
      </c>
      <c r="E32" t="s">
        <v>433</v>
      </c>
      <c r="F32" s="245"/>
      <c r="G32" s="245"/>
      <c r="H32" s="245"/>
      <c r="I32" s="245">
        <v>210.72499999999999</v>
      </c>
      <c r="J32" s="245">
        <v>214.70699999999999</v>
      </c>
      <c r="K32" s="245">
        <v>229.93</v>
      </c>
      <c r="L32" s="245">
        <v>245.33699999999999</v>
      </c>
      <c r="M32" s="245">
        <v>252.85919883760201</v>
      </c>
      <c r="N32" s="245"/>
    </row>
    <row r="33" spans="2:14">
      <c r="B33" t="s">
        <v>10</v>
      </c>
      <c r="C33" t="s">
        <v>303</v>
      </c>
      <c r="D33" t="s">
        <v>78</v>
      </c>
      <c r="E33" t="s">
        <v>433</v>
      </c>
      <c r="F33" s="245"/>
      <c r="G33" s="245"/>
      <c r="H33" s="245"/>
      <c r="I33" s="245">
        <v>20.638000000000002</v>
      </c>
      <c r="J33" s="245">
        <v>19.591000000000001</v>
      </c>
      <c r="K33" s="245">
        <v>19.175999999999998</v>
      </c>
      <c r="L33" s="245">
        <v>21.777999999999999</v>
      </c>
      <c r="M33" s="245">
        <v>22.389343162664201</v>
      </c>
      <c r="N33" s="245"/>
    </row>
    <row r="34" spans="2:14">
      <c r="B34" t="s">
        <v>14</v>
      </c>
      <c r="C34" t="s">
        <v>304</v>
      </c>
      <c r="D34" t="s">
        <v>78</v>
      </c>
      <c r="E34" t="s">
        <v>433</v>
      </c>
      <c r="F34" s="245"/>
      <c r="G34" s="245"/>
      <c r="H34" s="245">
        <v>-0.29199999999999998</v>
      </c>
      <c r="I34" s="245">
        <v>1.1890000000000001</v>
      </c>
      <c r="J34" s="245">
        <v>1.9179999999999999</v>
      </c>
      <c r="K34" s="245">
        <v>0.21299999999999999</v>
      </c>
      <c r="L34" s="245">
        <v>-2.1970000000000001</v>
      </c>
      <c r="M34" s="245">
        <v>-0.27400000000000002</v>
      </c>
      <c r="N34" s="245"/>
    </row>
    <row r="35" spans="2:14">
      <c r="B35" t="s">
        <v>355</v>
      </c>
      <c r="C35" t="s">
        <v>394</v>
      </c>
      <c r="D35" t="s">
        <v>78</v>
      </c>
      <c r="E35" t="s">
        <v>433</v>
      </c>
      <c r="F35" s="245"/>
      <c r="G35" s="245"/>
      <c r="H35" s="245"/>
      <c r="I35" s="245">
        <v>0.35</v>
      </c>
      <c r="J35" s="245">
        <v>0.46800000000000003</v>
      </c>
      <c r="K35" s="245">
        <v>0.56999999999999995</v>
      </c>
      <c r="L35" s="245">
        <v>0.7</v>
      </c>
      <c r="M35" s="245">
        <v>11.895060471834199</v>
      </c>
      <c r="N35" s="245"/>
    </row>
    <row r="36" spans="2:14">
      <c r="B36" t="s">
        <v>356</v>
      </c>
      <c r="C36" t="s">
        <v>171</v>
      </c>
      <c r="D36" t="s">
        <v>78</v>
      </c>
      <c r="E36" t="s">
        <v>433</v>
      </c>
      <c r="F36" s="245"/>
      <c r="G36" s="245"/>
      <c r="H36" s="245"/>
      <c r="I36" s="245">
        <v>0</v>
      </c>
      <c r="J36" s="245">
        <v>0</v>
      </c>
      <c r="K36" s="245">
        <v>0</v>
      </c>
      <c r="L36" s="245">
        <v>0</v>
      </c>
      <c r="M36" s="245">
        <v>0</v>
      </c>
      <c r="N36" s="245"/>
    </row>
    <row r="37" spans="2:14">
      <c r="B37" t="s">
        <v>402</v>
      </c>
      <c r="C37" t="s">
        <v>406</v>
      </c>
      <c r="D37" t="s">
        <v>405</v>
      </c>
      <c r="E37" t="s">
        <v>433</v>
      </c>
      <c r="F37" s="245"/>
      <c r="G37" s="245"/>
      <c r="H37" s="245">
        <v>188.178</v>
      </c>
      <c r="I37" s="245">
        <v>185.50899999999999</v>
      </c>
      <c r="J37" s="245">
        <v>183.04499999999999</v>
      </c>
      <c r="K37" s="245">
        <v>182.81399999999999</v>
      </c>
      <c r="L37" s="245">
        <v>182.102</v>
      </c>
      <c r="M37" s="245">
        <v>181.44499999999999</v>
      </c>
      <c r="N37" s="245"/>
    </row>
    <row r="38" spans="2:14">
      <c r="B38" t="s">
        <v>352</v>
      </c>
      <c r="C38" t="s">
        <v>59</v>
      </c>
      <c r="D38" t="s">
        <v>405</v>
      </c>
      <c r="E38" t="s">
        <v>433</v>
      </c>
      <c r="F38" s="245"/>
      <c r="G38" s="245"/>
      <c r="H38" s="245"/>
      <c r="I38" s="245">
        <v>0</v>
      </c>
      <c r="J38" s="245">
        <v>0</v>
      </c>
      <c r="K38" s="245">
        <v>0</v>
      </c>
      <c r="L38" s="245">
        <v>0</v>
      </c>
      <c r="M38" s="245">
        <v>0</v>
      </c>
      <c r="N38" s="245"/>
    </row>
    <row r="39" spans="2:14">
      <c r="B39" t="s">
        <v>346</v>
      </c>
      <c r="C39" t="s">
        <v>340</v>
      </c>
      <c r="D39" t="s">
        <v>405</v>
      </c>
      <c r="E39" t="s">
        <v>433</v>
      </c>
      <c r="F39" s="245"/>
      <c r="G39" s="245"/>
      <c r="H39" s="245"/>
      <c r="I39" s="245">
        <v>48.545000000000002</v>
      </c>
      <c r="J39" s="245">
        <v>47.8</v>
      </c>
      <c r="K39" s="245">
        <v>46.94</v>
      </c>
      <c r="L39" s="245">
        <v>46.084000000000003</v>
      </c>
      <c r="M39" s="245">
        <v>45.408000000000001</v>
      </c>
      <c r="N39" s="245"/>
    </row>
    <row r="40" spans="2:14">
      <c r="B40" t="s">
        <v>347</v>
      </c>
      <c r="C40" t="s">
        <v>341</v>
      </c>
      <c r="D40" t="s">
        <v>405</v>
      </c>
      <c r="E40" t="s">
        <v>433</v>
      </c>
      <c r="F40" s="245"/>
      <c r="G40" s="245"/>
      <c r="H40" s="245"/>
      <c r="I40" s="245">
        <v>18.14</v>
      </c>
      <c r="J40" s="245">
        <v>20.219000000000001</v>
      </c>
      <c r="K40" s="245">
        <v>22.327000000000002</v>
      </c>
      <c r="L40" s="245">
        <v>23.175999999999998</v>
      </c>
      <c r="M40" s="245">
        <v>24.091000000000001</v>
      </c>
      <c r="N40" s="245"/>
    </row>
    <row r="41" spans="2:14">
      <c r="B41" t="s">
        <v>348</v>
      </c>
      <c r="C41" t="s">
        <v>342</v>
      </c>
      <c r="D41" t="s">
        <v>405</v>
      </c>
      <c r="E41" t="s">
        <v>433</v>
      </c>
      <c r="F41" s="245"/>
      <c r="G41" s="245"/>
      <c r="H41" s="245"/>
      <c r="I41" s="245">
        <v>29.373999999999999</v>
      </c>
      <c r="J41" s="245">
        <v>29.032</v>
      </c>
      <c r="K41" s="245">
        <v>28.268999999999998</v>
      </c>
      <c r="L41" s="245">
        <v>27.266999999999999</v>
      </c>
      <c r="M41" s="245">
        <v>26.065000000000001</v>
      </c>
      <c r="N41" s="245"/>
    </row>
    <row r="42" spans="2:14">
      <c r="B42" t="s">
        <v>349</v>
      </c>
      <c r="C42" t="s">
        <v>343</v>
      </c>
      <c r="D42" t="s">
        <v>405</v>
      </c>
      <c r="E42" t="s">
        <v>433</v>
      </c>
      <c r="F42" s="245"/>
      <c r="G42" s="245"/>
      <c r="H42" s="245"/>
      <c r="I42" s="245">
        <v>11.779</v>
      </c>
      <c r="J42" s="245">
        <v>13.238</v>
      </c>
      <c r="K42" s="245">
        <v>14.968</v>
      </c>
      <c r="L42" s="245">
        <v>15.521000000000001</v>
      </c>
      <c r="M42" s="245">
        <v>15.99</v>
      </c>
      <c r="N42" s="245"/>
    </row>
    <row r="43" spans="2:14">
      <c r="B43" t="s">
        <v>350</v>
      </c>
      <c r="C43" t="s">
        <v>344</v>
      </c>
      <c r="D43" t="s">
        <v>405</v>
      </c>
      <c r="E43" t="s">
        <v>433</v>
      </c>
      <c r="F43" s="245"/>
      <c r="G43" s="245"/>
      <c r="H43" s="245"/>
      <c r="I43" s="245">
        <v>1933.723</v>
      </c>
      <c r="J43" s="245">
        <v>1891.1880000000001</v>
      </c>
      <c r="K43" s="245">
        <v>1843.48</v>
      </c>
      <c r="L43" s="245">
        <v>1793.423</v>
      </c>
      <c r="M43" s="245">
        <v>1746.1949999999999</v>
      </c>
      <c r="N43" s="245"/>
    </row>
    <row r="44" spans="2:14">
      <c r="B44" t="s">
        <v>351</v>
      </c>
      <c r="C44" t="s">
        <v>345</v>
      </c>
      <c r="D44" t="s">
        <v>405</v>
      </c>
      <c r="E44" t="s">
        <v>433</v>
      </c>
      <c r="F44" s="245"/>
      <c r="G44" s="245"/>
      <c r="H44" s="245"/>
      <c r="I44" s="245">
        <v>843.80899999999997</v>
      </c>
      <c r="J44" s="245">
        <v>895.49900000000002</v>
      </c>
      <c r="K44" s="245">
        <v>950.42600000000004</v>
      </c>
      <c r="L44" s="245">
        <v>1006.773</v>
      </c>
      <c r="M44" s="245">
        <v>1055.547</v>
      </c>
      <c r="N44" s="245"/>
    </row>
    <row r="45" spans="2:14">
      <c r="B45" t="s">
        <v>18</v>
      </c>
      <c r="C45" t="s">
        <v>81</v>
      </c>
      <c r="D45" t="s">
        <v>362</v>
      </c>
      <c r="E45" t="s">
        <v>433</v>
      </c>
      <c r="F45" s="249"/>
      <c r="G45" s="249"/>
      <c r="H45" s="249"/>
      <c r="I45" s="249">
        <v>0.28000000000000003</v>
      </c>
      <c r="J45" s="249">
        <v>0.26</v>
      </c>
      <c r="K45" s="249">
        <v>0.24</v>
      </c>
      <c r="L45" s="249">
        <v>0.23</v>
      </c>
      <c r="M45" s="249">
        <v>0.21</v>
      </c>
      <c r="N45" s="249"/>
    </row>
    <row r="46" spans="2:14">
      <c r="B46" t="s">
        <v>17</v>
      </c>
      <c r="C46" t="s">
        <v>305</v>
      </c>
      <c r="D46" t="s">
        <v>365</v>
      </c>
      <c r="E46" t="s">
        <v>433</v>
      </c>
      <c r="F46" s="250">
        <v>208.59166666666599</v>
      </c>
      <c r="G46" s="250">
        <v>214.78333333333299</v>
      </c>
      <c r="H46" s="250">
        <v>212.98333333333301</v>
      </c>
      <c r="I46" s="250">
        <v>217.23333333333301</v>
      </c>
      <c r="J46" s="250">
        <v>223.74350000000001</v>
      </c>
      <c r="K46" s="250">
        <v>229.78457449999999</v>
      </c>
      <c r="L46" s="250">
        <v>235.52918886249901</v>
      </c>
      <c r="M46" s="250">
        <v>241.41741858406201</v>
      </c>
      <c r="N46" s="250"/>
    </row>
    <row r="47" spans="2:14">
      <c r="B47" t="s">
        <v>407</v>
      </c>
      <c r="C47" t="s">
        <v>305</v>
      </c>
      <c r="D47" t="s">
        <v>361</v>
      </c>
      <c r="E47" t="s">
        <v>433</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433</v>
      </c>
      <c r="F48" s="249">
        <v>5.1002499999999999E-2</v>
      </c>
      <c r="G48" s="249">
        <v>4.4999999999999998E-2</v>
      </c>
      <c r="H48" s="249">
        <v>4.4999999999999998E-2</v>
      </c>
      <c r="I48" s="249">
        <v>4.4999999999999998E-2</v>
      </c>
      <c r="J48" s="249">
        <v>4.4999999999999998E-2</v>
      </c>
      <c r="K48" s="249">
        <v>4.4999999999999998E-2</v>
      </c>
      <c r="L48" s="249">
        <v>4.4999999999999998E-2</v>
      </c>
      <c r="M48" s="249">
        <v>4.4999999999999998E-2</v>
      </c>
      <c r="N48" s="249"/>
    </row>
    <row r="49" spans="2:14">
      <c r="B49" t="s">
        <v>324</v>
      </c>
      <c r="C49" t="s">
        <v>328</v>
      </c>
      <c r="D49" t="s">
        <v>362</v>
      </c>
      <c r="E49" t="s">
        <v>433</v>
      </c>
      <c r="F49" s="249"/>
      <c r="G49" s="249"/>
      <c r="H49" s="249"/>
      <c r="I49" s="249">
        <v>0.42</v>
      </c>
      <c r="J49" s="249">
        <v>0.42</v>
      </c>
      <c r="K49" s="249">
        <v>0.42</v>
      </c>
      <c r="L49" s="249">
        <v>0.42</v>
      </c>
      <c r="M49" s="249">
        <v>0.42</v>
      </c>
      <c r="N49" s="249"/>
    </row>
    <row r="50" spans="2:14">
      <c r="B50" t="s">
        <v>325</v>
      </c>
      <c r="C50" t="s">
        <v>329</v>
      </c>
      <c r="D50" t="s">
        <v>362</v>
      </c>
      <c r="E50" t="s">
        <v>433</v>
      </c>
      <c r="F50" s="249"/>
      <c r="G50" s="249"/>
      <c r="H50" s="249"/>
      <c r="I50" s="249">
        <v>0</v>
      </c>
      <c r="J50" s="249">
        <v>0.5</v>
      </c>
      <c r="K50" s="249">
        <v>1</v>
      </c>
      <c r="L50" s="249">
        <v>1.5</v>
      </c>
      <c r="M50" s="249">
        <v>0</v>
      </c>
      <c r="N50" s="249"/>
    </row>
    <row r="51" spans="2:14">
      <c r="B51" t="s">
        <v>327</v>
      </c>
      <c r="C51" t="s">
        <v>168</v>
      </c>
      <c r="D51" t="s">
        <v>361</v>
      </c>
      <c r="E51" t="s">
        <v>433</v>
      </c>
      <c r="F51" s="251">
        <v>50</v>
      </c>
      <c r="G51" s="251"/>
      <c r="H51" s="251"/>
      <c r="I51" s="251"/>
      <c r="J51" s="251"/>
      <c r="K51" s="251"/>
      <c r="L51" s="251"/>
      <c r="M51" s="251"/>
      <c r="N51" s="251"/>
    </row>
    <row r="52" spans="2:14">
      <c r="B52" t="s">
        <v>403</v>
      </c>
      <c r="C52" t="s">
        <v>395</v>
      </c>
      <c r="D52">
        <v>0</v>
      </c>
      <c r="E52" t="s">
        <v>433</v>
      </c>
      <c r="F52" s="245">
        <v>2772.9630000000002</v>
      </c>
      <c r="G52" s="245">
        <v>2806.2379999999998</v>
      </c>
      <c r="H52" s="245">
        <v>2825.6789999999901</v>
      </c>
      <c r="I52" s="245">
        <v>2844.2159999999999</v>
      </c>
      <c r="J52" s="245">
        <v>2846.9359999999901</v>
      </c>
      <c r="K52" s="245"/>
      <c r="L52" s="245"/>
      <c r="M52" s="245"/>
      <c r="N52" s="245"/>
    </row>
    <row r="53" spans="2:14">
      <c r="B53" t="s">
        <v>404</v>
      </c>
      <c r="C53" t="s">
        <v>396</v>
      </c>
      <c r="D53">
        <v>0</v>
      </c>
      <c r="E53" t="s">
        <v>433</v>
      </c>
      <c r="F53" s="245">
        <v>2759.7460000000001</v>
      </c>
      <c r="G53" s="245">
        <v>2781.57447</v>
      </c>
      <c r="H53" s="245">
        <v>2800.52</v>
      </c>
      <c r="I53" s="245">
        <v>2818.6840000000002</v>
      </c>
      <c r="J53" s="245">
        <v>2828.9560000000001</v>
      </c>
      <c r="K53" s="245">
        <v>2837.143</v>
      </c>
      <c r="L53" s="245"/>
      <c r="M53" s="245"/>
      <c r="N53" s="245"/>
    </row>
    <row r="54" spans="2:14">
      <c r="B54" t="s">
        <v>385</v>
      </c>
      <c r="C54" t="s">
        <v>366</v>
      </c>
      <c r="D54" t="s">
        <v>362</v>
      </c>
      <c r="E54" t="s">
        <v>433</v>
      </c>
      <c r="F54" s="249"/>
      <c r="G54" s="249"/>
      <c r="H54" s="249"/>
      <c r="I54" s="249"/>
      <c r="J54" s="249"/>
      <c r="K54" s="249"/>
      <c r="L54" s="249"/>
      <c r="M54" s="249"/>
      <c r="N54" s="249">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123.438675865676</v>
      </c>
      <c r="I7" s="162">
        <f>F_Inputs!I4</f>
        <v>118.340817214041</v>
      </c>
      <c r="J7" s="162">
        <f>F_Inputs!J4</f>
        <v>120.235633321024</v>
      </c>
      <c r="K7" s="162">
        <f>F_Inputs!K4</f>
        <v>121.067257415496</v>
      </c>
      <c r="L7" s="162">
        <f>F_Inputs!L4</f>
        <v>122.07404652570401</v>
      </c>
      <c r="M7" s="162">
        <f>F_Inputs!M4</f>
        <v>123.20413129160001</v>
      </c>
    </row>
    <row r="8" spans="1:14" ht="15">
      <c r="A8" s="9"/>
      <c r="B8" s="232" t="s">
        <v>317</v>
      </c>
      <c r="C8" s="118" t="str">
        <f>"Water: Non-households – over "&amp;Threshold&amp;"ML threshold"</f>
        <v>Water: Non-households – over 50ML threshold</v>
      </c>
      <c r="D8" s="232" t="s">
        <v>238</v>
      </c>
      <c r="E8" s="232"/>
      <c r="F8" s="118"/>
      <c r="G8" s="160"/>
      <c r="H8" s="162">
        <f>F_Inputs!H5</f>
        <v>24.1609462636793</v>
      </c>
      <c r="I8" s="162">
        <f>F_Inputs!I5</f>
        <v>22.458232872597101</v>
      </c>
      <c r="J8" s="162">
        <f>F_Inputs!J5</f>
        <v>22.5142522580716</v>
      </c>
      <c r="K8" s="162">
        <f>F_Inputs!K5</f>
        <v>22.6654355866978</v>
      </c>
      <c r="L8" s="162">
        <f>F_Inputs!L5</f>
        <v>22.753312916337102</v>
      </c>
      <c r="M8" s="162">
        <f>F_Inputs!M5</f>
        <v>22.872793216728301</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609.93646609524501</v>
      </c>
      <c r="J10" s="248">
        <f>F_Inputs!J6+F_Inputs!J7</f>
        <v>628.62913998022702</v>
      </c>
      <c r="K10" s="248">
        <f>F_Inputs!K6+F_Inputs!K7</f>
        <v>643.57172260059201</v>
      </c>
      <c r="L10" s="248">
        <f>F_Inputs!L6+F_Inputs!L7</f>
        <v>658.69646648046501</v>
      </c>
      <c r="M10" s="248">
        <f>F_Inputs!M6+F_Inputs!M7</f>
        <v>672.79589436384595</v>
      </c>
    </row>
    <row r="11" spans="1:14" ht="15">
      <c r="A11" s="9"/>
      <c r="B11" s="232" t="s">
        <v>27</v>
      </c>
      <c r="C11" s="122" t="s">
        <v>39</v>
      </c>
      <c r="D11" s="122" t="s">
        <v>239</v>
      </c>
      <c r="E11" s="122"/>
      <c r="F11" s="118"/>
      <c r="G11" s="160"/>
      <c r="H11" s="162">
        <f>F_Inputs!H8</f>
        <v>2031.9350413023301</v>
      </c>
      <c r="I11" s="162">
        <f>F_Inputs!I8</f>
        <v>1981.22905993993</v>
      </c>
      <c r="J11" s="162">
        <f>F_Inputs!J8</f>
        <v>1930.1786413970799</v>
      </c>
      <c r="K11" s="162">
        <f>F_Inputs!K8</f>
        <v>1880.87279807287</v>
      </c>
      <c r="L11" s="162">
        <f>F_Inputs!L8</f>
        <v>1833.7604359049201</v>
      </c>
      <c r="M11" s="162">
        <f>F_Inputs!M8</f>
        <v>1789.8266984613299</v>
      </c>
    </row>
    <row r="12" spans="1:14" ht="15">
      <c r="A12" s="9"/>
      <c r="B12" s="232" t="s">
        <v>180</v>
      </c>
      <c r="C12" s="122" t="s">
        <v>37</v>
      </c>
      <c r="D12" s="122" t="s">
        <v>239</v>
      </c>
      <c r="E12" s="122"/>
      <c r="F12" s="118"/>
      <c r="G12" s="160"/>
      <c r="H12" s="162">
        <f>F_Inputs!H9</f>
        <v>790.84111056573897</v>
      </c>
      <c r="I12" s="162">
        <f>F_Inputs!I9</f>
        <v>852.92824610024502</v>
      </c>
      <c r="J12" s="162">
        <f>F_Inputs!J9</f>
        <v>916.15784024761399</v>
      </c>
      <c r="K12" s="162">
        <f>F_Inputs!K9</f>
        <v>979.35109676415095</v>
      </c>
      <c r="L12" s="162">
        <f>F_Inputs!L9</f>
        <v>1042.0703251566799</v>
      </c>
      <c r="M12" s="162">
        <f>F_Inputs!M9</f>
        <v>1103.3415973015301</v>
      </c>
    </row>
    <row r="13" spans="1:14" ht="15">
      <c r="A13" s="9"/>
      <c r="B13" s="232" t="s">
        <v>22</v>
      </c>
      <c r="C13" s="121" t="s">
        <v>104</v>
      </c>
      <c r="D13" s="122" t="s">
        <v>239</v>
      </c>
      <c r="E13" s="122"/>
      <c r="F13" s="118"/>
      <c r="G13" s="160"/>
      <c r="H13" s="162">
        <f>F_Inputs!H10</f>
        <v>19.568000000000001</v>
      </c>
      <c r="I13" s="162">
        <f>F_Inputs!I10</f>
        <v>18.649000000000001</v>
      </c>
      <c r="J13" s="162">
        <f>F_Inputs!J10</f>
        <v>17.73</v>
      </c>
      <c r="K13" s="162">
        <f>F_Inputs!K10</f>
        <v>16.811</v>
      </c>
      <c r="L13" s="162">
        <f>F_Inputs!L10</f>
        <v>15.891999999999999</v>
      </c>
      <c r="M13" s="162">
        <f>F_Inputs!M10</f>
        <v>14.973000000000001</v>
      </c>
    </row>
    <row r="14" spans="1:14" ht="15">
      <c r="A14" s="9"/>
      <c r="B14" s="232" t="s">
        <v>23</v>
      </c>
      <c r="C14" s="121" t="s">
        <v>105</v>
      </c>
      <c r="D14" s="122" t="s">
        <v>239</v>
      </c>
      <c r="E14" s="122"/>
      <c r="F14" s="118"/>
      <c r="G14" s="160"/>
      <c r="H14" s="162">
        <f>F_Inputs!H11</f>
        <v>161.42473149808899</v>
      </c>
      <c r="I14" s="162">
        <f>F_Inputs!I11</f>
        <v>162.717382415971</v>
      </c>
      <c r="J14" s="162">
        <f>F_Inputs!J11</f>
        <v>164.15710708570501</v>
      </c>
      <c r="K14" s="162">
        <f>F_Inputs!K11</f>
        <v>165.74590550729201</v>
      </c>
      <c r="L14" s="162">
        <f>F_Inputs!L11</f>
        <v>167.48177768073</v>
      </c>
      <c r="M14" s="162">
        <f>F_Inputs!M11</f>
        <v>169.366723606021</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262.11791729405201</v>
      </c>
      <c r="I16" s="162">
        <f>F_Inputs!I12</f>
        <v>233.64629805644799</v>
      </c>
      <c r="J16" s="162">
        <f>F_Inputs!J12</f>
        <v>232.89045753732501</v>
      </c>
      <c r="K16" s="162">
        <f>F_Inputs!K12</f>
        <v>241.34559944160901</v>
      </c>
      <c r="L16" s="162">
        <f>F_Inputs!L12</f>
        <v>251.74510073105901</v>
      </c>
      <c r="M16" s="162">
        <f>F_Inputs!M12</f>
        <v>263.18377104056299</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44.587384159785302</v>
      </c>
      <c r="I17" s="162">
        <f>F_Inputs!I13</f>
        <v>38.0145396766017</v>
      </c>
      <c r="J17" s="162">
        <f>F_Inputs!J13</f>
        <v>36.9364087309133</v>
      </c>
      <c r="K17" s="162">
        <f>F_Inputs!K13</f>
        <v>37.6315190994791</v>
      </c>
      <c r="L17" s="162">
        <f>F_Inputs!L13</f>
        <v>38.671719650434603</v>
      </c>
      <c r="M17" s="162">
        <f>F_Inputs!M13</f>
        <v>39.9561138162384</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761.90149263515605</v>
      </c>
      <c r="J19" s="163">
        <f>F_Inputs!J14+F_Inputs!J15</f>
        <v>765.88681680342995</v>
      </c>
      <c r="K19" s="163">
        <f>F_Inputs!K14+F_Inputs!K15</f>
        <v>796.72579255945504</v>
      </c>
      <c r="L19" s="163">
        <f>F_Inputs!L14+F_Inputs!L15</f>
        <v>833.93273446174601</v>
      </c>
      <c r="M19" s="163">
        <f>F_Inputs!M14+F_Inputs!M15</f>
        <v>874.26062250313305</v>
      </c>
    </row>
    <row r="20" spans="1:13" s="5" customFormat="1" ht="15">
      <c r="A20" s="140"/>
      <c r="B20" s="118" t="s">
        <v>28</v>
      </c>
      <c r="C20" s="122" t="s">
        <v>103</v>
      </c>
      <c r="D20" s="122" t="s">
        <v>239</v>
      </c>
      <c r="E20" s="122"/>
      <c r="F20" s="118"/>
      <c r="G20" s="160"/>
      <c r="H20" s="163">
        <f>F_Inputs!H16</f>
        <v>2013.45904130233</v>
      </c>
      <c r="I20" s="162">
        <f>F_Inputs!I16</f>
        <v>1962.7530599399299</v>
      </c>
      <c r="J20" s="162">
        <f>F_Inputs!J16</f>
        <v>1911.70264139708</v>
      </c>
      <c r="K20" s="162">
        <f>F_Inputs!K16</f>
        <v>1862.3967980728701</v>
      </c>
      <c r="L20" s="162">
        <f>F_Inputs!L16</f>
        <v>1815.28443590492</v>
      </c>
      <c r="M20" s="162">
        <f>F_Inputs!M16</f>
        <v>1771.35069846133</v>
      </c>
    </row>
    <row r="21" spans="1:13" s="5" customFormat="1" ht="15">
      <c r="A21" s="140"/>
      <c r="B21" s="118" t="s">
        <v>29</v>
      </c>
      <c r="C21" s="122" t="s">
        <v>35</v>
      </c>
      <c r="D21" s="122" t="s">
        <v>239</v>
      </c>
      <c r="E21" s="122"/>
      <c r="F21" s="118"/>
      <c r="G21" s="160"/>
      <c r="H21" s="162">
        <f>F_Inputs!H17</f>
        <v>785.66411056573895</v>
      </c>
      <c r="I21" s="162">
        <f>F_Inputs!I17</f>
        <v>847.751246100245</v>
      </c>
      <c r="J21" s="162">
        <f>F_Inputs!J17</f>
        <v>910.98084024761397</v>
      </c>
      <c r="K21" s="162">
        <f>F_Inputs!K17</f>
        <v>974.17409676415105</v>
      </c>
      <c r="L21" s="162">
        <f>F_Inputs!L17</f>
        <v>1036.89332515668</v>
      </c>
      <c r="M21" s="162">
        <f>F_Inputs!M17</f>
        <v>1098.16459730153</v>
      </c>
    </row>
    <row r="22" spans="1:13" s="5" customFormat="1" ht="15">
      <c r="A22" s="140"/>
      <c r="B22" s="118" t="s">
        <v>24</v>
      </c>
      <c r="C22" s="121" t="s">
        <v>38</v>
      </c>
      <c r="D22" s="122" t="s">
        <v>239</v>
      </c>
      <c r="E22" s="122"/>
      <c r="F22" s="118"/>
      <c r="G22" s="160"/>
      <c r="H22" s="163">
        <f>F_Inputs!H18</f>
        <v>18.962</v>
      </c>
      <c r="I22" s="162">
        <f>F_Inputs!I18</f>
        <v>18.042999999999999</v>
      </c>
      <c r="J22" s="162">
        <f>F_Inputs!J18</f>
        <v>17.123999999999999</v>
      </c>
      <c r="K22" s="162">
        <f>F_Inputs!K18</f>
        <v>16.204999999999998</v>
      </c>
      <c r="L22" s="162">
        <f>F_Inputs!L18</f>
        <v>15.286</v>
      </c>
      <c r="M22" s="162">
        <f>F_Inputs!M18</f>
        <v>14.367000000000001</v>
      </c>
    </row>
    <row r="23" spans="1:13" s="5" customFormat="1" ht="15">
      <c r="A23" s="140"/>
      <c r="B23" s="118" t="s">
        <v>25</v>
      </c>
      <c r="C23" s="121" t="s">
        <v>41</v>
      </c>
      <c r="D23" s="122" t="s">
        <v>239</v>
      </c>
      <c r="E23" s="122"/>
      <c r="F23" s="118"/>
      <c r="G23" s="160"/>
      <c r="H23" s="162">
        <f>F_Inputs!H19</f>
        <v>169.03073149808901</v>
      </c>
      <c r="I23" s="162">
        <f>F_Inputs!I19</f>
        <v>170.323382415971</v>
      </c>
      <c r="J23" s="162">
        <f>F_Inputs!J19</f>
        <v>171.763107085705</v>
      </c>
      <c r="K23" s="162">
        <f>F_Inputs!K19</f>
        <v>173.351905507292</v>
      </c>
      <c r="L23" s="162">
        <f>F_Inputs!L19</f>
        <v>175.08777768073</v>
      </c>
      <c r="M23" s="162">
        <f>F_Inputs!M19</f>
        <v>176.97272360602099</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361.63099999999997</v>
      </c>
      <c r="J27" s="165">
        <f>F_Inputs!J20</f>
        <v>376.62299999999999</v>
      </c>
      <c r="K27" s="165">
        <f>F_Inputs!K20</f>
        <v>378.25700000000001</v>
      </c>
      <c r="L27" s="165">
        <f>F_Inputs!L20</f>
        <v>378.49</v>
      </c>
      <c r="M27" s="165">
        <f>F_Inputs!M20</f>
        <v>373.28953174296402</v>
      </c>
    </row>
    <row r="28" spans="1:13" ht="15">
      <c r="A28" s="9"/>
      <c r="B28" s="118" t="s">
        <v>4</v>
      </c>
      <c r="C28" s="125" t="s">
        <v>46</v>
      </c>
      <c r="D28" s="123" t="s">
        <v>238</v>
      </c>
      <c r="E28" s="123"/>
      <c r="F28" s="118"/>
      <c r="G28" s="118"/>
      <c r="H28" s="118"/>
      <c r="I28" s="165">
        <f>F_Inputs!I21</f>
        <v>4.7850000000000001</v>
      </c>
      <c r="J28" s="165">
        <f>F_Inputs!J21</f>
        <v>4.59</v>
      </c>
      <c r="K28" s="165">
        <f>F_Inputs!K21</f>
        <v>4.5339999999999998</v>
      </c>
      <c r="L28" s="165">
        <f>F_Inputs!L21</f>
        <v>4.4370000000000003</v>
      </c>
      <c r="M28" s="165">
        <f>F_Inputs!M21</f>
        <v>4.3930557117535596</v>
      </c>
    </row>
    <row r="29" spans="1:13" ht="15">
      <c r="A29" s="9"/>
      <c r="B29" s="118" t="s">
        <v>5</v>
      </c>
      <c r="C29" s="125" t="s">
        <v>47</v>
      </c>
      <c r="D29" s="123" t="s">
        <v>238</v>
      </c>
      <c r="E29" s="123"/>
      <c r="F29" s="118"/>
      <c r="G29" s="118"/>
      <c r="H29" s="118"/>
      <c r="I29" s="165">
        <f>F_Inputs!I22</f>
        <v>130.76900000000001</v>
      </c>
      <c r="J29" s="165">
        <f>F_Inputs!J22</f>
        <v>141.24299999999999</v>
      </c>
      <c r="K29" s="165">
        <f>F_Inputs!K22</f>
        <v>157.98099999999999</v>
      </c>
      <c r="L29" s="165">
        <f>F_Inputs!L22</f>
        <v>174.495</v>
      </c>
      <c r="M29" s="165">
        <f>F_Inputs!M22</f>
        <v>186.482883372651</v>
      </c>
    </row>
    <row r="30" spans="1:13" ht="15">
      <c r="A30" s="9"/>
      <c r="B30" s="118" t="s">
        <v>6</v>
      </c>
      <c r="C30" s="125" t="s">
        <v>48</v>
      </c>
      <c r="D30" s="123" t="s">
        <v>238</v>
      </c>
      <c r="E30" s="123"/>
      <c r="F30" s="118"/>
      <c r="G30" s="118"/>
      <c r="H30" s="118"/>
      <c r="I30" s="165">
        <f>F_Inputs!I23</f>
        <v>126.557</v>
      </c>
      <c r="J30" s="165">
        <f>F_Inputs!J23</f>
        <v>127.801</v>
      </c>
      <c r="K30" s="165">
        <f>F_Inputs!K23</f>
        <v>132.124</v>
      </c>
      <c r="L30" s="165">
        <f>F_Inputs!L23</f>
        <v>137.17500000000001</v>
      </c>
      <c r="M30" s="165">
        <f>F_Inputs!M23</f>
        <v>137.46819380886299</v>
      </c>
    </row>
    <row r="31" spans="1:13" ht="15">
      <c r="A31" s="9"/>
      <c r="B31" s="118" t="s">
        <v>7</v>
      </c>
      <c r="C31" s="118" t="s">
        <v>49</v>
      </c>
      <c r="D31" s="123" t="s">
        <v>238</v>
      </c>
      <c r="E31" s="123"/>
      <c r="F31" s="166"/>
      <c r="G31" s="167"/>
      <c r="H31" s="162">
        <f>F_Inputs!H24</f>
        <v>0.67400000000000004</v>
      </c>
      <c r="I31" s="162">
        <f>F_Inputs!I24</f>
        <v>0.94499999999999995</v>
      </c>
      <c r="J31" s="162">
        <f>F_Inputs!J24</f>
        <v>0.85099999999999998</v>
      </c>
      <c r="K31" s="162">
        <f>F_Inputs!K24</f>
        <v>1.6E-2</v>
      </c>
      <c r="L31" s="162">
        <f>F_Inputs!L24</f>
        <v>0.77400000000000002</v>
      </c>
      <c r="M31" s="162">
        <f>F_Inputs!M24</f>
        <v>0.53300000000000003</v>
      </c>
    </row>
    <row r="32" spans="1:13" s="3" customFormat="1" ht="15">
      <c r="A32" s="128"/>
      <c r="B32" s="126" t="s">
        <v>331</v>
      </c>
      <c r="C32" s="118" t="s">
        <v>233</v>
      </c>
      <c r="D32" s="123" t="s">
        <v>238</v>
      </c>
      <c r="E32" s="123"/>
      <c r="F32" s="166"/>
      <c r="G32" s="167"/>
      <c r="H32" s="161"/>
      <c r="I32" s="162">
        <f>F_Inputs!I25</f>
        <v>0.34100000000000003</v>
      </c>
      <c r="J32" s="162">
        <f>F_Inputs!J25</f>
        <v>0.45600000000000002</v>
      </c>
      <c r="K32" s="162">
        <f>F_Inputs!K25</f>
        <v>0.55000000000000004</v>
      </c>
      <c r="L32" s="162">
        <f>F_Inputs!L25</f>
        <v>0.66100000000000003</v>
      </c>
      <c r="M32" s="162">
        <f>F_Inputs!M25</f>
        <v>9.3483361860658203</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2825.6789999999901</v>
      </c>
      <c r="I35" s="244">
        <f>+F_Inputs!I39+F_Inputs!I40+F_Inputs!I43+F_Inputs!I44</f>
        <v>2844.2169999999996</v>
      </c>
      <c r="J35" s="244">
        <f>+F_Inputs!J39+F_Inputs!J40+F_Inputs!J43+F_Inputs!J44</f>
        <v>2854.7060000000001</v>
      </c>
      <c r="K35" s="244">
        <f>+F_Inputs!K39+F_Inputs!K40+F_Inputs!K43+F_Inputs!K44</f>
        <v>2863.1730000000002</v>
      </c>
      <c r="L35" s="244">
        <f>+F_Inputs!L39+F_Inputs!L40+F_Inputs!L43+F_Inputs!L44</f>
        <v>2869.4560000000001</v>
      </c>
      <c r="M35" s="244">
        <f>+F_Inputs!M39+F_Inputs!M40+F_Inputs!M43+F_Inputs!M44</f>
        <v>2871.241</v>
      </c>
    </row>
    <row r="36" spans="1:14" ht="15">
      <c r="A36" s="9"/>
      <c r="B36" s="118" t="s">
        <v>8</v>
      </c>
      <c r="C36" s="125" t="s">
        <v>52</v>
      </c>
      <c r="D36" s="122" t="s">
        <v>239</v>
      </c>
      <c r="E36" s="122"/>
      <c r="F36" s="118"/>
      <c r="G36" s="161"/>
      <c r="H36" s="162">
        <f>F_Inputs!H27</f>
        <v>176.333</v>
      </c>
      <c r="I36" s="162">
        <f>F_Inputs!I27</f>
        <v>174.196</v>
      </c>
      <c r="J36" s="162">
        <f>F_Inputs!J27</f>
        <v>173.14099999999999</v>
      </c>
      <c r="K36" s="162">
        <f>F_Inputs!K27</f>
        <v>172.93799999999999</v>
      </c>
      <c r="L36" s="162">
        <f>F_Inputs!L27</f>
        <v>172.155</v>
      </c>
      <c r="M36" s="162">
        <f>F_Inputs!M27</f>
        <v>171.05199999999999</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387.01799999999997</v>
      </c>
      <c r="J39" s="165">
        <f>F_Inputs!J29</f>
        <v>389.74900000000002</v>
      </c>
      <c r="K39" s="165">
        <f>F_Inputs!K29</f>
        <v>395.49700000000001</v>
      </c>
      <c r="L39" s="165">
        <f>F_Inputs!L29</f>
        <v>404.27699999999999</v>
      </c>
      <c r="M39" s="165">
        <f>F_Inputs!M29</f>
        <v>407.99200258658198</v>
      </c>
    </row>
    <row r="40" spans="1:14" s="5" customFormat="1" ht="15">
      <c r="A40" s="140"/>
      <c r="B40" s="118" t="s">
        <v>11</v>
      </c>
      <c r="C40" s="125" t="s">
        <v>54</v>
      </c>
      <c r="D40" s="123" t="s">
        <v>238</v>
      </c>
      <c r="E40" s="123"/>
      <c r="F40" s="118"/>
      <c r="G40" s="161"/>
      <c r="H40" s="161"/>
      <c r="I40" s="165">
        <f>F_Inputs!I30</f>
        <v>5.9619999999999997</v>
      </c>
      <c r="J40" s="165">
        <f>F_Inputs!J30</f>
        <v>5.71</v>
      </c>
      <c r="K40" s="165">
        <f>F_Inputs!K30</f>
        <v>5.4349999999999996</v>
      </c>
      <c r="L40" s="165">
        <f>F_Inputs!L30</f>
        <v>5.8239999999999998</v>
      </c>
      <c r="M40" s="165">
        <f>F_Inputs!M30</f>
        <v>6.2817295954061301</v>
      </c>
    </row>
    <row r="41" spans="1:14" s="5" customFormat="1" ht="15">
      <c r="A41" s="140"/>
      <c r="B41" s="118" t="s">
        <v>12</v>
      </c>
      <c r="C41" s="125" t="s">
        <v>55</v>
      </c>
      <c r="D41" s="123" t="s">
        <v>238</v>
      </c>
      <c r="E41" s="123"/>
      <c r="F41" s="118"/>
      <c r="G41" s="161"/>
      <c r="H41" s="161"/>
      <c r="I41" s="165">
        <f>F_Inputs!I31</f>
        <v>148.41499999999999</v>
      </c>
      <c r="J41" s="165">
        <f>F_Inputs!J31</f>
        <v>157.65600000000001</v>
      </c>
      <c r="K41" s="165">
        <f>F_Inputs!K31</f>
        <v>179.11199999999999</v>
      </c>
      <c r="L41" s="165">
        <f>F_Inputs!L31</f>
        <v>202.20099999999999</v>
      </c>
      <c r="M41" s="165">
        <f>F_Inputs!M31</f>
        <v>216.985410927803</v>
      </c>
    </row>
    <row r="42" spans="1:14" s="5" customFormat="1" ht="15">
      <c r="A42" s="140"/>
      <c r="B42" s="118" t="s">
        <v>13</v>
      </c>
      <c r="C42" s="125" t="s">
        <v>56</v>
      </c>
      <c r="D42" s="123" t="s">
        <v>238</v>
      </c>
      <c r="E42" s="123"/>
      <c r="F42" s="118"/>
      <c r="G42" s="161"/>
      <c r="H42" s="161"/>
      <c r="I42" s="165">
        <f>F_Inputs!I32</f>
        <v>210.72499999999999</v>
      </c>
      <c r="J42" s="165">
        <f>F_Inputs!J32</f>
        <v>214.70699999999999</v>
      </c>
      <c r="K42" s="165">
        <f>F_Inputs!K32</f>
        <v>229.93</v>
      </c>
      <c r="L42" s="165">
        <f>F_Inputs!L32</f>
        <v>245.33699999999999</v>
      </c>
      <c r="M42" s="165">
        <f>F_Inputs!M32</f>
        <v>252.85919883760201</v>
      </c>
    </row>
    <row r="43" spans="1:14" s="5" customFormat="1" ht="15">
      <c r="A43" s="140"/>
      <c r="B43" s="118" t="s">
        <v>10</v>
      </c>
      <c r="C43" s="125" t="s">
        <v>57</v>
      </c>
      <c r="D43" s="123" t="s">
        <v>238</v>
      </c>
      <c r="E43" s="123"/>
      <c r="F43" s="118"/>
      <c r="G43" s="161"/>
      <c r="H43" s="161"/>
      <c r="I43" s="165">
        <f>F_Inputs!I33</f>
        <v>20.638000000000002</v>
      </c>
      <c r="J43" s="165">
        <f>F_Inputs!J33</f>
        <v>19.591000000000001</v>
      </c>
      <c r="K43" s="165">
        <f>F_Inputs!K33</f>
        <v>19.175999999999998</v>
      </c>
      <c r="L43" s="165">
        <f>F_Inputs!L33</f>
        <v>21.777999999999999</v>
      </c>
      <c r="M43" s="165">
        <f>F_Inputs!M33</f>
        <v>22.389343162664201</v>
      </c>
    </row>
    <row r="44" spans="1:14" s="5" customFormat="1" ht="15">
      <c r="A44" s="140"/>
      <c r="B44" s="118" t="s">
        <v>14</v>
      </c>
      <c r="C44" s="118" t="s">
        <v>58</v>
      </c>
      <c r="D44" s="123" t="s">
        <v>238</v>
      </c>
      <c r="E44" s="123"/>
      <c r="F44" s="166"/>
      <c r="G44" s="161"/>
      <c r="H44" s="162">
        <f>F_Inputs!H34</f>
        <v>-0.29199999999999998</v>
      </c>
      <c r="I44" s="162">
        <f>F_Inputs!I34</f>
        <v>1.1890000000000001</v>
      </c>
      <c r="J44" s="162">
        <f>F_Inputs!J34</f>
        <v>1.9179999999999999</v>
      </c>
      <c r="K44" s="162">
        <f>F_Inputs!K34</f>
        <v>0.21299999999999999</v>
      </c>
      <c r="L44" s="162">
        <f>F_Inputs!L34</f>
        <v>-2.1970000000000001</v>
      </c>
      <c r="M44" s="162">
        <f>F_Inputs!M34</f>
        <v>-0.27400000000000002</v>
      </c>
    </row>
    <row r="45" spans="1:14" s="5" customFormat="1" ht="15">
      <c r="A45" s="128"/>
      <c r="B45" s="126" t="s">
        <v>355</v>
      </c>
      <c r="C45" s="118" t="s">
        <v>232</v>
      </c>
      <c r="D45" s="123" t="s">
        <v>238</v>
      </c>
      <c r="E45" s="123"/>
      <c r="F45" s="166"/>
      <c r="G45" s="167"/>
      <c r="H45" s="161"/>
      <c r="I45" s="162">
        <f>F_Inputs!I35</f>
        <v>0.35</v>
      </c>
      <c r="J45" s="162">
        <f>F_Inputs!J35</f>
        <v>0.46800000000000003</v>
      </c>
      <c r="K45" s="162">
        <f>F_Inputs!K35</f>
        <v>0.56999999999999995</v>
      </c>
      <c r="L45" s="162">
        <f>F_Inputs!L35</f>
        <v>0.7</v>
      </c>
      <c r="M45" s="162">
        <f>F_Inputs!M35</f>
        <v>11.895060471834199</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2800.52</v>
      </c>
      <c r="I48" s="244">
        <f>+F_Inputs!I41+F_Inputs!I42+F_Inputs!I43+F_Inputs!I44</f>
        <v>2818.6849999999999</v>
      </c>
      <c r="J48" s="244">
        <f>+F_Inputs!J41+F_Inputs!J42+F_Inputs!J43+F_Inputs!J44</f>
        <v>2828.9570000000003</v>
      </c>
      <c r="K48" s="244">
        <f>+F_Inputs!K41+F_Inputs!K42+F_Inputs!K43+F_Inputs!K44</f>
        <v>2837.143</v>
      </c>
      <c r="L48" s="244">
        <f>+F_Inputs!L41+F_Inputs!L42+F_Inputs!L43+F_Inputs!L44</f>
        <v>2842.9839999999999</v>
      </c>
      <c r="M48" s="244">
        <f>+F_Inputs!M41+F_Inputs!M42+F_Inputs!M43+F_Inputs!M44</f>
        <v>2843.797</v>
      </c>
    </row>
    <row r="49" spans="1:14" s="5" customFormat="1" ht="15">
      <c r="A49" s="140"/>
      <c r="B49" s="118" t="s">
        <v>16</v>
      </c>
      <c r="C49" s="125" t="s">
        <v>61</v>
      </c>
      <c r="D49" s="122" t="s">
        <v>239</v>
      </c>
      <c r="E49" s="122"/>
      <c r="F49" s="118"/>
      <c r="G49" s="161"/>
      <c r="H49" s="162">
        <f>F_Inputs!H37</f>
        <v>188.178</v>
      </c>
      <c r="I49" s="162">
        <f>F_Inputs!I37</f>
        <v>185.50899999999999</v>
      </c>
      <c r="J49" s="162">
        <f>F_Inputs!J37</f>
        <v>183.04499999999999</v>
      </c>
      <c r="K49" s="162">
        <f>F_Inputs!K37</f>
        <v>182.81399999999999</v>
      </c>
      <c r="L49" s="162">
        <f>F_Inputs!L37</f>
        <v>182.102</v>
      </c>
      <c r="M49" s="162">
        <f>F_Inputs!M37</f>
        <v>181.44499999999999</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4.4999999999999998E-2</v>
      </c>
      <c r="J57" s="171">
        <f>F_Inputs!J48</f>
        <v>4.4999999999999998E-2</v>
      </c>
      <c r="K57" s="171">
        <f>F_Inputs!K48</f>
        <v>4.4999999999999998E-2</v>
      </c>
      <c r="L57" s="171">
        <f>F_Inputs!L48</f>
        <v>4.4999999999999998E-2</v>
      </c>
      <c r="M57" s="171">
        <f>F_Inputs!M48</f>
        <v>4.4999999999999998E-2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3.5999999999999997E-2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0.65158713116020406</v>
      </c>
      <c r="I11" s="164">
        <f>IF(Input!I$31&gt;=0,Input!I$31*Calc!I$7,0)</f>
        <v>0.87037918092504829</v>
      </c>
      <c r="J11" s="164">
        <f>IF(Input!J$31&gt;=0,Input!J$31*Calc!J$7,0)</f>
        <v>0.74791548751799453</v>
      </c>
      <c r="K11" s="164">
        <f>IF(Input!K$31&gt;=0,Input!K$31*Calc!K$7,0)</f>
        <v>1.3640407343074168E-2</v>
      </c>
      <c r="L11" s="164">
        <f>IF(Input!L$31&gt;=0,Input!L$31*Calc!L$7,0)</f>
        <v>0.64135308527542567</v>
      </c>
      <c r="M11" s="164">
        <f>IF(Input!M$31&gt;=0,Input!M$31*Calc!M$7,0)</f>
        <v>0.4331663311688313</v>
      </c>
      <c r="N11" s="48"/>
      <c r="O11" s="48"/>
      <c r="P11" s="48"/>
    </row>
    <row r="12" spans="1:254" s="3" customFormat="1" ht="15">
      <c r="A12" s="128"/>
      <c r="B12" s="173" t="s">
        <v>253</v>
      </c>
      <c r="C12" s="128" t="s">
        <v>109</v>
      </c>
      <c r="D12" s="232" t="s">
        <v>78</v>
      </c>
      <c r="E12" s="232"/>
      <c r="F12" s="173"/>
      <c r="G12" s="173"/>
      <c r="H12" s="161">
        <f>IF(Input!H$31&lt;0,Input!H$31*Calc!H$7,0)</f>
        <v>0</v>
      </c>
      <c r="I12" s="164">
        <f>IF(Input!I$31&lt;0,Input!I$31*Calc!I$7,0)</f>
        <v>0</v>
      </c>
      <c r="J12" s="164">
        <f>IF(Input!J$31&lt;0,Input!J$31*Calc!J$7,0)</f>
        <v>0</v>
      </c>
      <c r="K12" s="164">
        <f>IF(Input!K$31&lt;0,Input!K$31*Calc!K$7,0)</f>
        <v>0</v>
      </c>
      <c r="L12" s="164">
        <f>IF(Input!L$31&lt;0,Input!L$31*Calc!L$7,0)</f>
        <v>0</v>
      </c>
      <c r="M12" s="164">
        <f>IF(Input!M$31&lt;0,Input!M$31*Calc!M$7,0)</f>
        <v>0</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0.95870128534769428</v>
      </c>
      <c r="J14" s="190">
        <f>IF(Input!I$7=0,0,Input!J$7/Input!I$7)</f>
        <v>1.0160115178481139</v>
      </c>
      <c r="K14" s="190">
        <f>IF(Input!J$7=0,0,Input!K$7/Input!J$7)</f>
        <v>1.00691661923759</v>
      </c>
      <c r="L14" s="190">
        <f>IF(Input!K$7=0,0,Input!L$7/Input!K$7)</f>
        <v>1.008315948768483</v>
      </c>
      <c r="M14" s="190">
        <f>IF(Input!L$7=0,0,Input!M$7/Input!L$7)</f>
        <v>1.0092573712272088</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0.92952621257049617</v>
      </c>
      <c r="J15" s="190">
        <f>IF(Input!I$8=0,0,Input!J$8/Input!I$8)</f>
        <v>1.002494380826501</v>
      </c>
      <c r="K15" s="190">
        <f>IF(Input!J$8=0,0,Input!K$8/Input!J$8)</f>
        <v>1.0067150055393024</v>
      </c>
      <c r="L15" s="190">
        <f>IF(Input!K$8=0,0,Input!L$8/Input!K$8)</f>
        <v>1.0038771515907188</v>
      </c>
      <c r="M15" s="190">
        <f>IF(Input!L$8=0,0,Input!M$8/Input!L$8)</f>
        <v>1.005251116654112</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0.65158713116020406</v>
      </c>
      <c r="I17" s="164">
        <f t="shared" si="0"/>
        <v>1.4950566010843525</v>
      </c>
      <c r="J17" s="164">
        <f t="shared" si="0"/>
        <v>2.2669102140545494</v>
      </c>
      <c r="K17" s="164">
        <f t="shared" si="0"/>
        <v>2.2962299761940423</v>
      </c>
      <c r="L17" s="164">
        <f t="shared" si="0"/>
        <v>2.9566783923121527</v>
      </c>
      <c r="M17" s="164">
        <f t="shared" si="0"/>
        <v>3.4172157929580846</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0</v>
      </c>
      <c r="I18" s="164">
        <f t="shared" si="0"/>
        <v>0</v>
      </c>
      <c r="J18" s="164">
        <f t="shared" si="0"/>
        <v>0</v>
      </c>
      <c r="K18" s="164">
        <f t="shared" si="0"/>
        <v>0</v>
      </c>
      <c r="L18" s="164">
        <f t="shared" si="0"/>
        <v>0</v>
      </c>
      <c r="M18" s="164">
        <f t="shared" si="0"/>
        <v>0</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0.65158713116020406</v>
      </c>
      <c r="I20" s="164">
        <f t="shared" si="1"/>
        <v>1.4950566010843525</v>
      </c>
      <c r="J20" s="164">
        <f t="shared" si="1"/>
        <v>2.2669102140545494</v>
      </c>
      <c r="K20" s="164">
        <f t="shared" si="1"/>
        <v>2.2962299761940423</v>
      </c>
      <c r="L20" s="164">
        <f t="shared" si="1"/>
        <v>2.9566783923121527</v>
      </c>
      <c r="M20" s="164">
        <f t="shared" si="1"/>
        <v>3.4172157929580846</v>
      </c>
      <c r="N20" s="48"/>
      <c r="O20" s="48"/>
      <c r="P20" s="48"/>
    </row>
    <row r="21" spans="1:19" s="3" customFormat="1" ht="15">
      <c r="A21" s="128"/>
      <c r="B21" s="173" t="s">
        <v>253</v>
      </c>
      <c r="C21" s="125" t="s">
        <v>122</v>
      </c>
      <c r="D21" s="232" t="s">
        <v>78</v>
      </c>
      <c r="E21" s="232"/>
      <c r="F21" s="173"/>
      <c r="G21" s="173"/>
      <c r="H21" s="161"/>
      <c r="I21" s="164">
        <f>Input!I10*Calc!I6-I20</f>
        <v>584.17778684030168</v>
      </c>
      <c r="J21" s="164">
        <f>Input!J10*Calc!J6-J20</f>
        <v>583.79167930344397</v>
      </c>
      <c r="K21" s="164">
        <f>Input!K10*Calc!K6-K20</f>
        <v>581.91921846677667</v>
      </c>
      <c r="L21" s="164">
        <f>Input!L10*Calc!L6-L20</f>
        <v>580.40453655594058</v>
      </c>
      <c r="M21" s="164">
        <f>Input!M10*Calc!M6-M20</f>
        <v>577.89799234302086</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337.48238937336771</v>
      </c>
      <c r="J24" s="164">
        <f>(Input!J27+Input!J28)*J$7</f>
        <v>335.03537807661252</v>
      </c>
      <c r="K24" s="164">
        <f>(Input!K27+Input!K28)*K$7</f>
        <v>326.33907295391896</v>
      </c>
      <c r="L24" s="164">
        <f>(Input!L27+Input!L28)*L$7</f>
        <v>317.3015670352234</v>
      </c>
      <c r="M24" s="164">
        <f>(Input!M27+Input!M28)*M$7</f>
        <v>306.94067683698177</v>
      </c>
    </row>
    <row r="25" spans="1:19" s="1" customFormat="1" ht="15">
      <c r="A25" s="9"/>
      <c r="B25" s="118" t="s">
        <v>96</v>
      </c>
      <c r="C25" s="118" t="s">
        <v>124</v>
      </c>
      <c r="D25" s="232" t="s">
        <v>78</v>
      </c>
      <c r="E25" s="232"/>
      <c r="F25" s="118"/>
      <c r="G25" s="118"/>
      <c r="H25" s="118"/>
      <c r="I25" s="164">
        <f>(Input!I29+Input!I30)*I$7</f>
        <v>237.00655355631642</v>
      </c>
      <c r="J25" s="164">
        <f>(Input!J29+Input!J30)*J$7</f>
        <v>236.45378898212846</v>
      </c>
      <c r="K25" s="164">
        <f>(Input!K29+Input!K30)*K$7</f>
        <v>247.32189826640823</v>
      </c>
      <c r="L25" s="164">
        <f>(Input!L29+Input!L30)*L$7</f>
        <v>258.25648073358127</v>
      </c>
      <c r="M25" s="164">
        <f>(Input!M29+Input!M30)*M$7</f>
        <v>263.27335756267792</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574.80301626375331</v>
      </c>
      <c r="J28" s="164">
        <f>+J24+J25+Input!J32*J7</f>
        <v>571.8899302341913</v>
      </c>
      <c r="K28" s="164">
        <f>+K24+K25+Input!K32*K7</f>
        <v>574.12986022274538</v>
      </c>
      <c r="L28" s="164">
        <f>+L24+L25+Input!L32*L7</f>
        <v>576.10576661811615</v>
      </c>
      <c r="M28" s="164">
        <f>+M24+M25+Input!M32*M7</f>
        <v>577.81137865529001</v>
      </c>
    </row>
    <row r="29" spans="1:19" s="1" customFormat="1" ht="15">
      <c r="A29" s="9"/>
      <c r="B29" s="173" t="s">
        <v>253</v>
      </c>
      <c r="C29" s="118" t="s">
        <v>126</v>
      </c>
      <c r="D29" s="232" t="s">
        <v>78</v>
      </c>
      <c r="E29" s="232"/>
      <c r="F29" s="118"/>
      <c r="G29" s="118"/>
      <c r="H29" s="118"/>
      <c r="I29" s="164">
        <f>I28-I21</f>
        <v>-9.3747705765483715</v>
      </c>
      <c r="J29" s="164">
        <f>J28-J21</f>
        <v>-11.901749069252674</v>
      </c>
      <c r="K29" s="164">
        <f>K28-K21</f>
        <v>-7.7893582440312912</v>
      </c>
      <c r="L29" s="164">
        <f>L28-L21</f>
        <v>-4.2987699378244315</v>
      </c>
      <c r="M29" s="164">
        <f>M28-M21</f>
        <v>-8.6613687730846323E-2</v>
      </c>
    </row>
    <row r="30" spans="1:19" s="1" customFormat="1" ht="15">
      <c r="A30" s="9"/>
      <c r="B30" s="173" t="s">
        <v>253</v>
      </c>
      <c r="C30" s="118" t="s">
        <v>127</v>
      </c>
      <c r="D30" s="232" t="s">
        <v>78</v>
      </c>
      <c r="E30" s="232"/>
      <c r="F30" s="130"/>
      <c r="G30" s="130"/>
      <c r="H30" s="130"/>
      <c r="I30" s="193">
        <f>-I29*Input!I53</f>
        <v>2.6249357614335445</v>
      </c>
      <c r="J30" s="193">
        <f>-J29*Input!J53</f>
        <v>3.0944547580056954</v>
      </c>
      <c r="K30" s="193">
        <f>-K29*Input!K53</f>
        <v>1.8694459785675097</v>
      </c>
      <c r="L30" s="193">
        <f>-L29*Input!L53</f>
        <v>0.98871708569961925</v>
      </c>
      <c r="M30" s="193">
        <f>-M29*Input!M53</f>
        <v>1.8188874423477726E-2</v>
      </c>
    </row>
    <row r="31" spans="1:19" s="1" customFormat="1" ht="15">
      <c r="A31" s="9"/>
      <c r="B31" s="173" t="s">
        <v>253</v>
      </c>
      <c r="C31" s="118" t="s">
        <v>369</v>
      </c>
      <c r="D31" s="232" t="s">
        <v>78</v>
      </c>
      <c r="E31" s="232"/>
      <c r="F31" s="118"/>
      <c r="G31" s="118"/>
      <c r="H31" s="118"/>
      <c r="I31" s="193">
        <f>(I29+I30)*(1+Input!I57)^(5-I4)</f>
        <v>-8.049303568170636</v>
      </c>
      <c r="J31" s="193">
        <f>(J29+J30)*(1+Input!J57)^(5-J4)</f>
        <v>-10.050585920900255</v>
      </c>
      <c r="K31" s="193">
        <f>(K29+K30)*(1+Input!K57)^(5-K4)</f>
        <v>-6.4646921916930848</v>
      </c>
      <c r="L31" s="193">
        <f>(L29+L30)*(1+Input!L57)^(5-L4)</f>
        <v>-3.4590052304704284</v>
      </c>
      <c r="M31" s="193">
        <f>(M29+M30)*(1+Input!M57)^(5-M4)</f>
        <v>-6.8424813307368604E-2</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11.754805089987713</v>
      </c>
      <c r="J34" s="164">
        <f>Input!J11+Input!J12+Input!J13+Input!J14-(Input!$H11+Input!$H12+Input!$H13+Input!$H14)</f>
        <v>24.454705364240453</v>
      </c>
      <c r="K34" s="164">
        <f>Input!K11+Input!K12+Input!K13+Input!K14-(Input!$H11+Input!$H12+Input!$H13+Input!$H14)</f>
        <v>39.011916978154659</v>
      </c>
      <c r="L34" s="164">
        <f>Input!L11+Input!L12+Input!L13+Input!L14-(Input!$H11+Input!$H12+Input!$H13+Input!$H14)</f>
        <v>55.435655376171781</v>
      </c>
      <c r="M34" s="164">
        <f>Input!M11+Input!M12+Input!M13+Input!M14-(Input!$H11+Input!$H12+Input!$H13+Input!$H14)</f>
        <v>73.739136002722717</v>
      </c>
      <c r="N34" s="19"/>
      <c r="O34" s="19"/>
      <c r="P34" s="19"/>
    </row>
    <row r="35" spans="1:19" s="1" customFormat="1" ht="15">
      <c r="A35" s="9"/>
      <c r="B35" s="173" t="s">
        <v>253</v>
      </c>
      <c r="C35" s="118" t="s">
        <v>128</v>
      </c>
      <c r="D35" s="232" t="s">
        <v>78</v>
      </c>
      <c r="E35" s="232"/>
      <c r="F35" s="118"/>
      <c r="G35" s="118"/>
      <c r="H35" s="161"/>
      <c r="I35" s="164">
        <f>(Input!I27+Input!I29)*I$7</f>
        <v>453.51821025131619</v>
      </c>
      <c r="J35" s="164">
        <f>(Input!J27+Input!J29)*J$7</f>
        <v>455.13513731961666</v>
      </c>
      <c r="K35" s="164">
        <f>(Input!K27+Input!K29)*K$7</f>
        <v>457.15654705221289</v>
      </c>
      <c r="L35" s="164">
        <f>(Input!L27+Input!L29)*L$7</f>
        <v>458.21529181011789</v>
      </c>
      <c r="M35" s="164">
        <f>(Input!M27+Input!M29)*M$7</f>
        <v>454.92413385581045</v>
      </c>
    </row>
    <row r="36" spans="1:19" s="1" customFormat="1" ht="15">
      <c r="A36" s="9"/>
      <c r="B36" s="173" t="s">
        <v>253</v>
      </c>
      <c r="C36" s="125" t="s">
        <v>129</v>
      </c>
      <c r="D36" s="123" t="s">
        <v>379</v>
      </c>
      <c r="E36" s="232"/>
      <c r="F36" s="118"/>
      <c r="G36" s="118"/>
      <c r="H36" s="118"/>
      <c r="I36" s="164">
        <f>IF(Input!I35=0,0,(I35/Input!I35)*1000)</f>
        <v>159.45274578251809</v>
      </c>
      <c r="J36" s="164">
        <f>IF(Input!J35=0,0,(J35/Input!J35)*1000)</f>
        <v>159.43327870527355</v>
      </c>
      <c r="K36" s="164">
        <f>IF(Input!K35=0,0,(K35/Input!K35)*1000)</f>
        <v>159.66780458331121</v>
      </c>
      <c r="L36" s="164">
        <f>IF(Input!L35=0,0,(L35/Input!L35)*1000)</f>
        <v>159.68716433014407</v>
      </c>
      <c r="M36" s="164">
        <f>IF(Input!M35=0,0,(M35/Input!M35)*1000)</f>
        <v>158.4416403415145</v>
      </c>
    </row>
    <row r="37" spans="1:19" s="1" customFormat="1" ht="15">
      <c r="A37" s="9"/>
      <c r="B37" s="173" t="s">
        <v>253</v>
      </c>
      <c r="C37" s="125" t="s">
        <v>130</v>
      </c>
      <c r="D37" s="123" t="s">
        <v>379</v>
      </c>
      <c r="E37" s="232"/>
      <c r="F37" s="118"/>
      <c r="G37" s="118"/>
      <c r="H37" s="118"/>
      <c r="I37" s="164">
        <f>I36*Input!I58</f>
        <v>66.970153228657594</v>
      </c>
      <c r="J37" s="164">
        <f>J36*Input!J58</f>
        <v>66.961977056214891</v>
      </c>
      <c r="K37" s="164">
        <f>K36*Input!K58</f>
        <v>67.060477924990707</v>
      </c>
      <c r="L37" s="164">
        <f>L36*Input!L58</f>
        <v>67.06860901866051</v>
      </c>
      <c r="M37" s="164">
        <f>M36*Input!M58</f>
        <v>66.545488943436084</v>
      </c>
    </row>
    <row r="38" spans="1:19" s="1" customFormat="1" ht="15">
      <c r="A38" s="9"/>
      <c r="B38" s="173" t="s">
        <v>253</v>
      </c>
      <c r="C38" s="125" t="s">
        <v>186</v>
      </c>
      <c r="D38" s="130" t="s">
        <v>77</v>
      </c>
      <c r="E38" s="130"/>
      <c r="F38" s="118"/>
      <c r="G38" s="118"/>
      <c r="H38" s="118"/>
      <c r="I38" s="164">
        <f>Input!I35+Input!I36-(Input!$H$35+Input!$H$36)</f>
        <v>16.40100000000939</v>
      </c>
      <c r="J38" s="164">
        <f>Input!J35+Input!J36-(Input!$H$35+Input!$H$36)</f>
        <v>25.835000000010041</v>
      </c>
      <c r="K38" s="164">
        <f>Input!K35+Input!K36-(Input!$H$35+Input!$H$36)</f>
        <v>34.099000000010165</v>
      </c>
      <c r="L38" s="164">
        <f>Input!L35+Input!L36-(Input!$H$35+Input!$H$36)</f>
        <v>39.599000000010165</v>
      </c>
      <c r="M38" s="164">
        <f>Input!M35+Input!M36-(Input!$H$35+Input!$H$36)</f>
        <v>40.281000000009954</v>
      </c>
    </row>
    <row r="39" spans="1:19" s="1" customFormat="1" ht="15">
      <c r="A39" s="9"/>
      <c r="B39" s="173" t="s">
        <v>253</v>
      </c>
      <c r="C39" s="125" t="s">
        <v>131</v>
      </c>
      <c r="D39" s="130" t="s">
        <v>77</v>
      </c>
      <c r="E39" s="130"/>
      <c r="F39" s="118"/>
      <c r="G39" s="118"/>
      <c r="H39" s="118"/>
      <c r="I39" s="164">
        <f>I38-I34</f>
        <v>4.6461949100216771</v>
      </c>
      <c r="J39" s="164">
        <f>J38-J34</f>
        <v>1.3802946357695873</v>
      </c>
      <c r="K39" s="164">
        <f>K38-K34</f>
        <v>-4.9129169781444944</v>
      </c>
      <c r="L39" s="164">
        <f>L38-L34</f>
        <v>-15.836655376161616</v>
      </c>
      <c r="M39" s="164">
        <f>M38-M34</f>
        <v>-33.458136002712763</v>
      </c>
    </row>
    <row r="40" spans="1:19" s="1" customFormat="1" ht="15">
      <c r="A40" s="9"/>
      <c r="B40" s="173" t="s">
        <v>253</v>
      </c>
      <c r="C40" s="125" t="s">
        <v>132</v>
      </c>
      <c r="D40" s="130" t="s">
        <v>77</v>
      </c>
      <c r="E40" s="130"/>
      <c r="F40" s="118"/>
      <c r="G40" s="118"/>
      <c r="H40" s="118"/>
      <c r="I40" s="164">
        <f>IF(I39&gt;MAX($I$39:I39,0),I39-MAX($I$39:I39,0),0)</f>
        <v>0</v>
      </c>
      <c r="J40" s="164">
        <f>IF(J39&gt;MAX($I$39:I39,0),J39-MAX($I$39:I39,0),0)</f>
        <v>0</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0.31115638505436066</v>
      </c>
      <c r="J41" s="164">
        <f>J39*J37/1000</f>
        <v>9.2427257731219598E-2</v>
      </c>
      <c r="K41" s="164">
        <f>K39*K37/1000</f>
        <v>-0.32946256056017093</v>
      </c>
      <c r="L41" s="164">
        <f>L39*L37/1000</f>
        <v>-1.0621424475870516</v>
      </c>
      <c r="M41" s="164">
        <f>M39*M37/1000</f>
        <v>-2.2264880194365029</v>
      </c>
    </row>
    <row r="42" spans="1:19" s="1" customFormat="1" ht="15">
      <c r="A42" s="9"/>
      <c r="B42" s="173" t="s">
        <v>253</v>
      </c>
      <c r="C42" s="125" t="s">
        <v>134</v>
      </c>
      <c r="D42" s="232" t="s">
        <v>78</v>
      </c>
      <c r="E42" s="232"/>
      <c r="F42" s="118"/>
      <c r="G42" s="118"/>
      <c r="H42" s="118"/>
      <c r="I42" s="164">
        <f>I40*I37*Input!I59/1000</f>
        <v>0</v>
      </c>
      <c r="J42" s="164">
        <f>J40*J37*Input!J59/1000</f>
        <v>0</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0.31115638505436066</v>
      </c>
      <c r="J43" s="164">
        <f>+J41+J42+Input!J33*J$7</f>
        <v>9.2427257731219598E-2</v>
      </c>
      <c r="K43" s="164">
        <f>+K41+K42+Input!K33*K$7</f>
        <v>-0.32946256056017093</v>
      </c>
      <c r="L43" s="164">
        <f>+L41+L42+Input!L33*L$7</f>
        <v>-1.0621424475870516</v>
      </c>
      <c r="M43" s="164">
        <f>+M41+M42+Input!M33*M$7</f>
        <v>-2.2264880194365029</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0.37105977688055969</v>
      </c>
      <c r="J45" s="164">
        <f>(J43+J44)*(1+Input!J57)^(5-J4)</f>
        <v>0.10547485554951214</v>
      </c>
      <c r="K45" s="164">
        <f>(K43+K44)*(1+Input!K57)^(5-K4)</f>
        <v>-0.35978135269572059</v>
      </c>
      <c r="L45" s="164">
        <f>(L43+L44)*(1+Input!L57)^(5-L4)</f>
        <v>-1.1099388577284688</v>
      </c>
      <c r="M45" s="164">
        <f>(M43+M44)*(1+Input!M57)^(5-M4)</f>
        <v>-2.2264880194365029</v>
      </c>
    </row>
    <row r="46" spans="1:19" s="3" customFormat="1" ht="15">
      <c r="A46" s="128"/>
      <c r="B46" s="173" t="s">
        <v>253</v>
      </c>
      <c r="C46" s="125" t="s">
        <v>370</v>
      </c>
      <c r="D46" s="232" t="s">
        <v>78</v>
      </c>
      <c r="E46" s="232"/>
      <c r="F46" s="173"/>
      <c r="G46" s="173"/>
      <c r="H46" s="173"/>
      <c r="I46" s="164">
        <f>I45-I31</f>
        <v>8.4203633450511965</v>
      </c>
      <c r="J46" s="164">
        <f>J45-J31</f>
        <v>10.156060776449767</v>
      </c>
      <c r="K46" s="164">
        <f>K45-K31</f>
        <v>6.1049108389973643</v>
      </c>
      <c r="L46" s="164">
        <f>L45-L31</f>
        <v>2.3490663727419596</v>
      </c>
      <c r="M46" s="164">
        <f>M45-M31</f>
        <v>-2.1580632061291345</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24.872338127111149</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29.174891924018588</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6.4800063921209601</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1.0951120064760662</v>
      </c>
      <c r="J56" s="164">
        <f>IF(Input!J$44&gt;=0,Input!J$44*J$7,0)</f>
        <v>1.6856661634071841</v>
      </c>
      <c r="K56" s="164">
        <f>IF(Input!K$44&gt;=0,Input!K$44*K$7,0)</f>
        <v>0.18158792275467486</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-0.28228997373706166</v>
      </c>
      <c r="I57" s="164">
        <f>IF(Input!I$44&lt;0,Input!I$44*I$7,0)</f>
        <v>0</v>
      </c>
      <c r="J57" s="164">
        <f>IF(Input!J$44&lt;0,Input!J$44*J$7,0)</f>
        <v>0</v>
      </c>
      <c r="K57" s="164">
        <f>IF(Input!K$44&lt;0,Input!K$44*K$7,0)</f>
        <v>0</v>
      </c>
      <c r="L57" s="164">
        <f>IF(Input!L$44&lt;0,Input!L$44*L$7,0)</f>
        <v>-1.8204815611758529</v>
      </c>
      <c r="M57" s="164">
        <f>IF(Input!M$44&lt;0,Input!M$44*M$7,0)</f>
        <v>-0.22267837662337669</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0.89137858437329309</v>
      </c>
      <c r="J59" s="190">
        <f>IF(Input!I$16=0,0,Input!J$16/Input!I$16)</f>
        <v>0.99676502249164511</v>
      </c>
      <c r="K59" s="190">
        <f>IF(Input!J$16=0,0,Input!K$16/Input!J$16)</f>
        <v>1.0363052311962113</v>
      </c>
      <c r="L59" s="190">
        <f>IF(Input!K$16=0,0,Input!L$16/Input!K$16)</f>
        <v>1.0430896660784821</v>
      </c>
      <c r="M59" s="190">
        <f>IF(Input!L$16=0,0,Input!M$16/Input!L$16)</f>
        <v>1.0454375091165091</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0.8525851065936304</v>
      </c>
      <c r="J60" s="190">
        <f>IF(Input!I$17=0,0,Input!J$17/Input!I$17)</f>
        <v>0.97163898458694209</v>
      </c>
      <c r="K60" s="190">
        <f>IF(Input!J$17=0,0,Input!K$17/Input!J$17)</f>
        <v>1.0188191108028335</v>
      </c>
      <c r="L60" s="190">
        <f>IF(Input!K$17=0,0,Input!L$17/Input!K$17)</f>
        <v>1.0276417369228632</v>
      </c>
      <c r="M60" s="190">
        <f>IF(Input!L$17=0,0,Input!M$17/Input!L$17)</f>
        <v>1.0332127502323099</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0</v>
      </c>
      <c r="I62" s="164">
        <f t="shared" si="2"/>
        <v>1.0951120064760662</v>
      </c>
      <c r="J62" s="164">
        <f t="shared" si="2"/>
        <v>2.7772355071731711</v>
      </c>
      <c r="K62" s="164">
        <f t="shared" si="2"/>
        <v>3.0596516071020949</v>
      </c>
      <c r="L62" s="164">
        <f t="shared" si="2"/>
        <v>3.1914909731686154</v>
      </c>
      <c r="M62" s="164">
        <f t="shared" si="2"/>
        <v>3.3365043733572208</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-0.28228997373706166</v>
      </c>
      <c r="I63" s="164">
        <f t="shared" si="2"/>
        <v>-0.24067622734892585</v>
      </c>
      <c r="J63" s="164">
        <f t="shared" si="2"/>
        <v>-0.23385040515552633</v>
      </c>
      <c r="K63" s="164">
        <f t="shared" si="2"/>
        <v>-0.23825126184143569</v>
      </c>
      <c r="L63" s="164">
        <f t="shared" si="2"/>
        <v>-2.0653185017186497</v>
      </c>
      <c r="M63" s="164">
        <f t="shared" si="2"/>
        <v>-2.3565917858897762</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-0.28228997373706166</v>
      </c>
      <c r="I65" s="164">
        <f t="shared" si="3"/>
        <v>0.85443577912714042</v>
      </c>
      <c r="J65" s="164">
        <f t="shared" si="3"/>
        <v>2.5433851020176448</v>
      </c>
      <c r="K65" s="164">
        <f t="shared" si="3"/>
        <v>2.8214003452606593</v>
      </c>
      <c r="L65" s="164">
        <f t="shared" si="3"/>
        <v>1.1261724714499657</v>
      </c>
      <c r="M65" s="164">
        <f t="shared" si="3"/>
        <v>0.97991258746744458</v>
      </c>
      <c r="N65" s="48"/>
      <c r="O65" s="48"/>
      <c r="P65" s="48"/>
    </row>
    <row r="66" spans="1:19" s="3" customFormat="1" ht="15">
      <c r="A66" s="128"/>
      <c r="B66" s="173" t="s">
        <v>253</v>
      </c>
      <c r="C66" s="125" t="s">
        <v>141</v>
      </c>
      <c r="D66" s="232" t="s">
        <v>78</v>
      </c>
      <c r="E66" s="232"/>
      <c r="F66" s="173"/>
      <c r="G66" s="173"/>
      <c r="H66" s="161"/>
      <c r="I66" s="164">
        <f>Input!I19*I6-I65</f>
        <v>730.73817823616207</v>
      </c>
      <c r="J66" s="164">
        <f>Input!J19*J6-J65</f>
        <v>711.47783828572301</v>
      </c>
      <c r="K66" s="164">
        <f>Input!K19*K6-K65</f>
        <v>720.42280048031353</v>
      </c>
      <c r="L66" s="164">
        <f>Input!L19*L6-L65</f>
        <v>737.4295021325072</v>
      </c>
      <c r="M66" s="164">
        <f>Input!M19*M6-M65</f>
        <v>754.40667641073333</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361.94879420097931</v>
      </c>
      <c r="J69" s="164">
        <f>(Input!J39+Input!J40)*J7</f>
        <v>347.5557118429831</v>
      </c>
      <c r="K69" s="164">
        <f>(Input!K39+Input!K40)*K7</f>
        <v>341.80473730458829</v>
      </c>
      <c r="L69" s="164">
        <f>(Input!L39+Input!L40)*L7</f>
        <v>339.81852923066839</v>
      </c>
      <c r="M69" s="164">
        <f>(Input!M39+Input!M40)*M7</f>
        <v>336.67811007296581</v>
      </c>
    </row>
    <row r="70" spans="1:19" ht="15">
      <c r="A70" s="140"/>
      <c r="B70" s="118" t="s">
        <v>97</v>
      </c>
      <c r="C70" s="118" t="s">
        <v>143</v>
      </c>
      <c r="D70" s="123" t="s">
        <v>78</v>
      </c>
      <c r="E70" s="123"/>
      <c r="F70" s="118"/>
      <c r="G70" s="118"/>
      <c r="H70" s="161"/>
      <c r="I70" s="164">
        <f>(Input!I41+Input!I42+Input!I43)*I7</f>
        <v>349.78927468079678</v>
      </c>
      <c r="J70" s="164">
        <f>(Input!J41+Input!J42+Input!J43)*J7</f>
        <v>344.47528436501534</v>
      </c>
      <c r="K70" s="164">
        <f>(Input!K41+Input!K42+Input!K43)*K7</f>
        <v>365.0667469772834</v>
      </c>
      <c r="L70" s="164">
        <f>(Input!L41+Input!L42+Input!L43)*L7</f>
        <v>388.88535474046728</v>
      </c>
      <c r="M70" s="164">
        <f>(Input!M41+Input!M42+Input!M43)*M7</f>
        <v>400.03597648514625</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712.06043154137797</v>
      </c>
      <c r="J73" s="164">
        <f>J69+J70+Input!J45*Calc!J$7</f>
        <v>692.44230578280269</v>
      </c>
      <c r="K73" s="164">
        <f>K69+K70+Input!K45*Calc!K$7</f>
        <v>707.3574237934688</v>
      </c>
      <c r="L73" s="164">
        <f>L69+L70+Input!L45*Calc!L$7</f>
        <v>729.28391906117804</v>
      </c>
      <c r="M73" s="164">
        <f>M69+M70+Input!M45*Calc!M$7</f>
        <v>746.38114041104973</v>
      </c>
    </row>
    <row r="74" spans="1:19" ht="15">
      <c r="A74" s="140"/>
      <c r="B74" s="173" t="s">
        <v>253</v>
      </c>
      <c r="C74" s="118" t="s">
        <v>145</v>
      </c>
      <c r="D74" s="123" t="s">
        <v>78</v>
      </c>
      <c r="E74" s="123"/>
      <c r="F74" s="118"/>
      <c r="G74" s="118"/>
      <c r="H74" s="161"/>
      <c r="I74" s="164">
        <f>I73-I66</f>
        <v>-18.677746694784105</v>
      </c>
      <c r="J74" s="164">
        <f>J73-J66</f>
        <v>-19.035532502920319</v>
      </c>
      <c r="K74" s="164">
        <f>K73-K66</f>
        <v>-13.065376686844729</v>
      </c>
      <c r="L74" s="164">
        <f>L73-L66</f>
        <v>-8.1455830713291562</v>
      </c>
      <c r="M74" s="164">
        <f>M73-M66</f>
        <v>-8.0255359996835978</v>
      </c>
    </row>
    <row r="75" spans="1:19" ht="15">
      <c r="A75" s="140"/>
      <c r="B75" s="173" t="s">
        <v>253</v>
      </c>
      <c r="C75" s="118" t="s">
        <v>146</v>
      </c>
      <c r="D75" s="123" t="s">
        <v>78</v>
      </c>
      <c r="E75" s="123"/>
      <c r="F75" s="130"/>
      <c r="G75" s="130"/>
      <c r="H75" s="197"/>
      <c r="I75" s="193">
        <f>-I74*Input!I53</f>
        <v>5.2297690745395498</v>
      </c>
      <c r="J75" s="193">
        <f>-J74*Input!J53</f>
        <v>4.9492384507592826</v>
      </c>
      <c r="K75" s="193">
        <f>-K74*Input!K53</f>
        <v>3.1356904048427348</v>
      </c>
      <c r="L75" s="193">
        <f>-L74*Input!L53</f>
        <v>1.873484106405706</v>
      </c>
      <c r="M75" s="193">
        <f>-M74*Input!M53</f>
        <v>1.6853625599335555</v>
      </c>
    </row>
    <row r="76" spans="1:19" ht="15">
      <c r="A76" s="140"/>
      <c r="B76" s="173" t="s">
        <v>253</v>
      </c>
      <c r="C76" s="118" t="s">
        <v>371</v>
      </c>
      <c r="D76" s="123" t="s">
        <v>78</v>
      </c>
      <c r="E76" s="123"/>
      <c r="F76" s="118"/>
      <c r="G76" s="118"/>
      <c r="H76" s="161"/>
      <c r="I76" s="193">
        <f>(I74+I75)*(1+Input!I57)^(5-I4)</f>
        <v>-16.036963452930348</v>
      </c>
      <c r="J76" s="193">
        <f>(J74+J75)*(1+Input!J57)^(5-J4)</f>
        <v>-16.074801599115155</v>
      </c>
      <c r="K76" s="193">
        <f>(K74+K75)*(1+Input!K57)^(5-K4)</f>
        <v>-10.843465662103227</v>
      </c>
      <c r="L76" s="193">
        <f>(L74+L75)*(1+Input!L57)^(5-L4)</f>
        <v>-6.5543434183450051</v>
      </c>
      <c r="M76" s="193">
        <f>(M74+M75)*(1+Input!M57)^(5-M4)</f>
        <v>-6.3401734397500427</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11.754805089988167</v>
      </c>
      <c r="J79" s="164">
        <f>Input!J20+Input!J21+Input!J22+Input!J23-(Input!$H20+Input!$H21+Input!$H22+Input!$H23)</f>
        <v>24.454705364240908</v>
      </c>
      <c r="K79" s="164">
        <f>Input!K20+Input!K21+Input!K22+Input!K23-(Input!$H20+Input!$H21+Input!$H22+Input!$H23)</f>
        <v>39.011916978155114</v>
      </c>
      <c r="L79" s="164">
        <f>Input!L20+Input!L21+Input!L22+Input!L23-(Input!$H20+Input!$H21+Input!$H22+Input!$H23)</f>
        <v>55.435655376172235</v>
      </c>
      <c r="M79" s="164">
        <f>Input!M20+Input!M21+Input!M22+Input!M23-(Input!$H20+Input!$H21+Input!$H22+Input!$H23)</f>
        <v>73.739136002723171</v>
      </c>
      <c r="N79" s="19"/>
      <c r="O79" s="19"/>
      <c r="P79" s="19"/>
    </row>
    <row r="80" spans="1:19" ht="15">
      <c r="A80" s="140"/>
      <c r="B80" s="173" t="s">
        <v>253</v>
      </c>
      <c r="C80" s="118" t="s">
        <v>147</v>
      </c>
      <c r="D80" s="123" t="s">
        <v>78</v>
      </c>
      <c r="E80" s="123"/>
      <c r="F80" s="118"/>
      <c r="G80" s="118"/>
      <c r="H80" s="161"/>
      <c r="I80" s="164">
        <f>(Input!I39+Input!I41)*I$7</f>
        <v>493.1531597674512</v>
      </c>
      <c r="J80" s="164">
        <f>(Input!J39+Input!J41)*J$7</f>
        <v>481.09597819599037</v>
      </c>
      <c r="K80" s="164">
        <f>(Input!K39+Input!K41)*K$7</f>
        <v>489.86880143728155</v>
      </c>
      <c r="L80" s="164">
        <f>(Input!L39+Input!L41)*L$7</f>
        <v>502.54074476959892</v>
      </c>
      <c r="M80" s="164">
        <f>(Input!M39+Input!M41)*M$7</f>
        <v>507.9158973272265</v>
      </c>
    </row>
    <row r="81" spans="1:19" ht="15">
      <c r="A81" s="140"/>
      <c r="B81" s="173" t="s">
        <v>253</v>
      </c>
      <c r="C81" s="125" t="s">
        <v>148</v>
      </c>
      <c r="D81" s="123" t="s">
        <v>379</v>
      </c>
      <c r="E81" s="123"/>
      <c r="F81" s="118"/>
      <c r="G81" s="118"/>
      <c r="H81" s="161"/>
      <c r="I81" s="164">
        <f>IF(Input!I48=0,0,(I80/Input!I48)*1000)</f>
        <v>174.9585923107588</v>
      </c>
      <c r="J81" s="164">
        <f>IF(Input!J48=0,0,(J80/Input!J48)*1000)</f>
        <v>170.06125515375112</v>
      </c>
      <c r="K81" s="164">
        <f>IF(Input!K48=0,0,(K80/Input!K48)*1000)</f>
        <v>172.66271084583386</v>
      </c>
      <c r="L81" s="164">
        <f>IF(Input!L48=0,0,(L80/Input!L48)*1000)</f>
        <v>176.76523848519687</v>
      </c>
      <c r="M81" s="164">
        <f>IF(Input!M48=0,0,(M80/Input!M48)*1000)</f>
        <v>178.60483618458932</v>
      </c>
    </row>
    <row r="82" spans="1:19" ht="15">
      <c r="A82" s="140"/>
      <c r="B82" s="173" t="s">
        <v>253</v>
      </c>
      <c r="C82" s="125" t="s">
        <v>149</v>
      </c>
      <c r="D82" s="123" t="s">
        <v>379</v>
      </c>
      <c r="E82" s="123"/>
      <c r="F82" s="118"/>
      <c r="G82" s="118"/>
      <c r="H82" s="161"/>
      <c r="I82" s="164">
        <f>I81*Input!I58</f>
        <v>73.482608770518695</v>
      </c>
      <c r="J82" s="164">
        <f>J81*Input!J58</f>
        <v>71.425727164575463</v>
      </c>
      <c r="K82" s="164">
        <f>K81*Input!K58</f>
        <v>72.51833855525021</v>
      </c>
      <c r="L82" s="164">
        <f>L81*Input!L58</f>
        <v>74.241400163782686</v>
      </c>
      <c r="M82" s="164">
        <f>M81*Input!M58</f>
        <v>75.014031197527515</v>
      </c>
    </row>
    <row r="83" spans="1:19" ht="15">
      <c r="A83" s="140"/>
      <c r="B83" s="173" t="s">
        <v>253</v>
      </c>
      <c r="C83" s="125" t="s">
        <v>187</v>
      </c>
      <c r="D83" s="132" t="s">
        <v>77</v>
      </c>
      <c r="E83" s="132"/>
      <c r="F83" s="118"/>
      <c r="G83" s="118"/>
      <c r="H83" s="161"/>
      <c r="I83" s="164">
        <f>Input!I48+Input!I49-(Input!$H$48+Input!$H$49)</f>
        <v>15.496000000000095</v>
      </c>
      <c r="J83" s="164">
        <f>Input!J48+Input!J49-(Input!$H$48+Input!$H$49)</f>
        <v>23.304000000000542</v>
      </c>
      <c r="K83" s="164">
        <f>Input!K48+Input!K49-(Input!$H$48+Input!$H$49)</f>
        <v>31.259000000000015</v>
      </c>
      <c r="L83" s="164">
        <f>Input!L48+Input!L49-(Input!$H$48+Input!$H$49)</f>
        <v>36.38799999999992</v>
      </c>
      <c r="M83" s="164">
        <f>Input!M48+Input!M49-(Input!$H$48+Input!$H$49)</f>
        <v>36.544000000000324</v>
      </c>
    </row>
    <row r="84" spans="1:19" ht="15">
      <c r="A84" s="140"/>
      <c r="B84" s="173" t="s">
        <v>253</v>
      </c>
      <c r="C84" s="125" t="s">
        <v>150</v>
      </c>
      <c r="D84" s="132" t="s">
        <v>77</v>
      </c>
      <c r="E84" s="132"/>
      <c r="F84" s="118"/>
      <c r="G84" s="118"/>
      <c r="H84" s="161"/>
      <c r="I84" s="164">
        <f>I83-I79</f>
        <v>3.7411949100119273</v>
      </c>
      <c r="J84" s="164">
        <f>J83-J79</f>
        <v>-1.1507053642403662</v>
      </c>
      <c r="K84" s="164">
        <f>K83-K79</f>
        <v>-7.7529169781550991</v>
      </c>
      <c r="L84" s="164">
        <f>L83-L79</f>
        <v>-19.047655376172315</v>
      </c>
      <c r="M84" s="164">
        <f>M83-M79</f>
        <v>-37.195136002722847</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0.27491276190666236</v>
      </c>
      <c r="J86" s="164">
        <f>J84*J82/1000</f>
        <v>-8.2189967393045821E-2</v>
      </c>
      <c r="K86" s="164">
        <f>K84*K82/1000</f>
        <v>-0.56222865821259882</v>
      </c>
      <c r="L86" s="164">
        <f>L84*L82/1000</f>
        <v>-1.4141246049642355</v>
      </c>
      <c r="M86" s="164">
        <f>M84*M82/1000</f>
        <v>-2.7901570925045309</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0.27491276190666236</v>
      </c>
      <c r="J88" s="164">
        <f>+J86+J87+Input!J46*J$7</f>
        <v>-8.2189967393045821E-2</v>
      </c>
      <c r="K88" s="164">
        <f>+K86+K87+Input!K46*K$7</f>
        <v>-0.56222865821259882</v>
      </c>
      <c r="L88" s="164">
        <f>+L86+L87+Input!L46*L$7</f>
        <v>-1.4141246049642355</v>
      </c>
      <c r="M88" s="164">
        <f>+M86+M87+Input!M46*M$7</f>
        <v>-2.7901570925045309</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0.32783858212288669</v>
      </c>
      <c r="J90" s="164">
        <f>(J88+J89)*(1+Input!J57)^(5-J4)</f>
        <v>-9.3792406603798437E-2</v>
      </c>
      <c r="K90" s="164">
        <f>(K88+K89)*(1+Input!K57)^(5-K4)</f>
        <v>-0.61396775048461316</v>
      </c>
      <c r="L90" s="164">
        <f>(L88+L89)*(1+Input!L57)^(5-L4)</f>
        <v>-1.4777602121876261</v>
      </c>
      <c r="M90" s="164">
        <f>(M88+M89)*(1+Input!M57)^(5-M4)</f>
        <v>-2.7901570925045309</v>
      </c>
    </row>
    <row r="91" spans="1:19" s="3" customFormat="1" ht="15">
      <c r="A91" s="128"/>
      <c r="B91" s="173" t="s">
        <v>253</v>
      </c>
      <c r="C91" s="125" t="s">
        <v>373</v>
      </c>
      <c r="D91" s="232" t="s">
        <v>78</v>
      </c>
      <c r="E91" s="232"/>
      <c r="F91" s="173"/>
      <c r="G91" s="173"/>
      <c r="H91" s="161"/>
      <c r="I91" s="164">
        <f>I90-I76</f>
        <v>16.364802035053234</v>
      </c>
      <c r="J91" s="164">
        <f>J90-J76</f>
        <v>15.981009192511356</v>
      </c>
      <c r="K91" s="164">
        <f>K90-K76</f>
        <v>10.229497911618614</v>
      </c>
      <c r="L91" s="164">
        <f>L90-L76</f>
        <v>5.0765832061573786</v>
      </c>
      <c r="M91" s="164">
        <f>M90-M76</f>
        <v>3.5500163472455117</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51.201908692586095</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60.059096365427585</v>
      </c>
      <c r="N95" s="4"/>
      <c r="O95" s="4"/>
      <c r="P95" s="4"/>
      <c r="Q95" s="4"/>
    </row>
    <row r="96" spans="1:19" ht="15">
      <c r="A96" s="140"/>
      <c r="B96" s="173" t="s">
        <v>253</v>
      </c>
      <c r="C96" s="118" t="s">
        <v>156</v>
      </c>
      <c r="D96" s="123" t="s">
        <v>78</v>
      </c>
      <c r="E96" s="123"/>
      <c r="F96" s="134"/>
      <c r="G96" s="134"/>
      <c r="H96" s="199"/>
      <c r="I96" s="200"/>
      <c r="J96" s="200"/>
      <c r="K96" s="200"/>
      <c r="L96" s="200"/>
      <c r="M96" s="164">
        <f>-PMT(Input!M60,5,M95)</f>
        <v>13.339666497018946</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3"/>
      <c r="K1" s="253"/>
      <c r="L1" s="253"/>
    </row>
    <row r="2" spans="1:12" ht="15">
      <c r="A2" s="254" t="s">
        <v>374</v>
      </c>
      <c r="B2" s="9"/>
      <c r="C2" s="9"/>
      <c r="D2" s="9"/>
      <c r="E2" s="9"/>
      <c r="F2" s="9"/>
      <c r="G2" s="9"/>
      <c r="H2" s="9"/>
      <c r="I2" s="9"/>
      <c r="J2" s="9"/>
      <c r="K2" s="3"/>
      <c r="L2" s="3"/>
    </row>
    <row r="3" spans="1:12" ht="15">
      <c r="A3" s="9" t="s">
        <v>410</v>
      </c>
      <c r="B3" s="168">
        <f>-Calc!I31</f>
        <v>8.049303568170636</v>
      </c>
      <c r="C3" s="168">
        <f>-Calc!J31</f>
        <v>10.050585920900255</v>
      </c>
      <c r="D3" s="168">
        <f>-Calc!K31</f>
        <v>6.4646921916930848</v>
      </c>
      <c r="E3" s="168">
        <f>-Calc!L31</f>
        <v>3.4590052304704284</v>
      </c>
      <c r="F3" s="168">
        <f>-Calc!M31</f>
        <v>6.8424813307368604E-2</v>
      </c>
      <c r="G3" s="9"/>
      <c r="H3" s="168">
        <f>SUM(B3:F3)</f>
        <v>28.092011724541774</v>
      </c>
      <c r="I3" s="9"/>
      <c r="J3" s="9"/>
      <c r="K3" s="3"/>
      <c r="L3" s="3"/>
    </row>
    <row r="4" spans="1:12" ht="15">
      <c r="A4" s="9" t="s">
        <v>411</v>
      </c>
      <c r="B4" s="255">
        <f>(Calc!I41+Calc!I42)*(1+Input!I57)^(5-Calc!I4)</f>
        <v>0.37105977688055969</v>
      </c>
      <c r="C4" s="255">
        <f>(Calc!J41+Calc!J42)*(1+Input!J57)^(5-Calc!J4)</f>
        <v>0.10547485554951214</v>
      </c>
      <c r="D4" s="255">
        <f>(Calc!K41+Calc!K42)*(1+Input!K57)^(5-Calc!K4)</f>
        <v>-0.35978135269572059</v>
      </c>
      <c r="E4" s="255">
        <f>(Calc!L41+Calc!L42)*(1+Input!L57)^(5-Calc!L4)</f>
        <v>-1.1099388577284688</v>
      </c>
      <c r="F4" s="255">
        <f>(Calc!M41+Calc!M42)*(1+Input!M57)^(5-Calc!M4)</f>
        <v>-2.2264880194365029</v>
      </c>
      <c r="G4" s="9"/>
      <c r="H4" s="168">
        <f>SUM(B4:F4)</f>
        <v>-3.2196735974306203</v>
      </c>
      <c r="I4" s="9"/>
      <c r="J4" s="9"/>
      <c r="K4" s="3"/>
      <c r="L4" s="3"/>
    </row>
    <row r="5" spans="1:12" ht="15">
      <c r="A5" s="9" t="s">
        <v>412</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413</v>
      </c>
      <c r="B6" s="255">
        <f>Calc!I44*(1+Input!I57)^(5-Calc!I4)</f>
        <v>0</v>
      </c>
      <c r="C6" s="255">
        <f>Calc!J44*(1+Input!J57)^(5-Calc!J4)</f>
        <v>0</v>
      </c>
      <c r="D6" s="255">
        <f>Calc!K44*(1+Input!K57)^(5-Calc!K4)</f>
        <v>0</v>
      </c>
      <c r="E6" s="255">
        <f>Calc!L44*(1+Input!L57)^(5-Calc!L4)</f>
        <v>0</v>
      </c>
      <c r="F6" s="255">
        <f>Calc!M44*(1+Input!M57)^(5-Calc!M4)</f>
        <v>0</v>
      </c>
      <c r="G6" s="9"/>
      <c r="H6" s="168">
        <f>SUM(B6:F6)</f>
        <v>0</v>
      </c>
      <c r="I6" s="9"/>
      <c r="J6" s="9"/>
      <c r="K6" s="3"/>
      <c r="L6" s="3"/>
    </row>
    <row r="7" spans="1:12" ht="15.6" thickBot="1">
      <c r="A7" s="9" t="s">
        <v>414</v>
      </c>
      <c r="B7" s="256">
        <f>SUM(B3:B6)</f>
        <v>8.4203633450511965</v>
      </c>
      <c r="C7" s="256">
        <f>SUM(C3:C6)</f>
        <v>10.156060776449767</v>
      </c>
      <c r="D7" s="256">
        <f>SUM(D3:D6)</f>
        <v>6.1049108389973643</v>
      </c>
      <c r="E7" s="256">
        <f>SUM(E3:E6)</f>
        <v>2.3490663727419596</v>
      </c>
      <c r="F7" s="256">
        <f>SUM(F3:F6)</f>
        <v>-2.1580632061291345</v>
      </c>
      <c r="G7" s="9"/>
      <c r="H7" s="256">
        <f>SUM(B7:F7)</f>
        <v>24.872338127111149</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409</v>
      </c>
      <c r="I10" s="10"/>
      <c r="J10" s="120" t="s">
        <v>415</v>
      </c>
      <c r="K10" s="258"/>
      <c r="L10" s="120" t="s">
        <v>416</v>
      </c>
    </row>
    <row r="11" spans="1:12" ht="15">
      <c r="A11" s="9" t="s">
        <v>410</v>
      </c>
      <c r="B11" s="168">
        <f>B3*Input!$K$55/Input!$F$55</f>
        <v>9.4417163543229456</v>
      </c>
      <c r="C11" s="168">
        <f>C3*Input!$K$55/Input!$F$55</f>
        <v>11.789191531443088</v>
      </c>
      <c r="D11" s="168">
        <f>D3*Input!$K$55/Input!$F$55</f>
        <v>7.5829901897766918</v>
      </c>
      <c r="E11" s="168">
        <f>E3*Input!$K$55/Input!$F$55</f>
        <v>4.057362972787427</v>
      </c>
      <c r="F11" s="168">
        <f>F3*Input!$K$55/Input!$F$55</f>
        <v>8.0261313711703336E-2</v>
      </c>
      <c r="G11" s="9"/>
      <c r="H11" s="168">
        <f>SUM(B11:F11)</f>
        <v>32.951522362041857</v>
      </c>
      <c r="I11" s="9"/>
      <c r="J11" s="255">
        <f>-PMT(Input!$M$60,5,H11)</f>
        <v>7.3188300437322278</v>
      </c>
      <c r="K11" s="3"/>
      <c r="L11" s="255">
        <f>J11*5</f>
        <v>36.594150218661142</v>
      </c>
    </row>
    <row r="12" spans="1:12" ht="15">
      <c r="A12" s="9" t="s">
        <v>411</v>
      </c>
      <c r="B12" s="168">
        <f>B4*Input!$K$55/Input!$F$55</f>
        <v>0.43524773716551857</v>
      </c>
      <c r="C12" s="168">
        <f>C4*Input!$K$55/Input!$F$55</f>
        <v>0.12372047596137674</v>
      </c>
      <c r="D12" s="168">
        <f>D4*Input!$K$55/Input!$F$55</f>
        <v>-0.42201830915660721</v>
      </c>
      <c r="E12" s="168">
        <f>E4*Input!$K$55/Input!$F$55</f>
        <v>-1.3019421837627549</v>
      </c>
      <c r="F12" s="168">
        <f>F4*Input!$K$55/Input!$F$55</f>
        <v>-2.6116381582307957</v>
      </c>
      <c r="G12" s="9"/>
      <c r="H12" s="168">
        <f>SUM(B12:F12)</f>
        <v>-3.7766304380232625</v>
      </c>
      <c r="I12" s="9"/>
      <c r="J12" s="255">
        <f>-PMT(Input!$M$60,5,H12)</f>
        <v>-0.83882365161126649</v>
      </c>
      <c r="K12" s="3"/>
      <c r="L12" s="255">
        <f>J12*5</f>
        <v>-4.1941182580563323</v>
      </c>
    </row>
    <row r="13" spans="1:12" ht="15">
      <c r="A13" s="9" t="s">
        <v>412</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5">
        <f>-PMT(Input!$M$60,5,H14)</f>
        <v>0</v>
      </c>
      <c r="K14" s="3"/>
      <c r="L14" s="255">
        <f>J14*5</f>
        <v>0</v>
      </c>
    </row>
    <row r="15" spans="1:12" ht="15.6" thickBot="1">
      <c r="A15" s="9" t="s">
        <v>414</v>
      </c>
      <c r="B15" s="256">
        <f>SUM(B9:B14)</f>
        <v>9.876964091488464</v>
      </c>
      <c r="C15" s="256">
        <f>SUM(C9:C14)</f>
        <v>11.912912007404465</v>
      </c>
      <c r="D15" s="256">
        <f>SUM(D9:D14)</f>
        <v>7.1609718806200844</v>
      </c>
      <c r="E15" s="256">
        <f>SUM(E9:E14)</f>
        <v>2.7554207890246722</v>
      </c>
      <c r="F15" s="256">
        <f>SUM(F9:F14)</f>
        <v>-2.5313768445190923</v>
      </c>
      <c r="G15" s="9"/>
      <c r="H15" s="256">
        <f>SUM(B15:F15)</f>
        <v>29.174891924018596</v>
      </c>
      <c r="I15" s="9"/>
      <c r="J15" s="259">
        <f>-PMT(Input!$M$60,5,H15)</f>
        <v>6.480006392120961</v>
      </c>
      <c r="K15" s="3"/>
      <c r="L15" s="259">
        <f>J15*5</f>
        <v>32.400031960604807</v>
      </c>
    </row>
    <row r="16" spans="1:12" ht="15.6" thickTop="1">
      <c r="A16" s="9"/>
      <c r="B16" s="9"/>
      <c r="C16" s="9"/>
      <c r="D16" s="9"/>
      <c r="E16" s="9"/>
      <c r="F16" s="9"/>
      <c r="G16" s="10"/>
      <c r="H16" s="257" t="b">
        <f>Calc!M50=H15</f>
        <v>1</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409</v>
      </c>
      <c r="I19" s="10"/>
      <c r="J19" s="253"/>
      <c r="K19" s="253"/>
      <c r="L19" s="253"/>
    </row>
    <row r="20" spans="1:12" ht="15">
      <c r="A20" s="254" t="s">
        <v>376</v>
      </c>
      <c r="B20" s="9"/>
      <c r="C20" s="9"/>
      <c r="D20" s="9"/>
      <c r="E20" s="9"/>
      <c r="F20" s="9"/>
      <c r="G20" s="9"/>
      <c r="H20" s="9"/>
      <c r="I20" s="9"/>
      <c r="J20" s="9"/>
      <c r="K20" s="262"/>
      <c r="L20" s="262"/>
    </row>
    <row r="21" spans="1:12" ht="15">
      <c r="A21" s="9" t="s">
        <v>417</v>
      </c>
      <c r="B21" s="168">
        <f>-Calc!I76</f>
        <v>16.036963452930348</v>
      </c>
      <c r="C21" s="168">
        <f>-Calc!J76</f>
        <v>16.074801599115155</v>
      </c>
      <c r="D21" s="168">
        <f>-Calc!K76</f>
        <v>10.843465662103227</v>
      </c>
      <c r="E21" s="168">
        <f>-Calc!L76</f>
        <v>6.5543434183450051</v>
      </c>
      <c r="F21" s="168">
        <f>-Calc!M76</f>
        <v>6.3401734397500427</v>
      </c>
      <c r="G21" s="9"/>
      <c r="H21" s="168">
        <f>SUM(B21:F21)</f>
        <v>55.849747572243771</v>
      </c>
      <c r="I21" s="9"/>
      <c r="J21" s="9"/>
      <c r="K21" s="262"/>
      <c r="L21" s="262"/>
    </row>
    <row r="22" spans="1:12" ht="15">
      <c r="A22" s="9" t="s">
        <v>418</v>
      </c>
      <c r="B22" s="255">
        <f>(Calc!I86+Calc!I87)*(1+Input!I57)^(5-Calc!I4)</f>
        <v>0.32783858212288669</v>
      </c>
      <c r="C22" s="255">
        <f>(Calc!J86+Calc!J87)*(1+Input!J57)^(5-Calc!J4)</f>
        <v>-9.3792406603798437E-2</v>
      </c>
      <c r="D22" s="255">
        <f>(Calc!K86+Calc!K87)*(1+Input!K57)^(5-Calc!K4)</f>
        <v>-0.61396775048461316</v>
      </c>
      <c r="E22" s="255">
        <f>(Calc!L86+Calc!L87)*(1+Input!L57)^(5-Calc!L4)</f>
        <v>-1.4777602121876261</v>
      </c>
      <c r="F22" s="255">
        <f>(Calc!M86+Calc!M87)*(1+Input!M57)^(5-Calc!M4)</f>
        <v>-2.7901570925045309</v>
      </c>
      <c r="G22" s="9"/>
      <c r="H22" s="168">
        <f>SUM(B22:F22)</f>
        <v>-4.6478388796576819</v>
      </c>
      <c r="I22" s="9"/>
      <c r="J22" s="9"/>
      <c r="K22" s="262"/>
      <c r="L22" s="262"/>
    </row>
    <row r="23" spans="1:12" ht="15">
      <c r="A23" s="9" t="s">
        <v>419</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420</v>
      </c>
      <c r="B24" s="255">
        <f>Calc!I89*(1+Input!I57)^(5-Calc!I4)</f>
        <v>0</v>
      </c>
      <c r="C24" s="255">
        <f>Calc!J89*(1+Input!J57)^(5-Calc!J4)</f>
        <v>0</v>
      </c>
      <c r="D24" s="255">
        <f>Calc!K89*(1+Input!K57)^(5-Calc!K4)</f>
        <v>0</v>
      </c>
      <c r="E24" s="255">
        <f>Calc!L89*(1+Input!L57)^(5-Calc!L4)</f>
        <v>0</v>
      </c>
      <c r="F24" s="255">
        <f>Calc!M89*(1+Input!M57)^(5-Calc!M4)</f>
        <v>0</v>
      </c>
      <c r="G24" s="9"/>
      <c r="H24" s="168">
        <f>SUM(B24:F24)</f>
        <v>0</v>
      </c>
      <c r="I24" s="9"/>
      <c r="J24" s="9"/>
      <c r="K24" s="262"/>
      <c r="L24" s="262"/>
    </row>
    <row r="25" spans="1:12" ht="15.6" thickBot="1">
      <c r="A25" s="9" t="s">
        <v>421</v>
      </c>
      <c r="B25" s="256">
        <f>SUM(B18:B24)</f>
        <v>16.364802035053234</v>
      </c>
      <c r="C25" s="256">
        <f>SUM(C18:C24)</f>
        <v>15.981009192511356</v>
      </c>
      <c r="D25" s="256">
        <f>SUM(D18:D24)</f>
        <v>10.229497911618614</v>
      </c>
      <c r="E25" s="256">
        <f>SUM(E18:E24)</f>
        <v>5.0765832061573786</v>
      </c>
      <c r="F25" s="256">
        <f>SUM(F18:F24)</f>
        <v>3.5500163472455117</v>
      </c>
      <c r="G25" s="9"/>
      <c r="H25" s="256">
        <f>SUM(B25:F25)</f>
        <v>51.201908692586095</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422</v>
      </c>
      <c r="B28" s="185" t="s">
        <v>72</v>
      </c>
      <c r="C28" s="185" t="s">
        <v>73</v>
      </c>
      <c r="D28" s="185" t="s">
        <v>74</v>
      </c>
      <c r="E28" s="185" t="s">
        <v>75</v>
      </c>
      <c r="F28" s="185" t="s">
        <v>76</v>
      </c>
      <c r="G28" s="10"/>
      <c r="H28" s="185" t="s">
        <v>409</v>
      </c>
      <c r="I28" s="10"/>
      <c r="J28" s="120" t="s">
        <v>423</v>
      </c>
      <c r="K28" s="253"/>
      <c r="L28" s="120" t="s">
        <v>416</v>
      </c>
    </row>
    <row r="29" spans="1:12" ht="15">
      <c r="A29" s="9" t="s">
        <v>417</v>
      </c>
      <c r="B29" s="168">
        <f>B21*Input!$K$55/Input!$F$55</f>
        <v>18.811125561962655</v>
      </c>
      <c r="C29" s="168">
        <f>C21*Input!$K$55/Input!$F$55</f>
        <v>18.855509158707974</v>
      </c>
      <c r="D29" s="168">
        <f>D21*Input!$K$55/Input!$F$55</f>
        <v>12.719227969518291</v>
      </c>
      <c r="E29" s="168">
        <f>E21*Input!$K$55/Input!$F$55</f>
        <v>7.6881497785157364</v>
      </c>
      <c r="F29" s="168">
        <f>F21*Input!$K$55/Input!$F$55</f>
        <v>7.4369314995206226</v>
      </c>
      <c r="G29" s="9"/>
      <c r="H29" s="168">
        <f>SUM(B29:F29)</f>
        <v>65.510943968225277</v>
      </c>
      <c r="I29" s="9"/>
      <c r="J29" s="255">
        <f>-PMT(Input!$M$60,5,H29)</f>
        <v>14.550570976357024</v>
      </c>
      <c r="K29" s="262"/>
      <c r="L29" s="255">
        <f>J29*5</f>
        <v>72.752854881785126</v>
      </c>
    </row>
    <row r="30" spans="1:12" ht="15">
      <c r="A30" s="9" t="s">
        <v>418</v>
      </c>
      <c r="B30" s="168">
        <f>B22*Input!$K$55/Input!$F$55</f>
        <v>0.38454990250929089</v>
      </c>
      <c r="C30" s="168">
        <f>C22*Input!$K$55/Input!$F$55</f>
        <v>-0.11001713276713361</v>
      </c>
      <c r="D30" s="168">
        <f>D22*Input!$K$55/Input!$F$55</f>
        <v>-0.72017526754738925</v>
      </c>
      <c r="E30" s="168">
        <f>E22*Input!$K$55/Input!$F$55</f>
        <v>-1.7333912983916273</v>
      </c>
      <c r="F30" s="168">
        <f>F22*Input!$K$55/Input!$F$55</f>
        <v>-3.2728138066008308</v>
      </c>
      <c r="G30" s="9"/>
      <c r="H30" s="168">
        <f>SUM(B30:F30)</f>
        <v>-5.4518476027976899</v>
      </c>
      <c r="I30" s="9"/>
      <c r="J30" s="255">
        <f>-PMT(Input!$M$60,5,H30)</f>
        <v>-1.2109044793380757</v>
      </c>
      <c r="K30" s="262"/>
      <c r="L30" s="255">
        <f>J30*5</f>
        <v>-6.0545223966903787</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5">
        <f>-PMT(Input!$M$60,5,H32)</f>
        <v>0</v>
      </c>
      <c r="K32" s="3"/>
      <c r="L32" s="255">
        <f>J32*5</f>
        <v>0</v>
      </c>
    </row>
    <row r="33" spans="1:12" ht="15.6" thickBot="1">
      <c r="A33" s="9" t="s">
        <v>421</v>
      </c>
      <c r="B33" s="256">
        <f>SUM(B27:B32)</f>
        <v>19.195675464471947</v>
      </c>
      <c r="C33" s="256">
        <f>SUM(C27:C32)</f>
        <v>18.745492025940841</v>
      </c>
      <c r="D33" s="256">
        <f>SUM(D27:D32)</f>
        <v>11.999052701970902</v>
      </c>
      <c r="E33" s="256">
        <f>SUM(E27:E32)</f>
        <v>5.9547584801241094</v>
      </c>
      <c r="F33" s="256">
        <f>SUM(F27:F32)</f>
        <v>4.1641176929197918</v>
      </c>
      <c r="G33" s="9"/>
      <c r="H33" s="256">
        <f>SUM(B33:F33)</f>
        <v>60.059096365427592</v>
      </c>
      <c r="I33" s="9"/>
      <c r="J33" s="259">
        <f>-PMT(Input!$M$60,5,H33)</f>
        <v>13.33966649701895</v>
      </c>
      <c r="K33" s="262"/>
      <c r="L33" s="259">
        <f>J33*5</f>
        <v>66.698332485094753</v>
      </c>
    </row>
    <row r="34" spans="1:12" ht="15.6" thickTop="1">
      <c r="A34" s="9"/>
      <c r="B34" s="168"/>
      <c r="C34" s="9"/>
      <c r="D34" s="140"/>
      <c r="E34" s="140"/>
      <c r="F34" s="140"/>
      <c r="G34" s="10"/>
      <c r="H34" s="257" t="b">
        <f>Calc!M95=H33</f>
        <v>1</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2016-09-30T14:32:36Z</dcterms:created>
  <dcterms:modified xsi:type="dcterms:W3CDTF">2016-09-30T14:32:41Z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