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<sst xmlns="http://schemas.openxmlformats.org/spreadsheetml/2006/main" count="1162" uniqueCount="486">
  <si>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</si>
  <si>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</si>
  <si>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</si>
  <si>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</si>
  <si>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</si>
  <si>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</si>
  <si>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</si>
  <si>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</si>
  <si>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</si>
  <si>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</si>
  <si>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</si>
  <si>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</si>
  <si>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</si>
  <si>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</si>
  <si>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</si>
  <si>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</si>
  <si>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</si>
  <si>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</si>
  <si>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</si>
  <si>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</si>
  <si>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</si>
  <si>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</si>
  <si>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</si>
  <si>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</si>
  <si>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</si>
  <si>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</si>
  <si>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</si>
  <si>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</si>
  <si>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</si>
  <si>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</si>
  <si>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</si>
  <si>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</si>
  <si>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</si>
  <si>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</si>
  <si>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</si>
  <si>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</si>
  <si>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</si>
  <si>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</si>
  <si>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</si>
  <si>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</si>
  <si>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</si>
  <si>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</si>
  <si>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</si>
  <si>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</si>
  <si>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</si>
  <si>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</si>
  <si>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</si>
  <si>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</si>
  <si>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</si>
  <si>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</si>
  <si>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</si>
  <si>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</si>
  <si>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</si>
  <si>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</si>
  <si>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</si>
  <si>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</si>
  <si>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</si>
  <si>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</si>
  <si>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</si>
  <si>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</si>
  <si>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</si>
  <si>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</si>
  <si>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</si>
  <si>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</si>
  <si>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</si>
  <si>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</si>
  <si>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</si>
  <si>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</si>
  <si>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</si>
  <si>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</si>
  <si>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</si>
  <si>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</si>
  <si>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</si>
  <si>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</si>
  <si>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</si>
  <si>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</si>
  <si>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</si>
  <si>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</si>
  <si>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</si>
  <si>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</si>
  <si>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</si>
  <si>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</si>
  <si>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</si>
  <si>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</si>
  <si>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</si>
  <si>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</si>
  <si>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</si>
  <si>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</si>
  <si>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</si>
  <si>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</si>
  <si>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</si>
  <si>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</si>
  <si>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</si>
  <si>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</si>
  <si>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</si>
  <si>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</si>
  <si>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</si>
  <si>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</si>
  <si>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</si>
  <si>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</si>
  <si>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</si>
  <si>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</si>
  <si>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</si>
  <si>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</si>
  <si>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</si>
  <si>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</si>
  <si>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</si>
  <si>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</si>
  <si>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</si>
  <si>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</si>
  <si>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</si>
  <si>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</si>
  <si>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</si>
  <si>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</si>
  <si>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</si>
  <si>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</si>
  <si>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</si>
  <si>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</si>
  <si>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</si>
  <si>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</si>
  <si>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</si>
  <si>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</si>
  <si>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</si>
  <si>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</si>
  <si>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</si>
  <si>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</si>
  <si>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</si>
  <si>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</si>
  <si>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</si>
  <si>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</si>
  <si>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</si>
  <si>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</si>
  <si>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</si>
  <si>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</si>
  <si>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</si>
  <si>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</si>
  <si>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</si>
  <si>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</si>
  <si>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</si>
  <si>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</si>
  <si>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</si>
  <si>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</si>
  <si>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</si>
  <si>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</si>
  <si>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</si>
  <si>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</si>
  <si>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</si>
  <si>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</si>
  <si>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</si>
  <si>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</si>
  <si>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</si>
  <si>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</si>
  <si>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</si>
  <si>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</si>
  <si>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</si>
  <si>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</si>
  <si>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</si>
  <si>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</si>
  <si>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</si>
  <si>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</si>
  <si>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</si>
  <si>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</si>
  <si>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</si>
  <si>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</si>
  <si>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</si>
  <si>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</si>
  <si>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</si>
  <si>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</si>
  <si>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</si>
  <si>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</si>
  <si>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</si>
  <si>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</si>
  <si>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</si>
  <si>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</si>
  <si>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</si>
  <si>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</si>
  <si>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</si>
  <si>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</si>
  <si>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</si>
  <si>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</si>
  <si>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</si>
  <si>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</si>
  <si>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</si>
  <si>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</si>
  <si>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</si>
  <si>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</si>
  <si>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</si>
  <si>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</si>
  <si>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</si>
  <si>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</si>
  <si>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</si>
  <si>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</si>
  <si>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</si>
  <si>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</si>
  <si>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</si>
  <si>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</si>
  <si>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</si>
  <si>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</si>
  <si>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</si>
  <si>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</si>
  <si>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</si>
  <si>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</si>
  <si>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</si>
  <si>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</si>
  <si>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</si>
  <si>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</si>
  <si>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</si>
  <si>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</si>
  <si>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</si>
  <si>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</si>
  <si>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</si>
  <si>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</si>
  <si>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</si>
  <si>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</si>
  <si>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</si>
  <si>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</si>
  <si>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</si>
  <si>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</si>
  <si>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</si>
  <si>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</si>
  <si>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</si>
  <si>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</si>
  <si>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</si>
  <si>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</si>
  <si>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</si>
  <si>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</si>
  <si>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</si>
  <si>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</si>
  <si>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</si>
  <si>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</si>
  <si>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</si>
  <si>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</si>
  <si>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</si>
  <si>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</si>
  <si>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</si>
  <si>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</si>
  <si>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</si>
  <si>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</si>
  <si>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</si>
  <si>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</si>
  <si>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</si>
  <si>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</si>
  <si>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</si>
  <si>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</si>
  <si>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</si>
  <si>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</si>
  <si>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</si>
  <si>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</si>
  <si>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</si>
  <si>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</si>
  <si>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</si>
  <si>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</si>
  <si>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</si>
  <si>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</si>
  <si>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</si>
  <si>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</si>
  <si>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</si>
  <si>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</si>
  <si>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</si>
  <si>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</si>
  <si>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</si>
  <si>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</si>
  <si>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</si>
  <si>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</si>
  <si>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</si>
  <si>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</si>
  <si>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</si>
  <si>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</si>
  <si>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</si>
  <si>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</si>
  <si>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</si>
  <si>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</si>
  <si>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</si>
  <si>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</si>
  <si>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</si>
  <si>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</si>
  <si>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</si>
  <si>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</si>
  <si>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</si>
  <si>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</si>
  <si>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</si>
  <si>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</si>
  <si>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</si>
  <si>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</si>
  <si>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</si>
  <si>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</si>
  <si>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</si>
  <si>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</si>
  <si>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</si>
  <si>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</si>
  <si>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</si>
  <si>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</si>
  <si>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</si>
  <si>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</si>
  <si>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</si>
  <si>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</si>
  <si>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</si>
  <si>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</si>
  <si>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</si>
  <si>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</si>
  <si>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</si>
  <si>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</si>
  <si>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</si>
  <si>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</si>
  <si>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</si>
  <si>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</si>
  <si>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</si>
  <si>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</si>
  <si>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</si>
  <si>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</si>
  <si>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</si>
  <si>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</si>
  <si>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</si>
  <si>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</si>
  <si>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</si>
  <si>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</si>
  <si>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</si>
  <si>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</si>
  <si>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</si>
  <si>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</si>
  <si>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</si>
  <si>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</si>
  <si>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</si>
  <si>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</si>
  <si>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</si>
  <si>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</si>
  <si>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</si>
  <si>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</si>
  <si>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</si>
  <si>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</si>
  <si>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</si>
  <si>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</si>
  <si>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</si>
  <si>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</si>
  <si>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</si>
  <si>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</si>
  <si>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</si>
  <si>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</si>
  <si>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</si>
  <si>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</si>
  <si>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</si>
  <si>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</si>
  <si>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</si>
  <si>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</si>
  <si>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</si>
  <si>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</si>
  <si>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</si>
  <si>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</si>
  <si>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</si>
  <si>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</si>
  <si>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</si>
  <si>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</si>
  <si>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</si>
  <si>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</si>
  <si>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</si>
  <si>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</si>
  <si>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</si>
  <si>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</si>
  <si>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</si>
  <si>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</si>
  <si>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</si>
  <si>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</si>
  <si>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</si>
  <si>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</si>
  <si>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</si>
  <si>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</si>
  <si>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</si>
  <si>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</si>
  <si>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</si>
  <si>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</si>
  <si>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</si>
  <si>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</si>
  <si>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</si>
  <si>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</si>
  <si>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</si>
  <si>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</si>
  <si>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</si>
  <si>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</si>
  <si>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</si>
  <si>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</si>
  <si>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</si>
  <si>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</si>
  <si>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</si>
  <si>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</si>
  <si>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</si>
  <si>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</si>
  <si>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</si>
  <si>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</si>
  <si>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</si>
  <si>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</si>
  <si>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</si>
  <si>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</si>
  <si>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</si>
  <si>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</si>
  <si>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</si>
  <si>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</si>
  <si>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</si>
  <si>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</si>
  <si>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</si>
  <si>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</si>
  <si>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</si>
  <si>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</si>
  <si>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</si>
  <si>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</si>
  <si>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</si>
  <si>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</si>
  <si>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</si>
  <si>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</si>
  <si>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</si>
  <si>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</si>
  <si>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</si>
  <si>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</si>
  <si>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</si>
  <si>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</si>
  <si>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</si>
  <si>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</si>
  <si>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</si>
  <si>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</si>
  <si>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</si>
  <si>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</si>
  <si>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</si>
  <si>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</si>
  <si>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</si>
  <si>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</si>
  <si>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</si>
  <si>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</si>
  <si>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</si>
  <si>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</si>
  <si>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</si>
  <si>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</si>
  <si>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</si>
  <si>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</si>
  <si>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</si>
  <si>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</si>
  <si>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</si>
  <si>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</si>
  <si>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</si>
  <si>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</si>
  <si>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</si>
  <si>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</si>
  <si>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</si>
  <si>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</si>
  <si>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</si>
  <si>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</si>
  <si>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</si>
  <si>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</si>
  <si>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</si>
  <si>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</si>
  <si>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</si>
  <si>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</si>
  <si>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</si>
  <si>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</si>
  <si>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</si>
  <si>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</si>
  <si>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</si>
  <si>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</si>
  <si>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</si>
  <si>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</si>
  <si>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</si>
  <si>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</si>
  <si>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</si>
  <si>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</si>
  <si>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</si>
  <si>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</si>
  <si>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</si>
  <si>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</si>
  <si>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</si>
  <si>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</si>
  <si>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</si>
  <si>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</si>
  <si>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</si>
  <si>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</si>
  <si>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</si>
  <si>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</si>
  <si>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</si>
  <si>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</si>
  <si>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</si>
  <si>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</si>
  <si>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55_XLSPF</t>
  </si>
  <si>
    <t>South Staffordshire Water Plc_XLSPF</t>
  </si>
  <si>
    <t>10/05/2016 19:07:03_XLSPF</t>
  </si>
  <si>
    <t>10/05/2016 19:08:33_XLSPF</t>
  </si>
  <si>
    <t>http://fnttest202:8082/Fountain/rest-services_XLSPF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</si>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</sst>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0">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5">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0" fontId="32" fillId="0" borderId="0" xfId="0" applyFont="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32" fillId="0" borderId="0" xfId="61" applyFont="1" applyAlignment="1">
      <alignment vertical="top" wrapText="1"/>
    </xf>
    <xf numFmtId="0" fontId="43" fillId="0" borderId="36" xfId="62" applyFont="1" applyBorder="1" applyAlignment="1">
      <alignment vertical="top"/>
    </xf>
    <xf numFmtId="14" fontId="1" fillId="0" borderId="36" xfId="0" applyNumberFormat="1" applyFont="1" applyFill="1" applyBorder="1" applyAlignment="1">
      <alignment vertical="top" wrapText="1"/>
    </xf>
    <xf numFmtId="0" fontId="1" fillId="0" borderId="36" xfId="62" applyFont="1" applyBorder="1" applyAlignment="1">
      <alignment vertical="top" wrapText="1"/>
    </xf>
    <xf numFmtId="0" fontId="1" fillId="0" borderId="36" xfId="0" applyFont="1" applyBorder="1" applyAlignment="1">
      <alignment vertical="top" wrapText="1"/>
    </xf>
    <xf numFmtId="0" fontId="1" fillId="0" borderId="36" xfId="0" quotePrefix="1" applyFont="1" applyBorder="1" applyAlignment="1">
      <alignment horizontal="left" vertical="top" wrapText="1"/>
    </xf>
    <xf numFmtId="0" fontId="1" fillId="0" borderId="36" xfId="0" applyFont="1" applyBorder="1" applyAlignment="1">
      <alignment horizontal="left" vertical="top" wrapText="1"/>
    </xf>
    <xf numFmtId="0" fontId="43" fillId="0" borderId="0" xfId="62" quotePrefix="1" applyFont="1" applyAlignment="1">
      <alignment horizontal="left" vertical="top"/>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11" fillId="0" borderId="0" xfId="62" applyFont="1" applyAlignment="1">
      <alignment vertical="top" wrapText="1"/>
    </xf>
    <xf numFmtId="0" fontId="43" fillId="0" borderId="0" xfId="62" applyFont="1" applyAlignment="1">
      <alignment horizontal="left" vertical="top" wrapText="1"/>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cellXfs>
  <cellStyles count="90">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6"/>
    <cellStyle name="Comma 3" xfId="66"/>
    <cellStyle name="Comma 3 2" xfId="67"/>
    <cellStyle name="Comma 3 2 2" xfId="88"/>
    <cellStyle name="Comma 3 3"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activeCell="J4" sqref="J4"/>
      <selection pane="topRight" activeCell="J4" sqref="J4"/>
      <selection pane="bottomLeft" activeCell="J4" sqref="J4"/>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4"/>
      <c r="C1" s="265" t="s">
        <v>477</v>
      </c>
      <c r="D1" s="264"/>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6">
        <f>+Calc!$M51</f>
        <v>1.8594219958874947</v>
      </c>
      <c r="G4" s="266">
        <f>+Calc!$M51</f>
        <v>1.8594219958874947</v>
      </c>
      <c r="H4" s="266">
        <f>+Calc!$M51</f>
        <v>1.8594219958874947</v>
      </c>
      <c r="I4" s="266">
        <f>+Calc!$M51</f>
        <v>1.8594219958874947</v>
      </c>
      <c r="J4" s="266">
        <f>+Calc!$M51</f>
        <v>1.8594219958874947</v>
      </c>
      <c r="K4" s="245"/>
    </row>
    <row r="5" spans="1:11">
      <c r="B5" s="267" t="s">
        <v>426</v>
      </c>
      <c r="C5" s="268" t="s">
        <v>424</v>
      </c>
      <c r="D5" s="269" t="s">
        <v>78</v>
      </c>
      <c r="E5" s="268" t="s">
        <v>433</v>
      </c>
      <c r="F5" s="270">
        <f>'RCM report'!$J$11</f>
        <v>1.3146536297086366</v>
      </c>
      <c r="G5" s="270">
        <f>'RCM report'!$J$11</f>
        <v>1.3146536297086366</v>
      </c>
      <c r="H5" s="270">
        <f>'RCM report'!$J$11</f>
        <v>1.3146536297086366</v>
      </c>
      <c r="I5" s="270">
        <f>'RCM report'!$J$11</f>
        <v>1.3146536297086366</v>
      </c>
      <c r="J5" s="270">
        <f>'RCM report'!$J$11</f>
        <v>1.3146536297086366</v>
      </c>
      <c r="K5" s="245"/>
    </row>
    <row r="6" spans="1:11">
      <c r="B6" s="267" t="s">
        <v>427</v>
      </c>
      <c r="C6" s="268" t="s">
        <v>425</v>
      </c>
      <c r="D6" s="269" t="s">
        <v>78</v>
      </c>
      <c r="E6" s="268" t="s">
        <v>433</v>
      </c>
      <c r="F6" s="270">
        <f>'RCM report'!$J$12+'RCM report'!$J$13+'RCM report'!$J$14</f>
        <v>0.54476836617885804</v>
      </c>
      <c r="G6" s="270">
        <f>'RCM report'!$J$12+'RCM report'!$J$13+'RCM report'!$J$14</f>
        <v>0.54476836617885804</v>
      </c>
      <c r="H6" s="270">
        <f>'RCM report'!$J$12+'RCM report'!$J$13+'RCM report'!$J$14</f>
        <v>0.54476836617885804</v>
      </c>
      <c r="I6" s="270">
        <f>'RCM report'!$J$12+'RCM report'!$J$13+'RCM report'!$J$14</f>
        <v>0.54476836617885804</v>
      </c>
      <c r="J6" s="270">
        <f>'RCM report'!$J$12+'RCM report'!$J$13+'RCM report'!$J$14</f>
        <v>0.54476836617885804</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7" t="s">
        <v>428</v>
      </c>
      <c r="C8" s="269" t="s">
        <v>430</v>
      </c>
      <c r="D8" s="269" t="s">
        <v>78</v>
      </c>
      <c r="E8" s="269" t="s">
        <v>433</v>
      </c>
      <c r="F8" s="270">
        <f>'RCM report'!$J$29</f>
        <v>0</v>
      </c>
      <c r="G8" s="270">
        <f>'RCM report'!$J$29</f>
        <v>0</v>
      </c>
      <c r="H8" s="270">
        <f>'RCM report'!$J$29</f>
        <v>0</v>
      </c>
      <c r="I8" s="270">
        <f>'RCM report'!$J$29</f>
        <v>0</v>
      </c>
      <c r="J8" s="270">
        <f>'RCM report'!$J$29</f>
        <v>0</v>
      </c>
      <c r="K8" s="245"/>
    </row>
    <row r="9" spans="1:11">
      <c r="B9" s="267" t="s">
        <v>429</v>
      </c>
      <c r="C9" s="269" t="s">
        <v>431</v>
      </c>
      <c r="D9" s="269" t="s">
        <v>78</v>
      </c>
      <c r="E9" s="269" t="s">
        <v>433</v>
      </c>
      <c r="F9" s="270">
        <f>'RCM report'!$J$30+'RCM report'!$J$31+'RCM report'!$J$32</f>
        <v>0</v>
      </c>
      <c r="G9" s="270">
        <f>'RCM report'!$J$30+'RCM report'!$J$31+'RCM report'!$J$32</f>
        <v>0</v>
      </c>
      <c r="H9" s="270">
        <f>'RCM report'!$J$30+'RCM report'!$J$31+'RCM report'!$J$32</f>
        <v>0</v>
      </c>
      <c r="I9" s="270">
        <f>'RCM report'!$J$30+'RCM report'!$J$31+'RCM report'!$J$32</f>
        <v>0</v>
      </c>
      <c r="J9" s="270">
        <f>'RCM report'!$J$30+'RCM report'!$J$31+'RCM report'!$J$32</f>
        <v>0</v>
      </c>
      <c r="K9" s="245"/>
    </row>
    <row r="10" spans="1:11">
      <c r="B10" s="246" t="s">
        <v>385</v>
      </c>
      <c r="C10" s="235" t="s">
        <v>366</v>
      </c>
      <c r="D10" s="235" t="s">
        <v>362</v>
      </c>
      <c r="E10" s="235" t="s">
        <v>433</v>
      </c>
      <c r="F10" s="250"/>
      <c r="G10" s="250"/>
      <c r="H10" s="250"/>
      <c r="I10" s="250"/>
      <c r="J10" s="250"/>
      <c r="K10" s="253">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2" t="s">
        <v>272</v>
      </c>
      <c r="B1" s="271"/>
      <c r="C1" s="271"/>
      <c r="D1" s="271"/>
      <c r="E1" s="271"/>
      <c r="F1" s="271"/>
      <c r="G1" s="271"/>
      <c r="H1" s="271"/>
      <c r="I1" s="271"/>
      <c r="J1" s="271"/>
      <c r="K1" s="271"/>
      <c r="L1" s="271"/>
      <c r="M1" s="271"/>
      <c r="N1" s="271"/>
    </row>
    <row r="2" spans="1:14" ht="15.6">
      <c r="A2" s="272" t="s">
        <v>484</v>
      </c>
      <c r="B2" s="271"/>
      <c r="C2" s="271"/>
      <c r="D2" s="271"/>
      <c r="E2" s="271"/>
      <c r="F2" s="271"/>
      <c r="G2" s="271"/>
      <c r="H2" s="271"/>
      <c r="I2" s="271"/>
      <c r="J2" s="271"/>
      <c r="K2" s="271"/>
      <c r="L2" s="271"/>
      <c r="M2" s="271"/>
      <c r="N2" s="271"/>
    </row>
    <row r="3" spans="1:14" ht="15.6">
      <c r="A3" s="272"/>
      <c r="B3" s="271"/>
      <c r="C3" s="271"/>
      <c r="D3" s="271"/>
      <c r="E3" s="271"/>
      <c r="F3" s="271"/>
      <c r="G3" s="271"/>
      <c r="H3" s="271"/>
      <c r="I3" s="271"/>
      <c r="J3" s="271"/>
      <c r="K3" s="271"/>
      <c r="L3" s="271"/>
      <c r="M3" s="271"/>
      <c r="N3" s="271"/>
    </row>
    <row r="4" spans="1:14" ht="15.6">
      <c r="A4" s="274" t="s">
        <v>222</v>
      </c>
      <c r="B4" s="271"/>
      <c r="C4" s="271"/>
      <c r="D4" s="271"/>
      <c r="E4" s="271"/>
      <c r="F4" s="271"/>
      <c r="G4" s="271"/>
      <c r="H4" s="271"/>
      <c r="I4" s="271"/>
      <c r="J4" s="271"/>
      <c r="K4" s="271"/>
      <c r="L4" s="271"/>
      <c r="M4" s="271"/>
      <c r="N4" s="271"/>
    </row>
    <row r="5" spans="1:14" ht="15.6">
      <c r="A5" s="272"/>
      <c r="B5" s="271"/>
      <c r="C5" s="271"/>
      <c r="D5" s="271"/>
      <c r="E5" s="271"/>
      <c r="F5" s="271"/>
      <c r="G5" s="271"/>
      <c r="H5" s="271"/>
      <c r="I5" s="271"/>
      <c r="J5" s="271"/>
      <c r="K5" s="271"/>
      <c r="L5" s="271"/>
      <c r="M5" s="271"/>
      <c r="N5" s="271"/>
    </row>
    <row r="6" spans="1:14" ht="31.2" customHeight="1">
      <c r="A6" s="275"/>
      <c r="B6" s="276" t="s">
        <v>86</v>
      </c>
      <c r="C6" s="276" t="s">
        <v>229</v>
      </c>
      <c r="D6" s="314" t="s">
        <v>219</v>
      </c>
      <c r="E6" s="315"/>
      <c r="F6" s="315"/>
      <c r="G6" s="315"/>
      <c r="H6" s="315"/>
      <c r="I6" s="315"/>
      <c r="J6" s="315"/>
      <c r="K6" s="315"/>
      <c r="L6" s="315"/>
      <c r="M6" s="316"/>
      <c r="N6" s="276" t="s">
        <v>220</v>
      </c>
    </row>
    <row r="7" spans="1:14" s="247" customFormat="1" ht="256.2" customHeight="1">
      <c r="A7" s="294"/>
      <c r="B7" s="296">
        <v>42382</v>
      </c>
      <c r="C7" s="297" t="s">
        <v>408</v>
      </c>
      <c r="D7" s="299" t="s">
        <v>483</v>
      </c>
      <c r="E7" s="300"/>
      <c r="F7" s="300"/>
      <c r="G7" s="300"/>
      <c r="H7" s="300"/>
      <c r="I7" s="300"/>
      <c r="J7" s="300"/>
      <c r="K7" s="300"/>
      <c r="L7" s="300"/>
      <c r="M7" s="300"/>
      <c r="N7" s="298" t="s">
        <v>247</v>
      </c>
    </row>
    <row r="9" spans="1:14" ht="15.6">
      <c r="A9" s="274" t="s">
        <v>221</v>
      </c>
      <c r="B9" s="271"/>
      <c r="C9" s="271"/>
      <c r="D9" s="271"/>
      <c r="E9" s="271"/>
      <c r="F9" s="271"/>
      <c r="G9" s="271"/>
      <c r="H9" s="271"/>
      <c r="I9" s="271"/>
      <c r="J9" s="271"/>
      <c r="K9" s="271"/>
      <c r="L9" s="271"/>
      <c r="M9" s="271"/>
      <c r="N9" s="271"/>
    </row>
    <row r="10" spans="1:14" ht="15.6">
      <c r="A10" s="272"/>
      <c r="B10" s="271"/>
      <c r="C10" s="271"/>
      <c r="D10" s="271"/>
      <c r="E10" s="271"/>
      <c r="F10" s="271"/>
      <c r="G10" s="271"/>
      <c r="H10" s="271"/>
      <c r="I10" s="271"/>
      <c r="J10" s="271"/>
      <c r="K10" s="271"/>
      <c r="L10" s="271"/>
      <c r="M10" s="271"/>
      <c r="N10" s="271"/>
    </row>
    <row r="11" spans="1:14" ht="31.2" customHeight="1">
      <c r="A11" s="275"/>
      <c r="B11" s="276" t="s">
        <v>86</v>
      </c>
      <c r="C11" s="276" t="s">
        <v>229</v>
      </c>
      <c r="D11" s="314" t="s">
        <v>219</v>
      </c>
      <c r="E11" s="315"/>
      <c r="F11" s="315"/>
      <c r="G11" s="315"/>
      <c r="H11" s="315"/>
      <c r="I11" s="315"/>
      <c r="J11" s="315"/>
      <c r="K11" s="315"/>
      <c r="L11" s="315"/>
      <c r="M11" s="316"/>
      <c r="N11" s="276" t="s">
        <v>220</v>
      </c>
    </row>
    <row r="12" spans="1:14">
      <c r="A12" s="275"/>
      <c r="B12" s="279"/>
      <c r="C12" s="293"/>
      <c r="D12" s="319"/>
      <c r="E12" s="320"/>
      <c r="F12" s="320"/>
      <c r="G12" s="320"/>
      <c r="H12" s="320"/>
      <c r="I12" s="320"/>
      <c r="J12" s="320"/>
      <c r="K12" s="320"/>
      <c r="L12" s="320"/>
      <c r="M12" s="321"/>
      <c r="N12" s="277"/>
    </row>
    <row r="13" spans="1:14">
      <c r="A13" s="275"/>
      <c r="B13" s="279"/>
      <c r="C13" s="295"/>
      <c r="D13" s="319"/>
      <c r="E13" s="320"/>
      <c r="F13" s="320"/>
      <c r="G13" s="320"/>
      <c r="H13" s="320"/>
      <c r="I13" s="320"/>
      <c r="J13" s="320"/>
      <c r="K13" s="320"/>
      <c r="L13" s="320"/>
      <c r="M13" s="321"/>
      <c r="N13" s="277"/>
    </row>
    <row r="14" spans="1:14">
      <c r="A14" s="275"/>
      <c r="B14" s="279"/>
      <c r="C14" s="295"/>
      <c r="D14" s="319"/>
      <c r="E14" s="320"/>
      <c r="F14" s="320"/>
      <c r="G14" s="320"/>
      <c r="H14" s="320"/>
      <c r="I14" s="320"/>
      <c r="J14" s="320"/>
      <c r="K14" s="320"/>
      <c r="L14" s="320"/>
      <c r="M14" s="321"/>
      <c r="N14" s="277"/>
    </row>
    <row r="15" spans="1:14" ht="15.6">
      <c r="A15" s="275"/>
      <c r="B15" s="278"/>
      <c r="C15" s="293"/>
      <c r="D15" s="319"/>
      <c r="E15" s="320"/>
      <c r="F15" s="320"/>
      <c r="G15" s="320"/>
      <c r="H15" s="320"/>
      <c r="I15" s="320"/>
      <c r="J15" s="320"/>
      <c r="K15" s="320"/>
      <c r="L15" s="320"/>
      <c r="M15" s="321"/>
      <c r="N15" s="278"/>
    </row>
    <row r="17" spans="1:14" ht="25.5" customHeight="1">
      <c r="A17" s="274" t="s">
        <v>218</v>
      </c>
      <c r="B17" s="271"/>
      <c r="C17" s="271"/>
      <c r="D17" s="271"/>
      <c r="E17" s="271"/>
      <c r="F17" s="271"/>
      <c r="G17" s="271"/>
      <c r="H17" s="271"/>
      <c r="I17" s="271"/>
      <c r="J17" s="271"/>
      <c r="K17" s="271"/>
      <c r="L17" s="271"/>
      <c r="M17" s="271"/>
      <c r="N17" s="271"/>
    </row>
    <row r="18" spans="1:14" ht="37.5" customHeight="1">
      <c r="A18" s="325" t="s">
        <v>217</v>
      </c>
      <c r="B18" s="325"/>
      <c r="C18" s="325"/>
      <c r="D18" s="325"/>
      <c r="E18" s="325"/>
      <c r="F18" s="325"/>
      <c r="G18" s="325"/>
      <c r="H18" s="325"/>
      <c r="I18" s="325"/>
      <c r="J18" s="325"/>
      <c r="K18" s="325"/>
      <c r="L18" s="325"/>
      <c r="M18" s="325"/>
      <c r="N18" s="271"/>
    </row>
    <row r="19" spans="1:14" ht="145.80000000000001" customHeight="1">
      <c r="A19" s="275"/>
      <c r="B19" s="324" t="s">
        <v>485</v>
      </c>
      <c r="C19" s="324"/>
      <c r="D19" s="324"/>
      <c r="E19" s="324"/>
      <c r="F19" s="324"/>
      <c r="G19" s="324"/>
      <c r="H19" s="324"/>
      <c r="I19" s="324"/>
      <c r="J19" s="324"/>
      <c r="K19" s="324"/>
      <c r="L19" s="324"/>
      <c r="M19" s="324"/>
      <c r="N19" s="271"/>
    </row>
    <row r="20" spans="1:14">
      <c r="A20" s="275"/>
      <c r="B20" s="280"/>
      <c r="C20" s="275"/>
      <c r="D20" s="275"/>
      <c r="E20" s="275"/>
      <c r="F20" s="275"/>
      <c r="G20" s="275"/>
      <c r="H20" s="275"/>
      <c r="I20" s="275"/>
      <c r="J20" s="275"/>
      <c r="K20" s="275"/>
      <c r="L20" s="275"/>
      <c r="M20" s="275"/>
      <c r="N20" s="271"/>
    </row>
    <row r="21" spans="1:14" ht="15.6">
      <c r="A21" s="274" t="s">
        <v>216</v>
      </c>
      <c r="B21" s="271"/>
      <c r="C21" s="271"/>
      <c r="D21" s="271"/>
      <c r="E21" s="271"/>
      <c r="F21" s="271"/>
      <c r="G21" s="271"/>
      <c r="H21" s="271"/>
      <c r="I21" s="271"/>
      <c r="J21" s="271"/>
      <c r="K21" s="271"/>
      <c r="L21" s="271"/>
      <c r="M21" s="271"/>
    </row>
    <row r="22" spans="1:14" ht="15.6" customHeight="1">
      <c r="A22" s="281" t="s">
        <v>215</v>
      </c>
      <c r="B22" s="322" t="s">
        <v>273</v>
      </c>
      <c r="C22" s="322"/>
      <c r="D22" s="322"/>
      <c r="E22" s="322"/>
      <c r="F22" s="322"/>
      <c r="G22" s="322"/>
      <c r="H22" s="322"/>
      <c r="I22" s="322"/>
      <c r="J22" s="322"/>
      <c r="K22" s="322"/>
      <c r="L22" s="322"/>
      <c r="M22" s="322"/>
    </row>
    <row r="23" spans="1:14" ht="12.75" customHeight="1">
      <c r="A23" s="282" t="s">
        <v>215</v>
      </c>
      <c r="B23" s="322" t="s">
        <v>274</v>
      </c>
      <c r="C23" s="322"/>
      <c r="D23" s="322"/>
      <c r="E23" s="322"/>
      <c r="F23" s="322"/>
      <c r="G23" s="322"/>
      <c r="H23" s="322"/>
      <c r="I23" s="322"/>
      <c r="J23" s="322"/>
      <c r="K23" s="322"/>
      <c r="L23" s="322"/>
      <c r="M23" s="322"/>
    </row>
    <row r="24" spans="1:14" ht="15.6">
      <c r="A24" s="282" t="s">
        <v>215</v>
      </c>
      <c r="B24" s="323" t="s">
        <v>275</v>
      </c>
      <c r="C24" s="323"/>
      <c r="D24" s="323"/>
      <c r="E24" s="323"/>
      <c r="F24" s="323"/>
      <c r="G24" s="323"/>
      <c r="H24" s="323"/>
      <c r="I24" s="323"/>
      <c r="J24" s="323"/>
      <c r="K24" s="323"/>
      <c r="L24" s="323"/>
      <c r="M24" s="323"/>
    </row>
    <row r="25" spans="1:14" ht="15.6">
      <c r="A25" s="282" t="s">
        <v>215</v>
      </c>
      <c r="B25" s="323" t="s">
        <v>276</v>
      </c>
      <c r="C25" s="323"/>
      <c r="D25" s="323"/>
      <c r="E25" s="323"/>
      <c r="F25" s="323"/>
      <c r="G25" s="323"/>
      <c r="H25" s="323"/>
      <c r="I25" s="323"/>
      <c r="J25" s="323"/>
      <c r="K25" s="323"/>
      <c r="L25" s="323"/>
      <c r="M25" s="323"/>
    </row>
    <row r="26" spans="1:14">
      <c r="A26" s="283"/>
      <c r="B26" s="284"/>
      <c r="C26" s="284"/>
      <c r="D26" s="284"/>
      <c r="E26" s="284"/>
      <c r="F26" s="284"/>
      <c r="G26" s="284"/>
      <c r="H26" s="284"/>
      <c r="I26" s="284"/>
      <c r="J26" s="284"/>
      <c r="K26" s="284"/>
      <c r="L26" s="284"/>
      <c r="M26" s="284"/>
    </row>
    <row r="27" spans="1:14" ht="15.6">
      <c r="A27" s="274" t="s">
        <v>214</v>
      </c>
      <c r="B27" s="285"/>
      <c r="C27" s="285"/>
      <c r="D27" s="285"/>
      <c r="E27" s="285"/>
      <c r="F27" s="285"/>
      <c r="G27" s="285"/>
      <c r="H27" s="285"/>
      <c r="I27" s="285"/>
      <c r="J27" s="285"/>
      <c r="K27" s="285"/>
      <c r="L27" s="285"/>
      <c r="M27" s="285"/>
    </row>
    <row r="28" spans="1:14">
      <c r="A28" s="283"/>
      <c r="B28" s="273" t="s">
        <v>213</v>
      </c>
      <c r="C28" s="273" t="s">
        <v>212</v>
      </c>
      <c r="D28" s="271"/>
      <c r="E28" s="271"/>
      <c r="F28" s="271"/>
      <c r="G28" s="271"/>
      <c r="H28" s="271"/>
      <c r="I28" s="271"/>
      <c r="J28" s="271"/>
      <c r="K28" s="271"/>
      <c r="L28" s="271"/>
      <c r="M28" s="271"/>
    </row>
    <row r="30" spans="1:14" ht="15.6">
      <c r="A30" s="286" t="s">
        <v>211</v>
      </c>
      <c r="B30" s="271"/>
      <c r="C30" s="271"/>
      <c r="D30" s="271"/>
      <c r="E30" s="271"/>
      <c r="F30" s="271"/>
      <c r="G30" s="271"/>
      <c r="H30" s="271"/>
      <c r="I30" s="271"/>
      <c r="J30" s="271"/>
      <c r="K30" s="271"/>
      <c r="L30" s="271"/>
      <c r="M30" s="271"/>
    </row>
    <row r="31" spans="1:14">
      <c r="A31" s="287" t="s">
        <v>210</v>
      </c>
      <c r="B31" s="271"/>
      <c r="C31" s="271"/>
      <c r="D31" s="271"/>
      <c r="E31" s="271"/>
      <c r="F31" s="271"/>
      <c r="G31" s="271"/>
      <c r="H31" s="271"/>
      <c r="I31" s="271"/>
      <c r="J31" s="271"/>
      <c r="K31" s="271"/>
      <c r="L31" s="271"/>
      <c r="M31" s="271"/>
    </row>
    <row r="32" spans="1:14">
      <c r="A32" s="287"/>
      <c r="B32" s="271"/>
      <c r="C32" s="271"/>
      <c r="D32" s="271"/>
      <c r="E32" s="271"/>
      <c r="F32" s="271"/>
      <c r="G32" s="271"/>
      <c r="H32" s="271"/>
      <c r="I32" s="271"/>
      <c r="J32" s="271"/>
      <c r="K32" s="271"/>
      <c r="L32" s="271"/>
      <c r="M32" s="271"/>
    </row>
    <row r="33" spans="1:13" ht="18" customHeight="1">
      <c r="A33" s="287"/>
      <c r="B33" s="328" t="s">
        <v>209</v>
      </c>
      <c r="C33" s="329"/>
      <c r="D33" s="330"/>
      <c r="E33" s="326" t="s">
        <v>31</v>
      </c>
      <c r="F33" s="326"/>
      <c r="G33" s="327" t="s">
        <v>208</v>
      </c>
      <c r="H33" s="327"/>
      <c r="I33" s="326" t="s">
        <v>207</v>
      </c>
      <c r="J33" s="326"/>
      <c r="K33" s="326"/>
      <c r="L33" s="326"/>
      <c r="M33" s="326"/>
    </row>
    <row r="34" spans="1:13" s="87" customFormat="1" ht="84" customHeight="1">
      <c r="A34" s="288"/>
      <c r="B34" s="302" t="s">
        <v>115</v>
      </c>
      <c r="C34" s="303"/>
      <c r="D34" s="304"/>
      <c r="E34" s="317" t="s">
        <v>254</v>
      </c>
      <c r="F34" s="318"/>
      <c r="G34" s="317"/>
      <c r="H34" s="318"/>
      <c r="I34" s="311" t="s">
        <v>255</v>
      </c>
      <c r="J34" s="312"/>
      <c r="K34" s="312"/>
      <c r="L34" s="312"/>
      <c r="M34" s="313"/>
    </row>
    <row r="35" spans="1:13">
      <c r="A35" s="289"/>
      <c r="B35" s="305"/>
      <c r="C35" s="306"/>
      <c r="D35" s="307"/>
      <c r="E35" s="305"/>
      <c r="F35" s="307"/>
      <c r="G35" s="309"/>
      <c r="H35" s="310"/>
      <c r="I35" s="305"/>
      <c r="J35" s="306"/>
      <c r="K35" s="306"/>
      <c r="L35" s="306"/>
      <c r="M35" s="307"/>
    </row>
    <row r="36" spans="1:13" ht="61.5" customHeight="1">
      <c r="A36" s="289"/>
      <c r="B36" s="302" t="s">
        <v>62</v>
      </c>
      <c r="C36" s="303"/>
      <c r="D36" s="304"/>
      <c r="E36" s="308" t="s">
        <v>254</v>
      </c>
      <c r="F36" s="308"/>
      <c r="G36" s="308"/>
      <c r="H36" s="308"/>
      <c r="I36" s="311" t="s">
        <v>256</v>
      </c>
      <c r="J36" s="312"/>
      <c r="K36" s="312"/>
      <c r="L36" s="312"/>
      <c r="M36" s="313"/>
    </row>
    <row r="37" spans="1:13">
      <c r="A37" s="289"/>
      <c r="B37" s="305"/>
      <c r="C37" s="306"/>
      <c r="D37" s="307"/>
      <c r="E37" s="305"/>
      <c r="F37" s="307"/>
      <c r="G37" s="309"/>
      <c r="H37" s="310"/>
      <c r="I37" s="305"/>
      <c r="J37" s="306"/>
      <c r="K37" s="306"/>
      <c r="L37" s="306"/>
      <c r="M37" s="307"/>
    </row>
    <row r="38" spans="1:13" ht="39.75" customHeight="1">
      <c r="A38" s="289"/>
      <c r="B38" s="302" t="s">
        <v>42</v>
      </c>
      <c r="C38" s="303"/>
      <c r="D38" s="304"/>
      <c r="E38" s="308" t="s">
        <v>254</v>
      </c>
      <c r="F38" s="308"/>
      <c r="G38" s="308"/>
      <c r="H38" s="308"/>
      <c r="I38" s="311" t="s">
        <v>257</v>
      </c>
      <c r="J38" s="312"/>
      <c r="K38" s="312"/>
      <c r="L38" s="312"/>
      <c r="M38" s="313"/>
    </row>
    <row r="39" spans="1:13">
      <c r="A39" s="289"/>
      <c r="B39" s="305"/>
      <c r="C39" s="306"/>
      <c r="D39" s="307"/>
      <c r="E39" s="305"/>
      <c r="F39" s="307"/>
      <c r="G39" s="309"/>
      <c r="H39" s="310"/>
      <c r="I39" s="305"/>
      <c r="J39" s="306"/>
      <c r="K39" s="306"/>
      <c r="L39" s="306"/>
      <c r="M39" s="307"/>
    </row>
    <row r="40" spans="1:13">
      <c r="A40" s="289"/>
      <c r="B40" s="290"/>
      <c r="C40" s="290"/>
      <c r="D40" s="290"/>
      <c r="E40" s="290"/>
      <c r="F40" s="290"/>
      <c r="G40" s="291"/>
      <c r="H40" s="291"/>
      <c r="I40" s="290"/>
      <c r="J40" s="290"/>
      <c r="K40" s="290"/>
      <c r="L40" s="290"/>
      <c r="M40" s="290"/>
    </row>
    <row r="41" spans="1:13" ht="15.6">
      <c r="A41" s="272" t="s">
        <v>206</v>
      </c>
      <c r="B41" s="271"/>
      <c r="C41" s="271"/>
      <c r="D41" s="271"/>
      <c r="E41" s="271"/>
      <c r="F41" s="271"/>
      <c r="G41" s="271"/>
      <c r="H41" s="271"/>
      <c r="I41" s="271"/>
      <c r="J41" s="271"/>
      <c r="K41" s="271"/>
      <c r="L41" s="271"/>
      <c r="M41" s="271"/>
    </row>
    <row r="43" spans="1:13" ht="44.25" customHeight="1">
      <c r="A43" s="301"/>
      <c r="B43" s="301"/>
      <c r="C43" s="301"/>
      <c r="D43" s="301"/>
      <c r="E43" s="301"/>
      <c r="F43" s="301"/>
      <c r="G43" s="301"/>
      <c r="H43" s="301"/>
      <c r="I43" s="301"/>
      <c r="J43" s="301"/>
      <c r="K43" s="301"/>
      <c r="L43" s="301"/>
      <c r="M43" s="301"/>
    </row>
    <row r="44" spans="1:13" ht="15.6">
      <c r="A44" s="272"/>
      <c r="B44" s="271"/>
      <c r="C44" s="271"/>
      <c r="D44" s="271"/>
      <c r="E44" s="271"/>
      <c r="F44" s="271"/>
      <c r="G44" s="271"/>
      <c r="H44" s="271"/>
      <c r="I44" s="271"/>
      <c r="J44" s="271"/>
      <c r="K44" s="271"/>
      <c r="L44" s="271"/>
      <c r="M44" s="271"/>
    </row>
    <row r="45" spans="1:13">
      <c r="A45" s="271"/>
      <c r="B45" s="273" t="s">
        <v>205</v>
      </c>
      <c r="C45" s="271"/>
      <c r="D45" s="271"/>
      <c r="E45" s="271"/>
      <c r="F45" s="271"/>
      <c r="G45" s="271"/>
      <c r="H45" s="271"/>
      <c r="I45" s="271"/>
      <c r="J45" s="271"/>
      <c r="K45" s="271"/>
      <c r="L45" s="271"/>
      <c r="M45" s="271"/>
    </row>
    <row r="49" spans="1:13">
      <c r="A49" s="271"/>
      <c r="B49" s="292"/>
      <c r="C49" s="271"/>
      <c r="D49" s="271"/>
      <c r="E49" s="271"/>
      <c r="F49" s="271"/>
      <c r="G49" s="271"/>
      <c r="H49" s="271"/>
      <c r="I49" s="271"/>
      <c r="J49" s="271"/>
      <c r="K49" s="271"/>
      <c r="L49" s="271"/>
      <c r="M49" s="271"/>
    </row>
    <row r="50" spans="1:13">
      <c r="A50" s="271"/>
      <c r="B50" s="292"/>
      <c r="C50" s="271"/>
      <c r="D50" s="271"/>
      <c r="E50" s="271"/>
      <c r="F50" s="271"/>
      <c r="G50" s="271"/>
      <c r="H50" s="271"/>
      <c r="I50" s="271"/>
      <c r="J50" s="271"/>
      <c r="K50" s="271"/>
      <c r="L50" s="271"/>
      <c r="M50" s="271"/>
    </row>
  </sheetData>
  <mergeCells count="42">
    <mergeCell ref="E33:F33"/>
    <mergeCell ref="G33:H33"/>
    <mergeCell ref="B33:D33"/>
    <mergeCell ref="I33:M33"/>
    <mergeCell ref="B25:M25"/>
    <mergeCell ref="B24:M24"/>
    <mergeCell ref="B23:M23"/>
    <mergeCell ref="B19:M19"/>
    <mergeCell ref="D11:M11"/>
    <mergeCell ref="A18:M18"/>
    <mergeCell ref="D6:M6"/>
    <mergeCell ref="B37:D37"/>
    <mergeCell ref="I34:M34"/>
    <mergeCell ref="I35:M35"/>
    <mergeCell ref="I38:M38"/>
    <mergeCell ref="G38:H38"/>
    <mergeCell ref="G34:H34"/>
    <mergeCell ref="G35:H35"/>
    <mergeCell ref="E34:F34"/>
    <mergeCell ref="B34:D34"/>
    <mergeCell ref="B35:D35"/>
    <mergeCell ref="E35:F35"/>
    <mergeCell ref="D12:M12"/>
    <mergeCell ref="D13:M13"/>
    <mergeCell ref="D14:M14"/>
    <mergeCell ref="D15:M15"/>
    <mergeCell ref="D7:M7"/>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22:M22"/>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31" t="s">
        <v>228</v>
      </c>
      <c r="B1" s="331"/>
      <c r="C1" s="331"/>
      <c r="D1" s="331"/>
      <c r="E1" s="331"/>
      <c r="F1" s="331"/>
      <c r="G1" s="331"/>
      <c r="H1" s="331"/>
      <c r="I1" s="331"/>
      <c r="J1" s="331"/>
      <c r="K1" s="331"/>
      <c r="L1" s="331"/>
      <c r="M1" s="331"/>
      <c r="N1" s="331"/>
      <c r="O1" s="331"/>
      <c r="P1" s="331"/>
      <c r="Q1" s="331"/>
      <c r="R1" s="331"/>
      <c r="S1" s="331"/>
      <c r="T1" s="331"/>
      <c r="U1" s="331"/>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33" t="s">
        <v>280</v>
      </c>
      <c r="I39" s="334"/>
      <c r="J39" s="69"/>
      <c r="K39" s="69"/>
      <c r="L39" s="69"/>
      <c r="M39" s="332" t="s">
        <v>281</v>
      </c>
      <c r="N39" s="332"/>
      <c r="O39" s="69"/>
      <c r="P39" s="69"/>
      <c r="Q39" s="69"/>
      <c r="R39" s="69"/>
      <c r="S39" s="68"/>
      <c r="T39" s="54"/>
    </row>
    <row r="40" spans="1:20" ht="23.25" customHeight="1">
      <c r="A40" s="55"/>
      <c r="B40" s="211"/>
      <c r="C40" s="214"/>
      <c r="D40" s="69"/>
      <c r="E40" s="69"/>
      <c r="F40" s="69"/>
      <c r="G40" s="69"/>
      <c r="H40" s="334"/>
      <c r="I40" s="334"/>
      <c r="J40" s="69"/>
      <c r="K40" s="229"/>
      <c r="L40" s="229"/>
      <c r="M40" s="332"/>
      <c r="N40" s="332"/>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480</v>
      </c>
    </row>
    <row r="3" spans="1:2">
      <c r="A3" t="s">
        <v>465</v>
      </c>
      <c r="B3" t="s">
        <v>481</v>
      </c>
    </row>
    <row r="4" spans="1:2">
      <c r="A4" t="s">
        <v>432</v>
      </c>
      <c r="B4" t="s">
        <v>482</v>
      </c>
    </row>
    <row r="5" spans="1:2">
      <c r="A5" t="s">
        <v>434</v>
      </c>
      <c r="B5" t="s">
        <v>478</v>
      </c>
    </row>
    <row r="6" spans="1:2">
      <c r="A6" t="s">
        <v>436</v>
      </c>
      <c r="B6" t="s">
        <v>479</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13.4552903637685</v>
      </c>
      <c r="I4" s="245">
        <v>13.009997598137399</v>
      </c>
      <c r="J4" s="245">
        <v>13.2832303417661</v>
      </c>
      <c r="K4" s="245">
        <v>13.9757540503012</v>
      </c>
      <c r="L4" s="245">
        <v>14.3829535294933</v>
      </c>
      <c r="M4" s="245">
        <v>14.8249554066877</v>
      </c>
      <c r="N4" s="245"/>
    </row>
    <row r="5" spans="1:14">
      <c r="B5" t="s">
        <v>317</v>
      </c>
      <c r="C5" t="s">
        <v>321</v>
      </c>
      <c r="D5" t="s">
        <v>78</v>
      </c>
      <c r="E5" t="s">
        <v>433</v>
      </c>
      <c r="F5" s="245"/>
      <c r="G5" s="245"/>
      <c r="H5" s="245">
        <v>0.98540320224632305</v>
      </c>
      <c r="I5" s="245">
        <v>0.94223873678579695</v>
      </c>
      <c r="J5" s="245">
        <v>0.93997410232073397</v>
      </c>
      <c r="K5" s="245">
        <v>0.96431887703633801</v>
      </c>
      <c r="L5" s="245">
        <v>0.965223761394013</v>
      </c>
      <c r="M5" s="245">
        <v>0.9551516474249</v>
      </c>
      <c r="N5" s="245"/>
    </row>
    <row r="6" spans="1:14">
      <c r="B6" t="s">
        <v>33</v>
      </c>
      <c r="C6" t="s">
        <v>289</v>
      </c>
      <c r="D6" t="s">
        <v>78</v>
      </c>
      <c r="E6" t="s">
        <v>433</v>
      </c>
      <c r="F6" s="245"/>
      <c r="G6" s="245"/>
      <c r="H6" s="245"/>
      <c r="I6" s="245">
        <v>77.586419538943503</v>
      </c>
      <c r="J6" s="245">
        <v>79.311677395151094</v>
      </c>
      <c r="K6" s="245">
        <v>83.383476743894803</v>
      </c>
      <c r="L6" s="245">
        <v>86.069274752194005</v>
      </c>
      <c r="M6" s="245">
        <v>88.313200347717299</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402.15100000000001</v>
      </c>
      <c r="G8" s="245">
        <v>394.17200000000003</v>
      </c>
      <c r="H8" s="245">
        <v>386.49836692574303</v>
      </c>
      <c r="I8" s="245">
        <v>376.85231359567803</v>
      </c>
      <c r="J8" s="245">
        <v>367.689445567061</v>
      </c>
      <c r="K8" s="245">
        <v>358.36692276878102</v>
      </c>
      <c r="L8" s="245">
        <v>349.18239710351799</v>
      </c>
      <c r="M8" s="245">
        <v>339.36182034971301</v>
      </c>
      <c r="N8" s="245"/>
    </row>
    <row r="9" spans="1:14">
      <c r="B9" t="s">
        <v>180</v>
      </c>
      <c r="C9" t="s">
        <v>291</v>
      </c>
      <c r="D9">
        <v>0</v>
      </c>
      <c r="E9" t="s">
        <v>433</v>
      </c>
      <c r="F9" s="245">
        <v>101.66</v>
      </c>
      <c r="G9" s="245">
        <v>111.202</v>
      </c>
      <c r="H9" s="245">
        <v>120.80127365946301</v>
      </c>
      <c r="I9" s="245">
        <v>132.61499402643699</v>
      </c>
      <c r="J9" s="245">
        <v>144.18464499252801</v>
      </c>
      <c r="K9" s="245">
        <v>156.888636699866</v>
      </c>
      <c r="L9" s="245">
        <v>170.15597109235901</v>
      </c>
      <c r="M9" s="245">
        <v>185.27404033474801</v>
      </c>
      <c r="N9" s="245"/>
    </row>
    <row r="10" spans="1:14">
      <c r="B10" t="s">
        <v>387</v>
      </c>
      <c r="C10" t="s">
        <v>292</v>
      </c>
      <c r="D10">
        <v>0</v>
      </c>
      <c r="E10" t="s">
        <v>433</v>
      </c>
      <c r="F10" s="245">
        <v>3.9380000000000002</v>
      </c>
      <c r="G10" s="245">
        <v>3.8650000000000002</v>
      </c>
      <c r="H10" s="245">
        <v>3.7919999999999998</v>
      </c>
      <c r="I10" s="245">
        <v>3.7189999999999999</v>
      </c>
      <c r="J10" s="245">
        <v>3.6459999999999999</v>
      </c>
      <c r="K10" s="245">
        <v>3.573</v>
      </c>
      <c r="L10" s="245">
        <v>3.5</v>
      </c>
      <c r="M10" s="245">
        <v>3.427</v>
      </c>
      <c r="N10" s="245"/>
    </row>
    <row r="11" spans="1:14">
      <c r="B11" t="s">
        <v>388</v>
      </c>
      <c r="C11" t="s">
        <v>293</v>
      </c>
      <c r="D11">
        <v>0</v>
      </c>
      <c r="E11" t="s">
        <v>433</v>
      </c>
      <c r="F11" s="245">
        <v>25.29</v>
      </c>
      <c r="G11" s="245">
        <v>25.547000000000001</v>
      </c>
      <c r="H11" s="245">
        <v>25.803999999999998</v>
      </c>
      <c r="I11" s="245">
        <v>26.061</v>
      </c>
      <c r="J11" s="245">
        <v>26.318000000000001</v>
      </c>
      <c r="K11" s="245">
        <v>26.574999999999999</v>
      </c>
      <c r="L11" s="245">
        <v>26.832000000000001</v>
      </c>
      <c r="M11" s="245">
        <v>27.088999999999999</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49.353999999999999</v>
      </c>
      <c r="J20" s="245">
        <v>50.534999999999997</v>
      </c>
      <c r="K20" s="245">
        <v>52.729058311614999</v>
      </c>
      <c r="L20" s="245">
        <v>52.913601909944099</v>
      </c>
      <c r="M20" s="245">
        <v>52.786926919627497</v>
      </c>
      <c r="N20" s="245"/>
    </row>
    <row r="21" spans="2:14">
      <c r="B21" t="s">
        <v>4</v>
      </c>
      <c r="C21" t="s">
        <v>458</v>
      </c>
      <c r="D21" t="s">
        <v>78</v>
      </c>
      <c r="E21" t="s">
        <v>433</v>
      </c>
      <c r="F21" s="245"/>
      <c r="G21" s="245"/>
      <c r="H21" s="245"/>
      <c r="I21" s="245">
        <v>0.90100000000000002</v>
      </c>
      <c r="J21" s="245">
        <v>0.92200000000000004</v>
      </c>
      <c r="K21" s="245">
        <v>0.93994168838499503</v>
      </c>
      <c r="L21" s="245">
        <v>0.89339809005586701</v>
      </c>
      <c r="M21" s="245">
        <v>0.87783593037251195</v>
      </c>
      <c r="N21" s="245"/>
    </row>
    <row r="22" spans="2:14">
      <c r="B22" t="s">
        <v>398</v>
      </c>
      <c r="C22" t="s">
        <v>47</v>
      </c>
      <c r="D22" t="s">
        <v>78</v>
      </c>
      <c r="E22" t="s">
        <v>433</v>
      </c>
      <c r="F22" s="245"/>
      <c r="G22" s="245"/>
      <c r="H22" s="245"/>
      <c r="I22" s="245">
        <v>15.891999999999999</v>
      </c>
      <c r="J22" s="245">
        <v>18.91</v>
      </c>
      <c r="K22" s="245">
        <v>20.171978915957801</v>
      </c>
      <c r="L22" s="245">
        <v>22.292618108043499</v>
      </c>
      <c r="M22" s="245">
        <v>24.876618412277899</v>
      </c>
      <c r="N22" s="245"/>
    </row>
    <row r="23" spans="2:14">
      <c r="B23" t="s">
        <v>6</v>
      </c>
      <c r="C23" t="s">
        <v>299</v>
      </c>
      <c r="D23" t="s">
        <v>78</v>
      </c>
      <c r="E23" t="s">
        <v>433</v>
      </c>
      <c r="F23" s="245"/>
      <c r="G23" s="245"/>
      <c r="H23" s="245"/>
      <c r="I23" s="245">
        <v>13.002000000000001</v>
      </c>
      <c r="J23" s="245">
        <v>12.288</v>
      </c>
      <c r="K23" s="245">
        <v>13.4310660140422</v>
      </c>
      <c r="L23" s="245">
        <v>13.9103858919565</v>
      </c>
      <c r="M23" s="245">
        <v>14.5510559877221</v>
      </c>
      <c r="N23" s="245"/>
    </row>
    <row r="24" spans="2:14">
      <c r="B24" t="s">
        <v>7</v>
      </c>
      <c r="C24" t="s">
        <v>300</v>
      </c>
      <c r="D24" t="s">
        <v>78</v>
      </c>
      <c r="E24" t="s">
        <v>433</v>
      </c>
      <c r="F24" s="245"/>
      <c r="G24" s="245"/>
      <c r="H24" s="245">
        <v>-0.02</v>
      </c>
      <c r="I24" s="245">
        <v>-8.0000000000000002E-3</v>
      </c>
      <c r="J24" s="245">
        <v>0.153</v>
      </c>
      <c r="K24" s="245">
        <v>-4.2859398913972002E-2</v>
      </c>
      <c r="L24" s="245">
        <v>-9.3183199999999994E-2</v>
      </c>
      <c r="M24" s="245">
        <v>0.35524273000000001</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0.216</v>
      </c>
      <c r="J26" s="245">
        <v>0.21299999999999999</v>
      </c>
      <c r="K26" s="245">
        <v>0.30599999999999999</v>
      </c>
      <c r="L26" s="245">
        <v>0.22900000000000001</v>
      </c>
      <c r="M26" s="245">
        <v>0.12675891917805099</v>
      </c>
      <c r="N26" s="245"/>
    </row>
    <row r="27" spans="2:14">
      <c r="B27" t="s">
        <v>399</v>
      </c>
      <c r="C27" t="s">
        <v>52</v>
      </c>
      <c r="D27" t="s">
        <v>405</v>
      </c>
      <c r="E27" t="s">
        <v>433</v>
      </c>
      <c r="F27" s="245"/>
      <c r="G27" s="245"/>
      <c r="H27" s="245">
        <v>29.23</v>
      </c>
      <c r="I27" s="245">
        <v>29.417999999999999</v>
      </c>
      <c r="J27" s="245">
        <v>29.853000000000002</v>
      </c>
      <c r="K27" s="245">
        <v>29.983000000000001</v>
      </c>
      <c r="L27" s="245">
        <v>29.657499999999999</v>
      </c>
      <c r="M27" s="245">
        <v>30.318000000000001</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382.50200000000001</v>
      </c>
      <c r="J39" s="245">
        <v>376.13499999999999</v>
      </c>
      <c r="K39" s="245">
        <v>368.67349999999999</v>
      </c>
      <c r="L39" s="245">
        <v>359.78</v>
      </c>
      <c r="M39" s="245">
        <v>352.9975</v>
      </c>
      <c r="N39" s="245"/>
    </row>
    <row r="40" spans="2:14">
      <c r="B40" t="s">
        <v>347</v>
      </c>
      <c r="C40" t="s">
        <v>341</v>
      </c>
      <c r="D40" t="s">
        <v>405</v>
      </c>
      <c r="E40" t="s">
        <v>433</v>
      </c>
      <c r="F40" s="245"/>
      <c r="G40" s="245"/>
      <c r="H40" s="245"/>
      <c r="I40" s="245">
        <v>131.93100000000001</v>
      </c>
      <c r="J40" s="245">
        <v>144.55000000000001</v>
      </c>
      <c r="K40" s="245">
        <v>154.018</v>
      </c>
      <c r="L40" s="245">
        <v>166.42850000000001</v>
      </c>
      <c r="M40" s="245">
        <v>176.30500000000001</v>
      </c>
      <c r="N40" s="245"/>
    </row>
    <row r="41" spans="2:14">
      <c r="B41" t="s">
        <v>348</v>
      </c>
      <c r="C41" t="s">
        <v>342</v>
      </c>
      <c r="D41" t="s">
        <v>405</v>
      </c>
      <c r="E41" t="s">
        <v>433</v>
      </c>
      <c r="F41" s="245"/>
      <c r="G41" s="245"/>
      <c r="H41" s="245"/>
      <c r="I41" s="245"/>
      <c r="J41" s="245"/>
      <c r="K41" s="245"/>
      <c r="L41" s="245"/>
      <c r="M41" s="245">
        <v>0</v>
      </c>
      <c r="N41" s="245"/>
    </row>
    <row r="42" spans="2:14">
      <c r="B42" t="s">
        <v>349</v>
      </c>
      <c r="C42" t="s">
        <v>343</v>
      </c>
      <c r="D42" t="s">
        <v>405</v>
      </c>
      <c r="E42" t="s">
        <v>433</v>
      </c>
      <c r="F42" s="245"/>
      <c r="G42" s="245"/>
      <c r="H42" s="245"/>
      <c r="I42" s="245"/>
      <c r="J42" s="245"/>
      <c r="K42" s="245"/>
      <c r="L42" s="245"/>
      <c r="M42" s="245">
        <v>0</v>
      </c>
      <c r="N42" s="245"/>
    </row>
    <row r="43" spans="2:14">
      <c r="B43" t="s">
        <v>350</v>
      </c>
      <c r="C43" t="s">
        <v>344</v>
      </c>
      <c r="D43" t="s">
        <v>405</v>
      </c>
      <c r="E43" t="s">
        <v>433</v>
      </c>
      <c r="F43" s="245"/>
      <c r="G43" s="245"/>
      <c r="H43" s="245"/>
      <c r="I43" s="245"/>
      <c r="J43" s="245"/>
      <c r="K43" s="245"/>
      <c r="L43" s="245"/>
      <c r="M43" s="245">
        <v>0</v>
      </c>
      <c r="N43" s="245"/>
    </row>
    <row r="44" spans="2:14">
      <c r="B44" t="s">
        <v>351</v>
      </c>
      <c r="C44" t="s">
        <v>345</v>
      </c>
      <c r="D44" t="s">
        <v>405</v>
      </c>
      <c r="E44" t="s">
        <v>433</v>
      </c>
      <c r="F44" s="245"/>
      <c r="G44" s="245"/>
      <c r="H44" s="245"/>
      <c r="I44" s="245"/>
      <c r="J44" s="245"/>
      <c r="K44" s="245"/>
      <c r="L44" s="245"/>
      <c r="M44" s="245">
        <v>0</v>
      </c>
      <c r="N44" s="245"/>
    </row>
    <row r="45" spans="2:14">
      <c r="B45" t="s">
        <v>18</v>
      </c>
      <c r="C45" t="s">
        <v>81</v>
      </c>
      <c r="D45" t="s">
        <v>362</v>
      </c>
      <c r="E45" t="s">
        <v>433</v>
      </c>
      <c r="F45" s="250"/>
      <c r="G45" s="250"/>
      <c r="H45" s="250"/>
      <c r="I45" s="250">
        <v>0.28000000000000003</v>
      </c>
      <c r="J45" s="250">
        <v>0.26</v>
      </c>
      <c r="K45" s="250">
        <v>0.24</v>
      </c>
      <c r="L45" s="250">
        <v>0.23</v>
      </c>
      <c r="M45" s="250">
        <v>0.21</v>
      </c>
      <c r="N45" s="250"/>
    </row>
    <row r="46" spans="2:14">
      <c r="B46" t="s">
        <v>17</v>
      </c>
      <c r="C46" t="s">
        <v>305</v>
      </c>
      <c r="D46" t="s">
        <v>365</v>
      </c>
      <c r="E46" t="s">
        <v>433</v>
      </c>
      <c r="F46" s="251">
        <v>208.59166666666599</v>
      </c>
      <c r="G46" s="251">
        <v>214.78333333333299</v>
      </c>
      <c r="H46" s="251">
        <v>212.98333333333301</v>
      </c>
      <c r="I46" s="251">
        <v>217.23333333333301</v>
      </c>
      <c r="J46" s="251">
        <v>223.74350000000001</v>
      </c>
      <c r="K46" s="251">
        <v>229.78457449999999</v>
      </c>
      <c r="L46" s="251">
        <v>235.52918886249901</v>
      </c>
      <c r="M46" s="251">
        <v>241.41741858406201</v>
      </c>
      <c r="N46" s="251"/>
    </row>
    <row r="47" spans="2:14">
      <c r="B47" t="s">
        <v>407</v>
      </c>
      <c r="C47" t="s">
        <v>305</v>
      </c>
      <c r="D47" t="s">
        <v>361</v>
      </c>
      <c r="E47" t="s">
        <v>433</v>
      </c>
      <c r="F47" s="251">
        <v>208.59166666666701</v>
      </c>
      <c r="G47" s="251">
        <v>214.78333333333299</v>
      </c>
      <c r="H47" s="251">
        <v>215.76666666666699</v>
      </c>
      <c r="I47" s="251">
        <v>226.47499999999999</v>
      </c>
      <c r="J47" s="251">
        <v>237.34166666666701</v>
      </c>
      <c r="K47" s="251">
        <v>244.67500000000001</v>
      </c>
      <c r="L47" s="251">
        <v>251.73333333333301</v>
      </c>
      <c r="M47" s="251">
        <v>256.66666666666703</v>
      </c>
      <c r="N47" s="251"/>
    </row>
    <row r="48" spans="2:14">
      <c r="B48" t="s">
        <v>26</v>
      </c>
      <c r="C48" t="s">
        <v>306</v>
      </c>
      <c r="D48" t="s">
        <v>362</v>
      </c>
      <c r="E48" t="s">
        <v>433</v>
      </c>
      <c r="F48" s="250">
        <v>7.0999999999999994E-2</v>
      </c>
      <c r="G48" s="250">
        <v>4.9000000000000002E-2</v>
      </c>
      <c r="H48" s="250">
        <v>4.9000000000000002E-2</v>
      </c>
      <c r="I48" s="250">
        <v>4.9000000000000002E-2</v>
      </c>
      <c r="J48" s="250">
        <v>4.9000000000000002E-2</v>
      </c>
      <c r="K48" s="250">
        <v>4.9000000000000002E-2</v>
      </c>
      <c r="L48" s="250">
        <v>4.9000000000000002E-2</v>
      </c>
      <c r="M48" s="250">
        <v>4.9000000000000002E-2</v>
      </c>
      <c r="N48" s="250"/>
    </row>
    <row r="49" spans="2:14">
      <c r="B49" t="s">
        <v>324</v>
      </c>
      <c r="C49" t="s">
        <v>328</v>
      </c>
      <c r="D49" t="s">
        <v>362</v>
      </c>
      <c r="E49" t="s">
        <v>433</v>
      </c>
      <c r="F49" s="250"/>
      <c r="G49" s="250"/>
      <c r="H49" s="250"/>
      <c r="I49" s="250">
        <v>0.42</v>
      </c>
      <c r="J49" s="250">
        <v>0.42</v>
      </c>
      <c r="K49" s="250">
        <v>0.42</v>
      </c>
      <c r="L49" s="250">
        <v>0.42</v>
      </c>
      <c r="M49" s="250">
        <v>0.42</v>
      </c>
      <c r="N49" s="250"/>
    </row>
    <row r="50" spans="2:14">
      <c r="B50" t="s">
        <v>325</v>
      </c>
      <c r="C50" t="s">
        <v>329</v>
      </c>
      <c r="D50" t="s">
        <v>362</v>
      </c>
      <c r="E50" t="s">
        <v>433</v>
      </c>
      <c r="F50" s="250"/>
      <c r="G50" s="250"/>
      <c r="H50" s="250"/>
      <c r="I50" s="250">
        <v>0</v>
      </c>
      <c r="J50" s="250">
        <v>0.5</v>
      </c>
      <c r="K50" s="250">
        <v>1</v>
      </c>
      <c r="L50" s="250">
        <v>1.5</v>
      </c>
      <c r="M50" s="250">
        <v>0</v>
      </c>
      <c r="N50" s="250"/>
    </row>
    <row r="51" spans="2:14">
      <c r="B51" t="s">
        <v>327</v>
      </c>
      <c r="C51" t="s">
        <v>168</v>
      </c>
      <c r="D51" t="s">
        <v>361</v>
      </c>
      <c r="E51" t="s">
        <v>433</v>
      </c>
      <c r="F51" s="252">
        <v>50</v>
      </c>
      <c r="G51" s="252"/>
      <c r="H51" s="252"/>
      <c r="I51" s="252"/>
      <c r="J51" s="252"/>
      <c r="K51" s="252"/>
      <c r="L51" s="252"/>
      <c r="M51" s="252"/>
      <c r="N51" s="252"/>
    </row>
    <row r="52" spans="2:14">
      <c r="B52" t="s">
        <v>403</v>
      </c>
      <c r="C52" t="s">
        <v>395</v>
      </c>
      <c r="D52">
        <v>0</v>
      </c>
      <c r="E52" t="s">
        <v>433</v>
      </c>
      <c r="F52" s="245">
        <v>503.34800000000001</v>
      </c>
      <c r="G52" s="245">
        <v>505.36399999999998</v>
      </c>
      <c r="H52" s="245">
        <v>510.540199999999</v>
      </c>
      <c r="I52" s="245">
        <v>514.43299999999999</v>
      </c>
      <c r="J52" s="245">
        <v>518.02700000000004</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50"/>
      <c r="G54" s="250"/>
      <c r="H54" s="250"/>
      <c r="I54" s="250"/>
      <c r="J54" s="250"/>
      <c r="K54" s="250"/>
      <c r="L54" s="250"/>
      <c r="M54" s="250"/>
      <c r="N54" s="250">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70" zoomScaleNormal="7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13.4552903637685</v>
      </c>
      <c r="I7" s="162">
        <f>F_Inputs!I4</f>
        <v>13.009997598137399</v>
      </c>
      <c r="J7" s="162">
        <f>F_Inputs!J4</f>
        <v>13.2832303417661</v>
      </c>
      <c r="K7" s="162">
        <f>F_Inputs!K4</f>
        <v>13.9757540503012</v>
      </c>
      <c r="L7" s="162">
        <f>F_Inputs!L4</f>
        <v>14.3829535294933</v>
      </c>
      <c r="M7" s="162">
        <f>F_Inputs!M4</f>
        <v>14.8249554066877</v>
      </c>
    </row>
    <row r="8" spans="1:14" ht="15">
      <c r="A8" s="9"/>
      <c r="B8" s="232" t="s">
        <v>317</v>
      </c>
      <c r="C8" s="118" t="str">
        <f>"Water: Non-households – over "&amp;Threshold&amp;"ML threshold"</f>
        <v>Water: Non-households – over 50ML threshold</v>
      </c>
      <c r="D8" s="232" t="s">
        <v>238</v>
      </c>
      <c r="E8" s="232"/>
      <c r="F8" s="118"/>
      <c r="G8" s="160"/>
      <c r="H8" s="162">
        <f>F_Inputs!H5</f>
        <v>0.98540320224632305</v>
      </c>
      <c r="I8" s="162">
        <f>F_Inputs!I5</f>
        <v>0.94223873678579695</v>
      </c>
      <c r="J8" s="162">
        <f>F_Inputs!J5</f>
        <v>0.93997410232073397</v>
      </c>
      <c r="K8" s="162">
        <f>F_Inputs!K5</f>
        <v>0.96431887703633801</v>
      </c>
      <c r="L8" s="162">
        <f>F_Inputs!L5</f>
        <v>0.965223761394013</v>
      </c>
      <c r="M8" s="162">
        <f>F_Inputs!M5</f>
        <v>0.9551516474249</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9">
        <f>F_Inputs!I6+F_Inputs!I7</f>
        <v>77.586419538943503</v>
      </c>
      <c r="J10" s="249">
        <f>F_Inputs!J6+F_Inputs!J7</f>
        <v>79.311677395151094</v>
      </c>
      <c r="K10" s="249">
        <f>F_Inputs!K6+F_Inputs!K7</f>
        <v>83.383476743894803</v>
      </c>
      <c r="L10" s="249">
        <f>F_Inputs!L6+F_Inputs!L7</f>
        <v>86.069274752194005</v>
      </c>
      <c r="M10" s="249">
        <f>F_Inputs!M6+F_Inputs!M7</f>
        <v>88.313200347717299</v>
      </c>
    </row>
    <row r="11" spans="1:14" ht="15">
      <c r="A11" s="9"/>
      <c r="B11" s="232" t="s">
        <v>27</v>
      </c>
      <c r="C11" s="122" t="s">
        <v>39</v>
      </c>
      <c r="D11" s="122" t="s">
        <v>239</v>
      </c>
      <c r="E11" s="122"/>
      <c r="F11" s="118"/>
      <c r="G11" s="160"/>
      <c r="H11" s="162">
        <f>F_Inputs!H8</f>
        <v>386.49836692574303</v>
      </c>
      <c r="I11" s="162">
        <f>F_Inputs!I8</f>
        <v>376.85231359567803</v>
      </c>
      <c r="J11" s="162">
        <f>F_Inputs!J8</f>
        <v>367.689445567061</v>
      </c>
      <c r="K11" s="162">
        <f>F_Inputs!K8</f>
        <v>358.36692276878102</v>
      </c>
      <c r="L11" s="162">
        <f>F_Inputs!L8</f>
        <v>349.18239710351799</v>
      </c>
      <c r="M11" s="162">
        <f>F_Inputs!M8</f>
        <v>339.36182034971301</v>
      </c>
    </row>
    <row r="12" spans="1:14" ht="15">
      <c r="A12" s="9"/>
      <c r="B12" s="232" t="s">
        <v>180</v>
      </c>
      <c r="C12" s="122" t="s">
        <v>37</v>
      </c>
      <c r="D12" s="122" t="s">
        <v>239</v>
      </c>
      <c r="E12" s="122"/>
      <c r="F12" s="118"/>
      <c r="G12" s="160"/>
      <c r="H12" s="162">
        <f>F_Inputs!H9</f>
        <v>120.80127365946301</v>
      </c>
      <c r="I12" s="162">
        <f>F_Inputs!I9</f>
        <v>132.61499402643699</v>
      </c>
      <c r="J12" s="162">
        <f>F_Inputs!J9</f>
        <v>144.18464499252801</v>
      </c>
      <c r="K12" s="162">
        <f>F_Inputs!K9</f>
        <v>156.888636699866</v>
      </c>
      <c r="L12" s="162">
        <f>F_Inputs!L9</f>
        <v>170.15597109235901</v>
      </c>
      <c r="M12" s="162">
        <f>F_Inputs!M9</f>
        <v>185.27404033474801</v>
      </c>
    </row>
    <row r="13" spans="1:14" ht="15">
      <c r="A13" s="9"/>
      <c r="B13" s="232" t="s">
        <v>22</v>
      </c>
      <c r="C13" s="121" t="s">
        <v>104</v>
      </c>
      <c r="D13" s="122" t="s">
        <v>239</v>
      </c>
      <c r="E13" s="122"/>
      <c r="F13" s="118"/>
      <c r="G13" s="160"/>
      <c r="H13" s="162">
        <f>F_Inputs!H10</f>
        <v>3.7919999999999998</v>
      </c>
      <c r="I13" s="162">
        <f>F_Inputs!I10</f>
        <v>3.7189999999999999</v>
      </c>
      <c r="J13" s="162">
        <f>F_Inputs!J10</f>
        <v>3.6459999999999999</v>
      </c>
      <c r="K13" s="162">
        <f>F_Inputs!K10</f>
        <v>3.573</v>
      </c>
      <c r="L13" s="162">
        <f>F_Inputs!L10</f>
        <v>3.5</v>
      </c>
      <c r="M13" s="162">
        <f>F_Inputs!M10</f>
        <v>3.427</v>
      </c>
    </row>
    <row r="14" spans="1:14" ht="15">
      <c r="A14" s="9"/>
      <c r="B14" s="232" t="s">
        <v>23</v>
      </c>
      <c r="C14" s="121" t="s">
        <v>105</v>
      </c>
      <c r="D14" s="122" t="s">
        <v>239</v>
      </c>
      <c r="E14" s="122"/>
      <c r="F14" s="118"/>
      <c r="G14" s="160"/>
      <c r="H14" s="162">
        <f>F_Inputs!H11</f>
        <v>25.803999999999998</v>
      </c>
      <c r="I14" s="162">
        <f>F_Inputs!I11</f>
        <v>26.061</v>
      </c>
      <c r="J14" s="162">
        <f>F_Inputs!J11</f>
        <v>26.318000000000001</v>
      </c>
      <c r="K14" s="162">
        <f>F_Inputs!K11</f>
        <v>26.574999999999999</v>
      </c>
      <c r="L14" s="162">
        <f>F_Inputs!L11</f>
        <v>26.832000000000001</v>
      </c>
      <c r="M14" s="162">
        <f>F_Inputs!M11</f>
        <v>27.088999999999999</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49.353999999999999</v>
      </c>
      <c r="J27" s="165">
        <f>F_Inputs!J20</f>
        <v>50.534999999999997</v>
      </c>
      <c r="K27" s="165">
        <f>F_Inputs!K20</f>
        <v>52.729058311614999</v>
      </c>
      <c r="L27" s="165">
        <f>F_Inputs!L20</f>
        <v>52.913601909944099</v>
      </c>
      <c r="M27" s="165">
        <f>F_Inputs!M20</f>
        <v>52.786926919627497</v>
      </c>
    </row>
    <row r="28" spans="1:13" ht="15">
      <c r="A28" s="9"/>
      <c r="B28" s="118" t="s">
        <v>4</v>
      </c>
      <c r="C28" s="125" t="s">
        <v>46</v>
      </c>
      <c r="D28" s="123" t="s">
        <v>238</v>
      </c>
      <c r="E28" s="123"/>
      <c r="F28" s="118"/>
      <c r="G28" s="118"/>
      <c r="H28" s="118"/>
      <c r="I28" s="165">
        <f>F_Inputs!I21</f>
        <v>0.90100000000000002</v>
      </c>
      <c r="J28" s="165">
        <f>F_Inputs!J21</f>
        <v>0.92200000000000004</v>
      </c>
      <c r="K28" s="165">
        <f>F_Inputs!K21</f>
        <v>0.93994168838499503</v>
      </c>
      <c r="L28" s="165">
        <f>F_Inputs!L21</f>
        <v>0.89339809005586701</v>
      </c>
      <c r="M28" s="165">
        <f>F_Inputs!M21</f>
        <v>0.87783593037251195</v>
      </c>
    </row>
    <row r="29" spans="1:13" ht="15">
      <c r="A29" s="9"/>
      <c r="B29" s="118" t="s">
        <v>5</v>
      </c>
      <c r="C29" s="125" t="s">
        <v>47</v>
      </c>
      <c r="D29" s="123" t="s">
        <v>238</v>
      </c>
      <c r="E29" s="123"/>
      <c r="F29" s="118"/>
      <c r="G29" s="118"/>
      <c r="H29" s="118"/>
      <c r="I29" s="165">
        <f>F_Inputs!I22</f>
        <v>15.891999999999999</v>
      </c>
      <c r="J29" s="165">
        <f>F_Inputs!J22</f>
        <v>18.91</v>
      </c>
      <c r="K29" s="165">
        <f>F_Inputs!K22</f>
        <v>20.171978915957801</v>
      </c>
      <c r="L29" s="165">
        <f>F_Inputs!L22</f>
        <v>22.292618108043499</v>
      </c>
      <c r="M29" s="165">
        <f>F_Inputs!M22</f>
        <v>24.876618412277899</v>
      </c>
    </row>
    <row r="30" spans="1:13" ht="15">
      <c r="A30" s="9"/>
      <c r="B30" s="118" t="s">
        <v>6</v>
      </c>
      <c r="C30" s="125" t="s">
        <v>48</v>
      </c>
      <c r="D30" s="123" t="s">
        <v>238</v>
      </c>
      <c r="E30" s="123"/>
      <c r="F30" s="118"/>
      <c r="G30" s="118"/>
      <c r="H30" s="118"/>
      <c r="I30" s="165">
        <f>F_Inputs!I23</f>
        <v>13.002000000000001</v>
      </c>
      <c r="J30" s="165">
        <f>F_Inputs!J23</f>
        <v>12.288</v>
      </c>
      <c r="K30" s="165">
        <f>F_Inputs!K23</f>
        <v>13.4310660140422</v>
      </c>
      <c r="L30" s="165">
        <f>F_Inputs!L23</f>
        <v>13.9103858919565</v>
      </c>
      <c r="M30" s="165">
        <f>F_Inputs!M23</f>
        <v>14.5510559877221</v>
      </c>
    </row>
    <row r="31" spans="1:13" ht="15">
      <c r="A31" s="9"/>
      <c r="B31" s="118" t="s">
        <v>7</v>
      </c>
      <c r="C31" s="118" t="s">
        <v>49</v>
      </c>
      <c r="D31" s="123" t="s">
        <v>238</v>
      </c>
      <c r="E31" s="123"/>
      <c r="F31" s="166"/>
      <c r="G31" s="167"/>
      <c r="H31" s="162">
        <f>F_Inputs!H24</f>
        <v>-0.02</v>
      </c>
      <c r="I31" s="162">
        <f>F_Inputs!I24</f>
        <v>-8.0000000000000002E-3</v>
      </c>
      <c r="J31" s="162">
        <f>F_Inputs!J24</f>
        <v>0.153</v>
      </c>
      <c r="K31" s="162">
        <f>F_Inputs!K24</f>
        <v>-4.2859398913972002E-2</v>
      </c>
      <c r="L31" s="162">
        <f>F_Inputs!L24</f>
        <v>-9.3183199999999994E-2</v>
      </c>
      <c r="M31" s="162">
        <f>F_Inputs!M24</f>
        <v>0.35524273000000001</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0.216</v>
      </c>
      <c r="J33" s="162">
        <f>F_Inputs!J26</f>
        <v>0.21299999999999999</v>
      </c>
      <c r="K33" s="162">
        <f>F_Inputs!K26</f>
        <v>0.30599999999999999</v>
      </c>
      <c r="L33" s="162">
        <f>F_Inputs!L26</f>
        <v>0.22900000000000001</v>
      </c>
      <c r="M33" s="162">
        <f>F_Inputs!M26</f>
        <v>0.12675891917805099</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510.540199999999</v>
      </c>
      <c r="I35" s="244">
        <f>+F_Inputs!I39+F_Inputs!I40+F_Inputs!I43+F_Inputs!I44</f>
        <v>514.43299999999999</v>
      </c>
      <c r="J35" s="244">
        <f>+F_Inputs!J39+F_Inputs!J40+F_Inputs!J43+F_Inputs!J44</f>
        <v>520.68499999999995</v>
      </c>
      <c r="K35" s="244">
        <f>+F_Inputs!K39+F_Inputs!K40+F_Inputs!K43+F_Inputs!K44</f>
        <v>522.69150000000002</v>
      </c>
      <c r="L35" s="244">
        <f>+F_Inputs!L39+F_Inputs!L40+F_Inputs!L43+F_Inputs!L44</f>
        <v>526.20849999999996</v>
      </c>
      <c r="M35" s="244">
        <f>+F_Inputs!M39+F_Inputs!M40+F_Inputs!M43+F_Inputs!M44</f>
        <v>529.30250000000001</v>
      </c>
    </row>
    <row r="36" spans="1:14" ht="15">
      <c r="A36" s="9"/>
      <c r="B36" s="118" t="s">
        <v>8</v>
      </c>
      <c r="C36" s="125" t="s">
        <v>52</v>
      </c>
      <c r="D36" s="122" t="s">
        <v>239</v>
      </c>
      <c r="E36" s="122"/>
      <c r="F36" s="118"/>
      <c r="G36" s="161"/>
      <c r="H36" s="162">
        <f>F_Inputs!H27</f>
        <v>29.23</v>
      </c>
      <c r="I36" s="162">
        <f>F_Inputs!I27</f>
        <v>29.417999999999999</v>
      </c>
      <c r="J36" s="162">
        <f>F_Inputs!J27</f>
        <v>29.853000000000002</v>
      </c>
      <c r="K36" s="162">
        <f>F_Inputs!K27</f>
        <v>29.983000000000001</v>
      </c>
      <c r="L36" s="162">
        <f>F_Inputs!L27</f>
        <v>29.657499999999999</v>
      </c>
      <c r="M36" s="162">
        <f>F_Inputs!M27</f>
        <v>30.318000000000001</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4.9000000000000002E-2</v>
      </c>
      <c r="J57" s="171">
        <f>F_Inputs!J48</f>
        <v>4.9000000000000002E-2</v>
      </c>
      <c r="K57" s="171">
        <f>F_Inputs!K48</f>
        <v>4.9000000000000002E-2</v>
      </c>
      <c r="L57" s="171">
        <f>F_Inputs!L48</f>
        <v>4.9000000000000002E-2</v>
      </c>
      <c r="M57" s="171">
        <f>F_Inputs!M48</f>
        <v>4.9000000000000002E-2</v>
      </c>
    </row>
    <row r="58" spans="1:14" ht="15">
      <c r="A58" s="9"/>
      <c r="B58" s="118" t="s">
        <v>324</v>
      </c>
      <c r="C58" s="125" t="s">
        <v>79</v>
      </c>
      <c r="D58" s="133" t="s">
        <v>378</v>
      </c>
      <c r="E58" s="133"/>
      <c r="F58" s="118"/>
      <c r="G58" s="118"/>
      <c r="H58" s="172"/>
      <c r="I58" s="248">
        <f>F_Inputs!I49</f>
        <v>0.42</v>
      </c>
      <c r="J58" s="248">
        <f>F_Inputs!J49</f>
        <v>0.42</v>
      </c>
      <c r="K58" s="248">
        <f>F_Inputs!K49</f>
        <v>0.42</v>
      </c>
      <c r="L58" s="248">
        <f>F_Inputs!L49</f>
        <v>0.42</v>
      </c>
      <c r="M58" s="248">
        <f>F_Inputs!M49</f>
        <v>0.42</v>
      </c>
    </row>
    <row r="59" spans="1:14" ht="15">
      <c r="A59" s="9"/>
      <c r="B59" s="118" t="s">
        <v>325</v>
      </c>
      <c r="C59" s="125" t="s">
        <v>80</v>
      </c>
      <c r="D59" s="133" t="s">
        <v>378</v>
      </c>
      <c r="E59" s="133"/>
      <c r="F59" s="118"/>
      <c r="G59" s="118"/>
      <c r="H59" s="118"/>
      <c r="I59" s="248">
        <f>F_Inputs!I50</f>
        <v>0</v>
      </c>
      <c r="J59" s="248">
        <f>F_Inputs!J50</f>
        <v>0.5</v>
      </c>
      <c r="K59" s="248">
        <f>F_Inputs!K50</f>
        <v>1</v>
      </c>
      <c r="L59" s="248">
        <f>F_Inputs!L50</f>
        <v>1.5</v>
      </c>
      <c r="M59" s="248">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v>
      </c>
      <c r="I11" s="164">
        <f>IF(Input!I$31&gt;=0,Input!I$31*Calc!I$7,0)</f>
        <v>0</v>
      </c>
      <c r="J11" s="164">
        <f>IF(Input!J$31&gt;=0,Input!J$31*Calc!J$7,0)</f>
        <v>0.13446659176292969</v>
      </c>
      <c r="K11" s="164">
        <f>IF(Input!K$31&gt;=0,Input!K$31*Calc!K$7,0)</f>
        <v>0</v>
      </c>
      <c r="L11" s="164">
        <f>IF(Input!L$31&gt;=0,Input!L$31*Calc!L$7,0)</f>
        <v>0</v>
      </c>
      <c r="M11" s="164">
        <f>IF(Input!M$31&gt;=0,Input!M$31*Calc!M$7,0)</f>
        <v>0.28870392125422084</v>
      </c>
      <c r="N11" s="48"/>
      <c r="O11" s="48"/>
      <c r="P11" s="48"/>
    </row>
    <row r="12" spans="1:254" s="3" customFormat="1" ht="15">
      <c r="A12" s="128"/>
      <c r="B12" s="173" t="s">
        <v>253</v>
      </c>
      <c r="C12" s="128" t="s">
        <v>109</v>
      </c>
      <c r="D12" s="232" t="s">
        <v>78</v>
      </c>
      <c r="E12" s="232"/>
      <c r="F12" s="173"/>
      <c r="G12" s="173"/>
      <c r="H12" s="161">
        <f>IF(Input!H$31&lt;0,Input!H$31*Calc!H$7,0)</f>
        <v>-1.9334929708017923E-2</v>
      </c>
      <c r="I12" s="164">
        <f>IF(Input!I$31&lt;0,Input!I$31*Calc!I$7,0)</f>
        <v>-7.3682893623284521E-3</v>
      </c>
      <c r="J12" s="164">
        <f>IF(Input!J$31&lt;0,Input!J$31*Calc!J$7,0)</f>
        <v>0</v>
      </c>
      <c r="K12" s="164">
        <f>IF(Input!K$31&lt;0,Input!K$31*Calc!K$7,0)</f>
        <v>-3.6538728729118043E-2</v>
      </c>
      <c r="L12" s="164">
        <f>IF(Input!L$31&lt;0,Input!L$31*Calc!L$7,0)</f>
        <v>-7.7213608289195143E-2</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0.96690574832705545</v>
      </c>
      <c r="J14" s="190">
        <f>IF(Input!I$7=0,0,Input!J$7/Input!I$7)</f>
        <v>1.0210017520424306</v>
      </c>
      <c r="K14" s="190">
        <f>IF(Input!J$7=0,0,Input!K$7/Input!J$7)</f>
        <v>1.0521351878057565</v>
      </c>
      <c r="L14" s="190">
        <f>IF(Input!K$7=0,0,Input!L$7/Input!K$7)</f>
        <v>1.0291361366067633</v>
      </c>
      <c r="M14" s="190">
        <f>IF(Input!L$7=0,0,Input!M$7/Input!L$7)</f>
        <v>1.0307309535755673</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0.95619613843132589</v>
      </c>
      <c r="J15" s="190">
        <f>IF(Input!I$8=0,0,Input!J$8/Input!I$8)</f>
        <v>0.99759653856644848</v>
      </c>
      <c r="K15" s="190">
        <f>IF(Input!J$8=0,0,Input!K$8/Input!J$8)</f>
        <v>1.0258994100534242</v>
      </c>
      <c r="L15" s="190">
        <f>IF(Input!K$8=0,0,Input!L$8/Input!K$8)</f>
        <v>1.0009383663217877</v>
      </c>
      <c r="M15" s="190">
        <f>IF(Input!L$8=0,0,Input!M$8/Input!L$8)</f>
        <v>0.98956499583623336</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v>
      </c>
      <c r="I17" s="164">
        <f t="shared" si="0"/>
        <v>0</v>
      </c>
      <c r="J17" s="164">
        <f t="shared" si="0"/>
        <v>0.13446659176292969</v>
      </c>
      <c r="K17" s="164">
        <f t="shared" si="0"/>
        <v>0.14147703277809001</v>
      </c>
      <c r="L17" s="164">
        <f t="shared" si="0"/>
        <v>0.14559912693183197</v>
      </c>
      <c r="M17" s="164">
        <f t="shared" si="0"/>
        <v>0.43877744819643805</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-1.9334929708017923E-2</v>
      </c>
      <c r="I18" s="164">
        <f t="shared" si="0"/>
        <v>-2.5856274485976313E-2</v>
      </c>
      <c r="J18" s="164">
        <f t="shared" si="0"/>
        <v>-2.5794129927433948E-2</v>
      </c>
      <c r="K18" s="164">
        <f t="shared" si="0"/>
        <v>-6.3000911404513901E-2</v>
      </c>
      <c r="L18" s="164">
        <f t="shared" si="0"/>
        <v>-0.14027363762721295</v>
      </c>
      <c r="M18" s="164">
        <f t="shared" si="0"/>
        <v>-0.1388098816345063</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-1.9334929708017923E-2</v>
      </c>
      <c r="I20" s="164">
        <f t="shared" si="1"/>
        <v>-2.5856274485976313E-2</v>
      </c>
      <c r="J20" s="164">
        <f t="shared" si="1"/>
        <v>0.10867246183549574</v>
      </c>
      <c r="K20" s="164">
        <f t="shared" si="1"/>
        <v>7.847612137357611E-2</v>
      </c>
      <c r="L20" s="164">
        <f t="shared" si="1"/>
        <v>5.3254893046190133E-3</v>
      </c>
      <c r="M20" s="164">
        <f t="shared" si="1"/>
        <v>0.29996756656193174</v>
      </c>
      <c r="N20" s="48"/>
      <c r="O20" s="48"/>
      <c r="P20" s="48"/>
    </row>
    <row r="21" spans="1:19" s="3" customFormat="1" ht="15">
      <c r="A21" s="128"/>
      <c r="B21" s="173" t="s">
        <v>253</v>
      </c>
      <c r="C21" s="125" t="s">
        <v>122</v>
      </c>
      <c r="D21" s="232" t="s">
        <v>78</v>
      </c>
      <c r="E21" s="232"/>
      <c r="F21" s="173"/>
      <c r="G21" s="173"/>
      <c r="H21" s="161"/>
      <c r="I21" s="164">
        <f>Input!I10*Calc!I6-I20</f>
        <v>74.525843518589525</v>
      </c>
      <c r="J21" s="164">
        <f>Input!J10*Calc!J6-J20</f>
        <v>73.832045252795339</v>
      </c>
      <c r="K21" s="164">
        <f>Input!K10*Calc!K6-K20</f>
        <v>75.614587367839022</v>
      </c>
      <c r="L21" s="164">
        <f>Input!L10*Calc!L6-L20</f>
        <v>76.220188452546665</v>
      </c>
      <c r="M21" s="164">
        <f>Input!M10*Calc!M6-M20</f>
        <v>76.005204434865846</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46.286672737977042</v>
      </c>
      <c r="J24" s="164">
        <f>(Input!J27+Input!J28)*J$7</f>
        <v>45.223839296373022</v>
      </c>
      <c r="K24" s="164">
        <f>(Input!K27+Input!K28)*K$7</f>
        <v>45.754188855965467</v>
      </c>
      <c r="L24" s="164">
        <f>(Input!L27+Input!L28)*L$7</f>
        <v>44.585640128442897</v>
      </c>
      <c r="M24" s="164">
        <f>(Input!M27+Input!M28)*M$7</f>
        <v>43.613073990206189</v>
      </c>
    </row>
    <row r="25" spans="1:19" s="1" customFormat="1" ht="15">
      <c r="A25" s="9"/>
      <c r="B25" s="118" t="s">
        <v>96</v>
      </c>
      <c r="C25" s="118" t="s">
        <v>124</v>
      </c>
      <c r="D25" s="232" t="s">
        <v>78</v>
      </c>
      <c r="E25" s="232"/>
      <c r="F25" s="118"/>
      <c r="G25" s="118"/>
      <c r="H25" s="118"/>
      <c r="I25" s="164">
        <f>(Input!I29+Input!I30)*I$7</f>
        <v>26.612419104389783</v>
      </c>
      <c r="J25" s="164">
        <f>(Input!J29+Input!J30)*J$7</f>
        <v>27.418880587058045</v>
      </c>
      <c r="K25" s="164">
        <f>(Input!K29+Input!K30)*K$7</f>
        <v>28.647451300801453</v>
      </c>
      <c r="L25" s="164">
        <f>(Input!L29+Input!L30)*L$7</f>
        <v>29.998589549920638</v>
      </c>
      <c r="M25" s="164">
        <f>(Input!M29+Input!M30)*M$7</f>
        <v>32.04266616579222</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72.899091842366829</v>
      </c>
      <c r="J28" s="164">
        <f>+J24+J25+Input!J32*J7</f>
        <v>72.64271988343107</v>
      </c>
      <c r="K28" s="164">
        <f>+K24+K25+Input!K32*K7</f>
        <v>74.401640156766916</v>
      </c>
      <c r="L28" s="164">
        <f>+L24+L25+Input!L32*L7</f>
        <v>74.584229678363528</v>
      </c>
      <c r="M28" s="164">
        <f>+M24+M25+Input!M32*M7</f>
        <v>75.655740155998416</v>
      </c>
    </row>
    <row r="29" spans="1:19" s="1" customFormat="1" ht="15">
      <c r="A29" s="9"/>
      <c r="B29" s="173" t="s">
        <v>253</v>
      </c>
      <c r="C29" s="118" t="s">
        <v>126</v>
      </c>
      <c r="D29" s="232" t="s">
        <v>78</v>
      </c>
      <c r="E29" s="232"/>
      <c r="F29" s="118"/>
      <c r="G29" s="118"/>
      <c r="H29" s="118"/>
      <c r="I29" s="164">
        <f>I28-I21</f>
        <v>-1.6267516762226961</v>
      </c>
      <c r="J29" s="164">
        <f>J28-J21</f>
        <v>-1.1893253693642691</v>
      </c>
      <c r="K29" s="164">
        <f>K28-K21</f>
        <v>-1.2129472110721053</v>
      </c>
      <c r="L29" s="164">
        <f>L28-L21</f>
        <v>-1.6359587741831376</v>
      </c>
      <c r="M29" s="164">
        <f>M28-M21</f>
        <v>-0.34946427886742981</v>
      </c>
    </row>
    <row r="30" spans="1:19" s="1" customFormat="1" ht="15">
      <c r="A30" s="9"/>
      <c r="B30" s="173" t="s">
        <v>253</v>
      </c>
      <c r="C30" s="118" t="s">
        <v>127</v>
      </c>
      <c r="D30" s="232" t="s">
        <v>78</v>
      </c>
      <c r="E30" s="232"/>
      <c r="F30" s="130"/>
      <c r="G30" s="130"/>
      <c r="H30" s="130"/>
      <c r="I30" s="193">
        <f>-I29*Input!I53</f>
        <v>0.45549046934235493</v>
      </c>
      <c r="J30" s="193">
        <f>-J29*Input!J53</f>
        <v>0.30922459603470998</v>
      </c>
      <c r="K30" s="193">
        <f>-K29*Input!K53</f>
        <v>0.29110733065730526</v>
      </c>
      <c r="L30" s="193">
        <f>-L29*Input!L53</f>
        <v>0.37627051806212169</v>
      </c>
      <c r="M30" s="193">
        <f>-M29*Input!M53</f>
        <v>7.3387498562160258E-2</v>
      </c>
    </row>
    <row r="31" spans="1:19" s="1" customFormat="1" ht="15">
      <c r="A31" s="9"/>
      <c r="B31" s="173" t="s">
        <v>253</v>
      </c>
      <c r="C31" s="118" t="s">
        <v>369</v>
      </c>
      <c r="D31" s="232" t="s">
        <v>78</v>
      </c>
      <c r="E31" s="232"/>
      <c r="F31" s="118"/>
      <c r="G31" s="118"/>
      <c r="H31" s="118"/>
      <c r="I31" s="193">
        <f>(I29+I30)*(1+Input!I57)^(5-I4)</f>
        <v>-1.4182595353018961</v>
      </c>
      <c r="J31" s="193">
        <f>(J29+J30)*(1+Input!J57)^(5-J4)</f>
        <v>-1.0159184958551786</v>
      </c>
      <c r="K31" s="193">
        <f>(K29+K30)*(1+Input!K57)^(5-K4)</f>
        <v>-1.0143935262483263</v>
      </c>
      <c r="L31" s="193">
        <f>(L29+L30)*(1+Input!L57)^(5-L4)</f>
        <v>-1.3214129806709456</v>
      </c>
      <c r="M31" s="193">
        <f>(M29+M30)*(1+Input!M57)^(5-M4)</f>
        <v>-0.27607678030526955</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2.3516670369090207</v>
      </c>
      <c r="J34" s="164">
        <f>Input!J11+Input!J12+Input!J13+Input!J14-(Input!$H11+Input!$H12+Input!$H13+Input!$H14)</f>
        <v>4.9424499743829529</v>
      </c>
      <c r="K34" s="164">
        <f>Input!K11+Input!K12+Input!K13+Input!K14-(Input!$H11+Input!$H12+Input!$H13+Input!$H14)</f>
        <v>8.5079188834409933</v>
      </c>
      <c r="L34" s="164">
        <f>Input!L11+Input!L12+Input!L13+Input!L14-(Input!$H11+Input!$H12+Input!$H13+Input!$H14)</f>
        <v>12.774727610670993</v>
      </c>
      <c r="M34" s="164">
        <f>Input!M11+Input!M12+Input!M13+Input!M14-(Input!$H11+Input!$H12+Input!$H13+Input!$H14)</f>
        <v>18.256220099255074</v>
      </c>
      <c r="N34" s="19"/>
      <c r="O34" s="19"/>
      <c r="P34" s="19"/>
    </row>
    <row r="35" spans="1:19" s="1" customFormat="1" ht="15">
      <c r="A35" s="9"/>
      <c r="B35" s="173" t="s">
        <v>253</v>
      </c>
      <c r="C35" s="118" t="s">
        <v>128</v>
      </c>
      <c r="D35" s="232" t="s">
        <v>78</v>
      </c>
      <c r="E35" s="232"/>
      <c r="F35" s="118"/>
      <c r="G35" s="118"/>
      <c r="H35" s="161"/>
      <c r="I35" s="164">
        <f>(Input!I27+Input!I29)*I$7</f>
        <v>60.093925966810261</v>
      </c>
      <c r="J35" s="164">
        <f>(Input!J27+Input!J29)*J$7</f>
        <v>61.032891927951972</v>
      </c>
      <c r="K35" s="164">
        <f>(Input!K27+Input!K29)*K$7</f>
        <v>62.149990219794205</v>
      </c>
      <c r="L35" s="164">
        <f>(Input!L27+Input!L29)*L$7</f>
        <v>62.317495142685807</v>
      </c>
      <c r="M35" s="164">
        <f>(Input!M27+Input!M29)*M$7</f>
        <v>63.116759844250794</v>
      </c>
    </row>
    <row r="36" spans="1:19" s="1" customFormat="1" ht="15">
      <c r="A36" s="9"/>
      <c r="B36" s="173" t="s">
        <v>253</v>
      </c>
      <c r="C36" s="125" t="s">
        <v>129</v>
      </c>
      <c r="D36" s="123" t="s">
        <v>379</v>
      </c>
      <c r="E36" s="232"/>
      <c r="F36" s="118"/>
      <c r="G36" s="118"/>
      <c r="H36" s="118"/>
      <c r="I36" s="164">
        <f>IF(Input!I35=0,0,(I35/Input!I35)*1000)</f>
        <v>116.81584573075651</v>
      </c>
      <c r="J36" s="164">
        <f>IF(Input!J35=0,0,(J35/Input!J35)*1000)</f>
        <v>117.21653577105539</v>
      </c>
      <c r="K36" s="164">
        <f>IF(Input!K35=0,0,(K35/Input!K35)*1000)</f>
        <v>118.90377061764771</v>
      </c>
      <c r="L36" s="164">
        <f>IF(Input!L35=0,0,(L35/Input!L35)*1000)</f>
        <v>118.42738219296308</v>
      </c>
      <c r="M36" s="164">
        <f>IF(Input!M35=0,0,(M35/Input!M35)*1000)</f>
        <v>119.24515724798351</v>
      </c>
    </row>
    <row r="37" spans="1:19" s="1" customFormat="1" ht="15">
      <c r="A37" s="9"/>
      <c r="B37" s="173" t="s">
        <v>253</v>
      </c>
      <c r="C37" s="125" t="s">
        <v>130</v>
      </c>
      <c r="D37" s="123" t="s">
        <v>379</v>
      </c>
      <c r="E37" s="232"/>
      <c r="F37" s="118"/>
      <c r="G37" s="118"/>
      <c r="H37" s="118"/>
      <c r="I37" s="164">
        <f>I36*Input!I58</f>
        <v>49.062655206917732</v>
      </c>
      <c r="J37" s="164">
        <f>J36*Input!J58</f>
        <v>49.230945023843262</v>
      </c>
      <c r="K37" s="164">
        <f>K36*Input!K58</f>
        <v>49.939583659412037</v>
      </c>
      <c r="L37" s="164">
        <f>L36*Input!L58</f>
        <v>49.739500521044491</v>
      </c>
      <c r="M37" s="164">
        <f>M36*Input!M58</f>
        <v>50.082966044153075</v>
      </c>
    </row>
    <row r="38" spans="1:19" s="1" customFormat="1" ht="15">
      <c r="A38" s="9"/>
      <c r="B38" s="173" t="s">
        <v>253</v>
      </c>
      <c r="C38" s="125" t="s">
        <v>186</v>
      </c>
      <c r="D38" s="130" t="s">
        <v>77</v>
      </c>
      <c r="E38" s="130"/>
      <c r="F38" s="118"/>
      <c r="G38" s="118"/>
      <c r="H38" s="118"/>
      <c r="I38" s="164">
        <f>Input!I35+Input!I36-(Input!$H$35+Input!$H$36)</f>
        <v>4.080800000000977</v>
      </c>
      <c r="J38" s="164">
        <f>Input!J35+Input!J36-(Input!$H$35+Input!$H$36)</f>
        <v>10.767800000000875</v>
      </c>
      <c r="K38" s="164">
        <f>Input!K35+Input!K36-(Input!$H$35+Input!$H$36)</f>
        <v>12.904300000000944</v>
      </c>
      <c r="L38" s="164">
        <f>Input!L35+Input!L36-(Input!$H$35+Input!$H$36)</f>
        <v>16.095800000000963</v>
      </c>
      <c r="M38" s="164">
        <f>Input!M35+Input!M36-(Input!$H$35+Input!$H$36)</f>
        <v>19.850300000000971</v>
      </c>
    </row>
    <row r="39" spans="1:19" s="1" customFormat="1" ht="15">
      <c r="A39" s="9"/>
      <c r="B39" s="173" t="s">
        <v>253</v>
      </c>
      <c r="C39" s="125" t="s">
        <v>131</v>
      </c>
      <c r="D39" s="130" t="s">
        <v>77</v>
      </c>
      <c r="E39" s="130"/>
      <c r="F39" s="118"/>
      <c r="G39" s="118"/>
      <c r="H39" s="118"/>
      <c r="I39" s="164">
        <f>I38-I34</f>
        <v>1.7291329630919563</v>
      </c>
      <c r="J39" s="164">
        <f>J38-J34</f>
        <v>5.8253500256179223</v>
      </c>
      <c r="K39" s="164">
        <f>K38-K34</f>
        <v>4.3963811165599509</v>
      </c>
      <c r="L39" s="164">
        <f>L38-L34</f>
        <v>3.3210723893299701</v>
      </c>
      <c r="M39" s="164">
        <f>M38-M34</f>
        <v>1.5940799007458963</v>
      </c>
    </row>
    <row r="40" spans="1:19" s="1" customFormat="1" ht="15">
      <c r="A40" s="9"/>
      <c r="B40" s="173" t="s">
        <v>253</v>
      </c>
      <c r="C40" s="125" t="s">
        <v>132</v>
      </c>
      <c r="D40" s="130" t="s">
        <v>77</v>
      </c>
      <c r="E40" s="130"/>
      <c r="F40" s="118"/>
      <c r="G40" s="118"/>
      <c r="H40" s="118"/>
      <c r="I40" s="164">
        <f>IF(I39&gt;MAX($I$39:I39,0),I39-MAX($I$39:I39,0),0)</f>
        <v>0</v>
      </c>
      <c r="J40" s="164">
        <f>IF(J39&gt;MAX($I$39:I39,0),J39-MAX($I$39:I39,0),0)</f>
        <v>4.096217062525966</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8.4835854375096664E-2</v>
      </c>
      <c r="J41" s="164">
        <f>J39*J37/1000</f>
        <v>0.28678748685583988</v>
      </c>
      <c r="K41" s="164">
        <f>K39*K37/1000</f>
        <v>0.21955344256910497</v>
      </c>
      <c r="L41" s="164">
        <f>L39*L37/1000</f>
        <v>0.16518848183950449</v>
      </c>
      <c r="M41" s="164">
        <f>M39*M37/1000</f>
        <v>7.9836249540723631E-2</v>
      </c>
    </row>
    <row r="42" spans="1:19" s="1" customFormat="1" ht="15">
      <c r="A42" s="9"/>
      <c r="B42" s="173" t="s">
        <v>253</v>
      </c>
      <c r="C42" s="125" t="s">
        <v>134</v>
      </c>
      <c r="D42" s="232" t="s">
        <v>78</v>
      </c>
      <c r="E42" s="232"/>
      <c r="F42" s="118"/>
      <c r="G42" s="118"/>
      <c r="H42" s="118"/>
      <c r="I42" s="164">
        <f>I40*I37*Input!I59/1000</f>
        <v>0</v>
      </c>
      <c r="J42" s="164">
        <f>J40*J37*Input!J59/1000</f>
        <v>0.10083031850547228</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0.28377966715796488</v>
      </c>
      <c r="J43" s="164">
        <f>+J41+J42+Input!J33*J$7</f>
        <v>0.57481639389401828</v>
      </c>
      <c r="K43" s="164">
        <f>+K41+K42+Input!K33*K$7</f>
        <v>0.48042623300539844</v>
      </c>
      <c r="L43" s="164">
        <f>+L41+L42+Input!L33*L$7</f>
        <v>0.35494281843908132</v>
      </c>
      <c r="M43" s="164">
        <f>+M41+M42+Input!M33*M$7</f>
        <v>0.18285256466883387</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0.34362379331555853</v>
      </c>
      <c r="J45" s="164">
        <f>(J43+J44)*(1+Input!J57)^(5-J4)</f>
        <v>0.66352243285558277</v>
      </c>
      <c r="K45" s="164">
        <f>(K43+K44)*(1+Input!K57)^(5-K4)</f>
        <v>0.52866150722537342</v>
      </c>
      <c r="L45" s="164">
        <f>(L43+L44)*(1+Input!L57)^(5-L4)</f>
        <v>0.37233501654259626</v>
      </c>
      <c r="M45" s="164">
        <f>(M43+M44)*(1+Input!M57)^(5-M4)</f>
        <v>0.18285256466883387</v>
      </c>
    </row>
    <row r="46" spans="1:19" s="3" customFormat="1" ht="15">
      <c r="A46" s="128"/>
      <c r="B46" s="173" t="s">
        <v>253</v>
      </c>
      <c r="C46" s="125" t="s">
        <v>370</v>
      </c>
      <c r="D46" s="232" t="s">
        <v>78</v>
      </c>
      <c r="E46" s="232"/>
      <c r="F46" s="173"/>
      <c r="G46" s="173"/>
      <c r="H46" s="173"/>
      <c r="I46" s="164">
        <f>I45-I31</f>
        <v>1.7618833286174547</v>
      </c>
      <c r="J46" s="164">
        <f>J45-J31</f>
        <v>1.6794409287107612</v>
      </c>
      <c r="K46" s="164">
        <f>K45-K31</f>
        <v>1.5430550334736997</v>
      </c>
      <c r="L46" s="164">
        <f>L45-L31</f>
        <v>1.6937479972135419</v>
      </c>
      <c r="M46" s="164">
        <f>M45-M31</f>
        <v>0.45892934497410343</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7.1370566329895606</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8.3716639287765631</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1.8594219958874947</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4"/>
      <c r="K1" s="254"/>
      <c r="L1" s="254"/>
    </row>
    <row r="2" spans="1:12" ht="15">
      <c r="A2" s="255" t="s">
        <v>374</v>
      </c>
      <c r="B2" s="9"/>
      <c r="C2" s="9"/>
      <c r="D2" s="9"/>
      <c r="E2" s="9"/>
      <c r="F2" s="9"/>
      <c r="G2" s="9"/>
      <c r="H2" s="9"/>
      <c r="I2" s="9"/>
      <c r="J2" s="9"/>
      <c r="K2" s="3"/>
      <c r="L2" s="3"/>
    </row>
    <row r="3" spans="1:12" ht="15">
      <c r="A3" s="9" t="s">
        <v>410</v>
      </c>
      <c r="B3" s="168">
        <f>-Calc!I31</f>
        <v>1.4182595353018961</v>
      </c>
      <c r="C3" s="168">
        <f>-Calc!J31</f>
        <v>1.0159184958551786</v>
      </c>
      <c r="D3" s="168">
        <f>-Calc!K31</f>
        <v>1.0143935262483263</v>
      </c>
      <c r="E3" s="168">
        <f>-Calc!L31</f>
        <v>1.3214129806709456</v>
      </c>
      <c r="F3" s="168">
        <f>-Calc!M31</f>
        <v>0.27607678030526955</v>
      </c>
      <c r="G3" s="9"/>
      <c r="H3" s="168">
        <f>SUM(B3:F3)</f>
        <v>5.0460613183816161</v>
      </c>
      <c r="I3" s="9"/>
      <c r="J3" s="9"/>
      <c r="K3" s="3"/>
      <c r="L3" s="3"/>
    </row>
    <row r="4" spans="1:12" ht="15">
      <c r="A4" s="9" t="s">
        <v>411</v>
      </c>
      <c r="B4" s="256">
        <f>(Calc!I41+Calc!I42)*(1+Input!I57)^(5-Calc!I4)</f>
        <v>0.10272623962628689</v>
      </c>
      <c r="C4" s="256">
        <f>(Calc!J41+Calc!J42)*(1+Input!J57)^(5-Calc!J4)</f>
        <v>0.44743523664862556</v>
      </c>
      <c r="D4" s="256">
        <f>(Calc!K41+Calc!K42)*(1+Input!K57)^(5-Calc!K4)</f>
        <v>0.24159682775648567</v>
      </c>
      <c r="E4" s="256">
        <f>(Calc!L41+Calc!L42)*(1+Input!L57)^(5-Calc!L4)</f>
        <v>0.17328271744964019</v>
      </c>
      <c r="F4" s="256">
        <f>(Calc!M41+Calc!M42)*(1+Input!M57)^(5-Calc!M4)</f>
        <v>7.9836249540723631E-2</v>
      </c>
      <c r="G4" s="9"/>
      <c r="H4" s="168">
        <f>SUM(B4:F4)</f>
        <v>1.0448772710217618</v>
      </c>
      <c r="I4" s="9"/>
      <c r="J4" s="9"/>
      <c r="K4" s="3"/>
      <c r="L4" s="3"/>
    </row>
    <row r="5" spans="1:12" ht="15">
      <c r="A5" s="9" t="s">
        <v>412</v>
      </c>
      <c r="B5" s="256">
        <f>(+Input!I33*Calc!I$7)*(1+Input!I57)^(5-Calc!I4)</f>
        <v>0.2408975536892716</v>
      </c>
      <c r="C5" s="256">
        <f>(+Input!J33*Calc!J$7)*(1+Input!J57)^(5-Calc!J4)</f>
        <v>0.21608719620695718</v>
      </c>
      <c r="D5" s="256">
        <f>(+Input!K33*Calc!K$7)*(1+Input!K57)^(5-Calc!K4)</f>
        <v>0.28706467946888775</v>
      </c>
      <c r="E5" s="256">
        <f>(+Input!L33*Calc!L$7)*(1+Input!L57)^(5-Calc!L4)</f>
        <v>0.19905229909295608</v>
      </c>
      <c r="F5" s="256">
        <f>(+Input!M33*Calc!M$7)*(1+Input!M57)^(5-Calc!M4)</f>
        <v>0.10301631512811023</v>
      </c>
      <c r="G5" s="9"/>
      <c r="H5" s="168">
        <f>SUM(B5:F5)</f>
        <v>1.0461180435861828</v>
      </c>
      <c r="I5" s="9"/>
      <c r="J5" s="9"/>
      <c r="K5" s="3"/>
      <c r="L5" s="3"/>
    </row>
    <row r="6" spans="1:12" ht="15">
      <c r="A6" s="9" t="s">
        <v>413</v>
      </c>
      <c r="B6" s="256">
        <f>Calc!I44*(1+Input!I57)^(5-Calc!I4)</f>
        <v>0</v>
      </c>
      <c r="C6" s="256">
        <f>Calc!J44*(1+Input!J57)^(5-Calc!J4)</f>
        <v>0</v>
      </c>
      <c r="D6" s="256">
        <f>Calc!K44*(1+Input!K57)^(5-Calc!K4)</f>
        <v>0</v>
      </c>
      <c r="E6" s="256">
        <f>Calc!L44*(1+Input!L57)^(5-Calc!L4)</f>
        <v>0</v>
      </c>
      <c r="F6" s="256">
        <f>Calc!M44*(1+Input!M57)^(5-Calc!M4)</f>
        <v>0</v>
      </c>
      <c r="G6" s="9"/>
      <c r="H6" s="168">
        <f>SUM(B6:F6)</f>
        <v>0</v>
      </c>
      <c r="I6" s="9"/>
      <c r="J6" s="9"/>
      <c r="K6" s="3"/>
      <c r="L6" s="3"/>
    </row>
    <row r="7" spans="1:12" ht="15.6" thickBot="1">
      <c r="A7" s="9" t="s">
        <v>414</v>
      </c>
      <c r="B7" s="257">
        <f>SUM(B3:B6)</f>
        <v>1.7618833286174547</v>
      </c>
      <c r="C7" s="257">
        <f>SUM(C3:C6)</f>
        <v>1.6794409287107614</v>
      </c>
      <c r="D7" s="257">
        <f>SUM(D3:D6)</f>
        <v>1.5430550334736999</v>
      </c>
      <c r="E7" s="257">
        <f>SUM(E3:E6)</f>
        <v>1.6937479972135421</v>
      </c>
      <c r="F7" s="257">
        <f>SUM(F3:F6)</f>
        <v>0.45892934497410337</v>
      </c>
      <c r="G7" s="9"/>
      <c r="H7" s="257">
        <f>SUM(B7:F7)</f>
        <v>7.1370566329895615</v>
      </c>
      <c r="I7" s="9"/>
      <c r="J7" s="9"/>
      <c r="K7" s="3"/>
      <c r="L7" s="3"/>
    </row>
    <row r="8" spans="1:12" ht="15.6" thickTop="1">
      <c r="A8" s="9"/>
      <c r="B8" s="258" t="b">
        <f>Calc!I46=B7</f>
        <v>1</v>
      </c>
      <c r="C8" s="258" t="b">
        <f>Calc!J46=C7</f>
        <v>1</v>
      </c>
      <c r="D8" s="258" t="b">
        <f>Calc!K46=D7</f>
        <v>1</v>
      </c>
      <c r="E8" s="258" t="b">
        <f>Calc!L46=E7</f>
        <v>1</v>
      </c>
      <c r="F8" s="258" t="b">
        <f>Calc!M46=F7</f>
        <v>1</v>
      </c>
      <c r="G8" s="258"/>
      <c r="H8" s="258" t="b">
        <f>Calc!M49=H7</f>
        <v>1</v>
      </c>
      <c r="I8" s="9"/>
      <c r="J8" s="9"/>
      <c r="K8" s="3"/>
      <c r="L8" s="3"/>
    </row>
    <row r="9" spans="1:12" ht="15">
      <c r="A9" s="9"/>
      <c r="B9" s="9"/>
      <c r="C9" s="9"/>
      <c r="D9" s="9"/>
      <c r="E9" s="9"/>
      <c r="F9" s="9"/>
      <c r="G9" s="9"/>
      <c r="H9" s="9"/>
      <c r="I9" s="9"/>
      <c r="J9" s="9"/>
      <c r="K9" s="3"/>
      <c r="L9" s="3"/>
    </row>
    <row r="10" spans="1:12" ht="15.6">
      <c r="A10" s="255" t="s">
        <v>375</v>
      </c>
      <c r="B10" s="185" t="s">
        <v>72</v>
      </c>
      <c r="C10" s="185" t="s">
        <v>73</v>
      </c>
      <c r="D10" s="185" t="s">
        <v>74</v>
      </c>
      <c r="E10" s="185" t="s">
        <v>75</v>
      </c>
      <c r="F10" s="185" t="s">
        <v>76</v>
      </c>
      <c r="G10" s="10"/>
      <c r="H10" s="185" t="s">
        <v>409</v>
      </c>
      <c r="I10" s="10"/>
      <c r="J10" s="120" t="s">
        <v>415</v>
      </c>
      <c r="K10" s="259"/>
      <c r="L10" s="120" t="s">
        <v>416</v>
      </c>
    </row>
    <row r="11" spans="1:12" ht="15">
      <c r="A11" s="9" t="s">
        <v>410</v>
      </c>
      <c r="B11" s="168">
        <f>B3*Input!$K$55/Input!$F$55</f>
        <v>1.6635978672845233</v>
      </c>
      <c r="C11" s="168">
        <f>C3*Input!$K$55/Input!$F$55</f>
        <v>1.1916576627703188</v>
      </c>
      <c r="D11" s="168">
        <f>D3*Input!$K$55/Input!$F$55</f>
        <v>1.189868895536617</v>
      </c>
      <c r="E11" s="168">
        <f>E3*Input!$K$55/Input!$F$55</f>
        <v>1.5499982631728486</v>
      </c>
      <c r="F11" s="168">
        <f>F3*Input!$K$55/Input!$F$55</f>
        <v>0.32383405962778178</v>
      </c>
      <c r="G11" s="9"/>
      <c r="H11" s="168">
        <f>SUM(B11:F11)</f>
        <v>5.9189567483920893</v>
      </c>
      <c r="I11" s="9"/>
      <c r="J11" s="256">
        <f>-PMT(Input!$M$60,5,H11)</f>
        <v>1.3146536297086366</v>
      </c>
      <c r="K11" s="3"/>
      <c r="L11" s="256">
        <f>J11*5</f>
        <v>6.5732681485431836</v>
      </c>
    </row>
    <row r="12" spans="1:12" ht="15">
      <c r="A12" s="9" t="s">
        <v>411</v>
      </c>
      <c r="B12" s="168">
        <f>B4*Input!$K$55/Input!$F$55</f>
        <v>0.12049638934390974</v>
      </c>
      <c r="C12" s="168">
        <f>C4*Input!$K$55/Input!$F$55</f>
        <v>0.52483504387520574</v>
      </c>
      <c r="D12" s="168">
        <f>D4*Input!$K$55/Input!$F$55</f>
        <v>0.2833895753169336</v>
      </c>
      <c r="E12" s="168">
        <f>E4*Input!$K$55/Input!$F$55</f>
        <v>0.203258114619427</v>
      </c>
      <c r="F12" s="168">
        <f>F4*Input!$K$55/Input!$F$55</f>
        <v>9.3646762924580837E-2</v>
      </c>
      <c r="G12" s="9"/>
      <c r="H12" s="168">
        <f>SUM(B12:F12)</f>
        <v>1.2256258860800568</v>
      </c>
      <c r="I12" s="9"/>
      <c r="J12" s="256">
        <f>-PMT(Input!$M$60,5,H12)</f>
        <v>0.27222255344875096</v>
      </c>
      <c r="K12" s="3"/>
      <c r="L12" s="256">
        <f>J12*5</f>
        <v>1.3611127672437549</v>
      </c>
    </row>
    <row r="13" spans="1:12" ht="15">
      <c r="A13" s="9" t="s">
        <v>412</v>
      </c>
      <c r="B13" s="168">
        <f>B5*Input!$K$55/Input!$F$55</f>
        <v>0.28256933697697623</v>
      </c>
      <c r="C13" s="168">
        <f>C5*Input!$K$55/Input!$F$55</f>
        <v>0.25346714745045984</v>
      </c>
      <c r="D13" s="168">
        <f>D5*Input!$K$55/Input!$F$55</f>
        <v>0.33672270600000004</v>
      </c>
      <c r="E13" s="168">
        <f>E5*Input!$K$55/Input!$F$55</f>
        <v>0.23348546017611257</v>
      </c>
      <c r="F13" s="168">
        <f>F5*Input!$K$55/Input!$F$55</f>
        <v>0.1208366437008685</v>
      </c>
      <c r="G13" s="9"/>
      <c r="H13" s="168">
        <f>SUM(B13:F13)</f>
        <v>1.2270812943044171</v>
      </c>
      <c r="I13" s="9"/>
      <c r="J13" s="256">
        <f>-PMT(Input!$M$60,5,H13)</f>
        <v>0.27254581273010708</v>
      </c>
      <c r="K13" s="3"/>
      <c r="L13" s="256">
        <f>J13*5</f>
        <v>1.3627290636505354</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6">
        <f>-PMT(Input!$M$60,5,H14)</f>
        <v>0</v>
      </c>
      <c r="K14" s="3"/>
      <c r="L14" s="256">
        <f>J14*5</f>
        <v>0</v>
      </c>
    </row>
    <row r="15" spans="1:12" ht="15.6" thickBot="1">
      <c r="A15" s="9" t="s">
        <v>414</v>
      </c>
      <c r="B15" s="257">
        <f>SUM(B9:B14)</f>
        <v>2.0666635936054094</v>
      </c>
      <c r="C15" s="257">
        <f>SUM(C9:C14)</f>
        <v>1.9699598540959844</v>
      </c>
      <c r="D15" s="257">
        <f>SUM(D9:D14)</f>
        <v>1.8099811768535505</v>
      </c>
      <c r="E15" s="257">
        <f>SUM(E9:E14)</f>
        <v>1.9867418379683881</v>
      </c>
      <c r="F15" s="257">
        <f>SUM(F9:F14)</f>
        <v>0.53831746625323107</v>
      </c>
      <c r="G15" s="9"/>
      <c r="H15" s="257">
        <f>SUM(B15:F15)</f>
        <v>8.3716639287765631</v>
      </c>
      <c r="I15" s="9"/>
      <c r="J15" s="260">
        <f>-PMT(Input!$M$60,5,H15)</f>
        <v>1.8594219958874947</v>
      </c>
      <c r="K15" s="3"/>
      <c r="L15" s="260">
        <f>J15*5</f>
        <v>9.2971099794374741</v>
      </c>
    </row>
    <row r="16" spans="1:12" ht="15.6" thickTop="1">
      <c r="A16" s="9"/>
      <c r="B16" s="9"/>
      <c r="C16" s="9"/>
      <c r="D16" s="9"/>
      <c r="E16" s="9"/>
      <c r="F16" s="9"/>
      <c r="G16" s="10"/>
      <c r="H16" s="258" t="b">
        <f>Calc!M50=H15</f>
        <v>1</v>
      </c>
      <c r="I16" s="258"/>
      <c r="J16" s="258" t="b">
        <f>Calc!M51=J15</f>
        <v>1</v>
      </c>
      <c r="K16" s="261"/>
      <c r="L16" s="261"/>
    </row>
    <row r="17" spans="1:12">
      <c r="A17" s="262"/>
      <c r="B17" s="262"/>
      <c r="C17" s="262"/>
      <c r="D17" s="262"/>
      <c r="E17" s="262"/>
      <c r="F17" s="262"/>
      <c r="G17" s="262"/>
      <c r="H17" s="262"/>
      <c r="I17" s="262"/>
      <c r="J17" s="262"/>
      <c r="K17" s="259"/>
      <c r="L17" s="259"/>
    </row>
    <row r="18" spans="1:12">
      <c r="A18" s="262"/>
      <c r="B18" s="262"/>
      <c r="C18" s="262"/>
      <c r="D18" s="262"/>
      <c r="E18" s="262"/>
      <c r="F18" s="262"/>
      <c r="G18" s="262"/>
      <c r="H18" s="262"/>
      <c r="I18" s="262"/>
      <c r="J18" s="262"/>
      <c r="K18" s="259"/>
      <c r="L18" s="259"/>
    </row>
    <row r="19" spans="1:12" ht="15.6">
      <c r="A19" s="9"/>
      <c r="B19" s="185" t="s">
        <v>72</v>
      </c>
      <c r="C19" s="185" t="s">
        <v>73</v>
      </c>
      <c r="D19" s="185" t="s">
        <v>74</v>
      </c>
      <c r="E19" s="185" t="s">
        <v>75</v>
      </c>
      <c r="F19" s="185" t="s">
        <v>76</v>
      </c>
      <c r="G19" s="10"/>
      <c r="H19" s="185" t="s">
        <v>409</v>
      </c>
      <c r="I19" s="10"/>
      <c r="J19" s="254"/>
      <c r="K19" s="254"/>
      <c r="L19" s="254"/>
    </row>
    <row r="20" spans="1:12" ht="15">
      <c r="A20" s="255" t="s">
        <v>376</v>
      </c>
      <c r="B20" s="9"/>
      <c r="C20" s="9"/>
      <c r="D20" s="9"/>
      <c r="E20" s="9"/>
      <c r="F20" s="9"/>
      <c r="G20" s="9"/>
      <c r="H20" s="9"/>
      <c r="I20" s="9"/>
      <c r="J20" s="9"/>
      <c r="K20" s="263"/>
      <c r="L20" s="263"/>
    </row>
    <row r="21" spans="1:12" ht="15">
      <c r="A21" s="9" t="s">
        <v>417</v>
      </c>
      <c r="B21" s="168">
        <f>-Calc!I76</f>
        <v>0</v>
      </c>
      <c r="C21" s="168">
        <f>-Calc!J76</f>
        <v>0</v>
      </c>
      <c r="D21" s="168">
        <f>-Calc!K76</f>
        <v>0</v>
      </c>
      <c r="E21" s="168">
        <f>-Calc!L76</f>
        <v>0</v>
      </c>
      <c r="F21" s="168">
        <f>-Calc!M76</f>
        <v>0</v>
      </c>
      <c r="G21" s="9"/>
      <c r="H21" s="168">
        <f>SUM(B21:F21)</f>
        <v>0</v>
      </c>
      <c r="I21" s="9"/>
      <c r="J21" s="9"/>
      <c r="K21" s="263"/>
      <c r="L21" s="263"/>
    </row>
    <row r="22" spans="1:12" ht="15">
      <c r="A22" s="9" t="s">
        <v>418</v>
      </c>
      <c r="B22" s="256">
        <f>(Calc!I86+Calc!I87)*(1+Input!I57)^(5-Calc!I4)</f>
        <v>0</v>
      </c>
      <c r="C22" s="256">
        <f>(Calc!J86+Calc!J87)*(1+Input!J57)^(5-Calc!J4)</f>
        <v>0</v>
      </c>
      <c r="D22" s="256">
        <f>(Calc!K86+Calc!K87)*(1+Input!K57)^(5-Calc!K4)</f>
        <v>0</v>
      </c>
      <c r="E22" s="256">
        <f>(Calc!L86+Calc!L87)*(1+Input!L57)^(5-Calc!L4)</f>
        <v>0</v>
      </c>
      <c r="F22" s="256">
        <f>(Calc!M86+Calc!M87)*(1+Input!M57)^(5-Calc!M4)</f>
        <v>0</v>
      </c>
      <c r="G22" s="9"/>
      <c r="H22" s="168">
        <f>SUM(B22:F22)</f>
        <v>0</v>
      </c>
      <c r="I22" s="9"/>
      <c r="J22" s="9"/>
      <c r="K22" s="263"/>
      <c r="L22" s="263"/>
    </row>
    <row r="23" spans="1:12" ht="15">
      <c r="A23" s="9" t="s">
        <v>419</v>
      </c>
      <c r="B23" s="256">
        <f>(+Input!I46*Calc!I$7)*(1+Input!I57)^(5-Calc!I4)</f>
        <v>0</v>
      </c>
      <c r="C23" s="256">
        <f>(+Input!J46*Calc!J$7)*(1+Input!J57)^(5-Calc!J4)</f>
        <v>0</v>
      </c>
      <c r="D23" s="256">
        <f>(+Input!K46*Calc!K$7)*(1+Input!K57)^(5-Calc!K4)</f>
        <v>0</v>
      </c>
      <c r="E23" s="256">
        <f>(+Input!L46*Calc!L$7)*(1+Input!L57)^(5-Calc!L4)</f>
        <v>0</v>
      </c>
      <c r="F23" s="256">
        <f>(+Input!M46*Calc!M$7)*(1+Input!M57)^(5-Calc!M4)</f>
        <v>0</v>
      </c>
      <c r="G23" s="9"/>
      <c r="H23" s="168">
        <f>SUM(B23:F23)</f>
        <v>0</v>
      </c>
      <c r="I23" s="9"/>
      <c r="J23" s="9"/>
      <c r="K23" s="263"/>
      <c r="L23" s="263"/>
    </row>
    <row r="24" spans="1:12" ht="15">
      <c r="A24" s="9" t="s">
        <v>420</v>
      </c>
      <c r="B24" s="256">
        <f>Calc!I89*(1+Input!I57)^(5-Calc!I4)</f>
        <v>0</v>
      </c>
      <c r="C24" s="256">
        <f>Calc!J89*(1+Input!J57)^(5-Calc!J4)</f>
        <v>0</v>
      </c>
      <c r="D24" s="256">
        <f>Calc!K89*(1+Input!K57)^(5-Calc!K4)</f>
        <v>0</v>
      </c>
      <c r="E24" s="256">
        <f>Calc!L89*(1+Input!L57)^(5-Calc!L4)</f>
        <v>0</v>
      </c>
      <c r="F24" s="256">
        <f>Calc!M89*(1+Input!M57)^(5-Calc!M4)</f>
        <v>0</v>
      </c>
      <c r="G24" s="9"/>
      <c r="H24" s="168">
        <f>SUM(B24:F24)</f>
        <v>0</v>
      </c>
      <c r="I24" s="9"/>
      <c r="J24" s="9"/>
      <c r="K24" s="263"/>
      <c r="L24" s="263"/>
    </row>
    <row r="25" spans="1:12" ht="15.6" thickBot="1">
      <c r="A25" s="9" t="s">
        <v>421</v>
      </c>
      <c r="B25" s="257">
        <f>SUM(B18:B24)</f>
        <v>0</v>
      </c>
      <c r="C25" s="257">
        <f>SUM(C18:C24)</f>
        <v>0</v>
      </c>
      <c r="D25" s="257">
        <f>SUM(D18:D24)</f>
        <v>0</v>
      </c>
      <c r="E25" s="257">
        <f>SUM(E18:E24)</f>
        <v>0</v>
      </c>
      <c r="F25" s="257">
        <f>SUM(F18:F24)</f>
        <v>0</v>
      </c>
      <c r="G25" s="9"/>
      <c r="H25" s="257">
        <f>SUM(B25:F25)</f>
        <v>0</v>
      </c>
      <c r="I25" s="9"/>
      <c r="J25" s="9"/>
      <c r="K25" s="263"/>
      <c r="L25" s="263"/>
    </row>
    <row r="26" spans="1:12" ht="15.6" thickTop="1">
      <c r="A26" s="9"/>
      <c r="B26" s="258" t="b">
        <f>Calc!I91=B25</f>
        <v>1</v>
      </c>
      <c r="C26" s="258" t="b">
        <f>Calc!J91=C25</f>
        <v>1</v>
      </c>
      <c r="D26" s="258" t="b">
        <f>Calc!K91=D25</f>
        <v>1</v>
      </c>
      <c r="E26" s="258" t="b">
        <f>Calc!L91=E25</f>
        <v>1</v>
      </c>
      <c r="F26" s="258" t="b">
        <f>Calc!M91=F25</f>
        <v>1</v>
      </c>
      <c r="G26" s="258"/>
      <c r="H26" s="258" t="b">
        <f>Calc!M94=H25</f>
        <v>1</v>
      </c>
      <c r="I26" s="9"/>
      <c r="J26" s="9"/>
      <c r="K26" s="263"/>
      <c r="L26" s="263"/>
    </row>
    <row r="27" spans="1:12" ht="15">
      <c r="A27" s="9"/>
      <c r="B27" s="9"/>
      <c r="C27" s="9"/>
      <c r="D27" s="9"/>
      <c r="E27" s="9"/>
      <c r="F27" s="9"/>
      <c r="G27" s="9"/>
      <c r="H27" s="9"/>
      <c r="I27" s="9"/>
      <c r="J27" s="9"/>
      <c r="K27" s="263"/>
      <c r="L27" s="263"/>
    </row>
    <row r="28" spans="1:12" ht="15.6">
      <c r="A28" s="255" t="s">
        <v>422</v>
      </c>
      <c r="B28" s="185" t="s">
        <v>72</v>
      </c>
      <c r="C28" s="185" t="s">
        <v>73</v>
      </c>
      <c r="D28" s="185" t="s">
        <v>74</v>
      </c>
      <c r="E28" s="185" t="s">
        <v>75</v>
      </c>
      <c r="F28" s="185" t="s">
        <v>76</v>
      </c>
      <c r="G28" s="10"/>
      <c r="H28" s="185" t="s">
        <v>409</v>
      </c>
      <c r="I28" s="10"/>
      <c r="J28" s="120" t="s">
        <v>423</v>
      </c>
      <c r="K28" s="254"/>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6">
        <f>-PMT(Input!$M$60,5,H29)</f>
        <v>0</v>
      </c>
      <c r="K29" s="263"/>
      <c r="L29" s="256">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6">
        <f>-PMT(Input!$M$60,5,H30)</f>
        <v>0</v>
      </c>
      <c r="K30" s="263"/>
      <c r="L30" s="256">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6">
        <f>-PMT(Input!$M$60,5,H31)</f>
        <v>0</v>
      </c>
      <c r="K31" s="263"/>
      <c r="L31" s="256">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6">
        <f>-PMT(Input!$M$60,5,H32)</f>
        <v>0</v>
      </c>
      <c r="K32" s="3"/>
      <c r="L32" s="256">
        <f>J32*5</f>
        <v>0</v>
      </c>
    </row>
    <row r="33" spans="1:12" ht="15.6" thickBot="1">
      <c r="A33" s="9" t="s">
        <v>421</v>
      </c>
      <c r="B33" s="257">
        <f>SUM(B27:B32)</f>
        <v>0</v>
      </c>
      <c r="C33" s="257">
        <f>SUM(C27:C32)</f>
        <v>0</v>
      </c>
      <c r="D33" s="257">
        <f>SUM(D27:D32)</f>
        <v>0</v>
      </c>
      <c r="E33" s="257">
        <f>SUM(E27:E32)</f>
        <v>0</v>
      </c>
      <c r="F33" s="257">
        <f>SUM(F27:F32)</f>
        <v>0</v>
      </c>
      <c r="G33" s="9"/>
      <c r="H33" s="257">
        <f>SUM(B33:F33)</f>
        <v>0</v>
      </c>
      <c r="I33" s="9"/>
      <c r="J33" s="260">
        <f>-PMT(Input!$M$60,5,H33)</f>
        <v>0</v>
      </c>
      <c r="K33" s="263"/>
      <c r="L33" s="260">
        <f>J33*5</f>
        <v>0</v>
      </c>
    </row>
    <row r="34" spans="1:12" ht="15.6" thickTop="1">
      <c r="A34" s="9"/>
      <c r="B34" s="168"/>
      <c r="C34" s="9"/>
      <c r="D34" s="140"/>
      <c r="E34" s="140"/>
      <c r="F34" s="140"/>
      <c r="G34" s="10"/>
      <c r="H34" s="258" t="b">
        <f>Calc!M95=H33</f>
        <v>1</v>
      </c>
      <c r="I34" s="258"/>
      <c r="J34" s="258" t="b">
        <f>Calc!M96=J33</f>
        <v>1</v>
      </c>
      <c r="K34" s="261"/>
      <c r="L34" s="2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2016-09-30T14:39:29Z</dcterms:created>
  <dcterms:modified xsi:type="dcterms:W3CDTF">2016-09-30T14:39:33Z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