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s>
  <definedNames>
    <definedName name="AMP.Years">[1]Timeline!$I$3:$U$3</definedName>
    <definedName name="Baseyear" localSheetId="9">F_Outputs!#REF!</definedName>
    <definedName name="Calendar.Years">[1]Timeline!$I$5:$U$5</definedName>
    <definedName name="CoName" localSheetId="9">F_Outputs!#REF!</definedName>
    <definedName name="CoName">Input!$F$64</definedName>
    <definedName name="IDoK_submissions_for_claim_under_RCC4">Cover!$A$41</definedName>
    <definedName name="_xlnm.Print_Area" localSheetId="6">Input!$B$1:$C$68</definedName>
    <definedName name="Threshold">Input!$F$61</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F13" i="30"/>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M86" i="11" s="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D11" i="30"/>
  <c r="D15" i="30" s="1"/>
  <c r="D7" i="30"/>
  <c r="D8" i="30" s="1"/>
  <c r="B8" i="30"/>
  <c r="M94" i="11" l="1"/>
  <c r="H21" i="30"/>
  <c r="M49" i="1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M96" i="11"/>
  <c r="H16" i="30" l="1"/>
  <c r="H34" i="30"/>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<sst xmlns="http://schemas.openxmlformats.org/spreadsheetml/2006/main" count="1162" uniqueCount="486">
  <si>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</si>
  <si>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</si>
  <si>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</si>
  <si>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</si>
  <si>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</si>
  <si>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</si>
  <si>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</si>
  <si>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</si>
  <si>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</si>
  <si>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</si>
  <si>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</si>
  <si>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</si>
  <si>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</si>
  <si>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</si>
  <si>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</si>
  <si>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</si>
  <si>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</si>
  <si>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</si>
  <si>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</si>
  <si>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</si>
  <si>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</si>
  <si>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</si>
  <si>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</si>
  <si>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</si>
  <si>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</si>
  <si>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</si>
  <si>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</si>
  <si>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</si>
  <si>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</si>
  <si>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</si>
  <si>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</si>
  <si>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</si>
  <si>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</si>
  <si>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</si>
  <si>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</si>
  <si>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</si>
  <si>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</si>
  <si>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</si>
  <si>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</si>
  <si>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</si>
  <si>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</si>
  <si>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</si>
  <si>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</si>
  <si>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</si>
  <si>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</si>
  <si>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</si>
  <si>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</si>
  <si>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</si>
  <si>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</si>
  <si>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</si>
  <si>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</si>
  <si>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</si>
  <si>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</si>
  <si>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</si>
  <si>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</si>
  <si>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</si>
  <si>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</si>
  <si>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</si>
  <si>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</si>
  <si>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</si>
  <si>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</si>
  <si>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</si>
  <si>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</si>
  <si>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</si>
  <si>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</si>
  <si>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</si>
  <si>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</si>
  <si>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</si>
  <si>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</si>
  <si>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</si>
  <si>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</si>
  <si>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</si>
  <si>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</si>
  <si>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</si>
  <si>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</si>
  <si>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</si>
  <si>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</si>
  <si>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</si>
  <si>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</si>
  <si>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</si>
  <si>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</si>
  <si>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</si>
  <si>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</si>
  <si>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</si>
  <si>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</si>
  <si>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</si>
  <si>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</si>
  <si>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</si>
  <si>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</si>
  <si>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</si>
  <si>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</si>
  <si>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</si>
  <si>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</si>
  <si>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</si>
  <si>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</si>
  <si>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</si>
  <si>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</si>
  <si>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</si>
  <si>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</si>
  <si>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</si>
  <si>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</si>
  <si>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</si>
  <si>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</si>
  <si>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</si>
  <si>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</si>
  <si>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</si>
  <si>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</si>
  <si>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</si>
  <si>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</si>
  <si>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</si>
  <si>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</si>
  <si>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</si>
  <si>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</si>
  <si>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</si>
  <si>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</si>
  <si>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</si>
  <si>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</si>
  <si>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</si>
  <si>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</si>
  <si>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</si>
  <si>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</si>
  <si>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</si>
  <si>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</si>
  <si>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</si>
  <si>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</si>
  <si>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</si>
  <si>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</si>
  <si>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</si>
  <si>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</si>
  <si>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</si>
  <si>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</si>
  <si>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</si>
  <si>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</si>
  <si>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</si>
  <si>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</si>
  <si>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</si>
  <si>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</si>
  <si>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</si>
  <si>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</si>
  <si>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</si>
  <si>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</si>
  <si>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</si>
  <si>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</si>
  <si>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</si>
  <si>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</si>
  <si>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</si>
  <si>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</si>
  <si>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</si>
  <si>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</si>
  <si>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</si>
  <si>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</si>
  <si>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</si>
  <si>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</si>
  <si>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</si>
  <si>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</si>
  <si>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</si>
  <si>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</si>
  <si>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</si>
  <si>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</si>
  <si>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</si>
  <si>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</si>
  <si>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</si>
  <si>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</si>
  <si>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</si>
  <si>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</si>
  <si>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</si>
  <si>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</si>
  <si>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</si>
  <si>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</si>
  <si>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</si>
  <si>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</si>
  <si>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</si>
  <si>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</si>
  <si>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</si>
  <si>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</si>
  <si>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</si>
  <si>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</si>
  <si>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</si>
  <si>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</si>
  <si>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</si>
  <si>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</si>
  <si>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</si>
  <si>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</si>
  <si>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</si>
  <si>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</si>
  <si>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</si>
  <si>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</si>
  <si>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</si>
  <si>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</si>
  <si>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</si>
  <si>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</si>
  <si>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</si>
  <si>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</si>
  <si>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</si>
  <si>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</si>
  <si>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</si>
  <si>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</si>
  <si>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</si>
  <si>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</si>
  <si>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</si>
  <si>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</si>
  <si>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</si>
  <si>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</si>
  <si>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</si>
  <si>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</si>
  <si>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</si>
  <si>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</si>
  <si>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</si>
  <si>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</si>
  <si>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</si>
  <si>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</si>
  <si>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</si>
  <si>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</si>
  <si>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</si>
  <si>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</si>
  <si>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</si>
  <si>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</si>
  <si>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</si>
  <si>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</si>
  <si>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</si>
  <si>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</si>
  <si>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</si>
  <si>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</si>
  <si>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</si>
  <si>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</si>
  <si>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</si>
  <si>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</si>
  <si>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</si>
  <si>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</si>
  <si>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</si>
  <si>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</si>
  <si>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</si>
  <si>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</si>
  <si>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</si>
  <si>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</si>
  <si>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</si>
  <si>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</si>
  <si>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</si>
  <si>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</si>
  <si>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</si>
  <si>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</si>
  <si>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</si>
  <si>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</si>
  <si>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</si>
  <si>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</si>
  <si>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</si>
  <si>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</si>
  <si>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</si>
  <si>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</si>
  <si>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</si>
  <si>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</si>
  <si>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</si>
  <si>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</si>
  <si>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</si>
  <si>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</si>
  <si>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</si>
  <si>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</si>
  <si>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</si>
  <si>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</si>
  <si>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</si>
  <si>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</si>
  <si>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</si>
  <si>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</si>
  <si>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</si>
  <si>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</si>
  <si>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</si>
  <si>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</si>
  <si>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</si>
  <si>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</si>
  <si>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</si>
  <si>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</si>
  <si>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</si>
  <si>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</si>
  <si>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</si>
  <si>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</si>
  <si>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</si>
  <si>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</si>
  <si>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</si>
  <si>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</si>
  <si>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</si>
  <si>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</si>
  <si>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</si>
  <si>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</si>
  <si>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</si>
  <si>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</si>
  <si>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</si>
  <si>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</si>
  <si>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</si>
  <si>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</si>
  <si>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</si>
  <si>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</si>
  <si>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</si>
  <si>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</si>
  <si>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</si>
  <si>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</si>
  <si>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</si>
  <si>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</si>
  <si>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</si>
  <si>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</si>
  <si>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</si>
  <si>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</si>
  <si>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</si>
  <si>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</si>
  <si>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</si>
  <si>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</si>
  <si>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</si>
  <si>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</si>
  <si>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</si>
  <si>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</si>
  <si>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</si>
  <si>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</si>
  <si>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</si>
  <si>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</si>
  <si>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</si>
  <si>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</si>
  <si>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</si>
  <si>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</si>
  <si>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</si>
  <si>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</si>
  <si>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</si>
  <si>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</si>
  <si>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</si>
  <si>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</si>
  <si>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</si>
  <si>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</si>
  <si>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</si>
  <si>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</si>
  <si>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</si>
  <si>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</si>
  <si>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</si>
  <si>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</si>
  <si>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</si>
  <si>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</si>
  <si>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</si>
  <si>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</si>
  <si>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</si>
  <si>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</si>
  <si>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</si>
  <si>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</si>
  <si>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</si>
  <si>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</si>
  <si>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</si>
  <si>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</si>
  <si>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</si>
  <si>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</si>
  <si>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</si>
  <si>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</si>
  <si>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</si>
  <si>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</si>
  <si>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</si>
  <si>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</si>
  <si>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</si>
  <si>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</si>
  <si>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</si>
  <si>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</si>
  <si>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</si>
  <si>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</si>
  <si>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</si>
  <si>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</si>
  <si>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</si>
  <si>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</si>
  <si>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</si>
  <si>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</si>
  <si>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</si>
  <si>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</si>
  <si>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</si>
  <si>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</si>
  <si>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</si>
  <si>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</si>
  <si>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</si>
  <si>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</si>
  <si>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</si>
  <si>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</si>
  <si>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</si>
  <si>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</si>
  <si>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</si>
  <si>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</si>
  <si>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</si>
  <si>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</si>
  <si>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</si>
  <si>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</si>
  <si>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</si>
  <si>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</si>
  <si>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</si>
  <si>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</si>
  <si>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</si>
  <si>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</si>
  <si>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</si>
  <si>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</si>
  <si>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</si>
  <si>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</si>
  <si>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</si>
  <si>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</si>
  <si>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</si>
  <si>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</si>
  <si>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</si>
  <si>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</si>
  <si>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</si>
  <si>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</si>
  <si>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</si>
  <si>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</si>
  <si>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</si>
  <si>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</si>
  <si>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</si>
  <si>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</si>
  <si>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</si>
  <si>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</si>
  <si>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</si>
  <si>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</si>
  <si>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</si>
  <si>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</si>
  <si>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</si>
  <si>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</si>
  <si>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</si>
  <si>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</si>
  <si>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</si>
  <si>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</si>
  <si>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</si>
  <si>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</si>
  <si>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</si>
  <si>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</si>
  <si>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</si>
  <si>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</si>
  <si>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</si>
  <si>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</si>
  <si>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</si>
  <si>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</si>
  <si>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</si>
  <si>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</si>
  <si>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</si>
  <si>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</si>
  <si>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</si>
  <si>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</si>
  <si>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</si>
  <si>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</si>
  <si>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</si>
  <si>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</si>
  <si>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</si>
  <si>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</si>
  <si>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</si>
  <si>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</si>
  <si>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</si>
  <si>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</si>
  <si>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</si>
  <si>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</si>
  <si>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</si>
  <si>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</si>
  <si>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</si>
  <si>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</si>
  <si>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</si>
  <si>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</si>
  <si>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</si>
  <si>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</si>
  <si>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</si>
  <si>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</si>
  <si>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</si>
  <si>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</si>
  <si>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</si>
  <si>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</si>
  <si>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</si>
  <si>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</si>
  <si>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</si>
  <si>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</si>
  <si>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</si>
  <si>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</si>
  <si>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</si>
  <si>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https://fntlive201/Fountain/rest-services_XLSPF</t>
  </si>
  <si>
    <t>OFWAT\Salim.Lorgat_XLSPF</t>
  </si>
  <si>
    <t>PL14L010_BY_XLSPF</t>
  </si>
  <si>
    <t>1948_XLSPF</t>
  </si>
  <si>
    <t>F_Outputs_TABLE_ID</t>
  </si>
  <si>
    <t>F_Outputs_TEAM</t>
  </si>
  <si>
    <t>F_Outputs_USER</t>
  </si>
  <si>
    <t>F_Outputs_NAME</t>
  </si>
  <si>
    <t>PL14L010OUT_BY_XLSPF</t>
  </si>
  <si>
    <t>F_Outputs_TITLE</t>
  </si>
  <si>
    <t>9327_XLSPF</t>
  </si>
  <si>
    <t>OFWAT\Jenny.Ngai_XLSPF</t>
  </si>
  <si>
    <t>PL14L010OUT_BY</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</si>
  <si>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</si>
  <si>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61_XLSPF</t>
  </si>
  <si>
    <t>Thames Water Utilities Ltd_XLSPF</t>
  </si>
  <si>
    <t>11/05/2016 14:02:39_XLSPF</t>
  </si>
  <si>
    <t>11/05/2016 14:05:41_XLSPF</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</si>
  <si>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</si>
  <si>
    <t>VERSION 3.2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</si>
</sst>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1">
    <font>
      <sz val="10"/>
      <name val="Arial"/>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5">
    <xf numFmtId="0" fontId="0" fillId="0" borderId="0">
      <alignment vertical="top"/>
    </xf>
    <xf numFmtId="0" fontId="2" fillId="0" borderId="0">
      <alignment vertical="top"/>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 fillId="0" borderId="0" applyNumberFormat="0" applyFont="0" applyFill="0" applyBorder="0" applyAlignment="0" applyProtection="0"/>
    <xf numFmtId="0" fontId="15" fillId="15" borderId="0" applyNumberFormat="0" applyBorder="0" applyAlignment="0" applyProtection="0"/>
    <xf numFmtId="37" fontId="3" fillId="16" borderId="1">
      <alignment horizontal="left"/>
    </xf>
    <xf numFmtId="37" fontId="4" fillId="16" borderId="2"/>
    <xf numFmtId="0" fontId="1" fillId="16" borderId="3" applyNumberFormat="0" applyBorder="0"/>
    <xf numFmtId="0" fontId="16" fillId="2" borderId="4" applyNumberFormat="0" applyAlignment="0" applyProtection="0"/>
    <xf numFmtId="0" fontId="17" fillId="17" borderId="5"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18" borderId="0" applyNumberFormat="0" applyBorder="0" applyAlignment="0" applyProtection="0"/>
    <xf numFmtId="0" fontId="5" fillId="16" borderId="6"/>
    <xf numFmtId="37" fontId="1" fillId="16" borderId="0">
      <alignment horizontal="right"/>
    </xf>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0" borderId="10" applyNumberFormat="0" applyFill="0" applyAlignment="0" applyProtection="0"/>
    <xf numFmtId="0" fontId="25" fillId="8" borderId="0" applyNumberFormat="0" applyBorder="0" applyAlignment="0" applyProtection="0"/>
    <xf numFmtId="0" fontId="6" fillId="0" borderId="0"/>
    <xf numFmtId="37" fontId="1" fillId="0" borderId="0" applyFill="0" applyBorder="0" applyProtection="0">
      <protection locked="0"/>
    </xf>
    <xf numFmtId="0" fontId="1" fillId="0" borderId="0"/>
    <xf numFmtId="0" fontId="1" fillId="0" borderId="0"/>
    <xf numFmtId="0" fontId="1" fillId="0" borderId="0"/>
    <xf numFmtId="0" fontId="1" fillId="0" borderId="0"/>
    <xf numFmtId="0" fontId="1" fillId="0" borderId="0"/>
    <xf numFmtId="0" fontId="1" fillId="4" borderId="11" applyNumberFormat="0" applyFont="0" applyAlignment="0" applyProtection="0"/>
    <xf numFmtId="0" fontId="26" fillId="2" borderId="12"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0" applyNumberFormat="0" applyFill="0" applyBorder="0" applyAlignment="0" applyProtection="0"/>
    <xf numFmtId="37" fontId="7" fillId="19" borderId="14"/>
    <xf numFmtId="0" fontId="8" fillId="0" borderId="15">
      <alignment horizontal="right"/>
    </xf>
    <xf numFmtId="0" fontId="1" fillId="0" borderId="0">
      <alignment vertical="top"/>
    </xf>
    <xf numFmtId="0" fontId="1" fillId="0" borderId="0"/>
    <xf numFmtId="0" fontId="33" fillId="0" borderId="0" applyNumberFormat="0" applyFill="0" applyBorder="0" applyAlignment="0" applyProtection="0"/>
    <xf numFmtId="0" fontId="1" fillId="0" borderId="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4" fillId="0" borderId="0" applyNumberFormat="0" applyFill="0" applyBorder="0" applyAlignment="0" applyProtection="0">
      <alignment vertical="top"/>
      <protection locked="0"/>
    </xf>
    <xf numFmtId="0" fontId="1" fillId="0" borderId="0">
      <alignment vertical="top"/>
    </xf>
    <xf numFmtId="0" fontId="1" fillId="0" borderId="0">
      <alignment vertical="top"/>
    </xf>
    <xf numFmtId="0" fontId="1" fillId="0" borderId="0">
      <alignment vertical="top"/>
    </xf>
    <xf numFmtId="0" fontId="1" fillId="0" borderId="0">
      <alignment vertical="top"/>
    </xf>
    <xf numFmtId="9"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1" fillId="0" borderId="0">
      <alignment vertical="top"/>
    </xf>
    <xf numFmtId="0" fontId="1" fillId="31" borderId="0">
      <alignment vertical="top"/>
    </xf>
    <xf numFmtId="0" fontId="3" fillId="32" borderId="0">
      <alignment vertical="top"/>
    </xf>
    <xf numFmtId="0" fontId="3" fillId="33" borderId="0">
      <alignment vertical="top"/>
    </xf>
    <xf numFmtId="0" fontId="1" fillId="32" borderId="36">
      <alignment vertical="top"/>
    </xf>
    <xf numFmtId="0" fontId="55" fillId="0" borderId="46">
      <alignment vertical="top"/>
    </xf>
    <xf numFmtId="0" fontId="35" fillId="8" borderId="48" applyNumberFormat="0" applyFont="0" applyAlignment="0" applyProtection="0"/>
    <xf numFmtId="0" fontId="59" fillId="0" borderId="0" applyNumberFormat="0" applyFill="0" applyAlignment="0"/>
  </cellStyleXfs>
  <cellXfs count="333">
    <xf numFmtId="0" fontId="0" fillId="0" borderId="0" xfId="0" applyAlignment="1"/>
    <xf numFmtId="0" fontId="1" fillId="0" borderId="0" xfId="51"/>
    <xf numFmtId="0" fontId="11" fillId="0" borderId="0" xfId="51" applyFont="1" applyFill="1" applyBorder="1" applyAlignment="1">
      <alignment wrapText="1"/>
    </xf>
    <xf numFmtId="0" fontId="1" fillId="0" borderId="0" xfId="51" applyFill="1"/>
    <xf numFmtId="0" fontId="9" fillId="0" borderId="0" xfId="51" applyFont="1"/>
    <xf numFmtId="0" fontId="9" fillId="0" borderId="0" xfId="51" applyFont="1" applyAlignment="1"/>
    <xf numFmtId="0" fontId="9" fillId="0" borderId="0" xfId="51" applyFont="1" applyFill="1" applyBorder="1" applyAlignment="1"/>
    <xf numFmtId="0" fontId="3" fillId="0" borderId="0" xfId="51" applyFont="1" applyFill="1" applyBorder="1" applyAlignment="1"/>
    <xf numFmtId="0" fontId="30" fillId="0" borderId="0" xfId="51" applyFont="1"/>
    <xf numFmtId="0" fontId="12" fillId="0" borderId="0" xfId="51" applyFont="1"/>
    <xf numFmtId="0" fontId="31" fillId="0" borderId="0" xfId="51" applyFont="1"/>
    <xf numFmtId="0" fontId="9" fillId="0" borderId="0" xfId="51" applyFont="1" applyFill="1"/>
    <xf numFmtId="0" fontId="9" fillId="0" borderId="0" xfId="51" applyFont="1" applyFill="1" applyBorder="1" applyAlignment="1">
      <alignment horizontal="left"/>
    </xf>
    <xf numFmtId="0" fontId="3" fillId="0" borderId="0" xfId="51" applyFont="1" applyFill="1" applyBorder="1" applyAlignment="1">
      <alignment wrapText="1"/>
    </xf>
    <xf numFmtId="0" fontId="9" fillId="0" borderId="0" xfId="51" applyFont="1" applyFill="1" applyAlignment="1"/>
    <xf numFmtId="0" fontId="9" fillId="0" borderId="0" xfId="51" applyFont="1" applyFill="1" applyAlignment="1">
      <alignment horizontal="left"/>
    </xf>
    <xf numFmtId="0" fontId="0" fillId="0" borderId="0" xfId="0" applyAlignment="1">
      <alignment wrapText="1"/>
    </xf>
    <xf numFmtId="0" fontId="3" fillId="0" borderId="0" xfId="0" applyFont="1" applyAlignment="1">
      <alignment horizontal="right"/>
    </xf>
    <xf numFmtId="0" fontId="3" fillId="0" borderId="0" xfId="0" applyFont="1" applyAlignment="1"/>
    <xf numFmtId="2" fontId="1" fillId="0" borderId="0" xfId="51" applyNumberFormat="1"/>
    <xf numFmtId="0" fontId="3" fillId="0" borderId="0" xfId="0" applyFont="1" applyAlignment="1">
      <alignment horizontal="center" wrapText="1"/>
    </xf>
    <xf numFmtId="0" fontId="9"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9"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3"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1" fillId="0" borderId="0" xfId="51" applyNumberFormat="1" applyFill="1"/>
    <xf numFmtId="0" fontId="9" fillId="21" borderId="0" xfId="51" applyFont="1" applyFill="1"/>
    <xf numFmtId="0" fontId="9" fillId="22" borderId="0" xfId="51" applyFont="1" applyFill="1"/>
    <xf numFmtId="0" fontId="3" fillId="0" borderId="0" xfId="52" applyFont="1" applyAlignment="1"/>
    <xf numFmtId="0" fontId="0" fillId="0" borderId="0" xfId="0" applyFill="1" applyAlignment="1" applyProtection="1">
      <protection locked="0"/>
    </xf>
    <xf numFmtId="0" fontId="32" fillId="0" borderId="0" xfId="0" applyFont="1" applyFill="1" applyAlignment="1" applyProtection="1">
      <protection locked="0"/>
    </xf>
    <xf numFmtId="0" fontId="37" fillId="0" borderId="0" xfId="77" applyFont="1" applyFill="1" applyBorder="1" applyAlignment="1">
      <alignment horizontal="center" vertical="top"/>
    </xf>
    <xf numFmtId="0" fontId="37" fillId="0" borderId="0" xfId="77" applyFont="1" applyFill="1" applyAlignment="1">
      <alignment horizontal="center" vertical="top"/>
    </xf>
    <xf numFmtId="0" fontId="37" fillId="24" borderId="37" xfId="77" applyFont="1" applyFill="1" applyBorder="1" applyAlignment="1">
      <alignment horizontal="center" vertical="top"/>
    </xf>
    <xf numFmtId="0" fontId="37" fillId="24" borderId="16" xfId="77" applyFont="1" applyFill="1" applyBorder="1" applyAlignment="1">
      <alignment horizontal="center" vertical="top"/>
    </xf>
    <xf numFmtId="0" fontId="37" fillId="24" borderId="19" xfId="77" applyFont="1" applyFill="1" applyBorder="1" applyAlignment="1">
      <alignment horizontal="center" vertical="top"/>
    </xf>
    <xf numFmtId="0" fontId="37" fillId="24" borderId="39" xfId="77" applyFont="1" applyFill="1" applyBorder="1" applyAlignment="1">
      <alignment horizontal="center" vertical="top"/>
    </xf>
    <xf numFmtId="0" fontId="37" fillId="24" borderId="0" xfId="77" applyFont="1" applyFill="1" applyBorder="1" applyAlignment="1">
      <alignment horizontal="center" vertical="top"/>
    </xf>
    <xf numFmtId="0" fontId="35" fillId="24" borderId="38" xfId="77" applyFont="1" applyFill="1" applyBorder="1" applyAlignment="1">
      <alignment horizontal="left" vertical="top"/>
    </xf>
    <xf numFmtId="0" fontId="37" fillId="24" borderId="40" xfId="77" applyFont="1" applyFill="1" applyBorder="1" applyAlignment="1">
      <alignment horizontal="center" vertical="top"/>
    </xf>
    <xf numFmtId="0" fontId="37" fillId="24" borderId="41" xfId="77" applyFont="1" applyFill="1" applyBorder="1" applyAlignment="1">
      <alignment horizontal="center" vertical="top"/>
    </xf>
    <xf numFmtId="0" fontId="38" fillId="0" borderId="0" xfId="77" applyFont="1" applyFill="1" applyAlignment="1">
      <alignment horizontal="center" vertical="top"/>
    </xf>
    <xf numFmtId="0" fontId="37" fillId="29" borderId="37" xfId="77" applyFont="1" applyFill="1" applyBorder="1" applyAlignment="1">
      <alignment horizontal="center" vertical="top"/>
    </xf>
    <xf numFmtId="0" fontId="37" fillId="29" borderId="16" xfId="77" applyFont="1" applyFill="1" applyBorder="1" applyAlignment="1">
      <alignment horizontal="center" vertical="top"/>
    </xf>
    <xf numFmtId="0" fontId="10" fillId="29" borderId="19" xfId="77" applyFont="1" applyFill="1" applyBorder="1" applyAlignment="1">
      <alignment horizontal="center" vertical="top"/>
    </xf>
    <xf numFmtId="0" fontId="37" fillId="29" borderId="39" xfId="77" applyFont="1" applyFill="1" applyBorder="1" applyAlignment="1">
      <alignment horizontal="center" vertical="top"/>
    </xf>
    <xf numFmtId="0" fontId="37" fillId="29" borderId="0" xfId="77" applyFont="1" applyFill="1" applyBorder="1" applyAlignment="1">
      <alignment horizontal="center" vertical="top"/>
    </xf>
    <xf numFmtId="0" fontId="37" fillId="29" borderId="38" xfId="77" applyFont="1" applyFill="1" applyBorder="1" applyAlignment="1">
      <alignment horizontal="center" vertical="top"/>
    </xf>
    <xf numFmtId="0" fontId="37" fillId="29" borderId="40" xfId="77" applyFont="1" applyFill="1" applyBorder="1" applyAlignment="1">
      <alignment horizontal="center" vertical="top"/>
    </xf>
    <xf numFmtId="0" fontId="37" fillId="29" borderId="41" xfId="77" applyFont="1" applyFill="1" applyBorder="1" applyAlignment="1">
      <alignment horizontal="center" vertical="top"/>
    </xf>
    <xf numFmtId="0" fontId="38" fillId="0" borderId="0" xfId="77" applyFont="1" applyFill="1" applyAlignment="1">
      <alignment horizontal="left" vertical="top"/>
    </xf>
    <xf numFmtId="0" fontId="39" fillId="0" borderId="0" xfId="77" applyFont="1" applyFill="1" applyBorder="1" applyAlignment="1">
      <alignment horizontal="center" vertical="top"/>
    </xf>
    <xf numFmtId="0" fontId="39" fillId="24" borderId="39" xfId="77" applyFont="1" applyFill="1" applyBorder="1" applyAlignment="1">
      <alignment horizontal="center" vertical="top"/>
    </xf>
    <xf numFmtId="0" fontId="39" fillId="24" borderId="0" xfId="77" applyFont="1" applyFill="1" applyBorder="1" applyAlignment="1">
      <alignment horizontal="center" vertical="top"/>
    </xf>
    <xf numFmtId="0" fontId="35" fillId="24" borderId="0" xfId="77" applyFont="1" applyFill="1" applyBorder="1" applyAlignment="1">
      <alignment horizontal="left" vertical="top"/>
    </xf>
    <xf numFmtId="0" fontId="3" fillId="0" borderId="0" xfId="77" applyFont="1" applyFill="1" applyBorder="1" applyAlignment="1">
      <alignment horizontal="center" vertical="top"/>
    </xf>
    <xf numFmtId="0" fontId="3" fillId="0" borderId="0" xfId="77" applyFont="1" applyFill="1" applyAlignment="1">
      <alignment horizontal="center" vertical="top"/>
    </xf>
    <xf numFmtId="0" fontId="35" fillId="24" borderId="40" xfId="77" applyFont="1" applyFill="1" applyBorder="1" applyAlignment="1">
      <alignment horizontal="left" vertical="top"/>
    </xf>
    <xf numFmtId="0" fontId="39" fillId="24" borderId="41" xfId="77" applyFont="1" applyFill="1" applyBorder="1" applyAlignment="1">
      <alignment horizontal="center" vertical="top"/>
    </xf>
    <xf numFmtId="0" fontId="35" fillId="24" borderId="41" xfId="77" applyFont="1" applyFill="1" applyBorder="1" applyAlignment="1">
      <alignment horizontal="left" vertical="top"/>
    </xf>
    <xf numFmtId="0" fontId="1" fillId="0" borderId="0" xfId="77" applyFont="1" applyFill="1" applyAlignment="1">
      <alignment horizontal="left" vertical="top"/>
    </xf>
    <xf numFmtId="0" fontId="41" fillId="24" borderId="42" xfId="77" applyFont="1" applyFill="1" applyBorder="1" applyAlignment="1">
      <alignment horizontal="left" vertical="top"/>
    </xf>
    <xf numFmtId="0" fontId="41" fillId="29" borderId="42" xfId="77" applyFont="1" applyFill="1" applyBorder="1" applyAlignment="1">
      <alignment horizontal="left" vertical="top"/>
    </xf>
    <xf numFmtId="0" fontId="42" fillId="0" borderId="0" xfId="62" applyFont="1"/>
    <xf numFmtId="0" fontId="43" fillId="0" borderId="0" xfId="62" applyFont="1"/>
    <xf numFmtId="0" fontId="42" fillId="0" borderId="0" xfId="62" applyFont="1" applyAlignment="1">
      <alignment horizontal="left" vertical="top"/>
    </xf>
    <xf numFmtId="0" fontId="43" fillId="0" borderId="0" xfId="62" applyFont="1" applyAlignment="1">
      <alignment vertical="top" wrapText="1"/>
    </xf>
    <xf numFmtId="0" fontId="44" fillId="27" borderId="36" xfId="62" applyFont="1" applyFill="1" applyBorder="1" applyAlignment="1">
      <alignment vertical="top" wrapText="1"/>
    </xf>
    <xf numFmtId="0" fontId="43" fillId="0" borderId="36" xfId="62" applyFont="1" applyBorder="1" applyAlignment="1">
      <alignment vertical="top" wrapText="1"/>
    </xf>
    <xf numFmtId="0" fontId="42" fillId="0" borderId="36" xfId="62" applyFont="1" applyBorder="1" applyAlignment="1">
      <alignment vertical="top" wrapText="1"/>
    </xf>
    <xf numFmtId="14" fontId="43" fillId="0" borderId="36" xfId="62" applyNumberFormat="1" applyFont="1" applyBorder="1" applyAlignment="1">
      <alignment horizontal="left" vertical="top" wrapText="1"/>
    </xf>
    <xf numFmtId="0" fontId="43" fillId="0" borderId="0" xfId="62" applyFont="1" applyAlignment="1">
      <alignment vertical="top"/>
    </xf>
    <xf numFmtId="0" fontId="11" fillId="0" borderId="0" xfId="62" quotePrefix="1" applyFont="1"/>
    <xf numFmtId="0" fontId="12" fillId="0" borderId="0" xfId="62" applyFont="1" applyAlignment="1">
      <alignment horizontal="left"/>
    </xf>
    <xf numFmtId="0" fontId="43" fillId="0" borderId="0" xfId="62" applyFont="1" applyAlignment="1">
      <alignment horizontal="left"/>
    </xf>
    <xf numFmtId="0" fontId="43" fillId="0" borderId="0" xfId="62" applyFont="1" applyFill="1" applyAlignment="1">
      <alignment vertical="top"/>
    </xf>
    <xf numFmtId="0" fontId="43" fillId="0" borderId="0" xfId="62" applyFont="1" applyAlignment="1">
      <alignment horizontal="left" vertical="top"/>
    </xf>
    <xf numFmtId="0" fontId="42" fillId="0" borderId="0" xfId="62" quotePrefix="1" applyFont="1" applyAlignment="1">
      <alignment horizontal="left" vertical="top"/>
    </xf>
    <xf numFmtId="0" fontId="43" fillId="0" borderId="0" xfId="62" quotePrefix="1" applyFont="1"/>
    <xf numFmtId="0" fontId="43" fillId="0" borderId="0" xfId="62" quotePrefix="1" applyFont="1" applyAlignment="1">
      <alignment vertical="center"/>
    </xf>
    <xf numFmtId="0" fontId="43" fillId="0" borderId="0" xfId="62" applyFont="1" applyAlignment="1">
      <alignment vertical="center"/>
    </xf>
    <xf numFmtId="0" fontId="43" fillId="0" borderId="0" xfId="62" applyFont="1" applyAlignment="1">
      <alignment horizontal="center"/>
    </xf>
    <xf numFmtId="0" fontId="43" fillId="0" borderId="0" xfId="62" applyFont="1" applyFill="1" applyBorder="1" applyAlignment="1">
      <alignment horizontal="center" vertical="center" wrapText="1"/>
    </xf>
    <xf numFmtId="0" fontId="43" fillId="0" borderId="0" xfId="62" quotePrefix="1" applyFont="1" applyFill="1" applyBorder="1" applyAlignment="1">
      <alignment horizontal="center" vertical="center" wrapText="1"/>
    </xf>
    <xf numFmtId="0" fontId="45" fillId="0" borderId="0" xfId="63" applyFont="1"/>
    <xf numFmtId="0" fontId="11" fillId="24" borderId="38" xfId="77" applyFont="1" applyFill="1" applyBorder="1" applyAlignment="1">
      <alignment horizontal="left" vertical="top"/>
    </xf>
    <xf numFmtId="0" fontId="11" fillId="24" borderId="0" xfId="77" applyFont="1" applyFill="1" applyBorder="1" applyAlignment="1">
      <alignment horizontal="center" vertical="top"/>
    </xf>
    <xf numFmtId="0" fontId="11" fillId="24" borderId="0" xfId="77" applyFont="1" applyFill="1" applyBorder="1" applyAlignment="1">
      <alignment horizontal="left" vertical="top"/>
    </xf>
    <xf numFmtId="0" fontId="11" fillId="24" borderId="0" xfId="77" applyFont="1" applyFill="1" applyBorder="1" applyAlignment="1"/>
    <xf numFmtId="0" fontId="12" fillId="24" borderId="39" xfId="77" applyFont="1" applyFill="1" applyBorder="1" applyAlignment="1"/>
    <xf numFmtId="0" fontId="12" fillId="24" borderId="38" xfId="77" applyFont="1" applyFill="1" applyBorder="1" applyAlignment="1">
      <alignment horizontal="left" vertical="top"/>
    </xf>
    <xf numFmtId="0" fontId="12" fillId="24" borderId="0" xfId="77" applyFont="1" applyFill="1" applyBorder="1" applyAlignment="1">
      <alignment horizontal="left" vertical="top"/>
    </xf>
    <xf numFmtId="0" fontId="12" fillId="24" borderId="0" xfId="77" applyFont="1" applyFill="1" applyBorder="1" applyAlignment="1"/>
    <xf numFmtId="0" fontId="12" fillId="24" borderId="0" xfId="77" quotePrefix="1" applyFont="1" applyFill="1" applyBorder="1" applyAlignment="1">
      <alignment horizontal="left" vertical="top"/>
    </xf>
    <xf numFmtId="0" fontId="11" fillId="24" borderId="38" xfId="77" quotePrefix="1" applyFont="1" applyFill="1" applyBorder="1" applyAlignment="1">
      <alignment horizontal="left" vertical="top"/>
    </xf>
    <xf numFmtId="0" fontId="11" fillId="24" borderId="0" xfId="77" quotePrefix="1" applyFont="1" applyFill="1" applyBorder="1" applyAlignment="1">
      <alignment horizontal="left" vertical="top"/>
    </xf>
    <xf numFmtId="0" fontId="11" fillId="24" borderId="39" xfId="77" applyFont="1" applyFill="1" applyBorder="1" applyAlignment="1">
      <alignment horizontal="center" vertical="top"/>
    </xf>
    <xf numFmtId="0" fontId="46" fillId="24" borderId="0" xfId="77" applyFont="1" applyFill="1" applyBorder="1" applyAlignment="1">
      <alignment horizontal="left" vertical="top"/>
    </xf>
    <xf numFmtId="0" fontId="11" fillId="24" borderId="19" xfId="77" applyFont="1" applyFill="1" applyBorder="1" applyAlignment="1">
      <alignment horizontal="center" vertical="top"/>
    </xf>
    <xf numFmtId="0" fontId="11" fillId="24" borderId="16" xfId="77" applyFont="1" applyFill="1" applyBorder="1" applyAlignment="1">
      <alignment horizontal="center" vertical="top"/>
    </xf>
    <xf numFmtId="0" fontId="11" fillId="24" borderId="37" xfId="77" applyFont="1" applyFill="1" applyBorder="1" applyAlignment="1">
      <alignment horizontal="center" vertical="top"/>
    </xf>
    <xf numFmtId="49" fontId="12" fillId="20" borderId="0" xfId="26" applyNumberFormat="1" applyFont="1" applyFill="1" applyBorder="1" applyProtection="1"/>
    <xf numFmtId="0" fontId="47" fillId="20" borderId="0" xfId="26" applyFont="1" applyFill="1" applyBorder="1" applyAlignment="1" applyProtection="1"/>
    <xf numFmtId="0" fontId="48" fillId="20" borderId="0" xfId="26" applyFont="1" applyFill="1" applyBorder="1" applyAlignment="1" applyProtection="1">
      <alignment vertical="center"/>
    </xf>
    <xf numFmtId="0" fontId="12" fillId="0" borderId="0" xfId="0" applyFont="1" applyAlignment="1"/>
    <xf numFmtId="49" fontId="12" fillId="0" borderId="0" xfId="26" applyNumberFormat="1" applyFont="1" applyFill="1" applyBorder="1" applyProtection="1"/>
    <xf numFmtId="0" fontId="47" fillId="0" borderId="0" xfId="26" applyFont="1" applyFill="1" applyBorder="1" applyAlignment="1" applyProtection="1"/>
    <xf numFmtId="0" fontId="48" fillId="0" borderId="0" xfId="26" applyFont="1" applyFill="1" applyBorder="1" applyAlignment="1" applyProtection="1">
      <alignment vertical="center"/>
    </xf>
    <xf numFmtId="1" fontId="49" fillId="0" borderId="43" xfId="47" applyNumberFormat="1" applyFont="1" applyFill="1" applyBorder="1" applyAlignment="1" applyProtection="1">
      <alignment horizontal="right" wrapText="1"/>
    </xf>
    <xf numFmtId="1" fontId="48" fillId="0" borderId="44" xfId="47" applyNumberFormat="1" applyFont="1" applyFill="1" applyBorder="1" applyAlignment="1" applyProtection="1"/>
    <xf numFmtId="1" fontId="50" fillId="0" borderId="45" xfId="47" applyNumberFormat="1" applyFont="1" applyFill="1" applyBorder="1" applyAlignment="1" applyProtection="1">
      <alignment horizontal="right"/>
    </xf>
    <xf numFmtId="1" fontId="11" fillId="0" borderId="0" xfId="49" applyNumberFormat="1" applyFont="1" applyFill="1" applyBorder="1" applyAlignment="1" applyProtection="1">
      <alignment horizontal="left" vertical="center" wrapText="1"/>
      <protection hidden="1"/>
    </xf>
    <xf numFmtId="1" fontId="11" fillId="0" borderId="0" xfId="49" applyNumberFormat="1" applyFont="1" applyFill="1" applyBorder="1" applyAlignment="1" applyProtection="1">
      <alignment horizontal="center" vertical="center"/>
      <protection hidden="1"/>
    </xf>
    <xf numFmtId="0" fontId="51" fillId="0" borderId="0" xfId="51" applyFont="1" applyFill="1" applyBorder="1" applyAlignment="1">
      <alignment horizontal="left" vertical="center"/>
    </xf>
    <xf numFmtId="0" fontId="51" fillId="0" borderId="0" xfId="51" applyFont="1" applyFill="1" applyBorder="1" applyAlignment="1">
      <alignment vertical="center"/>
    </xf>
    <xf numFmtId="0" fontId="12" fillId="0" borderId="0" xfId="51" applyFont="1" applyFill="1" applyBorder="1" applyAlignment="1"/>
    <xf numFmtId="0" fontId="11" fillId="20" borderId="0" xfId="50" applyFont="1" applyFill="1" applyBorder="1" applyAlignment="1" applyProtection="1">
      <alignment horizontal="left" vertical="center"/>
    </xf>
    <xf numFmtId="0" fontId="48" fillId="20" borderId="0" xfId="50" applyFont="1" applyFill="1" applyBorder="1" applyAlignment="1" applyProtection="1">
      <alignment horizontal="left" vertical="center"/>
    </xf>
    <xf numFmtId="0" fontId="12" fillId="0" borderId="0" xfId="48" applyFont="1" applyFill="1" applyBorder="1" applyAlignment="1">
      <alignment shrinkToFit="1"/>
    </xf>
    <xf numFmtId="0" fontId="12" fillId="0" borderId="0" xfId="48" applyFont="1" applyFill="1" applyAlignment="1" applyProtection="1">
      <alignment vertical="center"/>
    </xf>
    <xf numFmtId="0" fontId="12" fillId="0" borderId="0" xfId="51" applyFont="1" applyFill="1" applyBorder="1" applyAlignment="1">
      <alignment horizontal="left"/>
    </xf>
    <xf numFmtId="0" fontId="12" fillId="0" borderId="0" xfId="50" applyFont="1" applyFill="1" applyAlignment="1" applyProtection="1">
      <alignment vertical="center"/>
    </xf>
    <xf numFmtId="0" fontId="12" fillId="0" borderId="0" xfId="51" applyFont="1" applyFill="1" applyBorder="1" applyAlignment="1">
      <alignment vertical="center"/>
    </xf>
    <xf numFmtId="0" fontId="12" fillId="0" borderId="0" xfId="51" applyFont="1" applyFill="1" applyBorder="1" applyAlignment="1">
      <alignment horizontal="left" wrapText="1"/>
    </xf>
    <xf numFmtId="0" fontId="12" fillId="0" borderId="0" xfId="51" applyFont="1" applyFill="1" applyBorder="1" applyAlignment="1">
      <alignment wrapText="1"/>
    </xf>
    <xf numFmtId="0" fontId="12" fillId="0" borderId="0" xfId="51" applyFont="1" applyFill="1"/>
    <xf numFmtId="0" fontId="12" fillId="0" borderId="0" xfId="51" applyFont="1" applyFill="1" applyAlignment="1"/>
    <xf numFmtId="0" fontId="12" fillId="0" borderId="0" xfId="51" quotePrefix="1" applyFont="1" applyFill="1" applyBorder="1" applyAlignment="1"/>
    <xf numFmtId="0" fontId="12" fillId="0" borderId="0" xfId="51" applyFont="1" applyFill="1" applyAlignment="1">
      <alignment horizontal="left"/>
    </xf>
    <xf numFmtId="0" fontId="12" fillId="0" borderId="0" xfId="51" quotePrefix="1" applyFont="1" applyFill="1" applyBorder="1" applyAlignment="1">
      <alignment horizontal="left"/>
    </xf>
    <xf numFmtId="10" fontId="12" fillId="0" borderId="0" xfId="55" applyNumberFormat="1" applyFont="1" applyFill="1" applyAlignment="1" applyProtection="1">
      <alignment vertical="center"/>
    </xf>
    <xf numFmtId="1" fontId="12" fillId="0" borderId="0" xfId="51" applyNumberFormat="1" applyFont="1" applyFill="1" applyBorder="1" applyAlignment="1">
      <alignment horizontal="left"/>
    </xf>
    <xf numFmtId="0" fontId="12" fillId="0" borderId="0" xfId="75" applyFont="1" applyFill="1" applyBorder="1" applyAlignment="1" applyProtection="1">
      <alignment horizontal="left" vertical="center"/>
    </xf>
    <xf numFmtId="0" fontId="12" fillId="0" borderId="0" xfId="75" applyFont="1" applyFill="1" applyAlignment="1" applyProtection="1">
      <alignment vertical="center"/>
    </xf>
    <xf numFmtId="0" fontId="12" fillId="0" borderId="16" xfId="51" applyFont="1" applyBorder="1"/>
    <xf numFmtId="1" fontId="12" fillId="0" borderId="16" xfId="51" applyNumberFormat="1" applyFont="1" applyFill="1" applyBorder="1" applyAlignment="1">
      <alignment horizontal="left"/>
    </xf>
    <xf numFmtId="0" fontId="12" fillId="0" borderId="16" xfId="51" applyFont="1" applyFill="1" applyBorder="1" applyAlignment="1"/>
    <xf numFmtId="0" fontId="12" fillId="0" borderId="0" xfId="51" applyFont="1" applyAlignment="1"/>
    <xf numFmtId="0" fontId="11" fillId="0" borderId="0" xfId="51" applyFont="1" applyFill="1" applyBorder="1" applyAlignment="1"/>
    <xf numFmtId="0" fontId="31" fillId="28" borderId="41" xfId="26" applyFont="1" applyFill="1" applyBorder="1" applyProtection="1">
      <protection locked="0"/>
    </xf>
    <xf numFmtId="0" fontId="48" fillId="28" borderId="41" xfId="26" applyFont="1" applyFill="1" applyBorder="1" applyAlignment="1" applyProtection="1">
      <alignment vertical="center" shrinkToFit="1"/>
      <protection locked="0"/>
    </xf>
    <xf numFmtId="166" fontId="31" fillId="28" borderId="41" xfId="26" applyNumberFormat="1" applyFont="1" applyFill="1" applyBorder="1" applyAlignment="1" applyProtection="1">
      <alignment horizontal="right"/>
      <protection locked="0"/>
    </xf>
    <xf numFmtId="166" fontId="31" fillId="28" borderId="40" xfId="26" applyNumberFormat="1" applyFont="1" applyFill="1" applyBorder="1" applyAlignment="1" applyProtection="1">
      <alignment horizontal="right"/>
      <protection locked="0"/>
    </xf>
    <xf numFmtId="1" fontId="43" fillId="0" borderId="0" xfId="0" applyNumberFormat="1" applyFont="1" applyFill="1" applyBorder="1" applyAlignment="1" applyProtection="1">
      <alignment vertical="center"/>
      <protection locked="0"/>
    </xf>
    <xf numFmtId="1" fontId="12" fillId="0" borderId="17" xfId="47" applyNumberFormat="1" applyFont="1" applyFill="1" applyBorder="1" applyAlignment="1" applyProtection="1">
      <alignment horizontal="right"/>
      <protection locked="0"/>
    </xf>
    <xf numFmtId="1" fontId="12" fillId="0" borderId="15" xfId="47" applyNumberFormat="1" applyFont="1" applyFill="1" applyBorder="1" applyAlignment="1" applyProtection="1">
      <alignment horizontal="right"/>
      <protection locked="0"/>
    </xf>
    <xf numFmtId="1" fontId="12" fillId="0" borderId="18" xfId="47" applyNumberFormat="1" applyFont="1" applyFill="1" applyBorder="1" applyAlignment="1" applyProtection="1">
      <alignment shrinkToFit="1"/>
      <protection locked="0"/>
    </xf>
    <xf numFmtId="1" fontId="12" fillId="0" borderId="2" xfId="0" applyNumberFormat="1" applyFont="1" applyFill="1" applyBorder="1" applyAlignment="1" applyProtection="1">
      <alignment horizontal="right"/>
      <protection locked="0"/>
    </xf>
    <xf numFmtId="1" fontId="43" fillId="0" borderId="0" xfId="0" applyNumberFormat="1" applyFont="1" applyFill="1" applyBorder="1" applyAlignment="1" applyProtection="1">
      <alignment horizontal="right" vertical="center"/>
      <protection locked="0"/>
    </xf>
    <xf numFmtId="1" fontId="11" fillId="0" borderId="0" xfId="47" applyNumberFormat="1" applyFont="1" applyFill="1" applyBorder="1" applyAlignment="1" applyProtection="1">
      <alignment horizontal="right"/>
      <protection locked="0"/>
    </xf>
    <xf numFmtId="1" fontId="12" fillId="0" borderId="0" xfId="47" applyNumberFormat="1" applyFont="1" applyFill="1" applyBorder="1" applyAlignment="1" applyProtection="1">
      <alignment horizontal="right" shrinkToFit="1"/>
      <protection locked="0"/>
    </xf>
    <xf numFmtId="1" fontId="12" fillId="0" borderId="0" xfId="0" applyNumberFormat="1" applyFont="1" applyFill="1" applyBorder="1" applyAlignment="1" applyProtection="1">
      <alignment horizontal="right"/>
      <protection locked="0"/>
    </xf>
    <xf numFmtId="1" fontId="43"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horizontal="left" vertical="center"/>
      <protection locked="0"/>
    </xf>
    <xf numFmtId="1" fontId="12" fillId="0" borderId="0" xfId="55" applyNumberFormat="1" applyFont="1" applyFill="1" applyBorder="1" applyAlignment="1" applyProtection="1">
      <alignment vertical="center"/>
      <protection locked="0"/>
    </xf>
    <xf numFmtId="1" fontId="12" fillId="0" borderId="0" xfId="55" applyNumberFormat="1" applyFont="1" applyFill="1" applyBorder="1" applyAlignment="1" applyProtection="1">
      <alignment vertical="center" shrinkToFit="1"/>
      <protection locked="0"/>
    </xf>
    <xf numFmtId="0" fontId="12" fillId="23" borderId="0" xfId="51" applyFont="1" applyFill="1" applyBorder="1" applyAlignment="1"/>
    <xf numFmtId="165" fontId="12" fillId="0" borderId="0" xfId="51" applyNumberFormat="1" applyFont="1" applyFill="1" applyBorder="1" applyAlignment="1"/>
    <xf numFmtId="2" fontId="12" fillId="0" borderId="0" xfId="51" applyNumberFormat="1" applyFont="1" applyFill="1" applyBorder="1" applyAlignment="1"/>
    <xf numFmtId="2" fontId="12" fillId="16" borderId="0" xfId="51" applyNumberFormat="1" applyFont="1" applyFill="1" applyBorder="1" applyAlignment="1"/>
    <xf numFmtId="2" fontId="12" fillId="16" borderId="0" xfId="51" applyNumberFormat="1" applyFont="1" applyFill="1"/>
    <xf numFmtId="2" fontId="12" fillId="23" borderId="0" xfId="51" applyNumberFormat="1" applyFont="1" applyFill="1" applyBorder="1" applyAlignment="1"/>
    <xf numFmtId="2" fontId="12" fillId="16" borderId="0" xfId="34" applyNumberFormat="1" applyFont="1" applyFill="1" applyBorder="1" applyAlignment="1"/>
    <xf numFmtId="0" fontId="12" fillId="0" borderId="0" xfId="51" applyFont="1" applyFill="1" applyBorder="1" applyAlignment="1">
      <alignment horizontal="center"/>
    </xf>
    <xf numFmtId="2" fontId="12" fillId="0" borderId="0" xfId="51" applyNumberFormat="1" applyFont="1" applyFill="1" applyBorder="1" applyAlignment="1">
      <alignment horizontal="center"/>
    </xf>
    <xf numFmtId="2" fontId="12" fillId="0" borderId="0" xfId="51" applyNumberFormat="1" applyFont="1"/>
    <xf numFmtId="2" fontId="12" fillId="0" borderId="0" xfId="51" applyNumberFormat="1" applyFont="1" applyFill="1" applyAlignment="1"/>
    <xf numFmtId="166" fontId="31" fillId="20" borderId="0" xfId="26" applyNumberFormat="1" applyFont="1" applyFill="1" applyAlignment="1" applyProtection="1">
      <alignment horizontal="right"/>
    </xf>
    <xf numFmtId="168" fontId="12" fillId="16" borderId="0" xfId="55" applyNumberFormat="1" applyFont="1" applyFill="1" applyBorder="1" applyAlignment="1"/>
    <xf numFmtId="9" fontId="12" fillId="0" borderId="0" xfId="51" applyNumberFormat="1" applyFont="1" applyFill="1" applyBorder="1" applyAlignment="1"/>
    <xf numFmtId="1" fontId="12" fillId="0" borderId="0" xfId="51" applyNumberFormat="1" applyFont="1" applyFill="1" applyBorder="1" applyAlignment="1"/>
    <xf numFmtId="0" fontId="31" fillId="0" borderId="0" xfId="26" applyFont="1" applyFill="1" applyProtection="1"/>
    <xf numFmtId="166" fontId="31" fillId="20" borderId="0" xfId="26" applyNumberFormat="1" applyFont="1" applyFill="1" applyBorder="1" applyAlignment="1" applyProtection="1">
      <alignment horizontal="right"/>
    </xf>
    <xf numFmtId="0" fontId="52" fillId="0" borderId="0" xfId="26" applyFont="1" applyFill="1" applyBorder="1" applyAlignment="1" applyProtection="1">
      <alignment horizontal="left"/>
    </xf>
    <xf numFmtId="166" fontId="31" fillId="0" borderId="0" xfId="26" applyNumberFormat="1" applyFont="1" applyFill="1" applyBorder="1" applyAlignment="1" applyProtection="1">
      <alignment horizontal="right"/>
    </xf>
    <xf numFmtId="166" fontId="31" fillId="0" borderId="0" xfId="26" applyNumberFormat="1" applyFont="1" applyFill="1" applyAlignment="1" applyProtection="1">
      <alignment horizontal="right"/>
    </xf>
    <xf numFmtId="166" fontId="31" fillId="23" borderId="0" xfId="26" applyNumberFormat="1" applyFont="1" applyFill="1" applyAlignment="1" applyProtection="1">
      <alignment horizontal="right"/>
    </xf>
    <xf numFmtId="1" fontId="12" fillId="0" borderId="0" xfId="50" applyNumberFormat="1" applyFont="1" applyFill="1" applyBorder="1" applyAlignment="1" applyProtection="1">
      <alignment horizontal="right" vertical="center"/>
    </xf>
    <xf numFmtId="1" fontId="49" fillId="0" borderId="17" xfId="47" applyNumberFormat="1" applyFont="1" applyFill="1" applyBorder="1" applyAlignment="1" applyProtection="1">
      <alignment horizontal="right" wrapText="1"/>
    </xf>
    <xf numFmtId="1" fontId="31" fillId="0" borderId="15" xfId="47" applyNumberFormat="1" applyFont="1" applyFill="1" applyBorder="1" applyAlignment="1" applyProtection="1">
      <alignment horizontal="left"/>
    </xf>
    <xf numFmtId="1" fontId="50" fillId="0" borderId="18" xfId="47" applyNumberFormat="1" applyFont="1" applyFill="1" applyBorder="1" applyAlignment="1" applyProtection="1">
      <alignment horizontal="right"/>
    </xf>
    <xf numFmtId="1" fontId="48" fillId="20" borderId="0" xfId="50" applyNumberFormat="1" applyFont="1" applyFill="1" applyBorder="1" applyAlignment="1" applyProtection="1">
      <alignment horizontal="right" vertical="center"/>
    </xf>
    <xf numFmtId="0" fontId="48" fillId="20" borderId="0" xfId="50" applyFont="1" applyFill="1" applyBorder="1" applyAlignment="1" applyProtection="1">
      <alignment horizontal="right" vertical="center"/>
    </xf>
    <xf numFmtId="10" fontId="12" fillId="0" borderId="0" xfId="48" applyNumberFormat="1" applyFont="1" applyFill="1" applyAlignment="1">
      <alignment shrinkToFit="1"/>
    </xf>
    <xf numFmtId="10" fontId="12" fillId="0" borderId="0" xfId="48" applyNumberFormat="1" applyFont="1" applyFill="1" applyAlignment="1">
      <alignment horizontal="left" vertical="center" shrinkToFit="1"/>
    </xf>
    <xf numFmtId="167" fontId="12" fillId="0" borderId="0" xfId="48" applyNumberFormat="1" applyFont="1" applyFill="1" applyBorder="1" applyAlignment="1" applyProtection="1">
      <alignment horizontal="right" vertical="center"/>
    </xf>
    <xf numFmtId="167" fontId="12" fillId="23" borderId="0" xfId="48" applyNumberFormat="1" applyFont="1" applyFill="1" applyBorder="1" applyAlignment="1" applyProtection="1">
      <alignment horizontal="right" vertical="center"/>
    </xf>
    <xf numFmtId="168" fontId="12" fillId="23" borderId="0" xfId="55" applyNumberFormat="1" applyFont="1" applyFill="1" applyBorder="1" applyAlignment="1"/>
    <xf numFmtId="0" fontId="11" fillId="0" borderId="0" xfId="51" applyFont="1" applyFill="1" applyBorder="1" applyAlignment="1">
      <alignment vertical="center"/>
    </xf>
    <xf numFmtId="2" fontId="48" fillId="20" borderId="0" xfId="50" applyNumberFormat="1" applyFont="1" applyFill="1" applyBorder="1" applyAlignment="1" applyProtection="1">
      <alignment horizontal="left" vertical="center"/>
    </xf>
    <xf numFmtId="2" fontId="12" fillId="23" borderId="0" xfId="0" applyNumberFormat="1" applyFont="1" applyFill="1" applyBorder="1" applyAlignment="1"/>
    <xf numFmtId="1" fontId="12" fillId="23" borderId="0" xfId="51" applyNumberFormat="1" applyFont="1" applyFill="1" applyBorder="1" applyAlignment="1">
      <alignment horizontal="left"/>
    </xf>
    <xf numFmtId="0" fontId="12" fillId="23" borderId="0" xfId="51" applyFont="1" applyFill="1"/>
    <xf numFmtId="9" fontId="12" fillId="23" borderId="0" xfId="51" applyNumberFormat="1" applyFont="1" applyFill="1" applyBorder="1" applyAlignment="1"/>
    <xf numFmtId="2" fontId="12" fillId="0" borderId="0" xfId="51" quotePrefix="1" applyNumberFormat="1" applyFont="1" applyFill="1" applyBorder="1" applyAlignment="1"/>
    <xf numFmtId="2" fontId="12" fillId="23" borderId="0" xfId="33" applyNumberFormat="1" applyFont="1" applyFill="1" applyBorder="1" applyAlignment="1"/>
    <xf numFmtId="2" fontId="12" fillId="0" borderId="0" xfId="51" applyNumberFormat="1" applyFont="1" applyFill="1" applyBorder="1" applyAlignment="1">
      <alignment horizontal="left"/>
    </xf>
    <xf numFmtId="2" fontId="12" fillId="23" borderId="0" xfId="51" applyNumberFormat="1" applyFont="1" applyFill="1" applyBorder="1" applyAlignment="1">
      <alignment horizontal="left"/>
    </xf>
    <xf numFmtId="0" fontId="12" fillId="23" borderId="0" xfId="51" applyFont="1" applyFill="1" applyAlignment="1"/>
    <xf numFmtId="0" fontId="51" fillId="0" borderId="16" xfId="51" applyFont="1" applyFill="1" applyBorder="1" applyAlignment="1">
      <alignment horizontal="left"/>
    </xf>
    <xf numFmtId="0" fontId="12" fillId="0" borderId="16" xfId="51" applyFont="1" applyBorder="1" applyAlignment="1"/>
    <xf numFmtId="0" fontId="53" fillId="0" borderId="16" xfId="51" applyFont="1" applyFill="1" applyBorder="1" applyAlignment="1">
      <alignment horizontal="left"/>
    </xf>
    <xf numFmtId="0" fontId="51" fillId="23" borderId="16" xfId="51" applyFont="1" applyFill="1" applyBorder="1" applyAlignment="1">
      <alignment horizontal="left"/>
    </xf>
    <xf numFmtId="2" fontId="12" fillId="0" borderId="0" xfId="51" applyNumberFormat="1" applyFont="1" applyFill="1"/>
    <xf numFmtId="168" fontId="12" fillId="0" borderId="0" xfId="55" applyNumberFormat="1" applyFont="1" applyFill="1" applyBorder="1" applyAlignment="1"/>
    <xf numFmtId="168" fontId="12" fillId="0" borderId="16" xfId="55" applyNumberFormat="1" applyFont="1" applyFill="1" applyBorder="1" applyAlignment="1"/>
    <xf numFmtId="1" fontId="12" fillId="16" borderId="0" xfId="51" applyNumberFormat="1" applyFont="1" applyFill="1" applyBorder="1" applyAlignment="1"/>
    <xf numFmtId="0" fontId="1" fillId="0" borderId="0" xfId="0" applyFont="1" applyAlignment="1"/>
    <xf numFmtId="0" fontId="41" fillId="29" borderId="38" xfId="77" applyFont="1" applyFill="1" applyBorder="1" applyAlignment="1">
      <alignment horizontal="left" vertical="top"/>
    </xf>
    <xf numFmtId="0" fontId="41" fillId="24" borderId="41" xfId="77" applyFont="1" applyFill="1" applyBorder="1" applyAlignment="1">
      <alignment horizontal="left" vertical="top"/>
    </xf>
    <xf numFmtId="0" fontId="41" fillId="29" borderId="41" xfId="77" applyFont="1" applyFill="1" applyBorder="1" applyAlignment="1">
      <alignment horizontal="left" vertical="top"/>
    </xf>
    <xf numFmtId="0" fontId="41" fillId="29" borderId="0" xfId="77" applyFont="1" applyFill="1" applyBorder="1" applyAlignment="1">
      <alignment horizontal="left" vertical="top"/>
    </xf>
    <xf numFmtId="0" fontId="10" fillId="29" borderId="16" xfId="77" applyFont="1" applyFill="1" applyBorder="1" applyAlignment="1">
      <alignment horizontal="center" vertical="top"/>
    </xf>
    <xf numFmtId="0" fontId="41" fillId="30" borderId="42" xfId="77" applyFont="1" applyFill="1" applyBorder="1" applyAlignment="1">
      <alignment horizontal="left" vertical="top"/>
    </xf>
    <xf numFmtId="0" fontId="37" fillId="30" borderId="41" xfId="77" applyFont="1" applyFill="1" applyBorder="1" applyAlignment="1">
      <alignment horizontal="center" vertical="top"/>
    </xf>
    <xf numFmtId="0" fontId="37" fillId="30" borderId="40" xfId="77" applyFont="1" applyFill="1" applyBorder="1" applyAlignment="1">
      <alignment horizontal="center" vertical="top"/>
    </xf>
    <xf numFmtId="0" fontId="41" fillId="30" borderId="38" xfId="77" applyFont="1" applyFill="1" applyBorder="1" applyAlignment="1">
      <alignment horizontal="left" vertical="top"/>
    </xf>
    <xf numFmtId="0" fontId="37" fillId="30" borderId="0" xfId="77" applyFont="1" applyFill="1" applyBorder="1" applyAlignment="1">
      <alignment horizontal="center" vertical="top"/>
    </xf>
    <xf numFmtId="0" fontId="37" fillId="30" borderId="39" xfId="77" applyFont="1" applyFill="1" applyBorder="1" applyAlignment="1">
      <alignment horizontal="center" vertical="top"/>
    </xf>
    <xf numFmtId="0" fontId="37" fillId="30" borderId="38" xfId="77" applyFont="1" applyFill="1" applyBorder="1" applyAlignment="1">
      <alignment horizontal="center" vertical="top"/>
    </xf>
    <xf numFmtId="0" fontId="37" fillId="30" borderId="0" xfId="77" applyFont="1" applyFill="1" applyBorder="1" applyAlignment="1">
      <alignment horizontal="left" vertical="top"/>
    </xf>
    <xf numFmtId="0" fontId="37" fillId="30" borderId="0" xfId="77" applyFont="1" applyFill="1" applyBorder="1" applyAlignment="1">
      <alignment horizontal="right" vertical="top"/>
    </xf>
    <xf numFmtId="0" fontId="37" fillId="30" borderId="39" xfId="77" applyFont="1" applyFill="1" applyBorder="1" applyAlignment="1">
      <alignment horizontal="right" vertical="top"/>
    </xf>
    <xf numFmtId="0" fontId="37" fillId="30" borderId="19" xfId="77" applyFont="1" applyFill="1" applyBorder="1" applyAlignment="1">
      <alignment horizontal="center" vertical="top"/>
    </xf>
    <xf numFmtId="0" fontId="37" fillId="30" borderId="16" xfId="77" applyFont="1" applyFill="1" applyBorder="1" applyAlignment="1">
      <alignment horizontal="center" vertical="top"/>
    </xf>
    <xf numFmtId="0" fontId="37" fillId="30" borderId="37" xfId="77" applyFont="1" applyFill="1" applyBorder="1" applyAlignment="1">
      <alignment horizontal="center" vertical="top"/>
    </xf>
    <xf numFmtId="0" fontId="1" fillId="29" borderId="0" xfId="0" applyFont="1" applyFill="1" applyAlignment="1"/>
    <xf numFmtId="0" fontId="12" fillId="29" borderId="0" xfId="0" applyFont="1" applyFill="1" applyAlignment="1">
      <alignment horizontal="center" vertical="top" wrapText="1"/>
    </xf>
    <xf numFmtId="0" fontId="43" fillId="0" borderId="36" xfId="62" applyFont="1" applyBorder="1"/>
    <xf numFmtId="1" fontId="12" fillId="0" borderId="0" xfId="47" applyNumberFormat="1" applyFont="1" applyFill="1" applyBorder="1" applyAlignment="1" applyProtection="1">
      <alignment horizontal="right"/>
      <protection locked="0"/>
    </xf>
    <xf numFmtId="0" fontId="12" fillId="0" borderId="0" xfId="51" applyFont="1" applyFill="1" applyBorder="1" applyAlignment="1"/>
    <xf numFmtId="1" fontId="12" fillId="23" borderId="2" xfId="0" applyNumberFormat="1" applyFont="1" applyFill="1" applyBorder="1" applyAlignment="1" applyProtection="1">
      <alignment horizontal="right"/>
      <protection locked="0"/>
    </xf>
    <xf numFmtId="1" fontId="12" fillId="23" borderId="0" xfId="0" applyNumberFormat="1" applyFont="1" applyFill="1" applyBorder="1" applyAlignment="1" applyProtection="1">
      <alignment horizontal="right"/>
      <protection locked="0"/>
    </xf>
    <xf numFmtId="0" fontId="1" fillId="31" borderId="0" xfId="78">
      <alignment vertical="top"/>
    </xf>
    <xf numFmtId="0" fontId="3" fillId="33" borderId="0" xfId="80">
      <alignment vertical="top"/>
    </xf>
    <xf numFmtId="169" fontId="1" fillId="32" borderId="36" xfId="81" applyNumberFormat="1">
      <alignment vertical="top"/>
    </xf>
    <xf numFmtId="1" fontId="12" fillId="23" borderId="0" xfId="55" applyNumberFormat="1" applyFont="1" applyFill="1" applyBorder="1" applyAlignment="1" applyProtection="1">
      <alignment vertical="center"/>
      <protection locked="0"/>
    </xf>
    <xf numFmtId="49" fontId="11" fillId="24" borderId="38" xfId="77" applyNumberFormat="1" applyFont="1" applyFill="1" applyBorder="1" applyAlignment="1">
      <alignment horizontal="left" vertical="top"/>
    </xf>
    <xf numFmtId="0" fontId="56" fillId="0" borderId="0" xfId="51" applyFont="1" applyFill="1" applyBorder="1" applyAlignment="1"/>
    <xf numFmtId="0" fontId="44" fillId="28" borderId="41" xfId="26" applyFont="1" applyFill="1" applyBorder="1" applyAlignment="1" applyProtection="1">
      <alignment horizontal="left" vertical="center"/>
      <protection locked="0"/>
    </xf>
    <xf numFmtId="0" fontId="44" fillId="20" borderId="0" xfId="26" applyFont="1" applyFill="1" applyBorder="1" applyAlignment="1" applyProtection="1">
      <alignment horizontal="left"/>
    </xf>
    <xf numFmtId="1" fontId="31" fillId="0" borderId="0" xfId="47" applyNumberFormat="1" applyFont="1" applyFill="1" applyBorder="1" applyAlignment="1" applyProtection="1">
      <alignment horizontal="left"/>
    </xf>
    <xf numFmtId="2" fontId="57" fillId="16" borderId="0" xfId="51" applyNumberFormat="1" applyFont="1" applyFill="1" applyBorder="1" applyAlignment="1"/>
    <xf numFmtId="169" fontId="0" fillId="0" borderId="0" xfId="0" applyNumberFormat="1" applyAlignment="1"/>
    <xf numFmtId="0" fontId="1" fillId="32" borderId="0" xfId="0" applyFont="1" applyFill="1" applyAlignment="1"/>
    <xf numFmtId="0" fontId="32" fillId="0" borderId="0" xfId="0" applyFont="1" applyAlignment="1">
      <alignment vertical="top" wrapText="1"/>
    </xf>
    <xf numFmtId="0" fontId="32" fillId="0" borderId="0" xfId="0" applyFont="1" applyAlignment="1"/>
    <xf numFmtId="168" fontId="12" fillId="23" borderId="0" xfId="51" applyNumberFormat="1" applyFont="1" applyFill="1" applyBorder="1" applyAlignment="1"/>
    <xf numFmtId="2" fontId="12"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8" fillId="0" borderId="0" xfId="50" applyFont="1" applyFill="1" applyBorder="1" applyAlignment="1" applyProtection="1">
      <alignment horizontal="left" vertical="center"/>
    </xf>
    <xf numFmtId="0" fontId="46" fillId="0" borderId="0" xfId="51" applyFont="1"/>
    <xf numFmtId="171" fontId="12" fillId="0" borderId="0" xfId="51" applyNumberFormat="1" applyFont="1"/>
    <xf numFmtId="2" fontId="12" fillId="0" borderId="47" xfId="51" applyNumberFormat="1" applyFont="1" applyBorder="1"/>
    <xf numFmtId="0" fontId="58" fillId="0" borderId="0" xfId="51" applyFont="1"/>
    <xf numFmtId="0" fontId="1" fillId="0" borderId="0" xfId="61" applyFill="1" applyAlignment="1"/>
    <xf numFmtId="171" fontId="12" fillId="0" borderId="47" xfId="51" applyNumberFormat="1" applyFont="1" applyBorder="1"/>
    <xf numFmtId="0" fontId="31" fillId="0" borderId="0" xfId="51" applyFont="1" applyFill="1"/>
    <xf numFmtId="0" fontId="1" fillId="0" borderId="0" xfId="61" applyAlignment="1"/>
    <xf numFmtId="0" fontId="1" fillId="0" borderId="0" xfId="51" applyFont="1" applyFill="1" applyAlignment="1"/>
    <xf numFmtId="0" fontId="1" fillId="0" borderId="0" xfId="78" applyFill="1">
      <alignment vertical="top"/>
    </xf>
    <xf numFmtId="0" fontId="3" fillId="0" borderId="0" xfId="79" applyFill="1">
      <alignment vertical="top"/>
    </xf>
    <xf numFmtId="169" fontId="1" fillId="32" borderId="36" xfId="81" applyNumberFormat="1" applyFill="1">
      <alignment vertical="top"/>
    </xf>
    <xf numFmtId="0" fontId="60" fillId="32" borderId="0" xfId="0" applyFont="1" applyFill="1" applyAlignment="1"/>
    <xf numFmtId="0" fontId="60" fillId="0" borderId="0" xfId="0" applyFont="1" applyAlignment="1"/>
    <xf numFmtId="0" fontId="60" fillId="31" borderId="0" xfId="78" applyFont="1">
      <alignment vertical="top"/>
    </xf>
    <xf numFmtId="169" fontId="60" fillId="32" borderId="48" xfId="83" applyNumberFormat="1" applyFont="1" applyFill="1"/>
    <xf numFmtId="0" fontId="43" fillId="0" borderId="36" xfId="62" applyFont="1" applyBorder="1" applyAlignment="1">
      <alignment vertical="top"/>
    </xf>
    <xf numFmtId="14" fontId="1" fillId="0" borderId="36" xfId="0" applyNumberFormat="1" applyFont="1" applyFill="1" applyBorder="1" applyAlignment="1">
      <alignment vertical="top" wrapText="1"/>
    </xf>
    <xf numFmtId="0" fontId="1" fillId="0" borderId="36" xfId="62" applyFont="1" applyBorder="1" applyAlignment="1">
      <alignment vertical="top" wrapText="1"/>
    </xf>
    <xf numFmtId="0" fontId="1" fillId="0" borderId="36" xfId="0" applyFont="1" applyBorder="1" applyAlignment="1">
      <alignment vertical="top" wrapText="1"/>
    </xf>
    <xf numFmtId="0" fontId="43" fillId="25" borderId="35" xfId="62" applyFont="1" applyFill="1" applyBorder="1" applyAlignment="1">
      <alignment horizontal="center" vertical="top" wrapText="1"/>
    </xf>
    <xf numFmtId="0" fontId="43" fillId="25" borderId="33" xfId="62" applyFont="1" applyFill="1" applyBorder="1" applyAlignment="1">
      <alignment horizontal="center" vertical="top" wrapText="1"/>
    </xf>
    <xf numFmtId="0" fontId="42" fillId="25" borderId="35" xfId="62" applyFont="1" applyFill="1" applyBorder="1" applyAlignment="1">
      <alignment horizontal="left" vertical="top" wrapText="1"/>
    </xf>
    <xf numFmtId="0" fontId="42" fillId="25" borderId="34" xfId="62" applyFont="1" applyFill="1" applyBorder="1" applyAlignment="1">
      <alignment horizontal="left" vertical="top" wrapText="1"/>
    </xf>
    <xf numFmtId="0" fontId="42" fillId="25" borderId="33" xfId="62" applyFont="1" applyFill="1" applyBorder="1" applyAlignment="1">
      <alignment horizontal="left" vertical="top" wrapText="1"/>
    </xf>
    <xf numFmtId="0" fontId="43" fillId="24" borderId="35" xfId="62" applyFont="1" applyFill="1" applyBorder="1" applyAlignment="1">
      <alignment horizontal="center" vertical="top" wrapText="1"/>
    </xf>
    <xf numFmtId="0" fontId="43" fillId="24" borderId="34" xfId="62" applyFont="1" applyFill="1" applyBorder="1" applyAlignment="1">
      <alignment horizontal="center" vertical="top" wrapText="1"/>
    </xf>
    <xf numFmtId="0" fontId="43" fillId="24" borderId="33" xfId="62" applyFont="1" applyFill="1" applyBorder="1" applyAlignment="1">
      <alignment horizontal="center" vertical="top" wrapText="1"/>
    </xf>
    <xf numFmtId="0" fontId="43" fillId="24" borderId="35" xfId="62" quotePrefix="1" applyFont="1" applyFill="1" applyBorder="1" applyAlignment="1">
      <alignment horizontal="center" vertical="top" wrapText="1"/>
    </xf>
    <xf numFmtId="0" fontId="43" fillId="24" borderId="33" xfId="62" quotePrefix="1" applyFont="1" applyFill="1" applyBorder="1" applyAlignment="1">
      <alignment horizontal="center" vertical="top" wrapText="1"/>
    </xf>
    <xf numFmtId="0" fontId="44" fillId="27" borderId="35" xfId="62" applyFont="1" applyFill="1" applyBorder="1" applyAlignment="1">
      <alignment horizontal="left" vertical="top" wrapText="1"/>
    </xf>
    <xf numFmtId="0" fontId="44" fillId="27" borderId="34" xfId="62" applyFont="1" applyFill="1" applyBorder="1" applyAlignment="1">
      <alignment horizontal="left" vertical="top" wrapText="1"/>
    </xf>
    <xf numFmtId="0" fontId="44" fillId="27" borderId="33" xfId="62" applyFont="1" applyFill="1" applyBorder="1" applyAlignment="1">
      <alignment horizontal="left" vertical="top" wrapText="1"/>
    </xf>
    <xf numFmtId="0" fontId="12" fillId="0" borderId="0" xfId="62" applyFont="1" applyAlignment="1">
      <alignment vertical="top" wrapText="1"/>
    </xf>
    <xf numFmtId="0" fontId="12" fillId="0" borderId="0" xfId="62" applyFont="1" applyFill="1" applyAlignment="1">
      <alignment vertical="top"/>
    </xf>
    <xf numFmtId="0" fontId="44" fillId="26" borderId="36" xfId="62" applyFont="1" applyFill="1" applyBorder="1" applyAlignment="1">
      <alignment horizontal="center" vertical="top" wrapText="1"/>
    </xf>
    <xf numFmtId="0" fontId="44" fillId="26" borderId="36" xfId="62" applyFont="1" applyFill="1" applyBorder="1" applyAlignment="1">
      <alignment horizontal="center" vertical="top"/>
    </xf>
    <xf numFmtId="0" fontId="44" fillId="26" borderId="35" xfId="62" applyFont="1" applyFill="1" applyBorder="1" applyAlignment="1">
      <alignment horizontal="left" vertical="top"/>
    </xf>
    <xf numFmtId="0" fontId="44" fillId="26" borderId="34" xfId="62" applyFont="1" applyFill="1" applyBorder="1" applyAlignment="1">
      <alignment horizontal="left" vertical="top"/>
    </xf>
    <xf numFmtId="0" fontId="44" fillId="26" borderId="33" xfId="62" applyFont="1" applyFill="1" applyBorder="1" applyAlignment="1">
      <alignment horizontal="left" vertical="top"/>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3" fillId="25" borderId="36" xfId="62" applyFont="1" applyFill="1" applyBorder="1" applyAlignment="1">
      <alignment horizontal="center" vertical="top" wrapText="1"/>
    </xf>
    <xf numFmtId="0" fontId="1" fillId="0" borderId="36" xfId="0" quotePrefix="1" applyFont="1" applyBorder="1" applyAlignment="1">
      <alignment horizontal="left" vertical="top" wrapText="1"/>
    </xf>
    <xf numFmtId="0" fontId="1" fillId="0" borderId="36" xfId="0" applyFont="1" applyBorder="1" applyAlignment="1">
      <alignment horizontal="left" vertical="top" wrapText="1"/>
    </xf>
    <xf numFmtId="0" fontId="43" fillId="0" borderId="0" xfId="62" quotePrefix="1" applyFont="1" applyAlignment="1">
      <alignment horizontal="left" vertical="top"/>
    </xf>
    <xf numFmtId="0" fontId="11" fillId="0" borderId="0" xfId="62" applyFont="1" applyAlignment="1">
      <alignment vertical="top" wrapText="1"/>
    </xf>
    <xf numFmtId="0" fontId="43" fillId="0" borderId="35" xfId="62" applyFont="1" applyBorder="1" applyAlignment="1">
      <alignment horizontal="left" vertical="top" wrapText="1"/>
    </xf>
    <xf numFmtId="0" fontId="43" fillId="0" borderId="34" xfId="62" applyFont="1" applyBorder="1" applyAlignment="1">
      <alignment horizontal="left" vertical="top" wrapText="1"/>
    </xf>
    <xf numFmtId="0" fontId="43" fillId="0" borderId="33" xfId="62" applyFont="1" applyBorder="1" applyAlignment="1">
      <alignment horizontal="left" vertical="top" wrapText="1"/>
    </xf>
    <xf numFmtId="0" fontId="43" fillId="0" borderId="0" xfId="62" applyFont="1" applyAlignment="1">
      <alignment horizontal="left" vertical="top" wrapText="1"/>
    </xf>
    <xf numFmtId="0" fontId="40" fillId="27" borderId="0" xfId="77" applyFont="1" applyFill="1" applyAlignment="1">
      <alignment horizontal="center" vertical="top"/>
    </xf>
    <xf numFmtId="0" fontId="54" fillId="29" borderId="0" xfId="0" applyFont="1" applyFill="1" applyAlignment="1">
      <alignment horizontal="center" vertical="top" wrapText="1"/>
    </xf>
    <xf numFmtId="0" fontId="12" fillId="29" borderId="0" xfId="77" applyFont="1" applyFill="1" applyBorder="1" applyAlignment="1">
      <alignment horizontal="center" vertical="top" wrapText="1"/>
    </xf>
    <xf numFmtId="0" fontId="1" fillId="0" borderId="0" xfId="0" applyFont="1" applyAlignment="1">
      <alignment horizontal="center" vertical="top" wrapText="1"/>
    </xf>
  </cellXfs>
  <cellStyles count="85">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3" xfId="66"/>
    <cellStyle name="Comma 3 2" xfId="67"/>
    <cellStyle name="Comma_pr0931_revcorrectmech merged updated annex" xfId="34"/>
    <cellStyle name="Explanatory Text" xfId="35" builtinId="53" customBuiltin="1"/>
    <cellStyle name="Fountain Col Header" xfId="80"/>
    <cellStyle name="Fountain Error" xfId="82"/>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56"/>
      <c r="B1" s="286"/>
      <c r="C1" s="287" t="s">
        <v>478</v>
      </c>
      <c r="D1" s="286"/>
      <c r="E1" s="256"/>
      <c r="F1" s="256"/>
      <c r="G1" s="256"/>
      <c r="H1" s="256"/>
      <c r="I1" s="256"/>
      <c r="J1" s="256"/>
    </row>
    <row r="2" spans="1:11">
      <c r="A2" s="257" t="s">
        <v>286</v>
      </c>
      <c r="B2" s="257" t="s">
        <v>224</v>
      </c>
      <c r="C2" s="257" t="s">
        <v>223</v>
      </c>
      <c r="D2" s="257" t="s">
        <v>287</v>
      </c>
      <c r="E2" s="257" t="s">
        <v>288</v>
      </c>
      <c r="F2" s="257" t="s">
        <v>248</v>
      </c>
      <c r="G2" s="257" t="s">
        <v>249</v>
      </c>
      <c r="H2" s="257" t="s">
        <v>250</v>
      </c>
      <c r="I2" s="257" t="s">
        <v>251</v>
      </c>
      <c r="J2" s="257" t="s">
        <v>252</v>
      </c>
      <c r="K2" s="257" t="s">
        <v>367</v>
      </c>
    </row>
    <row r="3" spans="1:11">
      <c r="A3" s="256"/>
      <c r="B3" s="256"/>
      <c r="C3" s="256"/>
      <c r="D3" s="256"/>
      <c r="E3" s="256"/>
      <c r="F3" s="256"/>
      <c r="G3" s="256"/>
      <c r="H3" s="256"/>
      <c r="I3" s="256"/>
      <c r="J3" s="256"/>
    </row>
    <row r="4" spans="1:11">
      <c r="A4" s="256"/>
      <c r="B4" s="267" t="s">
        <v>383</v>
      </c>
      <c r="C4" s="256" t="s">
        <v>137</v>
      </c>
      <c r="D4" s="256" t="s">
        <v>78</v>
      </c>
      <c r="E4" s="256" t="s">
        <v>433</v>
      </c>
      <c r="F4" s="288">
        <f>+Calc!$M51</f>
        <v>7.2631383232287892</v>
      </c>
      <c r="G4" s="288">
        <f>+Calc!$M51</f>
        <v>7.2631383232287892</v>
      </c>
      <c r="H4" s="288">
        <f>+Calc!$M51</f>
        <v>7.2631383232287892</v>
      </c>
      <c r="I4" s="288">
        <f>+Calc!$M51</f>
        <v>7.2631383232287892</v>
      </c>
      <c r="J4" s="288">
        <f>+Calc!$M51</f>
        <v>7.2631383232287892</v>
      </c>
      <c r="K4" s="266"/>
    </row>
    <row r="5" spans="1:11">
      <c r="B5" s="289" t="s">
        <v>426</v>
      </c>
      <c r="C5" s="290" t="s">
        <v>424</v>
      </c>
      <c r="D5" s="291" t="s">
        <v>78</v>
      </c>
      <c r="E5" s="290" t="s">
        <v>433</v>
      </c>
      <c r="F5" s="292">
        <f>'RCM report'!$J$11</f>
        <v>3.7804192568163604</v>
      </c>
      <c r="G5" s="292">
        <f>'RCM report'!$J$11</f>
        <v>3.7804192568163604</v>
      </c>
      <c r="H5" s="292">
        <f>'RCM report'!$J$11</f>
        <v>3.7804192568163604</v>
      </c>
      <c r="I5" s="292">
        <f>'RCM report'!$J$11</f>
        <v>3.7804192568163604</v>
      </c>
      <c r="J5" s="292">
        <f>'RCM report'!$J$11</f>
        <v>3.7804192568163604</v>
      </c>
      <c r="K5" s="266"/>
    </row>
    <row r="6" spans="1:11">
      <c r="B6" s="289" t="s">
        <v>427</v>
      </c>
      <c r="C6" s="290" t="s">
        <v>425</v>
      </c>
      <c r="D6" s="291" t="s">
        <v>78</v>
      </c>
      <c r="E6" s="290" t="s">
        <v>433</v>
      </c>
      <c r="F6" s="292">
        <f>'RCM report'!$J$12+'RCM report'!$J$13+'RCM report'!$J$14</f>
        <v>3.4827190664124288</v>
      </c>
      <c r="G6" s="292">
        <f>'RCM report'!$J$12+'RCM report'!$J$13+'RCM report'!$J$14</f>
        <v>3.4827190664124288</v>
      </c>
      <c r="H6" s="292">
        <f>'RCM report'!$J$12+'RCM report'!$J$13+'RCM report'!$J$14</f>
        <v>3.4827190664124288</v>
      </c>
      <c r="I6" s="292">
        <f>'RCM report'!$J$12+'RCM report'!$J$13+'RCM report'!$J$14</f>
        <v>3.4827190664124288</v>
      </c>
      <c r="J6" s="292">
        <f>'RCM report'!$J$12+'RCM report'!$J$13+'RCM report'!$J$14</f>
        <v>3.4827190664124288</v>
      </c>
      <c r="K6" s="266"/>
    </row>
    <row r="7" spans="1:11">
      <c r="B7" s="267" t="s">
        <v>384</v>
      </c>
      <c r="C7" s="256" t="s">
        <v>156</v>
      </c>
      <c r="D7" s="256" t="s">
        <v>78</v>
      </c>
      <c r="E7" s="256" t="s">
        <v>433</v>
      </c>
      <c r="F7" s="258">
        <f>+Calc!$M96</f>
        <v>12.867471581015332</v>
      </c>
      <c r="G7" s="258">
        <f>+Calc!$M96</f>
        <v>12.867471581015332</v>
      </c>
      <c r="H7" s="258">
        <f>+Calc!$M96</f>
        <v>12.867471581015332</v>
      </c>
      <c r="I7" s="258">
        <f>+Calc!$M96</f>
        <v>12.867471581015332</v>
      </c>
      <c r="J7" s="258">
        <f>+Calc!$M96</f>
        <v>12.867471581015332</v>
      </c>
      <c r="K7" s="266"/>
    </row>
    <row r="8" spans="1:11">
      <c r="B8" s="289" t="s">
        <v>428</v>
      </c>
      <c r="C8" s="291" t="s">
        <v>430</v>
      </c>
      <c r="D8" s="291" t="s">
        <v>78</v>
      </c>
      <c r="E8" s="291" t="s">
        <v>433</v>
      </c>
      <c r="F8" s="292">
        <f>'RCM report'!$J$29</f>
        <v>12.161885643372791</v>
      </c>
      <c r="G8" s="292">
        <f>'RCM report'!$J$29</f>
        <v>12.161885643372791</v>
      </c>
      <c r="H8" s="292">
        <f>'RCM report'!$J$29</f>
        <v>12.161885643372791</v>
      </c>
      <c r="I8" s="292">
        <f>'RCM report'!$J$29</f>
        <v>12.161885643372791</v>
      </c>
      <c r="J8" s="292">
        <f>'RCM report'!$J$29</f>
        <v>12.161885643372791</v>
      </c>
      <c r="K8" s="266"/>
    </row>
    <row r="9" spans="1:11">
      <c r="B9" s="289" t="s">
        <v>429</v>
      </c>
      <c r="C9" s="291" t="s">
        <v>431</v>
      </c>
      <c r="D9" s="291" t="s">
        <v>78</v>
      </c>
      <c r="E9" s="291" t="s">
        <v>433</v>
      </c>
      <c r="F9" s="292">
        <f>'RCM report'!$J$30+'RCM report'!$J$31+'RCM report'!$J$32</f>
        <v>0.70558593764254118</v>
      </c>
      <c r="G9" s="292">
        <f>'RCM report'!$J$30+'RCM report'!$J$31+'RCM report'!$J$32</f>
        <v>0.70558593764254118</v>
      </c>
      <c r="H9" s="292">
        <f>'RCM report'!$J$30+'RCM report'!$J$31+'RCM report'!$J$32</f>
        <v>0.70558593764254118</v>
      </c>
      <c r="I9" s="292">
        <f>'RCM report'!$J$30+'RCM report'!$J$31+'RCM report'!$J$32</f>
        <v>0.70558593764254118</v>
      </c>
      <c r="J9" s="292">
        <f>'RCM report'!$J$30+'RCM report'!$J$31+'RCM report'!$J$32</f>
        <v>0.70558593764254118</v>
      </c>
      <c r="K9" s="266"/>
    </row>
    <row r="10" spans="1:11">
      <c r="B10" s="267" t="s">
        <v>385</v>
      </c>
      <c r="C10" s="256" t="s">
        <v>366</v>
      </c>
      <c r="D10" s="256" t="s">
        <v>362</v>
      </c>
      <c r="E10" s="256" t="s">
        <v>433</v>
      </c>
      <c r="F10" s="272"/>
      <c r="G10" s="272"/>
      <c r="H10" s="272"/>
      <c r="I10" s="272"/>
      <c r="J10" s="272"/>
      <c r="K10" s="275">
        <f>Input!M60</f>
        <v>3.5999999999999997E-2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0" zoomScaleNormal="80" workbookViewId="0">
      <pane ySplit="2" topLeftCell="A3" activePane="bottomLeft" state="frozen"/>
      <selection activeCell="D12" sqref="D12:M12"/>
      <selection pane="bottomLeft" activeCell="A3" sqref="A3"/>
    </sheetView>
  </sheetViews>
  <sheetFormatPr defaultColWidth="9.109375" defaultRowHeight="15"/>
  <cols>
    <col min="1" max="1" width="2.5546875" style="87" customWidth="1"/>
    <col min="2" max="2" width="13.109375" style="87" customWidth="1"/>
    <col min="3" max="3" width="12.33203125" style="87" customWidth="1"/>
    <col min="4" max="4" width="10.109375" style="87" customWidth="1"/>
    <col min="5" max="6" width="20.6640625" style="87" customWidth="1"/>
    <col min="7" max="8" width="16.88671875" style="87" customWidth="1"/>
    <col min="9" max="13" width="10.88671875" style="87" customWidth="1"/>
    <col min="14" max="16384" width="9.109375" style="87"/>
  </cols>
  <sheetData>
    <row r="1" spans="1:14" ht="15.6">
      <c r="A1" s="86" t="s">
        <v>272</v>
      </c>
    </row>
    <row r="2" spans="1:14" ht="15.6">
      <c r="A2" s="86" t="s">
        <v>485</v>
      </c>
    </row>
    <row r="3" spans="1:14" ht="15.6">
      <c r="A3" s="86"/>
    </row>
    <row r="4" spans="1:14" ht="15.6">
      <c r="A4" s="88" t="s">
        <v>222</v>
      </c>
    </row>
    <row r="5" spans="1:14" ht="15.6">
      <c r="A5" s="86"/>
    </row>
    <row r="6" spans="1:14" ht="31.2">
      <c r="A6" s="89"/>
      <c r="B6" s="90" t="s">
        <v>86</v>
      </c>
      <c r="C6" s="90" t="s">
        <v>229</v>
      </c>
      <c r="D6" s="307" t="s">
        <v>219</v>
      </c>
      <c r="E6" s="308"/>
      <c r="F6" s="308"/>
      <c r="G6" s="308"/>
      <c r="H6" s="308"/>
      <c r="I6" s="308"/>
      <c r="J6" s="308"/>
      <c r="K6" s="308"/>
      <c r="L6" s="308"/>
      <c r="M6" s="309"/>
      <c r="N6" s="90" t="s">
        <v>220</v>
      </c>
    </row>
    <row r="7" spans="1:14" s="269" customFormat="1" ht="190.8" customHeight="1">
      <c r="A7" s="268"/>
      <c r="B7" s="294">
        <v>42382</v>
      </c>
      <c r="C7" s="295" t="s">
        <v>408</v>
      </c>
      <c r="D7" s="321" t="s">
        <v>479</v>
      </c>
      <c r="E7" s="322"/>
      <c r="F7" s="322"/>
      <c r="G7" s="322"/>
      <c r="H7" s="322"/>
      <c r="I7" s="322"/>
      <c r="J7" s="322"/>
      <c r="K7" s="322"/>
      <c r="L7" s="322"/>
      <c r="M7" s="322"/>
      <c r="N7" s="296" t="s">
        <v>247</v>
      </c>
    </row>
    <row r="9" spans="1:14" ht="15.6">
      <c r="A9" s="88" t="s">
        <v>221</v>
      </c>
    </row>
    <row r="10" spans="1:14" ht="15.6">
      <c r="A10" s="86"/>
    </row>
    <row r="11" spans="1:14" ht="31.2">
      <c r="A11" s="89"/>
      <c r="B11" s="90" t="s">
        <v>86</v>
      </c>
      <c r="C11" s="90" t="s">
        <v>229</v>
      </c>
      <c r="D11" s="307" t="s">
        <v>219</v>
      </c>
      <c r="E11" s="308"/>
      <c r="F11" s="308"/>
      <c r="G11" s="308"/>
      <c r="H11" s="308"/>
      <c r="I11" s="308"/>
      <c r="J11" s="308"/>
      <c r="K11" s="308"/>
      <c r="L11" s="308"/>
      <c r="M11" s="309"/>
      <c r="N11" s="90" t="s">
        <v>220</v>
      </c>
    </row>
    <row r="12" spans="1:14">
      <c r="A12" s="89"/>
      <c r="B12" s="93"/>
      <c r="C12" s="251"/>
      <c r="D12" s="325"/>
      <c r="E12" s="326"/>
      <c r="F12" s="326"/>
      <c r="G12" s="326"/>
      <c r="H12" s="326"/>
      <c r="I12" s="326"/>
      <c r="J12" s="326"/>
      <c r="K12" s="326"/>
      <c r="L12" s="326"/>
      <c r="M12" s="327"/>
      <c r="N12" s="91"/>
    </row>
    <row r="13" spans="1:14">
      <c r="A13" s="89"/>
      <c r="B13" s="93"/>
      <c r="C13" s="293"/>
      <c r="D13" s="325"/>
      <c r="E13" s="326"/>
      <c r="F13" s="326"/>
      <c r="G13" s="326"/>
      <c r="H13" s="326"/>
      <c r="I13" s="326"/>
      <c r="J13" s="326"/>
      <c r="K13" s="326"/>
      <c r="L13" s="326"/>
      <c r="M13" s="327"/>
      <c r="N13" s="91"/>
    </row>
    <row r="14" spans="1:14">
      <c r="A14" s="89"/>
      <c r="B14" s="93"/>
      <c r="C14" s="293"/>
      <c r="D14" s="325"/>
      <c r="E14" s="326"/>
      <c r="F14" s="326"/>
      <c r="G14" s="326"/>
      <c r="H14" s="326"/>
      <c r="I14" s="326"/>
      <c r="J14" s="326"/>
      <c r="K14" s="326"/>
      <c r="L14" s="326"/>
      <c r="M14" s="327"/>
      <c r="N14" s="91"/>
    </row>
    <row r="15" spans="1:14" ht="15.6">
      <c r="A15" s="89"/>
      <c r="B15" s="92"/>
      <c r="C15" s="251"/>
      <c r="D15" s="325"/>
      <c r="E15" s="326"/>
      <c r="F15" s="326"/>
      <c r="G15" s="326"/>
      <c r="H15" s="326"/>
      <c r="I15" s="326"/>
      <c r="J15" s="326"/>
      <c r="K15" s="326"/>
      <c r="L15" s="326"/>
      <c r="M15" s="327"/>
      <c r="N15" s="92"/>
    </row>
    <row r="17" spans="1:13" ht="25.5" customHeight="1">
      <c r="A17" s="88" t="s">
        <v>218</v>
      </c>
    </row>
    <row r="18" spans="1:13" ht="37.5" customHeight="1">
      <c r="A18" s="328" t="s">
        <v>217</v>
      </c>
      <c r="B18" s="328"/>
      <c r="C18" s="328"/>
      <c r="D18" s="328"/>
      <c r="E18" s="328"/>
      <c r="F18" s="328"/>
      <c r="G18" s="328"/>
      <c r="H18" s="328"/>
      <c r="I18" s="328"/>
      <c r="J18" s="328"/>
      <c r="K18" s="328"/>
      <c r="L18" s="328"/>
      <c r="M18" s="328"/>
    </row>
    <row r="19" spans="1:13" ht="145.80000000000001" customHeight="1">
      <c r="A19" s="89"/>
      <c r="B19" s="324" t="s">
        <v>484</v>
      </c>
      <c r="C19" s="324"/>
      <c r="D19" s="324"/>
      <c r="E19" s="324"/>
      <c r="F19" s="324"/>
      <c r="G19" s="324"/>
      <c r="H19" s="324"/>
      <c r="I19" s="324"/>
      <c r="J19" s="324"/>
      <c r="K19" s="324"/>
      <c r="L19" s="324"/>
      <c r="M19" s="324"/>
    </row>
    <row r="20" spans="1:13">
      <c r="A20" s="89"/>
      <c r="B20" s="94"/>
      <c r="C20" s="89"/>
      <c r="D20" s="89"/>
      <c r="E20" s="89"/>
      <c r="F20" s="89"/>
      <c r="G20" s="89"/>
      <c r="H20" s="89"/>
      <c r="I20" s="89"/>
      <c r="J20" s="89"/>
      <c r="K20" s="89"/>
      <c r="L20" s="89"/>
      <c r="M20" s="89"/>
    </row>
    <row r="21" spans="1:13" ht="15.6">
      <c r="A21" s="88" t="s">
        <v>216</v>
      </c>
    </row>
    <row r="22" spans="1:13" ht="15.6">
      <c r="A22" s="95" t="s">
        <v>215</v>
      </c>
      <c r="B22" s="310" t="s">
        <v>273</v>
      </c>
      <c r="C22" s="310"/>
      <c r="D22" s="310"/>
      <c r="E22" s="310"/>
      <c r="F22" s="310"/>
      <c r="G22" s="310"/>
      <c r="H22" s="310"/>
      <c r="I22" s="310"/>
      <c r="J22" s="310"/>
      <c r="K22" s="310"/>
      <c r="L22" s="310"/>
      <c r="M22" s="310"/>
    </row>
    <row r="23" spans="1:13" ht="12.75" customHeight="1">
      <c r="A23" s="96" t="s">
        <v>215</v>
      </c>
      <c r="B23" s="310" t="s">
        <v>274</v>
      </c>
      <c r="C23" s="310"/>
      <c r="D23" s="310"/>
      <c r="E23" s="310"/>
      <c r="F23" s="310"/>
      <c r="G23" s="310"/>
      <c r="H23" s="310"/>
      <c r="I23" s="310"/>
      <c r="J23" s="310"/>
      <c r="K23" s="310"/>
      <c r="L23" s="310"/>
      <c r="M23" s="310"/>
    </row>
    <row r="24" spans="1:13" ht="15.6">
      <c r="A24" s="96" t="s">
        <v>215</v>
      </c>
      <c r="B24" s="311" t="s">
        <v>275</v>
      </c>
      <c r="C24" s="311"/>
      <c r="D24" s="311"/>
      <c r="E24" s="311"/>
      <c r="F24" s="311"/>
      <c r="G24" s="311"/>
      <c r="H24" s="311"/>
      <c r="I24" s="311"/>
      <c r="J24" s="311"/>
      <c r="K24" s="311"/>
      <c r="L24" s="311"/>
      <c r="M24" s="311"/>
    </row>
    <row r="25" spans="1:13" ht="15.6">
      <c r="A25" s="96" t="s">
        <v>215</v>
      </c>
      <c r="B25" s="311" t="s">
        <v>276</v>
      </c>
      <c r="C25" s="311"/>
      <c r="D25" s="311"/>
      <c r="E25" s="311"/>
      <c r="F25" s="311"/>
      <c r="G25" s="311"/>
      <c r="H25" s="311"/>
      <c r="I25" s="311"/>
      <c r="J25" s="311"/>
      <c r="K25" s="311"/>
      <c r="L25" s="311"/>
      <c r="M25" s="311"/>
    </row>
    <row r="26" spans="1:13">
      <c r="A26" s="97"/>
      <c r="B26" s="98"/>
      <c r="C26" s="98"/>
      <c r="D26" s="98"/>
      <c r="E26" s="98"/>
      <c r="F26" s="98"/>
      <c r="G26" s="98"/>
      <c r="H26" s="98"/>
      <c r="I26" s="98"/>
      <c r="J26" s="98"/>
      <c r="K26" s="98"/>
      <c r="L26" s="98"/>
      <c r="M26" s="98"/>
    </row>
    <row r="27" spans="1:13" ht="15.6">
      <c r="A27" s="88" t="s">
        <v>214</v>
      </c>
      <c r="B27" s="99"/>
      <c r="C27" s="99"/>
      <c r="D27" s="99"/>
      <c r="E27" s="99"/>
      <c r="F27" s="99"/>
      <c r="G27" s="99"/>
      <c r="H27" s="99"/>
      <c r="I27" s="99"/>
      <c r="J27" s="99"/>
      <c r="K27" s="99"/>
      <c r="L27" s="99"/>
      <c r="M27" s="99"/>
    </row>
    <row r="28" spans="1:13">
      <c r="A28" s="97"/>
      <c r="B28" s="87" t="s">
        <v>213</v>
      </c>
      <c r="C28" s="87" t="s">
        <v>212</v>
      </c>
    </row>
    <row r="30" spans="1:13" ht="15.6">
      <c r="A30" s="100" t="s">
        <v>211</v>
      </c>
    </row>
    <row r="31" spans="1:13">
      <c r="A31" s="101" t="s">
        <v>210</v>
      </c>
    </row>
    <row r="32" spans="1:13">
      <c r="A32" s="101"/>
    </row>
    <row r="33" spans="1:13" ht="18" customHeight="1">
      <c r="A33" s="101"/>
      <c r="B33" s="314" t="s">
        <v>209</v>
      </c>
      <c r="C33" s="315"/>
      <c r="D33" s="316"/>
      <c r="E33" s="312" t="s">
        <v>31</v>
      </c>
      <c r="F33" s="312"/>
      <c r="G33" s="313" t="s">
        <v>208</v>
      </c>
      <c r="H33" s="313"/>
      <c r="I33" s="312" t="s">
        <v>207</v>
      </c>
      <c r="J33" s="312"/>
      <c r="K33" s="312"/>
      <c r="L33" s="312"/>
      <c r="M33" s="312"/>
    </row>
    <row r="34" spans="1:13" s="103" customFormat="1" ht="84" customHeight="1">
      <c r="A34" s="102"/>
      <c r="B34" s="299" t="s">
        <v>115</v>
      </c>
      <c r="C34" s="300"/>
      <c r="D34" s="301"/>
      <c r="E34" s="297" t="s">
        <v>254</v>
      </c>
      <c r="F34" s="298"/>
      <c r="G34" s="297"/>
      <c r="H34" s="298"/>
      <c r="I34" s="317" t="s">
        <v>255</v>
      </c>
      <c r="J34" s="318"/>
      <c r="K34" s="318"/>
      <c r="L34" s="318"/>
      <c r="M34" s="319"/>
    </row>
    <row r="35" spans="1:13">
      <c r="A35" s="104"/>
      <c r="B35" s="302"/>
      <c r="C35" s="303"/>
      <c r="D35" s="304"/>
      <c r="E35" s="302"/>
      <c r="F35" s="304"/>
      <c r="G35" s="305"/>
      <c r="H35" s="306"/>
      <c r="I35" s="302"/>
      <c r="J35" s="303"/>
      <c r="K35" s="303"/>
      <c r="L35" s="303"/>
      <c r="M35" s="304"/>
    </row>
    <row r="36" spans="1:13" ht="61.5" customHeight="1">
      <c r="A36" s="104"/>
      <c r="B36" s="299" t="s">
        <v>62</v>
      </c>
      <c r="C36" s="300"/>
      <c r="D36" s="301"/>
      <c r="E36" s="320" t="s">
        <v>254</v>
      </c>
      <c r="F36" s="320"/>
      <c r="G36" s="320"/>
      <c r="H36" s="320"/>
      <c r="I36" s="317" t="s">
        <v>256</v>
      </c>
      <c r="J36" s="318"/>
      <c r="K36" s="318"/>
      <c r="L36" s="318"/>
      <c r="M36" s="319"/>
    </row>
    <row r="37" spans="1:13">
      <c r="A37" s="104"/>
      <c r="B37" s="302"/>
      <c r="C37" s="303"/>
      <c r="D37" s="304"/>
      <c r="E37" s="302"/>
      <c r="F37" s="304"/>
      <c r="G37" s="305"/>
      <c r="H37" s="306"/>
      <c r="I37" s="302"/>
      <c r="J37" s="303"/>
      <c r="K37" s="303"/>
      <c r="L37" s="303"/>
      <c r="M37" s="304"/>
    </row>
    <row r="38" spans="1:13" ht="39.75" customHeight="1">
      <c r="A38" s="104"/>
      <c r="B38" s="299" t="s">
        <v>42</v>
      </c>
      <c r="C38" s="300"/>
      <c r="D38" s="301"/>
      <c r="E38" s="320" t="s">
        <v>254</v>
      </c>
      <c r="F38" s="320"/>
      <c r="G38" s="320"/>
      <c r="H38" s="320"/>
      <c r="I38" s="317" t="s">
        <v>257</v>
      </c>
      <c r="J38" s="318"/>
      <c r="K38" s="318"/>
      <c r="L38" s="318"/>
      <c r="M38" s="319"/>
    </row>
    <row r="39" spans="1:13">
      <c r="A39" s="104"/>
      <c r="B39" s="302"/>
      <c r="C39" s="303"/>
      <c r="D39" s="304"/>
      <c r="E39" s="302"/>
      <c r="F39" s="304"/>
      <c r="G39" s="305"/>
      <c r="H39" s="306"/>
      <c r="I39" s="302"/>
      <c r="J39" s="303"/>
      <c r="K39" s="303"/>
      <c r="L39" s="303"/>
      <c r="M39" s="304"/>
    </row>
    <row r="40" spans="1:13">
      <c r="A40" s="104"/>
      <c r="B40" s="105"/>
      <c r="C40" s="105"/>
      <c r="D40" s="105"/>
      <c r="E40" s="105"/>
      <c r="F40" s="105"/>
      <c r="G40" s="106"/>
      <c r="H40" s="106"/>
      <c r="I40" s="105"/>
      <c r="J40" s="105"/>
      <c r="K40" s="105"/>
      <c r="L40" s="105"/>
      <c r="M40" s="105"/>
    </row>
    <row r="41" spans="1:13" ht="15.6">
      <c r="A41" s="86" t="s">
        <v>206</v>
      </c>
    </row>
    <row r="43" spans="1:13" ht="44.25" customHeight="1">
      <c r="A43" s="323"/>
      <c r="B43" s="323"/>
      <c r="C43" s="323"/>
      <c r="D43" s="323"/>
      <c r="E43" s="323"/>
      <c r="F43" s="323"/>
      <c r="G43" s="323"/>
      <c r="H43" s="323"/>
      <c r="I43" s="323"/>
      <c r="J43" s="323"/>
      <c r="K43" s="323"/>
      <c r="L43" s="323"/>
      <c r="M43" s="323"/>
    </row>
    <row r="44" spans="1:13" ht="15.6">
      <c r="A44" s="86"/>
    </row>
    <row r="45" spans="1:13">
      <c r="B45" s="87" t="s">
        <v>205</v>
      </c>
    </row>
    <row r="49" spans="2:2">
      <c r="B49" s="107"/>
    </row>
    <row r="50" spans="2:2">
      <c r="B50" s="107"/>
    </row>
  </sheetData>
  <mergeCells count="42">
    <mergeCell ref="A18:M18"/>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B37:D37"/>
    <mergeCell ref="I34:M34"/>
    <mergeCell ref="I35:M35"/>
    <mergeCell ref="I38:M38"/>
    <mergeCell ref="G38:H38"/>
    <mergeCell ref="G34:H34"/>
    <mergeCell ref="D6:M6"/>
    <mergeCell ref="B22:M22"/>
    <mergeCell ref="B24:M24"/>
    <mergeCell ref="B23:M23"/>
    <mergeCell ref="E33:F33"/>
    <mergeCell ref="G33:H33"/>
    <mergeCell ref="B33:D33"/>
    <mergeCell ref="I33:M33"/>
    <mergeCell ref="B25:M25"/>
    <mergeCell ref="D7:M7"/>
    <mergeCell ref="B19:M19"/>
    <mergeCell ref="D11:M11"/>
    <mergeCell ref="D12:M12"/>
    <mergeCell ref="D13:M13"/>
    <mergeCell ref="D14:M14"/>
    <mergeCell ref="D15:M15"/>
    <mergeCell ref="E34:F34"/>
    <mergeCell ref="B34:D34"/>
    <mergeCell ref="B35:D35"/>
    <mergeCell ref="E35:F35"/>
    <mergeCell ref="G35:H35"/>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30" customWidth="1"/>
    <col min="2" max="20" width="12.6640625" style="230" customWidth="1"/>
    <col min="21" max="16384" width="9.109375" style="230"/>
  </cols>
  <sheetData>
    <row r="1" spans="1:21" ht="24.6">
      <c r="A1" s="329" t="s">
        <v>228</v>
      </c>
      <c r="B1" s="329"/>
      <c r="C1" s="329"/>
      <c r="D1" s="329"/>
      <c r="E1" s="329"/>
      <c r="F1" s="329"/>
      <c r="G1" s="329"/>
      <c r="H1" s="329"/>
      <c r="I1" s="329"/>
      <c r="J1" s="329"/>
      <c r="K1" s="329"/>
      <c r="L1" s="329"/>
      <c r="M1" s="329"/>
      <c r="N1" s="329"/>
      <c r="O1" s="329"/>
      <c r="P1" s="329"/>
      <c r="Q1" s="329"/>
      <c r="R1" s="329"/>
      <c r="S1" s="329"/>
      <c r="T1" s="329"/>
      <c r="U1" s="329"/>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3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108" t="s">
        <v>268</v>
      </c>
      <c r="C5" s="110"/>
      <c r="D5" s="109"/>
      <c r="E5" s="109"/>
      <c r="F5" s="109"/>
      <c r="G5" s="109"/>
      <c r="H5" s="110" t="s">
        <v>269</v>
      </c>
      <c r="I5" s="109"/>
      <c r="J5" s="111"/>
      <c r="K5" s="109"/>
      <c r="L5" s="109"/>
      <c r="M5" s="109"/>
      <c r="N5" s="110" t="s">
        <v>270</v>
      </c>
      <c r="O5" s="109"/>
      <c r="P5" s="109"/>
      <c r="Q5" s="109"/>
      <c r="R5" s="109"/>
      <c r="S5" s="112"/>
      <c r="T5" s="78"/>
    </row>
    <row r="6" spans="1:21" ht="15.6">
      <c r="A6" s="79"/>
      <c r="B6" s="113"/>
      <c r="C6" s="114"/>
      <c r="D6" s="109"/>
      <c r="E6" s="109"/>
      <c r="F6" s="109"/>
      <c r="G6" s="109"/>
      <c r="H6" s="114"/>
      <c r="I6" s="109"/>
      <c r="J6" s="115"/>
      <c r="K6" s="109"/>
      <c r="L6" s="109"/>
      <c r="M6" s="109"/>
      <c r="N6" s="116"/>
      <c r="O6" s="109"/>
      <c r="P6" s="109"/>
      <c r="Q6" s="109"/>
      <c r="R6" s="109"/>
      <c r="S6" s="112"/>
      <c r="T6" s="78"/>
    </row>
    <row r="7" spans="1:21" ht="15.6">
      <c r="A7" s="79"/>
      <c r="B7" s="117" t="s">
        <v>258</v>
      </c>
      <c r="C7" s="118"/>
      <c r="D7" s="109"/>
      <c r="E7" s="109"/>
      <c r="F7" s="109"/>
      <c r="G7" s="109"/>
      <c r="H7" s="118" t="s">
        <v>259</v>
      </c>
      <c r="I7" s="109"/>
      <c r="J7" s="115"/>
      <c r="K7" s="109"/>
      <c r="L7" s="109"/>
      <c r="M7" s="116"/>
      <c r="N7" s="118" t="s">
        <v>258</v>
      </c>
      <c r="O7" s="116"/>
      <c r="P7" s="109"/>
      <c r="Q7" s="109"/>
      <c r="R7" s="109"/>
      <c r="S7" s="119"/>
      <c r="T7" s="78"/>
    </row>
    <row r="8" spans="1:21" ht="15.6">
      <c r="A8" s="79"/>
      <c r="B8" s="113"/>
      <c r="C8" s="114"/>
      <c r="D8" s="109"/>
      <c r="E8" s="109"/>
      <c r="F8" s="109"/>
      <c r="G8" s="109"/>
      <c r="H8" s="109"/>
      <c r="I8" s="109"/>
      <c r="J8" s="115"/>
      <c r="K8" s="109"/>
      <c r="L8" s="109"/>
      <c r="M8" s="116"/>
      <c r="N8" s="109"/>
      <c r="O8" s="116"/>
      <c r="P8" s="109"/>
      <c r="Q8" s="109"/>
      <c r="R8" s="109"/>
      <c r="S8" s="119"/>
      <c r="T8" s="78"/>
    </row>
    <row r="9" spans="1:21" ht="15.6">
      <c r="A9" s="79"/>
      <c r="B9" s="113" t="s">
        <v>40</v>
      </c>
      <c r="C9" s="114"/>
      <c r="D9" s="109"/>
      <c r="E9" s="109"/>
      <c r="F9" s="109"/>
      <c r="G9" s="109"/>
      <c r="H9" s="120" t="s">
        <v>266</v>
      </c>
      <c r="I9" s="109"/>
      <c r="J9" s="115"/>
      <c r="K9" s="109"/>
      <c r="L9" s="109"/>
      <c r="M9" s="116"/>
      <c r="N9" s="116"/>
      <c r="O9" s="116"/>
      <c r="P9" s="109"/>
      <c r="Q9" s="109"/>
      <c r="R9" s="109"/>
      <c r="S9" s="119"/>
      <c r="T9" s="78"/>
    </row>
    <row r="10" spans="1:21" ht="15.6">
      <c r="A10" s="79"/>
      <c r="B10" s="113" t="s">
        <v>39</v>
      </c>
      <c r="C10" s="114"/>
      <c r="D10" s="109"/>
      <c r="E10" s="109"/>
      <c r="F10" s="109"/>
      <c r="G10" s="109"/>
      <c r="H10" s="116" t="s">
        <v>45</v>
      </c>
      <c r="I10" s="109"/>
      <c r="J10" s="115"/>
      <c r="K10" s="109"/>
      <c r="L10" s="109"/>
      <c r="M10" s="109"/>
      <c r="N10" s="116" t="s">
        <v>43</v>
      </c>
      <c r="O10" s="109"/>
      <c r="P10" s="109"/>
      <c r="Q10" s="109"/>
      <c r="R10" s="109"/>
      <c r="S10" s="119"/>
      <c r="T10" s="78"/>
    </row>
    <row r="11" spans="1:21" ht="15.6">
      <c r="A11" s="79"/>
      <c r="B11" s="113" t="s">
        <v>37</v>
      </c>
      <c r="C11" s="114"/>
      <c r="D11" s="109"/>
      <c r="E11" s="109"/>
      <c r="F11" s="109"/>
      <c r="G11" s="109"/>
      <c r="H11" s="116" t="s">
        <v>46</v>
      </c>
      <c r="I11" s="109"/>
      <c r="J11" s="115"/>
      <c r="K11" s="109"/>
      <c r="L11" s="109"/>
      <c r="M11" s="109"/>
      <c r="N11" s="109"/>
      <c r="O11" s="109"/>
      <c r="P11" s="109"/>
      <c r="Q11" s="109"/>
      <c r="R11" s="109"/>
      <c r="S11" s="119"/>
      <c r="T11" s="78"/>
    </row>
    <row r="12" spans="1:21" ht="15.6">
      <c r="A12" s="79"/>
      <c r="B12" s="113" t="s">
        <v>104</v>
      </c>
      <c r="C12" s="114"/>
      <c r="D12" s="109"/>
      <c r="E12" s="109"/>
      <c r="F12" s="109"/>
      <c r="G12" s="109"/>
      <c r="H12" s="116" t="s">
        <v>47</v>
      </c>
      <c r="I12" s="109"/>
      <c r="J12" s="115"/>
      <c r="K12" s="109"/>
      <c r="L12" s="109"/>
      <c r="M12" s="109"/>
      <c r="N12" s="118" t="s">
        <v>261</v>
      </c>
      <c r="O12" s="109"/>
      <c r="P12" s="109"/>
      <c r="Q12" s="109"/>
      <c r="R12" s="109"/>
      <c r="S12" s="119"/>
      <c r="T12" s="78"/>
    </row>
    <row r="13" spans="1:21" ht="15.6">
      <c r="A13" s="79"/>
      <c r="B13" s="113" t="s">
        <v>105</v>
      </c>
      <c r="C13" s="114"/>
      <c r="D13" s="109"/>
      <c r="E13" s="109"/>
      <c r="F13" s="109"/>
      <c r="G13" s="109"/>
      <c r="H13" s="116" t="s">
        <v>48</v>
      </c>
      <c r="I13" s="109"/>
      <c r="J13" s="115"/>
      <c r="K13" s="109"/>
      <c r="L13" s="109"/>
      <c r="M13" s="109"/>
      <c r="N13" s="116"/>
      <c r="O13" s="109"/>
      <c r="P13" s="109"/>
      <c r="Q13" s="109"/>
      <c r="R13" s="109"/>
      <c r="S13" s="119"/>
      <c r="T13" s="78"/>
    </row>
    <row r="14" spans="1:21" ht="15.6">
      <c r="A14" s="79"/>
      <c r="B14" s="113" t="s">
        <v>102</v>
      </c>
      <c r="C14" s="114"/>
      <c r="D14" s="109"/>
      <c r="E14" s="109"/>
      <c r="F14" s="109"/>
      <c r="G14" s="109"/>
      <c r="H14" s="116" t="s">
        <v>49</v>
      </c>
      <c r="I14" s="109"/>
      <c r="J14" s="115"/>
      <c r="K14" s="109"/>
      <c r="L14" s="109"/>
      <c r="M14" s="109"/>
      <c r="N14" s="116" t="s">
        <v>44</v>
      </c>
      <c r="O14" s="109"/>
      <c r="P14" s="109"/>
      <c r="Q14" s="109"/>
      <c r="R14" s="109"/>
      <c r="S14" s="119"/>
      <c r="T14" s="78"/>
    </row>
    <row r="15" spans="1:21" ht="15.6">
      <c r="A15" s="79"/>
      <c r="B15" s="113" t="s">
        <v>103</v>
      </c>
      <c r="C15" s="114"/>
      <c r="D15" s="109"/>
      <c r="E15" s="109"/>
      <c r="F15" s="109"/>
      <c r="G15" s="109"/>
      <c r="H15" s="116" t="s">
        <v>285</v>
      </c>
      <c r="I15" s="109"/>
      <c r="J15" s="115"/>
      <c r="K15" s="109"/>
      <c r="L15" s="109"/>
      <c r="M15" s="109"/>
      <c r="N15" s="109"/>
      <c r="O15" s="109"/>
      <c r="P15" s="109"/>
      <c r="Q15" s="109"/>
      <c r="R15" s="109"/>
      <c r="S15" s="119"/>
      <c r="T15" s="78"/>
    </row>
    <row r="16" spans="1:21" ht="15.6">
      <c r="A16" s="79"/>
      <c r="B16" s="113" t="s">
        <v>35</v>
      </c>
      <c r="C16" s="114"/>
      <c r="D16" s="109"/>
      <c r="E16" s="109"/>
      <c r="F16" s="109"/>
      <c r="G16" s="109"/>
      <c r="H16" s="116" t="s">
        <v>284</v>
      </c>
      <c r="I16" s="109"/>
      <c r="J16" s="115"/>
      <c r="K16" s="109"/>
      <c r="L16" s="109"/>
      <c r="M16" s="109"/>
      <c r="N16" s="118" t="s">
        <v>263</v>
      </c>
      <c r="O16" s="109"/>
      <c r="P16" s="109"/>
      <c r="Q16" s="109"/>
      <c r="R16" s="109"/>
      <c r="S16" s="119"/>
      <c r="T16" s="78"/>
    </row>
    <row r="17" spans="1:20" ht="15.6">
      <c r="A17" s="79"/>
      <c r="B17" s="113" t="s">
        <v>38</v>
      </c>
      <c r="C17" s="114"/>
      <c r="D17" s="109"/>
      <c r="E17" s="109"/>
      <c r="F17" s="109"/>
      <c r="G17" s="109"/>
      <c r="H17" s="116" t="s">
        <v>53</v>
      </c>
      <c r="I17" s="109"/>
      <c r="J17" s="115"/>
      <c r="K17" s="109"/>
      <c r="L17" s="109"/>
      <c r="M17" s="109"/>
      <c r="N17" s="109"/>
      <c r="O17" s="109"/>
      <c r="P17" s="109"/>
      <c r="Q17" s="109"/>
      <c r="R17" s="109"/>
      <c r="S17" s="119"/>
      <c r="T17" s="78"/>
    </row>
    <row r="18" spans="1:20" ht="15.6">
      <c r="A18" s="79"/>
      <c r="B18" s="113" t="s">
        <v>41</v>
      </c>
      <c r="C18" s="114"/>
      <c r="D18" s="109"/>
      <c r="E18" s="109"/>
      <c r="F18" s="109"/>
      <c r="G18" s="109"/>
      <c r="H18" s="116" t="s">
        <v>54</v>
      </c>
      <c r="I18" s="109"/>
      <c r="J18" s="115"/>
      <c r="K18" s="109"/>
      <c r="L18" s="109"/>
      <c r="M18" s="109"/>
      <c r="N18" s="116" t="s">
        <v>202</v>
      </c>
      <c r="O18" s="109"/>
      <c r="P18" s="109"/>
      <c r="Q18" s="109"/>
      <c r="R18" s="109"/>
      <c r="S18" s="119"/>
      <c r="T18" s="78"/>
    </row>
    <row r="19" spans="1:20" ht="15.6">
      <c r="A19" s="79"/>
      <c r="B19" s="113"/>
      <c r="C19" s="114"/>
      <c r="D19" s="109"/>
      <c r="E19" s="109"/>
      <c r="F19" s="109"/>
      <c r="G19" s="109"/>
      <c r="H19" s="116" t="s">
        <v>55</v>
      </c>
      <c r="I19" s="109"/>
      <c r="J19" s="115"/>
      <c r="K19" s="109"/>
      <c r="L19" s="109"/>
      <c r="M19" s="109"/>
      <c r="N19" s="116" t="s">
        <v>194</v>
      </c>
      <c r="O19" s="109"/>
      <c r="P19" s="109"/>
      <c r="Q19" s="109"/>
      <c r="R19" s="109"/>
      <c r="S19" s="119"/>
      <c r="T19" s="78"/>
    </row>
    <row r="20" spans="1:20" ht="15.6">
      <c r="A20" s="79"/>
      <c r="B20" s="260" t="s">
        <v>333</v>
      </c>
      <c r="C20" s="110"/>
      <c r="D20" s="109"/>
      <c r="E20" s="109"/>
      <c r="F20" s="109"/>
      <c r="G20" s="109"/>
      <c r="H20" s="116" t="s">
        <v>56</v>
      </c>
      <c r="I20" s="109"/>
      <c r="J20" s="115"/>
      <c r="K20" s="109"/>
      <c r="L20" s="109"/>
      <c r="M20" s="109"/>
      <c r="N20" s="116" t="s">
        <v>79</v>
      </c>
      <c r="O20" s="109"/>
      <c r="P20" s="109"/>
      <c r="Q20" s="109"/>
      <c r="R20" s="109"/>
      <c r="S20" s="119"/>
      <c r="T20" s="78"/>
    </row>
    <row r="21" spans="1:20" ht="15.6">
      <c r="A21" s="79"/>
      <c r="B21" s="108"/>
      <c r="C21" s="110"/>
      <c r="D21" s="109"/>
      <c r="E21" s="109"/>
      <c r="F21" s="109"/>
      <c r="G21" s="109"/>
      <c r="H21" s="116" t="s">
        <v>57</v>
      </c>
      <c r="I21" s="109"/>
      <c r="J21" s="115"/>
      <c r="K21" s="109"/>
      <c r="L21" s="109"/>
      <c r="M21" s="109"/>
      <c r="N21" s="116" t="s">
        <v>80</v>
      </c>
      <c r="O21" s="109"/>
      <c r="P21" s="109"/>
      <c r="Q21" s="109"/>
      <c r="R21" s="109"/>
      <c r="S21" s="119"/>
      <c r="T21" s="78"/>
    </row>
    <row r="22" spans="1:20" ht="15.6">
      <c r="A22" s="79"/>
      <c r="B22" s="113" t="str">
        <f>"Water: Non-households – under 50ML threshold"</f>
        <v>Water: Non-households – under 50ML threshold</v>
      </c>
      <c r="C22" s="114"/>
      <c r="D22" s="109"/>
      <c r="E22" s="109"/>
      <c r="F22" s="109"/>
      <c r="G22" s="109"/>
      <c r="H22" s="116" t="s">
        <v>58</v>
      </c>
      <c r="I22" s="109"/>
      <c r="J22" s="115"/>
      <c r="K22" s="109"/>
      <c r="L22" s="109"/>
      <c r="M22" s="109"/>
      <c r="N22" s="118"/>
      <c r="O22" s="109"/>
      <c r="P22" s="109"/>
      <c r="Q22" s="109"/>
      <c r="R22" s="109"/>
      <c r="S22" s="119"/>
      <c r="T22" s="78"/>
    </row>
    <row r="23" spans="1:20" ht="15.6">
      <c r="A23" s="79"/>
      <c r="B23" s="113" t="str">
        <f>"Water: Non-households – over 50ML threshold"</f>
        <v>Water: Non-households – over 50ML threshold</v>
      </c>
      <c r="C23" s="114"/>
      <c r="D23" s="109"/>
      <c r="E23" s="109"/>
      <c r="F23" s="109"/>
      <c r="G23" s="109"/>
      <c r="H23" s="116" t="s">
        <v>282</v>
      </c>
      <c r="I23" s="109"/>
      <c r="J23" s="115"/>
      <c r="K23" s="109"/>
      <c r="L23" s="109"/>
      <c r="M23" s="109"/>
      <c r="N23" s="118" t="s">
        <v>264</v>
      </c>
      <c r="O23" s="109"/>
      <c r="P23" s="109"/>
      <c r="Q23" s="109"/>
      <c r="R23" s="109"/>
      <c r="S23" s="119"/>
      <c r="T23" s="78"/>
    </row>
    <row r="24" spans="1:20" ht="15.6">
      <c r="A24" s="79"/>
      <c r="B24" s="113" t="str">
        <f>"Sewerage: Non-households – under 50ML threshold"</f>
        <v>Sewerage: Non-households – under 50ML threshold</v>
      </c>
      <c r="C24" s="114"/>
      <c r="D24" s="109"/>
      <c r="E24" s="109"/>
      <c r="F24" s="109"/>
      <c r="G24" s="109"/>
      <c r="H24" s="116" t="s">
        <v>283</v>
      </c>
      <c r="I24" s="109"/>
      <c r="J24" s="115"/>
      <c r="K24" s="109"/>
      <c r="L24" s="109"/>
      <c r="M24" s="109"/>
      <c r="N24" s="118"/>
      <c r="O24" s="109"/>
      <c r="P24" s="109"/>
      <c r="Q24" s="109"/>
      <c r="R24" s="109"/>
      <c r="S24" s="119"/>
      <c r="T24" s="78"/>
    </row>
    <row r="25" spans="1:20" ht="15.6">
      <c r="A25" s="79"/>
      <c r="B25" s="113" t="str">
        <f>"Sewerage: Non-households – over 50ML threshold"</f>
        <v>Sewerage: Non-households – over 50ML threshold</v>
      </c>
      <c r="C25" s="114"/>
      <c r="D25" s="109"/>
      <c r="E25" s="109"/>
      <c r="F25" s="109"/>
      <c r="G25" s="109"/>
      <c r="H25" s="109"/>
      <c r="I25" s="109"/>
      <c r="J25" s="115"/>
      <c r="K25" s="109"/>
      <c r="L25" s="109"/>
      <c r="M25" s="109"/>
      <c r="N25" s="116" t="s">
        <v>168</v>
      </c>
      <c r="O25" s="109"/>
      <c r="P25" s="109"/>
      <c r="Q25" s="109"/>
      <c r="R25" s="109"/>
      <c r="S25" s="119"/>
      <c r="T25" s="78"/>
    </row>
    <row r="26" spans="1:20" ht="15.6">
      <c r="A26" s="79"/>
      <c r="B26" s="113"/>
      <c r="C26" s="114"/>
      <c r="D26" s="109"/>
      <c r="E26" s="109"/>
      <c r="F26" s="109"/>
      <c r="G26" s="109"/>
      <c r="H26" s="120" t="s">
        <v>267</v>
      </c>
      <c r="I26" s="109"/>
      <c r="J26" s="115"/>
      <c r="K26" s="109"/>
      <c r="L26" s="109"/>
      <c r="M26" s="109"/>
      <c r="N26" s="116" t="s">
        <v>81</v>
      </c>
      <c r="O26" s="109"/>
      <c r="P26" s="109"/>
      <c r="Q26" s="109"/>
      <c r="R26" s="109"/>
      <c r="S26" s="119"/>
      <c r="T26" s="78"/>
    </row>
    <row r="27" spans="1:20" ht="15.6">
      <c r="A27" s="79"/>
      <c r="B27" s="113"/>
      <c r="C27" s="114"/>
      <c r="D27" s="109"/>
      <c r="E27" s="109"/>
      <c r="F27" s="109"/>
      <c r="G27" s="109"/>
      <c r="H27" s="116" t="s">
        <v>51</v>
      </c>
      <c r="I27" s="109"/>
      <c r="J27" s="115"/>
      <c r="K27" s="109"/>
      <c r="L27" s="109"/>
      <c r="M27" s="109"/>
      <c r="N27" s="118"/>
      <c r="O27" s="109"/>
      <c r="P27" s="109"/>
      <c r="Q27" s="109"/>
      <c r="R27" s="109"/>
      <c r="S27" s="119"/>
      <c r="T27" s="78"/>
    </row>
    <row r="28" spans="1:20" ht="15.6">
      <c r="A28" s="79"/>
      <c r="B28" s="113"/>
      <c r="C28" s="114"/>
      <c r="D28" s="109"/>
      <c r="E28" s="109"/>
      <c r="F28" s="109"/>
      <c r="G28" s="109"/>
      <c r="H28" s="116" t="s">
        <v>52</v>
      </c>
      <c r="I28" s="109"/>
      <c r="J28" s="115"/>
      <c r="K28" s="109"/>
      <c r="L28" s="109"/>
      <c r="M28" s="109"/>
      <c r="N28" s="118"/>
      <c r="O28" s="109"/>
      <c r="P28" s="109"/>
      <c r="Q28" s="109"/>
      <c r="R28" s="109"/>
      <c r="S28" s="119"/>
      <c r="T28" s="78"/>
    </row>
    <row r="29" spans="1:20" ht="15.6">
      <c r="A29" s="79"/>
      <c r="B29" s="113"/>
      <c r="C29" s="114"/>
      <c r="D29" s="109"/>
      <c r="E29" s="109"/>
      <c r="F29" s="109"/>
      <c r="G29" s="109"/>
      <c r="H29" s="116" t="s">
        <v>50</v>
      </c>
      <c r="I29" s="109"/>
      <c r="J29" s="115"/>
      <c r="K29" s="109"/>
      <c r="L29" s="109"/>
      <c r="M29" s="109"/>
      <c r="N29" s="118"/>
      <c r="O29" s="109"/>
      <c r="P29" s="109"/>
      <c r="Q29" s="109"/>
      <c r="R29" s="109"/>
      <c r="S29" s="119"/>
      <c r="T29" s="78"/>
    </row>
    <row r="30" spans="1:20" ht="15.6">
      <c r="A30" s="79"/>
      <c r="B30" s="113"/>
      <c r="C30" s="114"/>
      <c r="D30" s="109"/>
      <c r="E30" s="109"/>
      <c r="F30" s="109"/>
      <c r="G30" s="109"/>
      <c r="H30" s="116" t="s">
        <v>60</v>
      </c>
      <c r="I30" s="109"/>
      <c r="J30" s="115"/>
      <c r="K30" s="109"/>
      <c r="L30" s="109"/>
      <c r="M30" s="109"/>
      <c r="N30" s="118"/>
      <c r="O30" s="109"/>
      <c r="P30" s="109"/>
      <c r="Q30" s="109"/>
      <c r="R30" s="109"/>
      <c r="S30" s="119"/>
      <c r="T30" s="78"/>
    </row>
    <row r="31" spans="1:20" ht="15.6">
      <c r="A31" s="79"/>
      <c r="B31" s="113"/>
      <c r="C31" s="114"/>
      <c r="D31" s="109"/>
      <c r="E31" s="109"/>
      <c r="F31" s="109"/>
      <c r="G31" s="109"/>
      <c r="H31" s="116" t="s">
        <v>61</v>
      </c>
      <c r="I31" s="109"/>
      <c r="J31" s="115"/>
      <c r="K31" s="109"/>
      <c r="L31" s="109"/>
      <c r="M31" s="109"/>
      <c r="N31" s="118"/>
      <c r="O31" s="109"/>
      <c r="P31" s="109"/>
      <c r="Q31" s="109"/>
      <c r="R31" s="109"/>
      <c r="S31" s="119"/>
      <c r="T31" s="78"/>
    </row>
    <row r="32" spans="1:20" ht="15.6">
      <c r="A32" s="79"/>
      <c r="B32" s="113"/>
      <c r="C32" s="114"/>
      <c r="D32" s="109"/>
      <c r="E32" s="109"/>
      <c r="F32" s="109"/>
      <c r="G32" s="109"/>
      <c r="H32" s="116" t="s">
        <v>59</v>
      </c>
      <c r="I32" s="109"/>
      <c r="J32" s="115"/>
      <c r="K32" s="109"/>
      <c r="L32" s="109"/>
      <c r="M32" s="109"/>
      <c r="N32" s="118"/>
      <c r="O32" s="109"/>
      <c r="P32" s="109"/>
      <c r="Q32" s="109"/>
      <c r="R32" s="109"/>
      <c r="S32" s="119"/>
      <c r="T32" s="78"/>
    </row>
    <row r="33" spans="1:20" ht="22.8">
      <c r="A33" s="55"/>
      <c r="B33" s="121"/>
      <c r="C33" s="122"/>
      <c r="D33" s="122"/>
      <c r="E33" s="122"/>
      <c r="F33" s="122"/>
      <c r="G33" s="122"/>
      <c r="H33" s="122"/>
      <c r="I33" s="122"/>
      <c r="J33" s="122"/>
      <c r="K33" s="122"/>
      <c r="L33" s="122"/>
      <c r="M33" s="122"/>
      <c r="N33" s="122"/>
      <c r="O33" s="122"/>
      <c r="P33" s="122"/>
      <c r="Q33" s="122"/>
      <c r="R33" s="122"/>
      <c r="S33" s="12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33"/>
      <c r="D35" s="72"/>
      <c r="E35" s="72"/>
      <c r="F35" s="72"/>
      <c r="G35" s="72"/>
      <c r="H35" s="72"/>
      <c r="I35" s="72"/>
      <c r="J35" s="72"/>
      <c r="K35" s="72"/>
      <c r="L35" s="72"/>
      <c r="M35" s="72"/>
      <c r="N35" s="72"/>
      <c r="O35" s="72"/>
      <c r="P35" s="72"/>
      <c r="Q35" s="72"/>
      <c r="R35" s="72"/>
      <c r="S35" s="71"/>
      <c r="T35" s="54"/>
    </row>
    <row r="36" spans="1:20" ht="22.8">
      <c r="A36" s="55"/>
      <c r="B36" s="231"/>
      <c r="C36" s="234"/>
      <c r="D36" s="69"/>
      <c r="E36" s="69"/>
      <c r="F36" s="69"/>
      <c r="G36" s="69"/>
      <c r="H36" s="69"/>
      <c r="I36" s="69"/>
      <c r="J36" s="69"/>
      <c r="K36" s="69"/>
      <c r="L36" s="69"/>
      <c r="M36" s="69"/>
      <c r="N36" s="69"/>
      <c r="O36" s="69"/>
      <c r="P36" s="69"/>
      <c r="Q36" s="69"/>
      <c r="R36" s="69"/>
      <c r="S36" s="68"/>
      <c r="T36" s="54"/>
    </row>
    <row r="37" spans="1:20" ht="22.8">
      <c r="A37" s="55"/>
      <c r="B37" s="231"/>
      <c r="C37" s="234"/>
      <c r="D37" s="69"/>
      <c r="E37" s="69"/>
      <c r="F37" s="69"/>
      <c r="G37" s="69"/>
      <c r="H37" s="69"/>
      <c r="I37" s="69"/>
      <c r="J37" s="69"/>
      <c r="K37" s="69"/>
      <c r="L37" s="69"/>
      <c r="M37" s="69"/>
      <c r="N37" s="69"/>
      <c r="O37" s="69"/>
      <c r="P37" s="69"/>
      <c r="Q37" s="69"/>
      <c r="R37" s="69"/>
      <c r="S37" s="68"/>
      <c r="T37" s="54"/>
    </row>
    <row r="38" spans="1:20" ht="22.8">
      <c r="A38" s="55"/>
      <c r="B38" s="231"/>
      <c r="C38" s="234"/>
      <c r="D38" s="69"/>
      <c r="E38" s="69"/>
      <c r="F38" s="69"/>
      <c r="G38" s="69"/>
      <c r="H38" s="69"/>
      <c r="I38" s="69"/>
      <c r="J38" s="69"/>
      <c r="K38" s="69"/>
      <c r="L38" s="69"/>
      <c r="M38" s="69"/>
      <c r="N38" s="69"/>
      <c r="O38" s="69"/>
      <c r="P38" s="69"/>
      <c r="Q38" s="69"/>
      <c r="R38" s="69"/>
      <c r="S38" s="68"/>
      <c r="T38" s="54"/>
    </row>
    <row r="39" spans="1:20" ht="22.8">
      <c r="A39" s="55"/>
      <c r="B39" s="231"/>
      <c r="C39" s="234"/>
      <c r="D39" s="69"/>
      <c r="E39" s="69"/>
      <c r="F39" s="69"/>
      <c r="G39" s="69"/>
      <c r="H39" s="331" t="s">
        <v>280</v>
      </c>
      <c r="I39" s="332"/>
      <c r="J39" s="69"/>
      <c r="K39" s="69"/>
      <c r="L39" s="69"/>
      <c r="M39" s="330" t="s">
        <v>281</v>
      </c>
      <c r="N39" s="330"/>
      <c r="O39" s="69"/>
      <c r="P39" s="69"/>
      <c r="Q39" s="69"/>
      <c r="R39" s="69"/>
      <c r="S39" s="68"/>
      <c r="T39" s="54"/>
    </row>
    <row r="40" spans="1:20" ht="23.25" customHeight="1">
      <c r="A40" s="55"/>
      <c r="B40" s="231"/>
      <c r="C40" s="234"/>
      <c r="D40" s="69"/>
      <c r="E40" s="69"/>
      <c r="F40" s="69"/>
      <c r="G40" s="69"/>
      <c r="H40" s="332"/>
      <c r="I40" s="332"/>
      <c r="J40" s="69"/>
      <c r="K40" s="249"/>
      <c r="L40" s="249"/>
      <c r="M40" s="330"/>
      <c r="N40" s="330"/>
      <c r="O40" s="69"/>
      <c r="P40" s="69"/>
      <c r="Q40" s="249"/>
      <c r="R40" s="249"/>
      <c r="S40" s="68"/>
      <c r="T40" s="54"/>
    </row>
    <row r="41" spans="1:20" ht="22.8">
      <c r="A41" s="55"/>
      <c r="B41" s="231"/>
      <c r="C41" s="234"/>
      <c r="D41" s="69"/>
      <c r="E41" s="69"/>
      <c r="F41" s="69"/>
      <c r="G41" s="69"/>
      <c r="H41" s="69"/>
      <c r="I41" s="69"/>
      <c r="J41" s="69"/>
      <c r="K41" s="250"/>
      <c r="L41" s="249"/>
      <c r="M41" s="249"/>
      <c r="N41" s="69"/>
      <c r="O41" s="69"/>
      <c r="P41" s="69"/>
      <c r="Q41" s="249"/>
      <c r="R41" s="249"/>
      <c r="S41" s="68"/>
      <c r="T41" s="54"/>
    </row>
    <row r="42" spans="1:20" ht="22.8">
      <c r="A42" s="55"/>
      <c r="B42" s="231"/>
      <c r="C42" s="234"/>
      <c r="D42" s="69"/>
      <c r="E42" s="69"/>
      <c r="F42" s="69"/>
      <c r="G42" s="69"/>
      <c r="H42" s="69"/>
      <c r="I42" s="69"/>
      <c r="J42" s="69"/>
      <c r="K42" s="69"/>
      <c r="L42" s="69"/>
      <c r="M42" s="69"/>
      <c r="N42" s="69"/>
      <c r="O42" s="69"/>
      <c r="P42" s="69"/>
      <c r="Q42" s="69"/>
      <c r="R42" s="69"/>
      <c r="S42" s="68"/>
      <c r="T42" s="54"/>
    </row>
    <row r="43" spans="1:20" ht="22.8">
      <c r="A43" s="55"/>
      <c r="B43" s="231"/>
      <c r="C43" s="234"/>
      <c r="D43" s="69"/>
      <c r="E43" s="69"/>
      <c r="F43" s="69"/>
      <c r="G43" s="69"/>
      <c r="H43" s="69"/>
      <c r="I43" s="69"/>
      <c r="J43" s="69"/>
      <c r="K43" s="69"/>
      <c r="L43" s="69"/>
      <c r="M43" s="69"/>
      <c r="N43" s="69"/>
      <c r="O43" s="69"/>
      <c r="P43" s="69"/>
      <c r="Q43" s="69"/>
      <c r="R43" s="69"/>
      <c r="S43" s="68"/>
      <c r="T43" s="54"/>
    </row>
    <row r="44" spans="1:20" ht="22.8">
      <c r="A44" s="55"/>
      <c r="B44" s="231"/>
      <c r="C44" s="236"/>
      <c r="D44" s="237"/>
      <c r="E44" s="237"/>
      <c r="F44" s="237"/>
      <c r="G44" s="237"/>
      <c r="H44" s="237"/>
      <c r="I44" s="237"/>
      <c r="J44" s="237"/>
      <c r="K44" s="237"/>
      <c r="L44" s="237"/>
      <c r="M44" s="237"/>
      <c r="N44" s="237"/>
      <c r="O44" s="237"/>
      <c r="P44" s="237"/>
      <c r="Q44" s="237"/>
      <c r="R44" s="238"/>
      <c r="S44" s="68"/>
      <c r="T44" s="54"/>
    </row>
    <row r="45" spans="1:20" ht="22.8">
      <c r="A45" s="55"/>
      <c r="B45" s="231"/>
      <c r="C45" s="239"/>
      <c r="D45" s="243" t="s">
        <v>279</v>
      </c>
      <c r="E45" s="240"/>
      <c r="F45" s="240"/>
      <c r="G45" s="240"/>
      <c r="H45" s="240"/>
      <c r="I45" s="240"/>
      <c r="J45" s="240"/>
      <c r="K45" s="240"/>
      <c r="L45" s="240"/>
      <c r="M45" s="240"/>
      <c r="N45" s="240"/>
      <c r="O45" s="240"/>
      <c r="P45" s="240"/>
      <c r="Q45" s="240"/>
      <c r="R45" s="241"/>
      <c r="S45" s="68"/>
      <c r="T45" s="54"/>
    </row>
    <row r="46" spans="1:20" ht="22.8">
      <c r="A46" s="55"/>
      <c r="B46" s="231"/>
      <c r="C46" s="239"/>
      <c r="D46" s="240"/>
      <c r="E46" s="240"/>
      <c r="F46" s="240"/>
      <c r="G46" s="240"/>
      <c r="H46" s="240"/>
      <c r="I46" s="240"/>
      <c r="J46" s="240"/>
      <c r="K46" s="240"/>
      <c r="L46" s="240"/>
      <c r="M46" s="240"/>
      <c r="N46" s="240"/>
      <c r="O46" s="240"/>
      <c r="P46" s="240"/>
      <c r="Q46" s="240"/>
      <c r="R46" s="241"/>
      <c r="S46" s="68"/>
      <c r="T46" s="54"/>
    </row>
    <row r="47" spans="1:20" ht="22.8">
      <c r="A47" s="55"/>
      <c r="B47" s="70"/>
      <c r="C47" s="242"/>
      <c r="D47" s="240"/>
      <c r="E47" s="240"/>
      <c r="F47" s="240"/>
      <c r="G47" s="240"/>
      <c r="H47" s="240"/>
      <c r="I47" s="240"/>
      <c r="J47" s="240"/>
      <c r="K47" s="240"/>
      <c r="L47" s="240"/>
      <c r="M47" s="240"/>
      <c r="N47" s="240"/>
      <c r="O47" s="240"/>
      <c r="P47" s="240"/>
      <c r="Q47" s="240"/>
      <c r="R47" s="241"/>
      <c r="S47" s="68"/>
      <c r="T47" s="54"/>
    </row>
    <row r="48" spans="1:20" ht="22.8">
      <c r="A48" s="55"/>
      <c r="B48" s="70"/>
      <c r="C48" s="242"/>
      <c r="D48" s="240"/>
      <c r="E48" s="240"/>
      <c r="F48" s="240"/>
      <c r="G48" s="240"/>
      <c r="H48" s="240"/>
      <c r="I48" s="240"/>
      <c r="J48" s="240"/>
      <c r="K48" s="240"/>
      <c r="L48" s="240"/>
      <c r="M48" s="240"/>
      <c r="N48" s="240"/>
      <c r="O48" s="240"/>
      <c r="P48" s="240"/>
      <c r="Q48" s="240"/>
      <c r="R48" s="241"/>
      <c r="S48" s="68"/>
      <c r="T48" s="54"/>
    </row>
    <row r="49" spans="1:20" ht="22.8">
      <c r="A49" s="55"/>
      <c r="B49" s="70"/>
      <c r="C49" s="242"/>
      <c r="D49" s="240"/>
      <c r="E49" s="240"/>
      <c r="F49" s="240"/>
      <c r="G49" s="240"/>
      <c r="H49" s="240"/>
      <c r="I49" s="240"/>
      <c r="J49" s="240"/>
      <c r="K49" s="240"/>
      <c r="L49" s="240"/>
      <c r="M49" s="240"/>
      <c r="N49" s="240"/>
      <c r="O49" s="240"/>
      <c r="P49" s="240"/>
      <c r="Q49" s="240"/>
      <c r="R49" s="241"/>
      <c r="S49" s="68"/>
      <c r="T49" s="54"/>
    </row>
    <row r="50" spans="1:20" ht="22.8">
      <c r="A50" s="55"/>
      <c r="B50" s="70"/>
      <c r="C50" s="242"/>
      <c r="D50" s="240"/>
      <c r="E50" s="240"/>
      <c r="F50" s="240"/>
      <c r="G50" s="240"/>
      <c r="H50" s="240"/>
      <c r="I50" s="240"/>
      <c r="J50" s="240"/>
      <c r="K50" s="240"/>
      <c r="L50" s="240"/>
      <c r="M50" s="240"/>
      <c r="N50" s="240"/>
      <c r="O50" s="240"/>
      <c r="P50" s="240"/>
      <c r="Q50" s="240"/>
      <c r="R50" s="241"/>
      <c r="S50" s="68"/>
      <c r="T50" s="54"/>
    </row>
    <row r="51" spans="1:20" ht="22.8">
      <c r="A51" s="55"/>
      <c r="B51" s="70"/>
      <c r="C51" s="242"/>
      <c r="D51" s="240"/>
      <c r="E51" s="240"/>
      <c r="F51" s="240"/>
      <c r="G51" s="240"/>
      <c r="H51" s="240"/>
      <c r="I51" s="240"/>
      <c r="J51" s="240"/>
      <c r="K51" s="240"/>
      <c r="L51" s="240"/>
      <c r="M51" s="240"/>
      <c r="N51" s="240"/>
      <c r="O51" s="240"/>
      <c r="P51" s="240"/>
      <c r="Q51" s="240"/>
      <c r="R51" s="241"/>
      <c r="S51" s="68"/>
      <c r="T51" s="54"/>
    </row>
    <row r="52" spans="1:20" ht="22.8">
      <c r="A52" s="55"/>
      <c r="B52" s="70"/>
      <c r="C52" s="242"/>
      <c r="D52" s="240"/>
      <c r="E52" s="240"/>
      <c r="F52" s="240"/>
      <c r="G52" s="240"/>
      <c r="H52" s="240"/>
      <c r="I52" s="240"/>
      <c r="J52" s="240"/>
      <c r="K52" s="240"/>
      <c r="L52" s="240"/>
      <c r="M52" s="240"/>
      <c r="N52" s="240"/>
      <c r="O52" s="240"/>
      <c r="P52" s="240"/>
      <c r="Q52" s="240"/>
      <c r="R52" s="241"/>
      <c r="S52" s="68"/>
      <c r="T52" s="54"/>
    </row>
    <row r="53" spans="1:20" ht="22.8">
      <c r="A53" s="55"/>
      <c r="B53" s="70"/>
      <c r="C53" s="242"/>
      <c r="D53" s="240"/>
      <c r="E53" s="240"/>
      <c r="F53" s="240"/>
      <c r="G53" s="240"/>
      <c r="H53" s="240"/>
      <c r="I53" s="240"/>
      <c r="J53" s="240"/>
      <c r="K53" s="240"/>
      <c r="L53" s="240"/>
      <c r="M53" s="240"/>
      <c r="N53" s="240"/>
      <c r="O53" s="240"/>
      <c r="P53" s="240"/>
      <c r="Q53" s="240"/>
      <c r="R53" s="241"/>
      <c r="S53" s="68"/>
      <c r="T53" s="54"/>
    </row>
    <row r="54" spans="1:20" ht="22.8">
      <c r="A54" s="55"/>
      <c r="B54" s="70"/>
      <c r="C54" s="242"/>
      <c r="D54" s="240"/>
      <c r="E54" s="240"/>
      <c r="F54" s="240"/>
      <c r="G54" s="240"/>
      <c r="H54" s="240"/>
      <c r="I54" s="240"/>
      <c r="J54" s="240"/>
      <c r="K54" s="240"/>
      <c r="L54" s="240"/>
      <c r="M54" s="240"/>
      <c r="N54" s="240"/>
      <c r="O54" s="240"/>
      <c r="P54" s="240"/>
      <c r="Q54" s="240"/>
      <c r="R54" s="241"/>
      <c r="S54" s="68"/>
      <c r="T54" s="54"/>
    </row>
    <row r="55" spans="1:20" ht="22.8">
      <c r="A55" s="55"/>
      <c r="B55" s="70"/>
      <c r="C55" s="242"/>
      <c r="D55" s="240"/>
      <c r="E55" s="240"/>
      <c r="F55" s="240"/>
      <c r="G55" s="240"/>
      <c r="H55" s="240"/>
      <c r="I55" s="240"/>
      <c r="J55" s="240"/>
      <c r="K55" s="240"/>
      <c r="L55" s="240"/>
      <c r="M55" s="240"/>
      <c r="N55" s="240"/>
      <c r="O55" s="240"/>
      <c r="P55" s="240"/>
      <c r="Q55" s="240"/>
      <c r="R55" s="241"/>
      <c r="S55" s="68"/>
      <c r="T55" s="54"/>
    </row>
    <row r="56" spans="1:20" ht="22.8">
      <c r="A56" s="55"/>
      <c r="B56" s="70"/>
      <c r="C56" s="242"/>
      <c r="D56" s="240"/>
      <c r="E56" s="240"/>
      <c r="F56" s="240"/>
      <c r="G56" s="240"/>
      <c r="H56" s="240"/>
      <c r="I56" s="240"/>
      <c r="J56" s="240"/>
      <c r="K56" s="240"/>
      <c r="L56" s="240"/>
      <c r="M56" s="240"/>
      <c r="N56" s="240"/>
      <c r="O56" s="240"/>
      <c r="P56" s="240"/>
      <c r="Q56" s="240"/>
      <c r="R56" s="241"/>
      <c r="S56" s="68"/>
      <c r="T56" s="54"/>
    </row>
    <row r="57" spans="1:20" ht="22.8">
      <c r="A57" s="55"/>
      <c r="B57" s="70"/>
      <c r="C57" s="242"/>
      <c r="D57" s="240" t="s">
        <v>277</v>
      </c>
      <c r="E57" s="240"/>
      <c r="F57" s="240"/>
      <c r="G57" s="240"/>
      <c r="H57" s="240"/>
      <c r="I57" s="240"/>
      <c r="J57" s="243" t="s">
        <v>278</v>
      </c>
      <c r="K57" s="240"/>
      <c r="L57" s="244" t="s">
        <v>278</v>
      </c>
      <c r="M57" s="240"/>
      <c r="N57" s="240"/>
      <c r="O57" s="240"/>
      <c r="P57" s="240"/>
      <c r="Q57" s="244" t="s">
        <v>277</v>
      </c>
      <c r="R57" s="245"/>
      <c r="S57" s="68"/>
      <c r="T57" s="54"/>
    </row>
    <row r="58" spans="1:20" ht="22.8">
      <c r="A58" s="55"/>
      <c r="B58" s="70"/>
      <c r="C58" s="242"/>
      <c r="D58" s="240"/>
      <c r="E58" s="240"/>
      <c r="F58" s="240"/>
      <c r="G58" s="240"/>
      <c r="H58" s="240"/>
      <c r="I58" s="240"/>
      <c r="J58" s="240"/>
      <c r="K58" s="240"/>
      <c r="L58" s="240"/>
      <c r="M58" s="240"/>
      <c r="N58" s="240"/>
      <c r="O58" s="240"/>
      <c r="P58" s="240"/>
      <c r="Q58" s="240"/>
      <c r="R58" s="241"/>
      <c r="S58" s="68"/>
      <c r="T58" s="54"/>
    </row>
    <row r="59" spans="1:20" ht="22.8">
      <c r="A59" s="55"/>
      <c r="B59" s="70"/>
      <c r="C59" s="242"/>
      <c r="D59" s="240"/>
      <c r="E59" s="240"/>
      <c r="F59" s="240"/>
      <c r="G59" s="240"/>
      <c r="H59" s="240"/>
      <c r="I59" s="240"/>
      <c r="J59" s="240"/>
      <c r="K59" s="240"/>
      <c r="L59" s="240"/>
      <c r="M59" s="240"/>
      <c r="N59" s="240"/>
      <c r="O59" s="240"/>
      <c r="P59" s="240"/>
      <c r="Q59" s="240"/>
      <c r="R59" s="241"/>
      <c r="S59" s="68"/>
      <c r="T59" s="54"/>
    </row>
    <row r="60" spans="1:20" ht="22.8">
      <c r="A60" s="55"/>
      <c r="B60" s="70"/>
      <c r="C60" s="242"/>
      <c r="D60" s="240"/>
      <c r="E60" s="240"/>
      <c r="F60" s="240"/>
      <c r="G60" s="240"/>
      <c r="H60" s="240"/>
      <c r="I60" s="240"/>
      <c r="J60" s="240"/>
      <c r="K60" s="240"/>
      <c r="L60" s="240"/>
      <c r="M60" s="240"/>
      <c r="N60" s="240"/>
      <c r="O60" s="240"/>
      <c r="P60" s="240"/>
      <c r="Q60" s="240"/>
      <c r="R60" s="241"/>
      <c r="S60" s="68"/>
      <c r="T60" s="54"/>
    </row>
    <row r="61" spans="1:20" ht="22.8">
      <c r="A61" s="55"/>
      <c r="B61" s="70"/>
      <c r="C61" s="242"/>
      <c r="D61" s="240"/>
      <c r="E61" s="240"/>
      <c r="F61" s="240"/>
      <c r="G61" s="240"/>
      <c r="H61" s="240"/>
      <c r="I61" s="240"/>
      <c r="J61" s="240"/>
      <c r="K61" s="240"/>
      <c r="L61" s="240"/>
      <c r="M61" s="240"/>
      <c r="N61" s="240"/>
      <c r="O61" s="240"/>
      <c r="P61" s="240"/>
      <c r="Q61" s="240"/>
      <c r="R61" s="241"/>
      <c r="S61" s="68"/>
      <c r="T61" s="54"/>
    </row>
    <row r="62" spans="1:20" ht="22.8">
      <c r="A62" s="55"/>
      <c r="B62" s="70"/>
      <c r="C62" s="242"/>
      <c r="D62" s="240"/>
      <c r="E62" s="240"/>
      <c r="F62" s="240"/>
      <c r="G62" s="240"/>
      <c r="H62" s="240"/>
      <c r="I62" s="240"/>
      <c r="J62" s="240"/>
      <c r="K62" s="240"/>
      <c r="L62" s="240"/>
      <c r="M62" s="240"/>
      <c r="N62" s="240"/>
      <c r="O62" s="240"/>
      <c r="P62" s="240"/>
      <c r="Q62" s="240"/>
      <c r="R62" s="241"/>
      <c r="S62" s="68"/>
      <c r="T62" s="54"/>
    </row>
    <row r="63" spans="1:20" ht="22.8">
      <c r="A63" s="55"/>
      <c r="B63" s="70"/>
      <c r="C63" s="242"/>
      <c r="D63" s="240"/>
      <c r="E63" s="240"/>
      <c r="F63" s="240"/>
      <c r="G63" s="240"/>
      <c r="H63" s="240"/>
      <c r="I63" s="240"/>
      <c r="J63" s="240"/>
      <c r="K63" s="240"/>
      <c r="L63" s="240"/>
      <c r="M63" s="240"/>
      <c r="N63" s="240"/>
      <c r="O63" s="240"/>
      <c r="P63" s="240"/>
      <c r="Q63" s="240"/>
      <c r="R63" s="241"/>
      <c r="S63" s="68"/>
      <c r="T63" s="54"/>
    </row>
    <row r="64" spans="1:20" ht="22.8">
      <c r="A64" s="55"/>
      <c r="B64" s="70"/>
      <c r="C64" s="242"/>
      <c r="D64" s="240"/>
      <c r="E64" s="240"/>
      <c r="F64" s="240"/>
      <c r="G64" s="240"/>
      <c r="H64" s="240"/>
      <c r="I64" s="240"/>
      <c r="J64" s="240"/>
      <c r="K64" s="240"/>
      <c r="L64" s="240"/>
      <c r="M64" s="240"/>
      <c r="N64" s="240"/>
      <c r="O64" s="240"/>
      <c r="P64" s="240"/>
      <c r="Q64" s="240"/>
      <c r="R64" s="241"/>
      <c r="S64" s="68"/>
      <c r="T64" s="54"/>
    </row>
    <row r="65" spans="1:20" ht="22.8">
      <c r="A65" s="55"/>
      <c r="B65" s="70"/>
      <c r="C65" s="242"/>
      <c r="D65" s="240"/>
      <c r="E65" s="240"/>
      <c r="F65" s="240"/>
      <c r="G65" s="240"/>
      <c r="H65" s="240"/>
      <c r="I65" s="240"/>
      <c r="J65" s="240"/>
      <c r="K65" s="240"/>
      <c r="L65" s="240"/>
      <c r="M65" s="240"/>
      <c r="N65" s="240"/>
      <c r="O65" s="240"/>
      <c r="P65" s="240"/>
      <c r="Q65" s="240"/>
      <c r="R65" s="241"/>
      <c r="S65" s="68"/>
      <c r="T65" s="54"/>
    </row>
    <row r="66" spans="1:20" ht="22.8">
      <c r="A66" s="55"/>
      <c r="B66" s="70"/>
      <c r="C66" s="242"/>
      <c r="D66" s="240"/>
      <c r="E66" s="240"/>
      <c r="F66" s="240"/>
      <c r="G66" s="240"/>
      <c r="H66" s="240"/>
      <c r="I66" s="240"/>
      <c r="J66" s="240"/>
      <c r="K66" s="240"/>
      <c r="L66" s="240"/>
      <c r="M66" s="240"/>
      <c r="N66" s="240"/>
      <c r="O66" s="240"/>
      <c r="P66" s="240"/>
      <c r="Q66" s="240"/>
      <c r="R66" s="241"/>
      <c r="S66" s="68"/>
      <c r="T66" s="54"/>
    </row>
    <row r="67" spans="1:20" ht="22.8">
      <c r="A67" s="55"/>
      <c r="B67" s="70"/>
      <c r="C67" s="242"/>
      <c r="D67" s="240"/>
      <c r="E67" s="240"/>
      <c r="F67" s="240"/>
      <c r="G67" s="240"/>
      <c r="H67" s="240"/>
      <c r="I67" s="240"/>
      <c r="J67" s="240"/>
      <c r="K67" s="240"/>
      <c r="L67" s="240"/>
      <c r="M67" s="240"/>
      <c r="N67" s="240"/>
      <c r="O67" s="240"/>
      <c r="P67" s="240"/>
      <c r="Q67" s="240"/>
      <c r="R67" s="241"/>
      <c r="S67" s="68"/>
      <c r="T67" s="54"/>
    </row>
    <row r="68" spans="1:20" ht="22.8">
      <c r="A68" s="55"/>
      <c r="B68" s="70"/>
      <c r="C68" s="242"/>
      <c r="D68" s="240"/>
      <c r="E68" s="240"/>
      <c r="F68" s="240"/>
      <c r="G68" s="240"/>
      <c r="H68" s="240"/>
      <c r="I68" s="240"/>
      <c r="J68" s="240"/>
      <c r="K68" s="240"/>
      <c r="L68" s="240"/>
      <c r="M68" s="240"/>
      <c r="N68" s="240"/>
      <c r="O68" s="240"/>
      <c r="P68" s="240"/>
      <c r="Q68" s="240"/>
      <c r="R68" s="241"/>
      <c r="S68" s="68"/>
      <c r="T68" s="54"/>
    </row>
    <row r="69" spans="1:20" ht="22.8">
      <c r="A69" s="55"/>
      <c r="B69" s="70"/>
      <c r="C69" s="242"/>
      <c r="D69" s="240"/>
      <c r="E69" s="240"/>
      <c r="F69" s="240"/>
      <c r="G69" s="240"/>
      <c r="H69" s="240"/>
      <c r="I69" s="240"/>
      <c r="J69" s="240"/>
      <c r="K69" s="240"/>
      <c r="L69" s="240"/>
      <c r="M69" s="240"/>
      <c r="N69" s="240"/>
      <c r="O69" s="240"/>
      <c r="P69" s="240"/>
      <c r="Q69" s="240"/>
      <c r="R69" s="241"/>
      <c r="S69" s="68"/>
      <c r="T69" s="54"/>
    </row>
    <row r="70" spans="1:20" ht="22.8">
      <c r="A70" s="55"/>
      <c r="B70" s="70"/>
      <c r="C70" s="242"/>
      <c r="D70" s="240"/>
      <c r="E70" s="240"/>
      <c r="F70" s="240"/>
      <c r="G70" s="240"/>
      <c r="H70" s="240"/>
      <c r="I70" s="240"/>
      <c r="J70" s="240"/>
      <c r="K70" s="240"/>
      <c r="L70" s="240"/>
      <c r="M70" s="240"/>
      <c r="N70" s="240"/>
      <c r="O70" s="240"/>
      <c r="P70" s="240"/>
      <c r="Q70" s="240"/>
      <c r="R70" s="241"/>
      <c r="S70" s="68"/>
      <c r="T70" s="54"/>
    </row>
    <row r="71" spans="1:20" ht="22.8">
      <c r="A71" s="55"/>
      <c r="B71" s="70"/>
      <c r="C71" s="242"/>
      <c r="D71" s="240"/>
      <c r="E71" s="240"/>
      <c r="F71" s="240"/>
      <c r="G71" s="240"/>
      <c r="H71" s="240"/>
      <c r="I71" s="240"/>
      <c r="J71" s="240"/>
      <c r="K71" s="240"/>
      <c r="L71" s="240"/>
      <c r="M71" s="240"/>
      <c r="N71" s="240"/>
      <c r="O71" s="240"/>
      <c r="P71" s="240"/>
      <c r="Q71" s="240"/>
      <c r="R71" s="241"/>
      <c r="S71" s="68"/>
      <c r="T71" s="54"/>
    </row>
    <row r="72" spans="1:20" ht="22.8">
      <c r="A72" s="55"/>
      <c r="B72" s="70"/>
      <c r="C72" s="242"/>
      <c r="D72" s="240"/>
      <c r="E72" s="240"/>
      <c r="F72" s="240"/>
      <c r="G72" s="240"/>
      <c r="H72" s="240"/>
      <c r="I72" s="240"/>
      <c r="J72" s="240"/>
      <c r="K72" s="240"/>
      <c r="L72" s="240"/>
      <c r="M72" s="240"/>
      <c r="N72" s="240"/>
      <c r="O72" s="240"/>
      <c r="P72" s="240"/>
      <c r="Q72" s="240"/>
      <c r="R72" s="241"/>
      <c r="S72" s="68"/>
      <c r="T72" s="54"/>
    </row>
    <row r="73" spans="1:20" ht="22.8">
      <c r="A73" s="55"/>
      <c r="B73" s="70"/>
      <c r="C73" s="242"/>
      <c r="D73" s="240"/>
      <c r="E73" s="240"/>
      <c r="F73" s="240"/>
      <c r="G73" s="240"/>
      <c r="H73" s="240"/>
      <c r="I73" s="240"/>
      <c r="J73" s="240"/>
      <c r="K73" s="240"/>
      <c r="L73" s="240"/>
      <c r="M73" s="240"/>
      <c r="N73" s="240"/>
      <c r="O73" s="240"/>
      <c r="P73" s="240"/>
      <c r="Q73" s="240"/>
      <c r="R73" s="241"/>
      <c r="S73" s="68"/>
      <c r="T73" s="54"/>
    </row>
    <row r="74" spans="1:20" ht="22.8">
      <c r="A74" s="55"/>
      <c r="B74" s="70"/>
      <c r="C74" s="242"/>
      <c r="D74" s="240"/>
      <c r="E74" s="240"/>
      <c r="F74" s="240"/>
      <c r="G74" s="240"/>
      <c r="H74" s="240"/>
      <c r="I74" s="240"/>
      <c r="J74" s="240"/>
      <c r="K74" s="240"/>
      <c r="L74" s="240"/>
      <c r="M74" s="240"/>
      <c r="N74" s="240"/>
      <c r="O74" s="240"/>
      <c r="P74" s="240"/>
      <c r="Q74" s="240"/>
      <c r="R74" s="241"/>
      <c r="S74" s="68"/>
      <c r="T74" s="54"/>
    </row>
    <row r="75" spans="1:20" ht="22.8">
      <c r="A75" s="55"/>
      <c r="B75" s="70"/>
      <c r="C75" s="242"/>
      <c r="D75" s="240"/>
      <c r="E75" s="240"/>
      <c r="F75" s="240"/>
      <c r="G75" s="240"/>
      <c r="H75" s="240"/>
      <c r="I75" s="240"/>
      <c r="J75" s="240"/>
      <c r="K75" s="240"/>
      <c r="L75" s="240"/>
      <c r="M75" s="240"/>
      <c r="N75" s="240"/>
      <c r="O75" s="240"/>
      <c r="P75" s="240"/>
      <c r="Q75" s="240"/>
      <c r="R75" s="241"/>
      <c r="S75" s="68"/>
      <c r="T75" s="54"/>
    </row>
    <row r="76" spans="1:20" ht="22.8">
      <c r="A76" s="55"/>
      <c r="B76" s="70"/>
      <c r="C76" s="242"/>
      <c r="D76" s="240"/>
      <c r="E76" s="240"/>
      <c r="F76" s="240"/>
      <c r="G76" s="240"/>
      <c r="H76" s="240"/>
      <c r="I76" s="240"/>
      <c r="J76" s="240"/>
      <c r="K76" s="240"/>
      <c r="L76" s="240"/>
      <c r="M76" s="240"/>
      <c r="N76" s="240"/>
      <c r="O76" s="240"/>
      <c r="P76" s="240"/>
      <c r="Q76" s="240"/>
      <c r="R76" s="241"/>
      <c r="S76" s="68"/>
      <c r="T76" s="54"/>
    </row>
    <row r="77" spans="1:20" ht="22.8">
      <c r="A77" s="55"/>
      <c r="B77" s="70"/>
      <c r="C77" s="242"/>
      <c r="D77" s="240"/>
      <c r="E77" s="240"/>
      <c r="F77" s="240"/>
      <c r="G77" s="240"/>
      <c r="H77" s="240"/>
      <c r="I77" s="240"/>
      <c r="J77" s="240"/>
      <c r="K77" s="240"/>
      <c r="L77" s="240"/>
      <c r="M77" s="240"/>
      <c r="N77" s="240"/>
      <c r="O77" s="240"/>
      <c r="P77" s="240"/>
      <c r="Q77" s="240"/>
      <c r="R77" s="241"/>
      <c r="S77" s="68"/>
      <c r="T77" s="54"/>
    </row>
    <row r="78" spans="1:20" ht="22.8">
      <c r="A78" s="55"/>
      <c r="B78" s="70"/>
      <c r="C78" s="242"/>
      <c r="D78" s="240"/>
      <c r="E78" s="240"/>
      <c r="F78" s="240"/>
      <c r="G78" s="240"/>
      <c r="H78" s="240"/>
      <c r="I78" s="240"/>
      <c r="J78" s="240"/>
      <c r="K78" s="240"/>
      <c r="L78" s="240"/>
      <c r="M78" s="240"/>
      <c r="N78" s="240"/>
      <c r="O78" s="240"/>
      <c r="P78" s="240"/>
      <c r="Q78" s="240"/>
      <c r="R78" s="241"/>
      <c r="S78" s="68"/>
      <c r="T78" s="54"/>
    </row>
    <row r="79" spans="1:20" ht="22.8">
      <c r="A79" s="55"/>
      <c r="B79" s="70"/>
      <c r="C79" s="242"/>
      <c r="D79" s="240"/>
      <c r="E79" s="240"/>
      <c r="F79" s="240"/>
      <c r="G79" s="240"/>
      <c r="H79" s="240"/>
      <c r="I79" s="240"/>
      <c r="J79" s="240"/>
      <c r="K79" s="240"/>
      <c r="L79" s="240"/>
      <c r="M79" s="240"/>
      <c r="N79" s="240"/>
      <c r="O79" s="240"/>
      <c r="P79" s="240"/>
      <c r="Q79" s="240"/>
      <c r="R79" s="241"/>
      <c r="S79" s="68"/>
      <c r="T79" s="54"/>
    </row>
    <row r="80" spans="1:20" ht="22.8">
      <c r="A80" s="55"/>
      <c r="B80" s="70"/>
      <c r="C80" s="242"/>
      <c r="D80" s="240"/>
      <c r="E80" s="240"/>
      <c r="F80" s="240"/>
      <c r="G80" s="240"/>
      <c r="H80" s="240"/>
      <c r="I80" s="240"/>
      <c r="J80" s="240"/>
      <c r="K80" s="240"/>
      <c r="L80" s="240"/>
      <c r="M80" s="240"/>
      <c r="N80" s="240"/>
      <c r="O80" s="240"/>
      <c r="P80" s="240"/>
      <c r="Q80" s="240"/>
      <c r="R80" s="241"/>
      <c r="S80" s="68"/>
      <c r="T80" s="54"/>
    </row>
    <row r="81" spans="1:20" ht="22.8">
      <c r="A81" s="55"/>
      <c r="B81" s="70"/>
      <c r="C81" s="242"/>
      <c r="D81" s="240"/>
      <c r="E81" s="240"/>
      <c r="F81" s="240"/>
      <c r="G81" s="240"/>
      <c r="H81" s="240"/>
      <c r="I81" s="240"/>
      <c r="J81" s="240"/>
      <c r="K81" s="240"/>
      <c r="L81" s="240"/>
      <c r="M81" s="240"/>
      <c r="N81" s="240"/>
      <c r="O81" s="240"/>
      <c r="P81" s="240"/>
      <c r="Q81" s="240"/>
      <c r="R81" s="241"/>
      <c r="S81" s="68"/>
      <c r="T81" s="54"/>
    </row>
    <row r="82" spans="1:20" ht="22.8">
      <c r="A82" s="55"/>
      <c r="B82" s="70"/>
      <c r="C82" s="242"/>
      <c r="D82" s="240"/>
      <c r="E82" s="240"/>
      <c r="F82" s="240"/>
      <c r="G82" s="240"/>
      <c r="H82" s="240"/>
      <c r="I82" s="240"/>
      <c r="J82" s="240"/>
      <c r="K82" s="240"/>
      <c r="L82" s="240"/>
      <c r="M82" s="240"/>
      <c r="N82" s="240"/>
      <c r="O82" s="240"/>
      <c r="P82" s="240"/>
      <c r="Q82" s="240"/>
      <c r="R82" s="241"/>
      <c r="S82" s="68"/>
      <c r="T82" s="54"/>
    </row>
    <row r="83" spans="1:20" ht="22.8">
      <c r="A83" s="55"/>
      <c r="B83" s="70"/>
      <c r="C83" s="242"/>
      <c r="D83" s="240"/>
      <c r="E83" s="240"/>
      <c r="F83" s="240"/>
      <c r="G83" s="240"/>
      <c r="H83" s="240"/>
      <c r="I83" s="240"/>
      <c r="J83" s="240"/>
      <c r="K83" s="240"/>
      <c r="L83" s="240"/>
      <c r="M83" s="240"/>
      <c r="N83" s="240"/>
      <c r="O83" s="240"/>
      <c r="P83" s="240"/>
      <c r="Q83" s="240"/>
      <c r="R83" s="241"/>
      <c r="S83" s="68"/>
      <c r="T83" s="54"/>
    </row>
    <row r="84" spans="1:20" ht="22.8">
      <c r="A84" s="55"/>
      <c r="B84" s="70"/>
      <c r="C84" s="242"/>
      <c r="D84" s="240"/>
      <c r="E84" s="240"/>
      <c r="F84" s="240"/>
      <c r="G84" s="240"/>
      <c r="H84" s="240"/>
      <c r="I84" s="240"/>
      <c r="J84" s="240"/>
      <c r="K84" s="240"/>
      <c r="L84" s="240"/>
      <c r="M84" s="240"/>
      <c r="N84" s="240"/>
      <c r="O84" s="240"/>
      <c r="P84" s="240"/>
      <c r="Q84" s="240"/>
      <c r="R84" s="241"/>
      <c r="S84" s="68"/>
      <c r="T84" s="54"/>
    </row>
    <row r="85" spans="1:20" ht="22.8">
      <c r="A85" s="55"/>
      <c r="B85" s="70"/>
      <c r="C85" s="242"/>
      <c r="D85" s="240"/>
      <c r="E85" s="240"/>
      <c r="F85" s="240"/>
      <c r="G85" s="240"/>
      <c r="H85" s="240"/>
      <c r="I85" s="240"/>
      <c r="J85" s="240"/>
      <c r="K85" s="240"/>
      <c r="L85" s="240"/>
      <c r="M85" s="240"/>
      <c r="N85" s="240"/>
      <c r="O85" s="240"/>
      <c r="P85" s="240"/>
      <c r="Q85" s="240"/>
      <c r="R85" s="241"/>
      <c r="S85" s="68"/>
      <c r="T85" s="54"/>
    </row>
    <row r="86" spans="1:20" ht="22.8">
      <c r="A86" s="55"/>
      <c r="B86" s="70"/>
      <c r="C86" s="242"/>
      <c r="D86" s="240"/>
      <c r="E86" s="240"/>
      <c r="F86" s="240"/>
      <c r="G86" s="240"/>
      <c r="H86" s="240"/>
      <c r="I86" s="240"/>
      <c r="J86" s="240"/>
      <c r="K86" s="240"/>
      <c r="L86" s="240"/>
      <c r="M86" s="240"/>
      <c r="N86" s="240"/>
      <c r="O86" s="240"/>
      <c r="P86" s="240"/>
      <c r="Q86" s="240"/>
      <c r="R86" s="241"/>
      <c r="S86" s="68"/>
      <c r="T86" s="54"/>
    </row>
    <row r="87" spans="1:20" ht="22.8">
      <c r="A87" s="55"/>
      <c r="B87" s="70"/>
      <c r="C87" s="242"/>
      <c r="D87" s="240"/>
      <c r="E87" s="240"/>
      <c r="F87" s="240"/>
      <c r="G87" s="240"/>
      <c r="H87" s="240"/>
      <c r="I87" s="240"/>
      <c r="J87" s="240"/>
      <c r="K87" s="240"/>
      <c r="L87" s="240"/>
      <c r="M87" s="240"/>
      <c r="N87" s="240"/>
      <c r="O87" s="240"/>
      <c r="P87" s="240"/>
      <c r="Q87" s="240"/>
      <c r="R87" s="241"/>
      <c r="S87" s="68"/>
      <c r="T87" s="54"/>
    </row>
    <row r="88" spans="1:20" ht="22.8">
      <c r="A88" s="55"/>
      <c r="B88" s="70"/>
      <c r="C88" s="242"/>
      <c r="D88" s="240"/>
      <c r="E88" s="240"/>
      <c r="F88" s="240"/>
      <c r="G88" s="240"/>
      <c r="H88" s="240"/>
      <c r="I88" s="240"/>
      <c r="J88" s="240"/>
      <c r="K88" s="240"/>
      <c r="L88" s="240"/>
      <c r="M88" s="240"/>
      <c r="N88" s="240"/>
      <c r="O88" s="240"/>
      <c r="P88" s="240"/>
      <c r="Q88" s="240"/>
      <c r="R88" s="241"/>
      <c r="S88" s="68"/>
      <c r="T88" s="54"/>
    </row>
    <row r="89" spans="1:20" ht="22.8">
      <c r="A89" s="55"/>
      <c r="B89" s="70"/>
      <c r="C89" s="242"/>
      <c r="D89" s="240"/>
      <c r="E89" s="240"/>
      <c r="F89" s="240"/>
      <c r="G89" s="240"/>
      <c r="H89" s="240"/>
      <c r="I89" s="240"/>
      <c r="J89" s="240"/>
      <c r="K89" s="240"/>
      <c r="L89" s="240"/>
      <c r="M89" s="240"/>
      <c r="N89" s="240"/>
      <c r="O89" s="240"/>
      <c r="P89" s="240"/>
      <c r="Q89" s="240"/>
      <c r="R89" s="241"/>
      <c r="S89" s="68"/>
      <c r="T89" s="54"/>
    </row>
    <row r="90" spans="1:20" ht="22.8">
      <c r="A90" s="55"/>
      <c r="B90" s="70"/>
      <c r="C90" s="242"/>
      <c r="D90" s="240"/>
      <c r="E90" s="240"/>
      <c r="F90" s="240"/>
      <c r="G90" s="240"/>
      <c r="H90" s="240"/>
      <c r="I90" s="240"/>
      <c r="J90" s="240"/>
      <c r="K90" s="240"/>
      <c r="L90" s="240"/>
      <c r="M90" s="240"/>
      <c r="N90" s="240"/>
      <c r="O90" s="240"/>
      <c r="P90" s="240"/>
      <c r="Q90" s="240"/>
      <c r="R90" s="241"/>
      <c r="S90" s="68"/>
      <c r="T90" s="54"/>
    </row>
    <row r="91" spans="1:20" ht="22.8">
      <c r="A91" s="55"/>
      <c r="B91" s="70"/>
      <c r="C91" s="242"/>
      <c r="D91" s="240"/>
      <c r="E91" s="240"/>
      <c r="F91" s="240"/>
      <c r="G91" s="240"/>
      <c r="H91" s="240"/>
      <c r="I91" s="240"/>
      <c r="J91" s="240"/>
      <c r="K91" s="240"/>
      <c r="L91" s="240"/>
      <c r="M91" s="240"/>
      <c r="N91" s="240"/>
      <c r="O91" s="240"/>
      <c r="P91" s="240"/>
      <c r="Q91" s="240"/>
      <c r="R91" s="241"/>
      <c r="S91" s="68"/>
      <c r="T91" s="54"/>
    </row>
    <row r="92" spans="1:20" ht="22.8">
      <c r="A92" s="55"/>
      <c r="B92" s="70"/>
      <c r="C92" s="246"/>
      <c r="D92" s="247"/>
      <c r="E92" s="247"/>
      <c r="F92" s="247"/>
      <c r="G92" s="247"/>
      <c r="H92" s="247"/>
      <c r="I92" s="247"/>
      <c r="J92" s="247"/>
      <c r="K92" s="247"/>
      <c r="L92" s="247"/>
      <c r="M92" s="247"/>
      <c r="N92" s="247"/>
      <c r="O92" s="247"/>
      <c r="P92" s="247"/>
      <c r="Q92" s="247"/>
      <c r="R92" s="24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3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3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27" customWidth="1"/>
    <col min="2" max="2" width="1.6640625" style="127" customWidth="1"/>
    <col min="3" max="3" width="24.33203125" style="9" bestFit="1" customWidth="1"/>
    <col min="4" max="4" width="10" style="160" bestFit="1" customWidth="1"/>
    <col min="5" max="5" width="89.44140625" style="9" bestFit="1" customWidth="1"/>
    <col min="6" max="6" width="14.44140625" style="127" customWidth="1"/>
    <col min="7" max="7" width="37.33203125" style="127" bestFit="1" customWidth="1"/>
    <col min="8" max="8" width="22.44140625" style="127" customWidth="1"/>
    <col min="9" max="9" width="6.109375" style="127" bestFit="1" customWidth="1"/>
    <col min="10" max="10" width="24.5546875" style="127" bestFit="1" customWidth="1"/>
    <col min="11" max="16384" width="9.109375" style="127"/>
  </cols>
  <sheetData>
    <row r="1" spans="3:11" ht="15.6">
      <c r="C1" s="124" t="s">
        <v>65</v>
      </c>
      <c r="D1" s="125"/>
      <c r="E1" s="126" t="s">
        <v>66</v>
      </c>
    </row>
    <row r="2" spans="3:11" ht="15.6">
      <c r="C2" s="128"/>
      <c r="D2" s="129"/>
      <c r="E2" s="130"/>
    </row>
    <row r="3" spans="3:11" ht="15.6">
      <c r="C3" s="131"/>
      <c r="D3" s="132" t="s">
        <v>64</v>
      </c>
      <c r="E3" s="133"/>
      <c r="F3" s="134" t="s">
        <v>21</v>
      </c>
      <c r="G3" s="134" t="s">
        <v>31</v>
      </c>
      <c r="H3" s="134" t="s">
        <v>19</v>
      </c>
      <c r="I3" s="134" t="s">
        <v>20</v>
      </c>
      <c r="J3" s="135" t="s">
        <v>30</v>
      </c>
    </row>
    <row r="4" spans="3:11" ht="15.6">
      <c r="C4" s="136"/>
      <c r="D4" s="137"/>
      <c r="E4" s="136"/>
    </row>
    <row r="5" spans="3:11">
      <c r="C5" s="138" t="s">
        <v>98</v>
      </c>
      <c r="D5" s="138"/>
      <c r="E5" s="138" t="s">
        <v>99</v>
      </c>
      <c r="F5" s="138"/>
      <c r="G5" s="138"/>
      <c r="H5" s="138"/>
      <c r="I5" s="138"/>
      <c r="J5" s="138"/>
      <c r="K5" s="138"/>
    </row>
    <row r="6" spans="3:11" ht="15.6">
      <c r="C6" s="139"/>
      <c r="D6" s="139"/>
      <c r="E6" s="140" t="s">
        <v>115</v>
      </c>
    </row>
    <row r="7" spans="3:11">
      <c r="C7" s="253" t="s">
        <v>316</v>
      </c>
      <c r="D7" s="138" t="s">
        <v>78</v>
      </c>
      <c r="E7" s="138" t="str">
        <f>"Water: Non-households – under "&amp;Threshold&amp;"ML threshold"</f>
        <v>Water: Non-households – under 50ML threshold</v>
      </c>
      <c r="F7" s="127" t="s">
        <v>231</v>
      </c>
      <c r="G7" s="253" t="s">
        <v>315</v>
      </c>
      <c r="H7" s="138"/>
      <c r="J7" s="127" t="s">
        <v>363</v>
      </c>
    </row>
    <row r="8" spans="3:11">
      <c r="C8" s="253" t="s">
        <v>317</v>
      </c>
      <c r="D8" s="138" t="s">
        <v>78</v>
      </c>
      <c r="E8" s="138" t="str">
        <f>"Water: Non-households – over "&amp;Threshold&amp;"ML threshold"</f>
        <v>Water: Non-households – over 50ML threshold</v>
      </c>
      <c r="F8" s="127" t="s">
        <v>231</v>
      </c>
      <c r="G8" s="253" t="s">
        <v>315</v>
      </c>
      <c r="H8" s="138"/>
      <c r="J8" s="127" t="s">
        <v>363</v>
      </c>
    </row>
    <row r="9" spans="3:11">
      <c r="C9" s="253"/>
      <c r="D9" s="138"/>
      <c r="E9" s="138"/>
      <c r="I9" s="138"/>
    </row>
    <row r="10" spans="3:11">
      <c r="C10" s="253" t="s">
        <v>33</v>
      </c>
      <c r="D10" s="138" t="s">
        <v>78</v>
      </c>
      <c r="E10" s="141" t="s">
        <v>40</v>
      </c>
      <c r="F10" s="138" t="s">
        <v>33</v>
      </c>
      <c r="G10" s="138" t="s">
        <v>311</v>
      </c>
      <c r="H10" s="138" t="s">
        <v>1</v>
      </c>
      <c r="I10" s="127">
        <v>54</v>
      </c>
    </row>
    <row r="11" spans="3:11">
      <c r="C11" s="253" t="s">
        <v>27</v>
      </c>
      <c r="D11" s="142" t="s">
        <v>36</v>
      </c>
      <c r="E11" s="142" t="s">
        <v>39</v>
      </c>
      <c r="F11" s="138" t="s">
        <v>27</v>
      </c>
      <c r="G11" s="138" t="s">
        <v>311</v>
      </c>
      <c r="H11" s="138" t="s">
        <v>2</v>
      </c>
      <c r="I11" s="127">
        <v>30</v>
      </c>
    </row>
    <row r="12" spans="3:11">
      <c r="C12" s="253" t="s">
        <v>180</v>
      </c>
      <c r="D12" s="142" t="s">
        <v>36</v>
      </c>
      <c r="E12" s="142" t="s">
        <v>37</v>
      </c>
      <c r="F12" s="138" t="s">
        <v>0</v>
      </c>
      <c r="G12" s="138" t="s">
        <v>311</v>
      </c>
      <c r="H12" s="138" t="s">
        <v>2</v>
      </c>
      <c r="I12" s="127">
        <v>31</v>
      </c>
    </row>
    <row r="13" spans="3:11">
      <c r="C13" s="253" t="s">
        <v>22</v>
      </c>
      <c r="D13" s="142" t="s">
        <v>36</v>
      </c>
      <c r="E13" s="141" t="s">
        <v>104</v>
      </c>
      <c r="F13" s="138" t="s">
        <v>22</v>
      </c>
      <c r="G13" s="138" t="s">
        <v>311</v>
      </c>
      <c r="H13" s="138" t="s">
        <v>1</v>
      </c>
      <c r="I13" s="127">
        <v>71</v>
      </c>
    </row>
    <row r="14" spans="3:11">
      <c r="C14" s="253" t="s">
        <v>23</v>
      </c>
      <c r="D14" s="142" t="s">
        <v>36</v>
      </c>
      <c r="E14" s="141" t="s">
        <v>105</v>
      </c>
      <c r="F14" s="138" t="s">
        <v>23</v>
      </c>
      <c r="G14" s="138" t="s">
        <v>311</v>
      </c>
      <c r="H14" s="138" t="s">
        <v>1</v>
      </c>
      <c r="I14" s="127">
        <v>72</v>
      </c>
    </row>
    <row r="15" spans="3:11">
      <c r="C15" s="253"/>
      <c r="D15" s="138"/>
      <c r="E15" s="138"/>
      <c r="I15" s="138"/>
    </row>
    <row r="16" spans="3:11">
      <c r="C16" s="253" t="s">
        <v>318</v>
      </c>
      <c r="D16" s="143" t="s">
        <v>78</v>
      </c>
      <c r="E16" s="138" t="str">
        <f>"Sewerage: Non-households – under "&amp;Threshold&amp;"ML threshold"</f>
        <v>Sewerage: Non-households – under 50ML threshold</v>
      </c>
      <c r="F16" s="127" t="s">
        <v>231</v>
      </c>
      <c r="G16" s="253" t="s">
        <v>315</v>
      </c>
      <c r="H16" s="138"/>
      <c r="J16" s="127" t="s">
        <v>363</v>
      </c>
    </row>
    <row r="17" spans="3:10">
      <c r="C17" s="253" t="s">
        <v>319</v>
      </c>
      <c r="D17" s="143" t="s">
        <v>78</v>
      </c>
      <c r="E17" s="138" t="str">
        <f>"Sewerage: Non-households – over "&amp;Threshold&amp;"ML threshold"</f>
        <v>Sewerage: Non-households – over 50ML threshold</v>
      </c>
      <c r="F17" s="127" t="s">
        <v>231</v>
      </c>
      <c r="G17" s="253" t="s">
        <v>315</v>
      </c>
      <c r="H17" s="138"/>
      <c r="J17" s="127" t="s">
        <v>363</v>
      </c>
    </row>
    <row r="18" spans="3:10">
      <c r="C18" s="138"/>
      <c r="D18" s="143"/>
      <c r="E18" s="138"/>
      <c r="I18" s="138"/>
    </row>
    <row r="19" spans="3:10">
      <c r="C19" s="138" t="s">
        <v>34</v>
      </c>
      <c r="D19" s="143" t="s">
        <v>78</v>
      </c>
      <c r="E19" s="141" t="s">
        <v>102</v>
      </c>
      <c r="F19" s="138" t="s">
        <v>34</v>
      </c>
      <c r="G19" s="138" t="s">
        <v>311</v>
      </c>
      <c r="H19" s="138" t="s">
        <v>1</v>
      </c>
      <c r="I19" s="138">
        <v>57</v>
      </c>
    </row>
    <row r="20" spans="3:10">
      <c r="C20" s="138" t="s">
        <v>28</v>
      </c>
      <c r="D20" s="144" t="s">
        <v>68</v>
      </c>
      <c r="E20" s="142" t="s">
        <v>103</v>
      </c>
      <c r="F20" s="138" t="s">
        <v>28</v>
      </c>
      <c r="G20" s="138" t="s">
        <v>311</v>
      </c>
      <c r="H20" s="138" t="s">
        <v>2</v>
      </c>
      <c r="I20" s="138">
        <v>32</v>
      </c>
    </row>
    <row r="21" spans="3:10">
      <c r="C21" s="138" t="s">
        <v>29</v>
      </c>
      <c r="D21" s="144" t="s">
        <v>68</v>
      </c>
      <c r="E21" s="142" t="s">
        <v>35</v>
      </c>
      <c r="F21" s="138" t="s">
        <v>29</v>
      </c>
      <c r="G21" s="138" t="s">
        <v>311</v>
      </c>
      <c r="H21" s="138" t="s">
        <v>2</v>
      </c>
      <c r="I21" s="138">
        <v>33</v>
      </c>
    </row>
    <row r="22" spans="3:10">
      <c r="C22" s="138" t="s">
        <v>24</v>
      </c>
      <c r="D22" s="144" t="s">
        <v>68</v>
      </c>
      <c r="E22" s="141" t="s">
        <v>38</v>
      </c>
      <c r="F22" s="138" t="s">
        <v>24</v>
      </c>
      <c r="G22" s="138" t="s">
        <v>311</v>
      </c>
      <c r="H22" s="138" t="s">
        <v>1</v>
      </c>
      <c r="I22" s="138">
        <v>73</v>
      </c>
    </row>
    <row r="23" spans="3:10">
      <c r="C23" s="138" t="s">
        <v>25</v>
      </c>
      <c r="D23" s="144" t="s">
        <v>68</v>
      </c>
      <c r="E23" s="141" t="s">
        <v>41</v>
      </c>
      <c r="F23" s="138" t="s">
        <v>25</v>
      </c>
      <c r="G23" s="138" t="s">
        <v>311</v>
      </c>
      <c r="H23" s="138" t="s">
        <v>1</v>
      </c>
      <c r="I23" s="138">
        <v>74</v>
      </c>
    </row>
    <row r="24" spans="3:10">
      <c r="C24" s="138"/>
      <c r="D24" s="143"/>
      <c r="E24" s="138"/>
      <c r="I24" s="138"/>
    </row>
    <row r="25" spans="3:10">
      <c r="C25" s="138"/>
      <c r="D25" s="138"/>
      <c r="E25" s="145"/>
      <c r="I25" s="138"/>
    </row>
    <row r="26" spans="3:10" ht="15.6">
      <c r="C26" s="139"/>
      <c r="D26" s="139"/>
      <c r="E26" s="140" t="s">
        <v>62</v>
      </c>
      <c r="I26" s="138"/>
    </row>
    <row r="27" spans="3:10">
      <c r="C27" s="138" t="s">
        <v>3</v>
      </c>
      <c r="D27" s="138" t="s">
        <v>78</v>
      </c>
      <c r="E27" s="145" t="s">
        <v>45</v>
      </c>
      <c r="F27" s="138" t="s">
        <v>3</v>
      </c>
      <c r="G27" s="138" t="s">
        <v>307</v>
      </c>
      <c r="H27" s="138" t="s">
        <v>308</v>
      </c>
      <c r="I27" s="138">
        <v>1</v>
      </c>
      <c r="J27" s="138" t="s">
        <v>234</v>
      </c>
    </row>
    <row r="28" spans="3:10">
      <c r="C28" s="138" t="s">
        <v>4</v>
      </c>
      <c r="D28" s="138" t="s">
        <v>78</v>
      </c>
      <c r="E28" s="145" t="s">
        <v>46</v>
      </c>
      <c r="F28" s="138" t="s">
        <v>4</v>
      </c>
      <c r="G28" s="138" t="s">
        <v>307</v>
      </c>
      <c r="H28" s="138" t="s">
        <v>308</v>
      </c>
      <c r="I28" s="138">
        <v>2</v>
      </c>
      <c r="J28" s="138" t="s">
        <v>234</v>
      </c>
    </row>
    <row r="29" spans="3:10">
      <c r="C29" s="138" t="s">
        <v>5</v>
      </c>
      <c r="D29" s="138" t="s">
        <v>78</v>
      </c>
      <c r="E29" s="145" t="s">
        <v>47</v>
      </c>
      <c r="F29" s="138" t="s">
        <v>5</v>
      </c>
      <c r="G29" s="138" t="s">
        <v>307</v>
      </c>
      <c r="H29" s="138" t="s">
        <v>308</v>
      </c>
      <c r="I29" s="138">
        <v>3</v>
      </c>
      <c r="J29" s="138" t="s">
        <v>234</v>
      </c>
    </row>
    <row r="30" spans="3:10">
      <c r="C30" s="138" t="s">
        <v>6</v>
      </c>
      <c r="D30" s="138" t="s">
        <v>78</v>
      </c>
      <c r="E30" s="145" t="s">
        <v>48</v>
      </c>
      <c r="F30" s="138" t="s">
        <v>6</v>
      </c>
      <c r="G30" s="138" t="s">
        <v>307</v>
      </c>
      <c r="H30" s="138" t="s">
        <v>308</v>
      </c>
      <c r="I30" s="138">
        <v>4</v>
      </c>
      <c r="J30" s="138" t="s">
        <v>234</v>
      </c>
    </row>
    <row r="31" spans="3:10">
      <c r="C31" s="138" t="s">
        <v>7</v>
      </c>
      <c r="D31" s="138" t="s">
        <v>78</v>
      </c>
      <c r="E31" s="138" t="s">
        <v>49</v>
      </c>
      <c r="F31" s="138" t="s">
        <v>7</v>
      </c>
      <c r="G31" s="138" t="s">
        <v>307</v>
      </c>
      <c r="H31" s="138" t="s">
        <v>308</v>
      </c>
      <c r="I31" s="138">
        <v>5</v>
      </c>
      <c r="J31" s="138" t="s">
        <v>234</v>
      </c>
    </row>
    <row r="32" spans="3:10">
      <c r="C32" s="146" t="s">
        <v>353</v>
      </c>
      <c r="D32" s="138" t="s">
        <v>78</v>
      </c>
      <c r="E32" s="138" t="s">
        <v>233</v>
      </c>
      <c r="F32" s="138" t="s">
        <v>231</v>
      </c>
      <c r="G32" s="138" t="s">
        <v>307</v>
      </c>
      <c r="H32" s="138" t="s">
        <v>308</v>
      </c>
      <c r="I32" s="147">
        <v>6</v>
      </c>
      <c r="J32" s="138" t="s">
        <v>234</v>
      </c>
    </row>
    <row r="33" spans="3:10">
      <c r="C33" s="146" t="s">
        <v>354</v>
      </c>
      <c r="D33" s="138" t="s">
        <v>78</v>
      </c>
      <c r="E33" s="138" t="s">
        <v>170</v>
      </c>
      <c r="F33" s="138" t="s">
        <v>231</v>
      </c>
      <c r="G33" s="138" t="s">
        <v>307</v>
      </c>
      <c r="H33" s="138" t="s">
        <v>308</v>
      </c>
      <c r="I33" s="138">
        <v>7</v>
      </c>
      <c r="J33" s="138" t="s">
        <v>234</v>
      </c>
    </row>
    <row r="34" spans="3:10">
      <c r="C34" s="148"/>
      <c r="D34" s="149"/>
      <c r="E34" s="148"/>
      <c r="I34" s="138"/>
    </row>
    <row r="35" spans="3:10">
      <c r="C35" s="261"/>
      <c r="D35" s="150" t="s">
        <v>77</v>
      </c>
      <c r="E35" s="145" t="s">
        <v>51</v>
      </c>
      <c r="F35" s="127" t="s">
        <v>336</v>
      </c>
      <c r="G35" s="138" t="s">
        <v>307</v>
      </c>
      <c r="H35" s="138" t="s">
        <v>334</v>
      </c>
      <c r="I35" s="138"/>
      <c r="J35" s="138" t="s">
        <v>338</v>
      </c>
    </row>
    <row r="36" spans="3:10">
      <c r="C36" s="138" t="s">
        <v>8</v>
      </c>
      <c r="D36" s="150" t="s">
        <v>77</v>
      </c>
      <c r="E36" s="145" t="s">
        <v>52</v>
      </c>
      <c r="F36" s="138" t="s">
        <v>8</v>
      </c>
      <c r="G36" s="138" t="s">
        <v>307</v>
      </c>
      <c r="H36" s="138" t="s">
        <v>308</v>
      </c>
      <c r="I36" s="138">
        <v>9</v>
      </c>
      <c r="J36" s="138" t="s">
        <v>234</v>
      </c>
    </row>
    <row r="37" spans="3:10">
      <c r="C37" s="253" t="s">
        <v>330</v>
      </c>
      <c r="D37" s="150" t="s">
        <v>77</v>
      </c>
      <c r="E37" s="138" t="s">
        <v>50</v>
      </c>
      <c r="F37" s="138" t="s">
        <v>231</v>
      </c>
      <c r="G37" s="138" t="s">
        <v>307</v>
      </c>
      <c r="H37" s="138" t="s">
        <v>308</v>
      </c>
      <c r="I37" s="138">
        <v>10</v>
      </c>
      <c r="J37" s="138" t="s">
        <v>234</v>
      </c>
    </row>
    <row r="38" spans="3:10">
      <c r="C38" s="138"/>
      <c r="D38" s="150"/>
      <c r="E38" s="138"/>
    </row>
    <row r="39" spans="3:10">
      <c r="C39" s="138" t="s">
        <v>9</v>
      </c>
      <c r="D39" s="143" t="s">
        <v>78</v>
      </c>
      <c r="E39" s="145" t="s">
        <v>53</v>
      </c>
      <c r="F39" s="138" t="s">
        <v>9</v>
      </c>
      <c r="G39" s="138" t="s">
        <v>309</v>
      </c>
      <c r="H39" s="138" t="s">
        <v>310</v>
      </c>
      <c r="I39" s="138">
        <v>1</v>
      </c>
      <c r="J39" s="138" t="s">
        <v>234</v>
      </c>
    </row>
    <row r="40" spans="3:10">
      <c r="C40" s="138" t="s">
        <v>11</v>
      </c>
      <c r="D40" s="143" t="s">
        <v>78</v>
      </c>
      <c r="E40" s="145" t="s">
        <v>54</v>
      </c>
      <c r="F40" s="138" t="s">
        <v>11</v>
      </c>
      <c r="G40" s="253" t="s">
        <v>309</v>
      </c>
      <c r="H40" s="138" t="s">
        <v>310</v>
      </c>
      <c r="I40" s="138">
        <v>2</v>
      </c>
      <c r="J40" s="138" t="s">
        <v>234</v>
      </c>
    </row>
    <row r="41" spans="3:10">
      <c r="C41" s="138" t="s">
        <v>12</v>
      </c>
      <c r="D41" s="143" t="s">
        <v>78</v>
      </c>
      <c r="E41" s="145" t="s">
        <v>55</v>
      </c>
      <c r="F41" s="138" t="s">
        <v>12</v>
      </c>
      <c r="G41" s="253" t="s">
        <v>309</v>
      </c>
      <c r="H41" s="138" t="s">
        <v>310</v>
      </c>
      <c r="I41" s="138">
        <v>3</v>
      </c>
      <c r="J41" s="138" t="s">
        <v>234</v>
      </c>
    </row>
    <row r="42" spans="3:10">
      <c r="C42" s="138" t="s">
        <v>13</v>
      </c>
      <c r="D42" s="143" t="s">
        <v>78</v>
      </c>
      <c r="E42" s="145" t="s">
        <v>56</v>
      </c>
      <c r="F42" s="138" t="s">
        <v>13</v>
      </c>
      <c r="G42" s="253" t="s">
        <v>309</v>
      </c>
      <c r="H42" s="138" t="s">
        <v>310</v>
      </c>
      <c r="I42" s="138">
        <v>4</v>
      </c>
      <c r="J42" s="138" t="s">
        <v>234</v>
      </c>
    </row>
    <row r="43" spans="3:10">
      <c r="C43" s="138" t="s">
        <v>10</v>
      </c>
      <c r="D43" s="143" t="s">
        <v>78</v>
      </c>
      <c r="E43" s="145" t="s">
        <v>57</v>
      </c>
      <c r="F43" s="138" t="s">
        <v>10</v>
      </c>
      <c r="G43" s="253" t="s">
        <v>309</v>
      </c>
      <c r="H43" s="138" t="s">
        <v>310</v>
      </c>
      <c r="I43" s="138">
        <v>5</v>
      </c>
      <c r="J43" s="138" t="s">
        <v>234</v>
      </c>
    </row>
    <row r="44" spans="3:10">
      <c r="C44" s="138" t="s">
        <v>14</v>
      </c>
      <c r="D44" s="143" t="s">
        <v>78</v>
      </c>
      <c r="E44" s="138" t="s">
        <v>58</v>
      </c>
      <c r="F44" s="138" t="s">
        <v>14</v>
      </c>
      <c r="G44" s="253" t="s">
        <v>309</v>
      </c>
      <c r="H44" s="138" t="s">
        <v>310</v>
      </c>
      <c r="I44" s="147">
        <v>6</v>
      </c>
      <c r="J44" s="138" t="s">
        <v>234</v>
      </c>
    </row>
    <row r="45" spans="3:10">
      <c r="C45" s="146" t="s">
        <v>355</v>
      </c>
      <c r="D45" s="138" t="s">
        <v>78</v>
      </c>
      <c r="E45" s="138" t="s">
        <v>232</v>
      </c>
      <c r="F45" s="138" t="s">
        <v>231</v>
      </c>
      <c r="G45" s="253" t="s">
        <v>309</v>
      </c>
      <c r="H45" s="138" t="s">
        <v>310</v>
      </c>
      <c r="I45" s="138">
        <v>7</v>
      </c>
      <c r="J45" s="138" t="s">
        <v>234</v>
      </c>
    </row>
    <row r="46" spans="3:10">
      <c r="C46" s="146" t="s">
        <v>356</v>
      </c>
      <c r="D46" s="138" t="s">
        <v>78</v>
      </c>
      <c r="E46" s="138" t="s">
        <v>171</v>
      </c>
      <c r="F46" s="138" t="s">
        <v>231</v>
      </c>
      <c r="G46" s="253" t="s">
        <v>309</v>
      </c>
      <c r="H46" s="138" t="s">
        <v>310</v>
      </c>
      <c r="I46" s="138">
        <v>8</v>
      </c>
      <c r="J46" s="138" t="s">
        <v>234</v>
      </c>
    </row>
    <row r="47" spans="3:10">
      <c r="C47" s="149"/>
      <c r="D47" s="151"/>
      <c r="E47" s="149"/>
      <c r="I47" s="149"/>
    </row>
    <row r="48" spans="3:10">
      <c r="C48" s="261"/>
      <c r="D48" s="152" t="s">
        <v>77</v>
      </c>
      <c r="E48" s="145" t="s">
        <v>60</v>
      </c>
      <c r="F48" s="127" t="s">
        <v>337</v>
      </c>
      <c r="G48" s="253" t="s">
        <v>309</v>
      </c>
      <c r="H48" s="138" t="s">
        <v>335</v>
      </c>
      <c r="I48" s="138"/>
      <c r="J48" s="138" t="s">
        <v>338</v>
      </c>
    </row>
    <row r="49" spans="1:11">
      <c r="C49" s="138" t="s">
        <v>16</v>
      </c>
      <c r="D49" s="152" t="s">
        <v>77</v>
      </c>
      <c r="E49" s="145" t="s">
        <v>61</v>
      </c>
      <c r="F49" s="138" t="s">
        <v>16</v>
      </c>
      <c r="G49" s="253" t="s">
        <v>309</v>
      </c>
      <c r="H49" s="138" t="s">
        <v>310</v>
      </c>
      <c r="I49" s="138">
        <v>10</v>
      </c>
      <c r="J49" s="138" t="s">
        <v>234</v>
      </c>
    </row>
    <row r="50" spans="1:11">
      <c r="C50" s="253" t="s">
        <v>352</v>
      </c>
      <c r="D50" s="152" t="s">
        <v>77</v>
      </c>
      <c r="E50" s="138" t="s">
        <v>59</v>
      </c>
      <c r="F50" s="138" t="s">
        <v>231</v>
      </c>
      <c r="G50" s="253" t="s">
        <v>309</v>
      </c>
      <c r="H50" s="138" t="s">
        <v>310</v>
      </c>
      <c r="I50" s="138">
        <v>11</v>
      </c>
      <c r="J50" s="138" t="s">
        <v>234</v>
      </c>
    </row>
    <row r="51" spans="1:11">
      <c r="C51" s="138"/>
      <c r="D51" s="150"/>
      <c r="E51" s="138"/>
      <c r="I51" s="138"/>
    </row>
    <row r="52" spans="1:11" ht="15.6">
      <c r="C52" s="139"/>
      <c r="D52" s="139"/>
      <c r="E52" s="140" t="s">
        <v>42</v>
      </c>
      <c r="I52" s="138"/>
    </row>
    <row r="53" spans="1:11">
      <c r="C53" s="138" t="s">
        <v>18</v>
      </c>
      <c r="D53" s="153" t="s">
        <v>67</v>
      </c>
      <c r="E53" s="138" t="s">
        <v>81</v>
      </c>
      <c r="F53" s="138" t="s">
        <v>231</v>
      </c>
      <c r="G53" s="138" t="s">
        <v>230</v>
      </c>
      <c r="H53" s="138" t="s">
        <v>235</v>
      </c>
      <c r="I53" s="138">
        <v>15</v>
      </c>
      <c r="J53" s="138" t="s">
        <v>234</v>
      </c>
    </row>
    <row r="54" spans="1:11">
      <c r="C54" s="138" t="s">
        <v>17</v>
      </c>
      <c r="D54" s="144" t="s">
        <v>68</v>
      </c>
      <c r="E54" s="138" t="s">
        <v>202</v>
      </c>
      <c r="F54" s="138" t="s">
        <v>17</v>
      </c>
      <c r="G54" s="253" t="s">
        <v>311</v>
      </c>
      <c r="H54" s="127" t="s">
        <v>236</v>
      </c>
      <c r="I54" s="138">
        <v>29</v>
      </c>
      <c r="J54" s="138" t="s">
        <v>246</v>
      </c>
    </row>
    <row r="55" spans="1:11">
      <c r="C55" s="253" t="s">
        <v>312</v>
      </c>
      <c r="D55" s="144" t="s">
        <v>68</v>
      </c>
      <c r="E55" s="138" t="s">
        <v>194</v>
      </c>
      <c r="F55" s="138" t="s">
        <v>312</v>
      </c>
      <c r="G55" s="253" t="s">
        <v>313</v>
      </c>
      <c r="H55" s="127" t="s">
        <v>314</v>
      </c>
      <c r="I55" s="127">
        <v>22</v>
      </c>
      <c r="J55" s="127" t="s">
        <v>246</v>
      </c>
    </row>
    <row r="56" spans="1:11">
      <c r="C56" s="127"/>
      <c r="D56" s="144"/>
      <c r="E56" s="138"/>
      <c r="I56" s="138"/>
    </row>
    <row r="57" spans="1:11">
      <c r="C57" s="138" t="s">
        <v>26</v>
      </c>
      <c r="D57" s="153" t="s">
        <v>67</v>
      </c>
      <c r="E57" s="138" t="s">
        <v>43</v>
      </c>
      <c r="F57" s="138" t="s">
        <v>26</v>
      </c>
      <c r="G57" s="253" t="s">
        <v>311</v>
      </c>
      <c r="I57" s="138"/>
    </row>
    <row r="58" spans="1:11">
      <c r="C58" s="253" t="s">
        <v>324</v>
      </c>
      <c r="D58" s="153" t="s">
        <v>67</v>
      </c>
      <c r="E58" s="145" t="s">
        <v>79</v>
      </c>
      <c r="F58" s="138" t="s">
        <v>231</v>
      </c>
      <c r="G58" s="127" t="s">
        <v>364</v>
      </c>
      <c r="I58" s="138"/>
    </row>
    <row r="59" spans="1:11">
      <c r="C59" s="253" t="s">
        <v>325</v>
      </c>
      <c r="D59" s="153" t="s">
        <v>67</v>
      </c>
      <c r="E59" s="145" t="s">
        <v>80</v>
      </c>
      <c r="F59" s="138" t="s">
        <v>231</v>
      </c>
      <c r="G59" s="127" t="s">
        <v>364</v>
      </c>
      <c r="I59" s="138"/>
    </row>
    <row r="60" spans="1:11">
      <c r="C60" s="154" t="s">
        <v>326</v>
      </c>
      <c r="D60" s="153" t="s">
        <v>67</v>
      </c>
      <c r="E60" s="253" t="s">
        <v>44</v>
      </c>
      <c r="F60" s="138" t="s">
        <v>231</v>
      </c>
      <c r="G60" s="127" t="s">
        <v>271</v>
      </c>
      <c r="I60" s="154"/>
    </row>
    <row r="61" spans="1:11">
      <c r="C61" s="154" t="s">
        <v>327</v>
      </c>
      <c r="D61" s="144" t="s">
        <v>32</v>
      </c>
      <c r="E61" s="253" t="s">
        <v>168</v>
      </c>
      <c r="F61" s="138" t="s">
        <v>231</v>
      </c>
      <c r="G61" s="127" t="s">
        <v>364</v>
      </c>
    </row>
    <row r="62" spans="1:11">
      <c r="A62" s="9"/>
      <c r="B62" s="9"/>
      <c r="C62" s="154"/>
      <c r="D62" s="144"/>
      <c r="E62" s="138"/>
      <c r="F62" s="9"/>
      <c r="H62" s="9"/>
      <c r="I62" s="9"/>
      <c r="J62" s="9"/>
      <c r="K62" s="9"/>
    </row>
    <row r="63" spans="1:11" ht="15.6">
      <c r="A63" s="139"/>
      <c r="B63" s="139"/>
      <c r="C63" s="139"/>
      <c r="D63" s="139"/>
      <c r="E63" s="140" t="s">
        <v>227</v>
      </c>
      <c r="F63" s="9"/>
      <c r="G63" s="9"/>
      <c r="H63" s="9"/>
      <c r="I63" s="9"/>
      <c r="J63" s="9"/>
      <c r="K63" s="9"/>
    </row>
    <row r="64" spans="1:11">
      <c r="A64" s="9"/>
      <c r="B64" s="9"/>
      <c r="C64" s="154"/>
      <c r="D64" s="144"/>
      <c r="E64" s="138"/>
      <c r="F64" s="9"/>
      <c r="G64" s="9"/>
      <c r="H64" s="9"/>
      <c r="I64" s="9"/>
      <c r="J64" s="9"/>
      <c r="K64" s="9"/>
    </row>
    <row r="65" spans="1:11">
      <c r="A65" s="9"/>
      <c r="B65" s="9"/>
      <c r="C65" s="154"/>
      <c r="D65" s="144"/>
      <c r="E65" s="138"/>
      <c r="F65" s="9"/>
      <c r="G65" s="9"/>
      <c r="H65" s="9"/>
      <c r="I65" s="9"/>
      <c r="J65" s="9"/>
      <c r="K65" s="9"/>
    </row>
    <row r="66" spans="1:11">
      <c r="A66" s="9"/>
      <c r="B66" s="9"/>
      <c r="C66" s="155"/>
      <c r="D66" s="156"/>
      <c r="E66" s="156"/>
      <c r="F66" s="9"/>
      <c r="G66" s="9"/>
      <c r="H66" s="9"/>
      <c r="I66" s="9"/>
      <c r="J66" s="9"/>
      <c r="K66" s="9"/>
    </row>
    <row r="67" spans="1:11">
      <c r="A67" s="9"/>
      <c r="B67" s="9"/>
      <c r="C67" s="155"/>
      <c r="D67" s="156"/>
      <c r="E67" s="156"/>
      <c r="F67" s="9"/>
      <c r="G67" s="9"/>
      <c r="H67" s="9"/>
      <c r="I67" s="9"/>
      <c r="J67" s="9"/>
      <c r="K67" s="9"/>
    </row>
    <row r="68" spans="1:11">
      <c r="A68" s="157"/>
      <c r="B68" s="157"/>
      <c r="C68" s="158"/>
      <c r="D68" s="159"/>
      <c r="E68" s="159"/>
      <c r="F68" s="157"/>
      <c r="G68" s="157"/>
      <c r="H68" s="157"/>
      <c r="I68" s="157"/>
      <c r="J68" s="157"/>
      <c r="K68" s="157"/>
    </row>
    <row r="69" spans="1:11">
      <c r="A69" s="9"/>
      <c r="B69" s="9"/>
      <c r="F69" s="9"/>
      <c r="G69" s="9"/>
      <c r="H69" s="9"/>
      <c r="I69" s="9"/>
      <c r="J69" s="9"/>
      <c r="K69" s="9"/>
    </row>
    <row r="126" spans="3:5" ht="15.6">
      <c r="C126" s="2"/>
      <c r="D126" s="161"/>
      <c r="E126" s="2"/>
    </row>
  </sheetData>
  <phoneticPr fontId="10"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3.2"/>
  <sheetData>
    <row r="1" spans="1:2">
      <c r="A1" t="s">
        <v>446</v>
      </c>
      <c r="B1" t="s">
        <v>447</v>
      </c>
    </row>
    <row r="2" spans="1:2">
      <c r="A2" t="s">
        <v>459</v>
      </c>
      <c r="B2" t="s">
        <v>482</v>
      </c>
    </row>
    <row r="3" spans="1:2">
      <c r="A3" t="s">
        <v>465</v>
      </c>
      <c r="B3" t="s">
        <v>483</v>
      </c>
    </row>
    <row r="4" spans="1:2">
      <c r="A4" t="s">
        <v>432</v>
      </c>
      <c r="B4" t="s">
        <v>466</v>
      </c>
    </row>
    <row r="5" spans="1:2">
      <c r="A5" t="s">
        <v>434</v>
      </c>
      <c r="B5" t="s">
        <v>480</v>
      </c>
    </row>
    <row r="6" spans="1:2">
      <c r="A6" t="s">
        <v>436</v>
      </c>
      <c r="B6" t="s">
        <v>481</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467</v>
      </c>
    </row>
    <row r="16" spans="1:2">
      <c r="A16" t="s">
        <v>453</v>
      </c>
      <c r="B16" t="s">
        <v>454</v>
      </c>
    </row>
    <row r="17" spans="1:2">
      <c r="A17" t="s">
        <v>455</v>
      </c>
      <c r="B17" t="s">
        <v>456</v>
      </c>
    </row>
    <row r="18" spans="1:2">
      <c r="A18" t="s">
        <v>460</v>
      </c>
      <c r="B18" t="s">
        <v>468</v>
      </c>
    </row>
    <row r="19" spans="1:2">
      <c r="A19" t="s">
        <v>461</v>
      </c>
      <c r="B19" t="s">
        <v>468</v>
      </c>
    </row>
    <row r="20" spans="1:2">
      <c r="A20" t="s">
        <v>462</v>
      </c>
      <c r="B20" t="s">
        <v>463</v>
      </c>
    </row>
    <row r="21" spans="1:2">
      <c r="A21" t="s">
        <v>464</v>
      </c>
      <c r="B21" t="s">
        <v>469</v>
      </c>
    </row>
    <row r="22" spans="1:2">
      <c r="A22" t="s">
        <v>470</v>
      </c>
      <c r="B22" t="s">
        <v>476</v>
      </c>
    </row>
    <row r="23" spans="1:2">
      <c r="A23" t="s">
        <v>471</v>
      </c>
      <c r="B23" t="s">
        <v>451</v>
      </c>
    </row>
    <row r="24" spans="1:2">
      <c r="A24" t="s">
        <v>472</v>
      </c>
      <c r="B24" t="s">
        <v>477</v>
      </c>
    </row>
    <row r="25" spans="1:2">
      <c r="A25" t="s">
        <v>473</v>
      </c>
      <c r="B25" t="s">
        <v>474</v>
      </c>
    </row>
    <row r="26" spans="1:2">
      <c r="A26" t="s">
        <v>475</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85" zoomScaleNormal="85" workbookViewId="0"/>
  </sheetViews>
  <sheetFormatPr defaultRowHeight="13.2"/>
  <cols>
    <col min="1" max="1" width="8.5546875" customWidth="1"/>
    <col min="2" max="2" width="7.21875" customWidth="1"/>
    <col min="3" max="3" width="41.5546875" customWidth="1"/>
    <col min="4" max="4" width="3.44140625" customWidth="1"/>
    <col min="5" max="5" width="28.44140625" bestFit="1" customWidth="1"/>
    <col min="6" max="14" width="7.7773437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B4" t="s">
        <v>316</v>
      </c>
      <c r="C4" t="s">
        <v>320</v>
      </c>
      <c r="D4" t="s">
        <v>78</v>
      </c>
      <c r="E4" t="s">
        <v>433</v>
      </c>
      <c r="F4" s="266"/>
      <c r="G4" s="266"/>
      <c r="H4" s="266">
        <v>156.67609998181999</v>
      </c>
      <c r="I4" s="266">
        <v>157.62249928706299</v>
      </c>
      <c r="J4" s="266">
        <v>156.83159803803301</v>
      </c>
      <c r="K4" s="266">
        <v>159.721562064734</v>
      </c>
      <c r="L4" s="266">
        <v>164.77119085330199</v>
      </c>
      <c r="M4" s="266">
        <v>169.24624136086101</v>
      </c>
      <c r="N4" s="266"/>
    </row>
    <row r="5" spans="1:14">
      <c r="B5" t="s">
        <v>317</v>
      </c>
      <c r="C5" t="s">
        <v>321</v>
      </c>
      <c r="D5" t="s">
        <v>78</v>
      </c>
      <c r="E5" t="s">
        <v>433</v>
      </c>
      <c r="F5" s="266"/>
      <c r="G5" s="266"/>
      <c r="H5" s="266">
        <v>11.567320837057499</v>
      </c>
      <c r="I5" s="266">
        <v>11.626265954635199</v>
      </c>
      <c r="J5" s="266">
        <v>11.5652929505206</v>
      </c>
      <c r="K5" s="266">
        <v>11.7730108575212</v>
      </c>
      <c r="L5" s="266">
        <v>12.136229656377701</v>
      </c>
      <c r="M5" s="266">
        <v>12.455342013366201</v>
      </c>
      <c r="N5" s="266"/>
    </row>
    <row r="6" spans="1:14">
      <c r="B6" t="s">
        <v>33</v>
      </c>
      <c r="C6" t="s">
        <v>289</v>
      </c>
      <c r="D6" t="s">
        <v>78</v>
      </c>
      <c r="E6" t="s">
        <v>433</v>
      </c>
      <c r="F6" s="266"/>
      <c r="G6" s="266"/>
      <c r="H6" s="266"/>
      <c r="I6" s="266">
        <v>777.90629110211296</v>
      </c>
      <c r="J6" s="266">
        <v>773.61709801529798</v>
      </c>
      <c r="K6" s="266">
        <v>811.91331282402405</v>
      </c>
      <c r="L6" s="266">
        <v>821.43870022992598</v>
      </c>
      <c r="M6" s="266">
        <v>847.528932745063</v>
      </c>
      <c r="N6" s="266"/>
    </row>
    <row r="7" spans="1:14">
      <c r="B7" t="s">
        <v>357</v>
      </c>
      <c r="C7" t="s">
        <v>358</v>
      </c>
      <c r="D7" t="s">
        <v>78</v>
      </c>
      <c r="E7" t="s">
        <v>433</v>
      </c>
      <c r="F7" s="266"/>
      <c r="G7" s="266"/>
      <c r="H7" s="266"/>
      <c r="I7" s="266">
        <v>2.4532946326871801E-4</v>
      </c>
      <c r="J7" s="266">
        <v>6.6436431097827194E-5</v>
      </c>
      <c r="K7" s="266">
        <v>-20.2378151646692</v>
      </c>
      <c r="L7" s="266">
        <v>0.37735229382065</v>
      </c>
      <c r="M7" s="266">
        <v>0.38913588883770001</v>
      </c>
      <c r="N7" s="266"/>
    </row>
    <row r="8" spans="1:14">
      <c r="B8" t="s">
        <v>386</v>
      </c>
      <c r="C8" t="s">
        <v>290</v>
      </c>
      <c r="D8">
        <v>0</v>
      </c>
      <c r="E8" t="s">
        <v>433</v>
      </c>
      <c r="F8" s="266">
        <v>2426.5509999999999</v>
      </c>
      <c r="G8" s="266">
        <v>2391.529</v>
      </c>
      <c r="H8" s="266">
        <v>2356.1320000000001</v>
      </c>
      <c r="I8" s="266">
        <v>2287.4140000000002</v>
      </c>
      <c r="J8" s="266">
        <v>2185.375</v>
      </c>
      <c r="K8" s="266">
        <v>2109.5279999999998</v>
      </c>
      <c r="L8" s="266">
        <v>2060.373</v>
      </c>
      <c r="M8" s="266">
        <v>2012.2180000000001</v>
      </c>
      <c r="N8" s="266"/>
    </row>
    <row r="9" spans="1:14">
      <c r="B9" t="s">
        <v>180</v>
      </c>
      <c r="C9" t="s">
        <v>291</v>
      </c>
      <c r="D9">
        <v>0</v>
      </c>
      <c r="E9" t="s">
        <v>433</v>
      </c>
      <c r="F9" s="266">
        <v>805.16899999999998</v>
      </c>
      <c r="G9" s="266">
        <v>861.00199999999995</v>
      </c>
      <c r="H9" s="266">
        <v>916.26</v>
      </c>
      <c r="I9" s="266">
        <v>1004.432</v>
      </c>
      <c r="J9" s="266">
        <v>1128.444</v>
      </c>
      <c r="K9" s="266">
        <v>1230.9490000000001</v>
      </c>
      <c r="L9" s="266">
        <v>1310.1400000000001</v>
      </c>
      <c r="M9" s="266">
        <v>1391.3620000000001</v>
      </c>
      <c r="N9" s="266"/>
    </row>
    <row r="10" spans="1:14">
      <c r="B10" t="s">
        <v>387</v>
      </c>
      <c r="C10" t="s">
        <v>292</v>
      </c>
      <c r="D10">
        <v>0</v>
      </c>
      <c r="E10" t="s">
        <v>433</v>
      </c>
      <c r="F10" s="266">
        <v>31.783000000000001</v>
      </c>
      <c r="G10" s="266">
        <v>31.783999999999999</v>
      </c>
      <c r="H10" s="266">
        <v>31.783999999999999</v>
      </c>
      <c r="I10" s="266">
        <v>31.783999999999999</v>
      </c>
      <c r="J10" s="266">
        <v>31.783999999999999</v>
      </c>
      <c r="K10" s="266">
        <v>31.783999999999999</v>
      </c>
      <c r="L10" s="266">
        <v>31.783999999999999</v>
      </c>
      <c r="M10" s="266">
        <v>31.783999999999999</v>
      </c>
      <c r="N10" s="266"/>
    </row>
    <row r="11" spans="1:14">
      <c r="B11" t="s">
        <v>388</v>
      </c>
      <c r="C11" t="s">
        <v>293</v>
      </c>
      <c r="D11">
        <v>0</v>
      </c>
      <c r="E11" t="s">
        <v>433</v>
      </c>
      <c r="F11" s="266">
        <v>184.51599999999999</v>
      </c>
      <c r="G11" s="266">
        <v>186.84299999999999</v>
      </c>
      <c r="H11" s="266">
        <v>189.24299999999999</v>
      </c>
      <c r="I11" s="266">
        <v>191.643</v>
      </c>
      <c r="J11" s="266">
        <v>194.04300000000001</v>
      </c>
      <c r="K11" s="266">
        <v>196.44300000000001</v>
      </c>
      <c r="L11" s="266">
        <v>198.84299999999999</v>
      </c>
      <c r="M11" s="266">
        <v>201.24299999999999</v>
      </c>
      <c r="N11" s="266"/>
    </row>
    <row r="12" spans="1:14">
      <c r="B12" t="s">
        <v>318</v>
      </c>
      <c r="C12" t="s">
        <v>322</v>
      </c>
      <c r="D12" t="s">
        <v>78</v>
      </c>
      <c r="E12" t="s">
        <v>433</v>
      </c>
      <c r="F12" s="266"/>
      <c r="G12" s="266"/>
      <c r="H12" s="266">
        <v>127.060071727283</v>
      </c>
      <c r="I12" s="266">
        <v>119.14459220069</v>
      </c>
      <c r="J12" s="266">
        <v>126.273990420437</v>
      </c>
      <c r="K12" s="266">
        <v>136.46589478334801</v>
      </c>
      <c r="L12" s="266">
        <v>148.06614577697999</v>
      </c>
      <c r="M12" s="266">
        <v>156.09421859072199</v>
      </c>
      <c r="N12" s="266"/>
    </row>
    <row r="13" spans="1:14">
      <c r="B13" t="s">
        <v>319</v>
      </c>
      <c r="C13" t="s">
        <v>323</v>
      </c>
      <c r="D13" t="s">
        <v>78</v>
      </c>
      <c r="E13" t="s">
        <v>433</v>
      </c>
      <c r="F13" s="266"/>
      <c r="G13" s="266"/>
      <c r="H13" s="266">
        <v>16.629304957147401</v>
      </c>
      <c r="I13" s="266">
        <v>15.3835957042481</v>
      </c>
      <c r="J13" s="266">
        <v>16.3382078538088</v>
      </c>
      <c r="K13" s="266">
        <v>17.7315951770832</v>
      </c>
      <c r="L13" s="266">
        <v>19.337190526374101</v>
      </c>
      <c r="M13" s="266">
        <v>20.4054933685692</v>
      </c>
      <c r="N13" s="266"/>
    </row>
    <row r="14" spans="1:14">
      <c r="B14" t="s">
        <v>34</v>
      </c>
      <c r="C14" t="s">
        <v>294</v>
      </c>
      <c r="D14" t="s">
        <v>78</v>
      </c>
      <c r="E14" t="s">
        <v>433</v>
      </c>
      <c r="F14" s="266"/>
      <c r="G14" s="266"/>
      <c r="H14" s="266"/>
      <c r="I14" s="266">
        <v>714.75862246721795</v>
      </c>
      <c r="J14" s="266">
        <v>755.22141245730199</v>
      </c>
      <c r="K14" s="266">
        <v>836.57130586717597</v>
      </c>
      <c r="L14" s="266">
        <v>884.03273131687297</v>
      </c>
      <c r="M14" s="266">
        <v>933.79106060106506</v>
      </c>
      <c r="N14" s="266"/>
    </row>
    <row r="15" spans="1:14">
      <c r="B15" t="s">
        <v>359</v>
      </c>
      <c r="C15" t="s">
        <v>360</v>
      </c>
      <c r="D15" t="s">
        <v>78</v>
      </c>
      <c r="E15" t="s">
        <v>433</v>
      </c>
      <c r="F15" s="266"/>
      <c r="G15" s="266"/>
      <c r="H15" s="266"/>
      <c r="I15" s="266">
        <v>1.1883445927196601E-4</v>
      </c>
      <c r="J15" s="266">
        <v>-4.5455522035808799E-4</v>
      </c>
      <c r="K15" s="266">
        <v>-20.793268793152802</v>
      </c>
      <c r="L15" s="266">
        <v>0.41804741409157498</v>
      </c>
      <c r="M15" s="266">
        <v>0.429375711291414</v>
      </c>
      <c r="N15" s="266"/>
    </row>
    <row r="16" spans="1:14">
      <c r="B16" t="s">
        <v>389</v>
      </c>
      <c r="C16" t="s">
        <v>295</v>
      </c>
      <c r="D16">
        <v>0</v>
      </c>
      <c r="E16" t="s">
        <v>433</v>
      </c>
      <c r="F16" s="266">
        <v>3685.0920000000001</v>
      </c>
      <c r="G16" s="266">
        <v>3593.5590000000002</v>
      </c>
      <c r="H16" s="266">
        <v>3500.962</v>
      </c>
      <c r="I16" s="266">
        <v>3359.1790000000001</v>
      </c>
      <c r="J16" s="266">
        <v>3176.6660000000002</v>
      </c>
      <c r="K16" s="266">
        <v>3000.4749999999999</v>
      </c>
      <c r="L16" s="266">
        <v>2852.98</v>
      </c>
      <c r="M16" s="266">
        <v>2708.3009999999999</v>
      </c>
      <c r="N16" s="266"/>
    </row>
    <row r="17" spans="2:14">
      <c r="B17" t="s">
        <v>390</v>
      </c>
      <c r="C17" t="s">
        <v>296</v>
      </c>
      <c r="D17">
        <v>0</v>
      </c>
      <c r="E17" t="s">
        <v>433</v>
      </c>
      <c r="F17" s="266">
        <v>1344.646</v>
      </c>
      <c r="G17" s="266">
        <v>1465.828</v>
      </c>
      <c r="H17" s="266">
        <v>1589.606</v>
      </c>
      <c r="I17" s="266">
        <v>1764.1669999999999</v>
      </c>
      <c r="J17" s="266">
        <v>1978.932</v>
      </c>
      <c r="K17" s="266">
        <v>2199.627</v>
      </c>
      <c r="L17" s="266">
        <v>2393.5360000000001</v>
      </c>
      <c r="M17" s="266">
        <v>2591.922</v>
      </c>
      <c r="N17" s="266"/>
    </row>
    <row r="18" spans="2:14">
      <c r="B18" t="s">
        <v>391</v>
      </c>
      <c r="C18" t="s">
        <v>297</v>
      </c>
      <c r="D18">
        <v>0</v>
      </c>
      <c r="E18" t="s">
        <v>433</v>
      </c>
      <c r="F18" s="266">
        <v>51.103999999999999</v>
      </c>
      <c r="G18" s="266">
        <v>51.103999999999999</v>
      </c>
      <c r="H18" s="266">
        <v>51.103999999999999</v>
      </c>
      <c r="I18" s="266">
        <v>51.103999999999999</v>
      </c>
      <c r="J18" s="266">
        <v>51.103999999999999</v>
      </c>
      <c r="K18" s="266">
        <v>51.103999999999999</v>
      </c>
      <c r="L18" s="266">
        <v>51.103999999999999</v>
      </c>
      <c r="M18" s="266">
        <v>51.103999999999999</v>
      </c>
      <c r="N18" s="266"/>
    </row>
    <row r="19" spans="2:14">
      <c r="B19" t="s">
        <v>392</v>
      </c>
      <c r="C19" t="s">
        <v>298</v>
      </c>
      <c r="D19">
        <v>0</v>
      </c>
      <c r="E19" t="s">
        <v>433</v>
      </c>
      <c r="F19" s="266">
        <v>246.12100000000001</v>
      </c>
      <c r="G19" s="266">
        <v>249.42</v>
      </c>
      <c r="H19" s="266">
        <v>252.71899999999999</v>
      </c>
      <c r="I19" s="266">
        <v>256.01799999999997</v>
      </c>
      <c r="J19" s="266">
        <v>259.31700000000001</v>
      </c>
      <c r="K19" s="266">
        <v>262.61599999999999</v>
      </c>
      <c r="L19" s="266">
        <v>265.91500000000002</v>
      </c>
      <c r="M19" s="266">
        <v>269.214</v>
      </c>
      <c r="N19" s="266"/>
    </row>
    <row r="20" spans="2:14">
      <c r="B20" t="s">
        <v>397</v>
      </c>
      <c r="C20" t="s">
        <v>45</v>
      </c>
      <c r="D20" t="s">
        <v>78</v>
      </c>
      <c r="E20" t="s">
        <v>433</v>
      </c>
      <c r="F20" s="266"/>
      <c r="G20" s="266"/>
      <c r="H20" s="266"/>
      <c r="I20" s="266">
        <v>461.50883286846403</v>
      </c>
      <c r="J20" s="266">
        <v>468.66040066455298</v>
      </c>
      <c r="K20" s="266">
        <v>480.11906965055601</v>
      </c>
      <c r="L20" s="266">
        <v>497.61884789411801</v>
      </c>
      <c r="M20" s="266">
        <v>508.9</v>
      </c>
      <c r="N20" s="266"/>
    </row>
    <row r="21" spans="2:14">
      <c r="B21" t="s">
        <v>4</v>
      </c>
      <c r="C21" t="s">
        <v>458</v>
      </c>
      <c r="D21" t="s">
        <v>78</v>
      </c>
      <c r="E21" t="s">
        <v>433</v>
      </c>
      <c r="F21" s="266"/>
      <c r="G21" s="266"/>
      <c r="H21" s="266"/>
      <c r="I21" s="266">
        <v>6.4937628715361297</v>
      </c>
      <c r="J21" s="266">
        <v>6.6063302316334296</v>
      </c>
      <c r="K21" s="266">
        <v>7.1511161194444997</v>
      </c>
      <c r="L21" s="266">
        <v>7.42783049588233</v>
      </c>
      <c r="M21" s="266">
        <v>7.6</v>
      </c>
      <c r="N21" s="266"/>
    </row>
    <row r="22" spans="2:14">
      <c r="B22" t="s">
        <v>398</v>
      </c>
      <c r="C22" t="s">
        <v>47</v>
      </c>
      <c r="D22" t="s">
        <v>78</v>
      </c>
      <c r="E22" t="s">
        <v>433</v>
      </c>
      <c r="F22" s="266"/>
      <c r="G22" s="266"/>
      <c r="H22" s="266"/>
      <c r="I22" s="266">
        <v>167.15882445229201</v>
      </c>
      <c r="J22" s="266">
        <v>174.06786642852899</v>
      </c>
      <c r="K22" s="266">
        <v>182.991513421756</v>
      </c>
      <c r="L22" s="266">
        <v>208.582500154803</v>
      </c>
      <c r="M22" s="266">
        <v>218.3</v>
      </c>
      <c r="N22" s="266"/>
    </row>
    <row r="23" spans="2:14">
      <c r="B23" t="s">
        <v>6</v>
      </c>
      <c r="C23" t="s">
        <v>299</v>
      </c>
      <c r="D23" t="s">
        <v>78</v>
      </c>
      <c r="E23" t="s">
        <v>433</v>
      </c>
      <c r="F23" s="266"/>
      <c r="G23" s="266"/>
      <c r="H23" s="266"/>
      <c r="I23" s="266">
        <v>157.95562378050801</v>
      </c>
      <c r="J23" s="266">
        <v>157.493038714383</v>
      </c>
      <c r="K23" s="266">
        <v>156.63467809204499</v>
      </c>
      <c r="L23" s="266">
        <v>174.45175487139801</v>
      </c>
      <c r="M23" s="266">
        <v>178.7</v>
      </c>
      <c r="N23" s="266"/>
    </row>
    <row r="24" spans="2:14">
      <c r="B24" t="s">
        <v>7</v>
      </c>
      <c r="C24" t="s">
        <v>300</v>
      </c>
      <c r="D24" t="s">
        <v>78</v>
      </c>
      <c r="E24" t="s">
        <v>433</v>
      </c>
      <c r="F24" s="266"/>
      <c r="G24" s="266"/>
      <c r="H24" s="266">
        <v>1.8</v>
      </c>
      <c r="I24" s="266">
        <v>0.4</v>
      </c>
      <c r="J24" s="266">
        <v>-1.6</v>
      </c>
      <c r="K24" s="266">
        <v>0.6</v>
      </c>
      <c r="L24" s="266">
        <v>0.6</v>
      </c>
      <c r="M24" s="266">
        <v>1.2</v>
      </c>
      <c r="N24" s="266"/>
    </row>
    <row r="25" spans="2:14">
      <c r="B25" t="s">
        <v>331</v>
      </c>
      <c r="C25" t="s">
        <v>393</v>
      </c>
      <c r="D25" t="s">
        <v>78</v>
      </c>
      <c r="E25" t="s">
        <v>433</v>
      </c>
      <c r="F25" s="266"/>
      <c r="G25" s="266"/>
      <c r="H25" s="266"/>
      <c r="I25" s="266">
        <v>0</v>
      </c>
      <c r="J25" s="266">
        <v>0</v>
      </c>
      <c r="K25" s="266">
        <v>0</v>
      </c>
      <c r="L25" s="266">
        <v>0</v>
      </c>
      <c r="M25" s="266">
        <v>0</v>
      </c>
      <c r="N25" s="266"/>
    </row>
    <row r="26" spans="2:14">
      <c r="B26" t="s">
        <v>332</v>
      </c>
      <c r="C26" t="s">
        <v>170</v>
      </c>
      <c r="D26" t="s">
        <v>78</v>
      </c>
      <c r="E26" t="s">
        <v>433</v>
      </c>
      <c r="F26" s="266"/>
      <c r="G26" s="266"/>
      <c r="H26" s="266"/>
      <c r="I26" s="266">
        <v>2.2254809999999998</v>
      </c>
      <c r="J26" s="266">
        <v>2.274181</v>
      </c>
      <c r="K26" s="266">
        <v>2.0285709999999999</v>
      </c>
      <c r="L26" s="266">
        <v>1.899796</v>
      </c>
      <c r="M26" s="266">
        <v>0.57049499999999997</v>
      </c>
      <c r="N26" s="266"/>
    </row>
    <row r="27" spans="2:14">
      <c r="B27" t="s">
        <v>399</v>
      </c>
      <c r="C27" t="s">
        <v>52</v>
      </c>
      <c r="D27" t="s">
        <v>405</v>
      </c>
      <c r="E27" t="s">
        <v>433</v>
      </c>
      <c r="F27" s="266"/>
      <c r="G27" s="266"/>
      <c r="H27" s="266">
        <v>216.24802</v>
      </c>
      <c r="I27" s="266">
        <v>215.20699999999999</v>
      </c>
      <c r="J27" s="266">
        <v>214.881</v>
      </c>
      <c r="K27" s="266">
        <v>214.08</v>
      </c>
      <c r="L27" s="266">
        <v>213.58</v>
      </c>
      <c r="M27" s="266">
        <v>213.399</v>
      </c>
      <c r="N27" s="266"/>
    </row>
    <row r="28" spans="2:14">
      <c r="B28" t="s">
        <v>330</v>
      </c>
      <c r="C28" t="s">
        <v>50</v>
      </c>
      <c r="D28" t="s">
        <v>405</v>
      </c>
      <c r="E28" t="s">
        <v>433</v>
      </c>
      <c r="F28" s="266"/>
      <c r="G28" s="266"/>
      <c r="H28" s="266"/>
      <c r="I28" s="266">
        <v>1.345</v>
      </c>
      <c r="J28" s="266">
        <v>2.5950000000000002</v>
      </c>
      <c r="K28" s="266">
        <v>4.0279999999999996</v>
      </c>
      <c r="L28" s="266">
        <v>6.141</v>
      </c>
      <c r="M28" s="266">
        <v>7.9710000000000001</v>
      </c>
      <c r="N28" s="266"/>
    </row>
    <row r="29" spans="2:14">
      <c r="B29" t="s">
        <v>400</v>
      </c>
      <c r="C29" t="s">
        <v>53</v>
      </c>
      <c r="D29" t="s">
        <v>78</v>
      </c>
      <c r="E29" t="s">
        <v>433</v>
      </c>
      <c r="F29" s="266"/>
      <c r="G29" s="266"/>
      <c r="H29" s="266"/>
      <c r="I29" s="266">
        <v>422.155127748523</v>
      </c>
      <c r="J29" s="266">
        <v>448.31550354532601</v>
      </c>
      <c r="K29" s="266">
        <v>477.814305128814</v>
      </c>
      <c r="L29" s="266">
        <v>508.10475812863098</v>
      </c>
      <c r="M29" s="266">
        <v>523.9</v>
      </c>
      <c r="N29" s="266"/>
    </row>
    <row r="30" spans="2:14">
      <c r="B30" t="s">
        <v>11</v>
      </c>
      <c r="C30" t="s">
        <v>301</v>
      </c>
      <c r="D30" t="s">
        <v>78</v>
      </c>
      <c r="E30" t="s">
        <v>433</v>
      </c>
      <c r="F30" s="266"/>
      <c r="G30" s="266"/>
      <c r="H30" s="266"/>
      <c r="I30" s="266">
        <v>4.1091094114772302</v>
      </c>
      <c r="J30" s="266">
        <v>4.9672923484878098</v>
      </c>
      <c r="K30" s="266">
        <v>6.5024926611854896</v>
      </c>
      <c r="L30" s="266">
        <v>7.4911163313691604</v>
      </c>
      <c r="M30" s="266">
        <v>8.1</v>
      </c>
      <c r="N30" s="266"/>
    </row>
    <row r="31" spans="2:14">
      <c r="B31" t="s">
        <v>401</v>
      </c>
      <c r="C31" t="s">
        <v>55</v>
      </c>
      <c r="D31" t="s">
        <v>78</v>
      </c>
      <c r="E31" t="s">
        <v>433</v>
      </c>
      <c r="F31" s="266"/>
      <c r="G31" s="266"/>
      <c r="H31" s="266"/>
      <c r="I31" s="266">
        <v>184.478191791032</v>
      </c>
      <c r="J31" s="266">
        <v>205.158348532975</v>
      </c>
      <c r="K31" s="266">
        <v>231.09703330587101</v>
      </c>
      <c r="L31" s="266">
        <v>271.89121958964103</v>
      </c>
      <c r="M31" s="266">
        <v>295.10000000000002</v>
      </c>
      <c r="N31" s="266"/>
    </row>
    <row r="32" spans="2:14">
      <c r="B32" t="s">
        <v>13</v>
      </c>
      <c r="C32" t="s">
        <v>302</v>
      </c>
      <c r="D32" t="s">
        <v>78</v>
      </c>
      <c r="E32" t="s">
        <v>433</v>
      </c>
      <c r="F32" s="266"/>
      <c r="G32" s="266"/>
      <c r="H32" s="266"/>
      <c r="I32" s="266">
        <v>110.522230959002</v>
      </c>
      <c r="J32" s="266">
        <v>117.568581479896</v>
      </c>
      <c r="K32" s="266">
        <v>127.4</v>
      </c>
      <c r="L32" s="266">
        <v>137.16395266145699</v>
      </c>
      <c r="M32" s="266">
        <v>151</v>
      </c>
      <c r="N32" s="266"/>
    </row>
    <row r="33" spans="2:14">
      <c r="B33" t="s">
        <v>10</v>
      </c>
      <c r="C33" t="s">
        <v>303</v>
      </c>
      <c r="D33" t="s">
        <v>78</v>
      </c>
      <c r="E33" t="s">
        <v>433</v>
      </c>
      <c r="F33" s="266"/>
      <c r="G33" s="266"/>
      <c r="H33" s="266"/>
      <c r="I33" s="266">
        <v>4.49066133</v>
      </c>
      <c r="J33" s="266">
        <v>6.6</v>
      </c>
      <c r="K33" s="266">
        <v>6.8</v>
      </c>
      <c r="L33" s="266">
        <v>8.4065434299999993</v>
      </c>
      <c r="M33" s="266">
        <v>8.1999999999999993</v>
      </c>
      <c r="N33" s="266"/>
    </row>
    <row r="34" spans="2:14">
      <c r="B34" t="s">
        <v>14</v>
      </c>
      <c r="C34" t="s">
        <v>304</v>
      </c>
      <c r="D34" t="s">
        <v>78</v>
      </c>
      <c r="E34" t="s">
        <v>433</v>
      </c>
      <c r="F34" s="266"/>
      <c r="G34" s="266"/>
      <c r="H34" s="266">
        <v>1.4</v>
      </c>
      <c r="I34" s="266">
        <v>0.8</v>
      </c>
      <c r="J34" s="266">
        <v>-0.4</v>
      </c>
      <c r="K34" s="266">
        <v>0</v>
      </c>
      <c r="L34" s="266">
        <v>0.2</v>
      </c>
      <c r="M34" s="266">
        <v>0</v>
      </c>
      <c r="N34" s="266"/>
    </row>
    <row r="35" spans="2:14">
      <c r="B35" t="s">
        <v>355</v>
      </c>
      <c r="C35" t="s">
        <v>394</v>
      </c>
      <c r="D35" t="s">
        <v>78</v>
      </c>
      <c r="E35" t="s">
        <v>433</v>
      </c>
      <c r="F35" s="266"/>
      <c r="G35" s="266"/>
      <c r="H35" s="266"/>
      <c r="I35" s="266">
        <v>0</v>
      </c>
      <c r="J35" s="266">
        <v>0</v>
      </c>
      <c r="K35" s="266">
        <v>0</v>
      </c>
      <c r="L35" s="266">
        <v>0</v>
      </c>
      <c r="M35" s="266">
        <v>0</v>
      </c>
      <c r="N35" s="266"/>
    </row>
    <row r="36" spans="2:14">
      <c r="B36" t="s">
        <v>356</v>
      </c>
      <c r="C36" t="s">
        <v>171</v>
      </c>
      <c r="D36" t="s">
        <v>78</v>
      </c>
      <c r="E36" t="s">
        <v>433</v>
      </c>
      <c r="F36" s="266"/>
      <c r="G36" s="266"/>
      <c r="H36" s="266"/>
      <c r="I36" s="266">
        <v>1.483654</v>
      </c>
      <c r="J36" s="266">
        <v>1.5161210000000001</v>
      </c>
      <c r="K36" s="266">
        <v>1.3523810000000001</v>
      </c>
      <c r="L36" s="266">
        <v>1.2665299999999999</v>
      </c>
      <c r="M36" s="266">
        <v>0.40352100000000002</v>
      </c>
      <c r="N36" s="266"/>
    </row>
    <row r="37" spans="2:14">
      <c r="B37" t="s">
        <v>402</v>
      </c>
      <c r="C37" t="s">
        <v>406</v>
      </c>
      <c r="D37" t="s">
        <v>405</v>
      </c>
      <c r="E37" t="s">
        <v>433</v>
      </c>
      <c r="F37" s="266"/>
      <c r="G37" s="266"/>
      <c r="H37" s="266">
        <v>297.09005050000002</v>
      </c>
      <c r="I37" s="266">
        <v>287.84500000000003</v>
      </c>
      <c r="J37" s="266">
        <v>290.286</v>
      </c>
      <c r="K37" s="266">
        <v>297.58600000000001</v>
      </c>
      <c r="L37" s="266">
        <v>296.93240166907498</v>
      </c>
      <c r="M37" s="266">
        <v>294.90067886856099</v>
      </c>
      <c r="N37" s="266"/>
    </row>
    <row r="38" spans="2:14">
      <c r="B38" t="s">
        <v>352</v>
      </c>
      <c r="C38" t="s">
        <v>59</v>
      </c>
      <c r="D38" t="s">
        <v>405</v>
      </c>
      <c r="E38" t="s">
        <v>433</v>
      </c>
      <c r="F38" s="266"/>
      <c r="G38" s="266"/>
      <c r="H38" s="266"/>
      <c r="I38" s="266">
        <v>1.42</v>
      </c>
      <c r="J38" s="266">
        <v>2.8540000000000001</v>
      </c>
      <c r="K38" s="266">
        <v>4.4710000000000001</v>
      </c>
      <c r="L38" s="266">
        <v>6.391</v>
      </c>
      <c r="M38" s="266">
        <v>8.2929999999999993</v>
      </c>
      <c r="N38" s="266"/>
    </row>
    <row r="39" spans="2:14">
      <c r="B39" t="s">
        <v>346</v>
      </c>
      <c r="C39" t="s">
        <v>340</v>
      </c>
      <c r="D39" t="s">
        <v>405</v>
      </c>
      <c r="E39" t="s">
        <v>433</v>
      </c>
      <c r="F39" s="266"/>
      <c r="G39" s="266"/>
      <c r="H39" s="266"/>
      <c r="I39" s="266">
        <v>33.268000000000001</v>
      </c>
      <c r="J39" s="266">
        <v>32.923999999999999</v>
      </c>
      <c r="K39" s="266">
        <v>32.362000000000002</v>
      </c>
      <c r="L39" s="266">
        <v>31.943999999999999</v>
      </c>
      <c r="M39" s="266">
        <v>31.577000000000002</v>
      </c>
      <c r="N39" s="266"/>
    </row>
    <row r="40" spans="2:14">
      <c r="B40" t="s">
        <v>347</v>
      </c>
      <c r="C40" t="s">
        <v>341</v>
      </c>
      <c r="D40" t="s">
        <v>405</v>
      </c>
      <c r="E40" t="s">
        <v>433</v>
      </c>
      <c r="F40" s="266"/>
      <c r="G40" s="266"/>
      <c r="H40" s="266"/>
      <c r="I40" s="266">
        <v>13.922000000000001</v>
      </c>
      <c r="J40" s="266">
        <v>14.316000000000001</v>
      </c>
      <c r="K40" s="266">
        <v>15.081</v>
      </c>
      <c r="L40" s="266">
        <v>15.82</v>
      </c>
      <c r="M40" s="266">
        <v>16.513000000000002</v>
      </c>
      <c r="N40" s="266"/>
    </row>
    <row r="41" spans="2:14">
      <c r="B41" t="s">
        <v>348</v>
      </c>
      <c r="C41" t="s">
        <v>342</v>
      </c>
      <c r="D41" t="s">
        <v>405</v>
      </c>
      <c r="E41" t="s">
        <v>433</v>
      </c>
      <c r="F41" s="266"/>
      <c r="G41" s="266"/>
      <c r="H41" s="266"/>
      <c r="I41" s="266">
        <v>1329.231</v>
      </c>
      <c r="J41" s="266">
        <v>1310.4290000000001</v>
      </c>
      <c r="K41" s="266">
        <v>1279.1880000000001</v>
      </c>
      <c r="L41" s="266">
        <v>1258.8599999999999</v>
      </c>
      <c r="M41" s="266">
        <v>1245.443</v>
      </c>
      <c r="N41" s="266"/>
    </row>
    <row r="42" spans="2:14">
      <c r="B42" t="s">
        <v>349</v>
      </c>
      <c r="C42" t="s">
        <v>343</v>
      </c>
      <c r="D42" t="s">
        <v>405</v>
      </c>
      <c r="E42" t="s">
        <v>433</v>
      </c>
      <c r="F42" s="266"/>
      <c r="G42" s="266"/>
      <c r="H42" s="266"/>
      <c r="I42" s="266">
        <v>556.24400000000003</v>
      </c>
      <c r="J42" s="266">
        <v>569.68399999999997</v>
      </c>
      <c r="K42" s="266">
        <v>596.04100000000005</v>
      </c>
      <c r="L42" s="266">
        <v>623.42399999999998</v>
      </c>
      <c r="M42" s="266">
        <v>651.29499999999996</v>
      </c>
      <c r="N42" s="266"/>
    </row>
    <row r="43" spans="2:14">
      <c r="B43" t="s">
        <v>350</v>
      </c>
      <c r="C43" t="s">
        <v>344</v>
      </c>
      <c r="D43" t="s">
        <v>405</v>
      </c>
      <c r="E43" t="s">
        <v>433</v>
      </c>
      <c r="F43" s="266"/>
      <c r="G43" s="266"/>
      <c r="H43" s="266"/>
      <c r="I43" s="266">
        <v>2333.0430000000001</v>
      </c>
      <c r="J43" s="266">
        <v>2312.1709999999998</v>
      </c>
      <c r="K43" s="266">
        <v>2274.4279999999999</v>
      </c>
      <c r="L43" s="266">
        <v>2243.502</v>
      </c>
      <c r="M43" s="266">
        <v>2219.953</v>
      </c>
      <c r="N43" s="266"/>
    </row>
    <row r="44" spans="2:14">
      <c r="B44" t="s">
        <v>351</v>
      </c>
      <c r="C44" t="s">
        <v>345</v>
      </c>
      <c r="D44" t="s">
        <v>405</v>
      </c>
      <c r="E44" t="s">
        <v>433</v>
      </c>
      <c r="F44" s="266"/>
      <c r="G44" s="266"/>
      <c r="H44" s="266"/>
      <c r="I44" s="266">
        <v>976.31</v>
      </c>
      <c r="J44" s="266">
        <v>1005.376</v>
      </c>
      <c r="K44" s="266">
        <v>1059.8530000000001</v>
      </c>
      <c r="L44" s="266">
        <v>1111.047</v>
      </c>
      <c r="M44" s="266">
        <v>1160.9110000000001</v>
      </c>
      <c r="N44" s="266"/>
    </row>
    <row r="45" spans="2:14">
      <c r="B45" t="s">
        <v>18</v>
      </c>
      <c r="C45" t="s">
        <v>81</v>
      </c>
      <c r="D45" t="s">
        <v>362</v>
      </c>
      <c r="E45" t="s">
        <v>433</v>
      </c>
      <c r="F45" s="272"/>
      <c r="G45" s="272"/>
      <c r="H45" s="272"/>
      <c r="I45" s="272">
        <v>0.28000000000000003</v>
      </c>
      <c r="J45" s="272">
        <v>0.26</v>
      </c>
      <c r="K45" s="272">
        <v>0.24</v>
      </c>
      <c r="L45" s="272">
        <v>0.23</v>
      </c>
      <c r="M45" s="272">
        <v>0.21</v>
      </c>
      <c r="N45" s="272"/>
    </row>
    <row r="46" spans="2:14">
      <c r="B46" t="s">
        <v>17</v>
      </c>
      <c r="C46" t="s">
        <v>305</v>
      </c>
      <c r="D46" t="s">
        <v>365</v>
      </c>
      <c r="E46" t="s">
        <v>433</v>
      </c>
      <c r="F46" s="273">
        <v>208.59166666666599</v>
      </c>
      <c r="G46" s="273">
        <v>214.78333333333299</v>
      </c>
      <c r="H46" s="273">
        <v>212.98333333333301</v>
      </c>
      <c r="I46" s="273">
        <v>217.23333333333301</v>
      </c>
      <c r="J46" s="273">
        <v>223.74350000000001</v>
      </c>
      <c r="K46" s="273">
        <v>229.78457449999999</v>
      </c>
      <c r="L46" s="273">
        <v>235.52918886249901</v>
      </c>
      <c r="M46" s="273">
        <v>241.41741858406201</v>
      </c>
      <c r="N46" s="273"/>
    </row>
    <row r="47" spans="2:14">
      <c r="B47" t="s">
        <v>407</v>
      </c>
      <c r="C47" t="s">
        <v>305</v>
      </c>
      <c r="D47" t="s">
        <v>361</v>
      </c>
      <c r="E47" t="s">
        <v>433</v>
      </c>
      <c r="F47" s="273">
        <v>208.59166666666701</v>
      </c>
      <c r="G47" s="273">
        <v>214.78333333333299</v>
      </c>
      <c r="H47" s="273">
        <v>215.76666666666699</v>
      </c>
      <c r="I47" s="273">
        <v>226.47499999999999</v>
      </c>
      <c r="J47" s="273">
        <v>237.34166666666701</v>
      </c>
      <c r="K47" s="273">
        <v>244.67500000000001</v>
      </c>
      <c r="L47" s="273">
        <v>251.73333333333301</v>
      </c>
      <c r="M47" s="273">
        <v>256.66666666666703</v>
      </c>
      <c r="N47" s="273"/>
    </row>
    <row r="48" spans="2:14">
      <c r="B48" t="s">
        <v>26</v>
      </c>
      <c r="C48" t="s">
        <v>306</v>
      </c>
      <c r="D48" t="s">
        <v>362</v>
      </c>
      <c r="E48" t="s">
        <v>433</v>
      </c>
      <c r="F48" s="272">
        <v>5.0999999999999997E-2</v>
      </c>
      <c r="G48" s="272">
        <v>4.4999999999999998E-2</v>
      </c>
      <c r="H48" s="272">
        <v>4.4999999999999998E-2</v>
      </c>
      <c r="I48" s="272">
        <v>4.4999999999999998E-2</v>
      </c>
      <c r="J48" s="272">
        <v>4.4999999999999998E-2</v>
      </c>
      <c r="K48" s="272">
        <v>4.4999999999999998E-2</v>
      </c>
      <c r="L48" s="272">
        <v>4.4999999999999998E-2</v>
      </c>
      <c r="M48" s="272">
        <v>4.4999999999999998E-2</v>
      </c>
      <c r="N48" s="272"/>
    </row>
    <row r="49" spans="2:14">
      <c r="B49" t="s">
        <v>324</v>
      </c>
      <c r="C49" t="s">
        <v>328</v>
      </c>
      <c r="D49" t="s">
        <v>362</v>
      </c>
      <c r="E49" t="s">
        <v>433</v>
      </c>
      <c r="F49" s="272"/>
      <c r="G49" s="272"/>
      <c r="H49" s="272"/>
      <c r="I49" s="272">
        <v>0.42</v>
      </c>
      <c r="J49" s="272">
        <v>0.42</v>
      </c>
      <c r="K49" s="272">
        <v>0.42</v>
      </c>
      <c r="L49" s="272">
        <v>0.42</v>
      </c>
      <c r="M49" s="272">
        <v>0.42</v>
      </c>
      <c r="N49" s="272"/>
    </row>
    <row r="50" spans="2:14">
      <c r="B50" t="s">
        <v>325</v>
      </c>
      <c r="C50" t="s">
        <v>329</v>
      </c>
      <c r="D50" t="s">
        <v>362</v>
      </c>
      <c r="E50" t="s">
        <v>433</v>
      </c>
      <c r="F50" s="272"/>
      <c r="G50" s="272"/>
      <c r="H50" s="272"/>
      <c r="I50" s="272">
        <v>0</v>
      </c>
      <c r="J50" s="272">
        <v>0.5</v>
      </c>
      <c r="K50" s="272">
        <v>1</v>
      </c>
      <c r="L50" s="272">
        <v>1.5</v>
      </c>
      <c r="M50" s="272">
        <v>0</v>
      </c>
      <c r="N50" s="272"/>
    </row>
    <row r="51" spans="2:14">
      <c r="B51" t="s">
        <v>327</v>
      </c>
      <c r="C51" t="s">
        <v>168</v>
      </c>
      <c r="D51" t="s">
        <v>361</v>
      </c>
      <c r="E51" t="s">
        <v>433</v>
      </c>
      <c r="F51" s="274">
        <v>50</v>
      </c>
      <c r="G51" s="274"/>
      <c r="H51" s="274"/>
      <c r="I51" s="274"/>
      <c r="J51" s="274"/>
      <c r="K51" s="274"/>
      <c r="L51" s="274"/>
      <c r="M51" s="274"/>
      <c r="N51" s="274"/>
    </row>
    <row r="52" spans="2:14">
      <c r="B52" t="s">
        <v>403</v>
      </c>
      <c r="C52" t="s">
        <v>395</v>
      </c>
      <c r="D52">
        <v>0</v>
      </c>
      <c r="E52" t="s">
        <v>433</v>
      </c>
      <c r="F52" s="266">
        <v>3217.2235000000001</v>
      </c>
      <c r="G52" s="266">
        <v>3263.4279799999999</v>
      </c>
      <c r="H52" s="266">
        <v>3289.3058717808099</v>
      </c>
      <c r="I52" s="266">
        <v>3323.6234999999901</v>
      </c>
      <c r="J52" s="266">
        <v>3329.9670000000001</v>
      </c>
      <c r="K52" s="266"/>
      <c r="L52" s="266"/>
      <c r="M52" s="266"/>
      <c r="N52" s="266"/>
    </row>
    <row r="53" spans="2:14">
      <c r="B53" t="s">
        <v>404</v>
      </c>
      <c r="C53" t="s">
        <v>396</v>
      </c>
      <c r="D53">
        <v>0</v>
      </c>
      <c r="E53" t="s">
        <v>433</v>
      </c>
      <c r="F53" s="266">
        <v>5029.7380000000003</v>
      </c>
      <c r="G53" s="266">
        <v>5071.3677090000001</v>
      </c>
      <c r="H53" s="266">
        <v>5100.5066690000003</v>
      </c>
      <c r="I53" s="266">
        <v>5138.6576839999998</v>
      </c>
      <c r="J53" s="266">
        <v>5165.9728412030399</v>
      </c>
      <c r="K53" s="266">
        <v>5184.0626441736804</v>
      </c>
      <c r="L53" s="266"/>
      <c r="M53" s="266"/>
      <c r="N53" s="266"/>
    </row>
    <row r="54" spans="2:14">
      <c r="B54" t="s">
        <v>385</v>
      </c>
      <c r="C54" t="s">
        <v>366</v>
      </c>
      <c r="D54" t="s">
        <v>362</v>
      </c>
      <c r="E54" t="s">
        <v>433</v>
      </c>
      <c r="F54" s="272"/>
      <c r="G54" s="272"/>
      <c r="H54" s="272"/>
      <c r="I54" s="272"/>
      <c r="J54" s="272"/>
      <c r="K54" s="272"/>
      <c r="L54" s="272"/>
      <c r="M54" s="272"/>
      <c r="N54" s="272">
        <v>3.5999999999999997E-2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40" zoomScaleNormal="40"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62"/>
      <c r="B1" s="262">
        <f>+F_Inputs!A4</f>
        <v>0</v>
      </c>
      <c r="C1" s="163" t="s">
        <v>66</v>
      </c>
      <c r="D1" s="262"/>
      <c r="E1" s="262"/>
      <c r="F1" s="164"/>
      <c r="G1" s="164"/>
      <c r="H1" s="164"/>
      <c r="I1" s="164"/>
      <c r="J1" s="164"/>
      <c r="K1" s="164"/>
      <c r="L1" s="164"/>
      <c r="M1" s="165"/>
    </row>
    <row r="2" spans="1:14" s="53" customFormat="1" ht="18" customHeight="1">
      <c r="A2" s="166"/>
      <c r="B2" s="167" t="s">
        <v>224</v>
      </c>
      <c r="C2" s="169" t="s">
        <v>64</v>
      </c>
      <c r="D2" s="168" t="s">
        <v>237</v>
      </c>
      <c r="E2" s="252"/>
      <c r="F2" s="170" t="s">
        <v>69</v>
      </c>
      <c r="G2" s="170" t="s">
        <v>70</v>
      </c>
      <c r="H2" s="170" t="s">
        <v>71</v>
      </c>
      <c r="I2" s="254" t="s">
        <v>72</v>
      </c>
      <c r="J2" s="254" t="s">
        <v>73</v>
      </c>
      <c r="K2" s="254" t="s">
        <v>74</v>
      </c>
      <c r="L2" s="254" t="s">
        <v>75</v>
      </c>
      <c r="M2" s="254" t="s">
        <v>76</v>
      </c>
    </row>
    <row r="3" spans="1:14" s="53" customFormat="1" ht="15.6">
      <c r="A3" s="171"/>
      <c r="B3" s="172"/>
      <c r="C3" s="173"/>
      <c r="D3" s="172"/>
      <c r="E3" s="172"/>
      <c r="F3" s="174"/>
      <c r="G3" s="174"/>
      <c r="H3" s="174"/>
      <c r="I3" s="255"/>
      <c r="J3" s="255"/>
      <c r="K3" s="255"/>
      <c r="L3" s="255"/>
      <c r="M3" s="255"/>
    </row>
    <row r="4" spans="1:14" s="53" customFormat="1" ht="15">
      <c r="A4" s="175"/>
      <c r="B4" s="176" t="s">
        <v>225</v>
      </c>
      <c r="C4" s="178" t="s">
        <v>226</v>
      </c>
      <c r="D4" s="177"/>
      <c r="E4" s="177"/>
      <c r="F4" s="177">
        <v>2007</v>
      </c>
      <c r="G4" s="177">
        <v>2008</v>
      </c>
      <c r="H4" s="177">
        <v>2009</v>
      </c>
      <c r="I4" s="259">
        <v>2010</v>
      </c>
      <c r="J4" s="259">
        <v>2011</v>
      </c>
      <c r="K4" s="259">
        <v>2012</v>
      </c>
      <c r="L4" s="259">
        <v>2013</v>
      </c>
      <c r="M4" s="259">
        <v>2014</v>
      </c>
    </row>
    <row r="5" spans="1:14" s="53" customFormat="1" ht="15">
      <c r="A5" s="175"/>
      <c r="B5" s="138" t="s">
        <v>98</v>
      </c>
      <c r="C5" s="138" t="s">
        <v>99</v>
      </c>
      <c r="D5" s="253"/>
      <c r="E5" s="253"/>
      <c r="F5" s="138"/>
      <c r="G5" s="138"/>
      <c r="H5" s="138"/>
      <c r="I5" s="179">
        <v>1</v>
      </c>
      <c r="J5" s="179">
        <v>2</v>
      </c>
      <c r="K5" s="179">
        <v>3</v>
      </c>
      <c r="L5" s="179">
        <v>4</v>
      </c>
      <c r="M5" s="179">
        <v>5</v>
      </c>
    </row>
    <row r="6" spans="1:14" ht="15.6">
      <c r="A6" s="139"/>
      <c r="B6" s="139"/>
      <c r="C6" s="140" t="s">
        <v>381</v>
      </c>
      <c r="D6" s="139"/>
      <c r="E6" s="139"/>
      <c r="F6" s="139"/>
      <c r="G6" s="139"/>
      <c r="H6" s="139"/>
      <c r="I6" s="139"/>
      <c r="J6" s="139"/>
      <c r="K6" s="139"/>
      <c r="L6" s="139"/>
      <c r="M6" s="139"/>
    </row>
    <row r="7" spans="1:14" ht="15">
      <c r="A7" s="9"/>
      <c r="B7" s="253" t="s">
        <v>316</v>
      </c>
      <c r="C7" s="138" t="str">
        <f>"Water: Non-households – under "&amp;Threshold&amp;"ML threshold"</f>
        <v>Water: Non-households – under 50ML threshold</v>
      </c>
      <c r="D7" s="253" t="s">
        <v>238</v>
      </c>
      <c r="E7" s="253"/>
      <c r="F7" s="138"/>
      <c r="G7" s="180"/>
      <c r="H7" s="182">
        <f>F_Inputs!H4</f>
        <v>156.67609998181999</v>
      </c>
      <c r="I7" s="182">
        <f>F_Inputs!I4</f>
        <v>157.62249928706299</v>
      </c>
      <c r="J7" s="182">
        <f>F_Inputs!J4</f>
        <v>156.83159803803301</v>
      </c>
      <c r="K7" s="182">
        <f>F_Inputs!K4</f>
        <v>159.721562064734</v>
      </c>
      <c r="L7" s="182">
        <f>F_Inputs!L4</f>
        <v>164.77119085330199</v>
      </c>
      <c r="M7" s="182">
        <f>F_Inputs!M4</f>
        <v>169.24624136086101</v>
      </c>
    </row>
    <row r="8" spans="1:14" ht="15">
      <c r="A8" s="9"/>
      <c r="B8" s="253" t="s">
        <v>317</v>
      </c>
      <c r="C8" s="138" t="str">
        <f>"Water: Non-households – over "&amp;Threshold&amp;"ML threshold"</f>
        <v>Water: Non-households – over 50ML threshold</v>
      </c>
      <c r="D8" s="253" t="s">
        <v>238</v>
      </c>
      <c r="E8" s="253"/>
      <c r="F8" s="138"/>
      <c r="G8" s="180"/>
      <c r="H8" s="182">
        <f>F_Inputs!H5</f>
        <v>11.567320837057499</v>
      </c>
      <c r="I8" s="182">
        <f>F_Inputs!I5</f>
        <v>11.626265954635199</v>
      </c>
      <c r="J8" s="182">
        <f>F_Inputs!J5</f>
        <v>11.5652929505206</v>
      </c>
      <c r="K8" s="182">
        <f>F_Inputs!K5</f>
        <v>11.7730108575212</v>
      </c>
      <c r="L8" s="182">
        <f>F_Inputs!L5</f>
        <v>12.136229656377701</v>
      </c>
      <c r="M8" s="182">
        <f>F_Inputs!M5</f>
        <v>12.455342013366201</v>
      </c>
    </row>
    <row r="9" spans="1:14" ht="15">
      <c r="A9" s="9"/>
      <c r="B9" s="253"/>
      <c r="C9" s="138"/>
      <c r="D9" s="253"/>
      <c r="E9" s="253"/>
      <c r="F9" s="138"/>
      <c r="G9" s="180"/>
      <c r="H9" s="181"/>
      <c r="I9" s="181"/>
      <c r="J9" s="181"/>
      <c r="K9" s="181"/>
      <c r="L9" s="181"/>
      <c r="M9" s="181"/>
      <c r="N9" s="3"/>
    </row>
    <row r="10" spans="1:14" ht="15">
      <c r="A10" s="9"/>
      <c r="B10" s="253" t="s">
        <v>33</v>
      </c>
      <c r="C10" s="141" t="s">
        <v>40</v>
      </c>
      <c r="D10" s="253" t="s">
        <v>238</v>
      </c>
      <c r="E10" s="253"/>
      <c r="F10" s="138"/>
      <c r="G10" s="180"/>
      <c r="H10" s="181"/>
      <c r="I10" s="271">
        <f>F_Inputs!I6+F_Inputs!I7</f>
        <v>777.90653643157623</v>
      </c>
      <c r="J10" s="271">
        <f>F_Inputs!J6+F_Inputs!J7</f>
        <v>773.61716445172908</v>
      </c>
      <c r="K10" s="271">
        <f>F_Inputs!K6+F_Inputs!K7</f>
        <v>791.67549765935485</v>
      </c>
      <c r="L10" s="271">
        <f>F_Inputs!L6+F_Inputs!L7</f>
        <v>821.81605252374663</v>
      </c>
      <c r="M10" s="271">
        <f>F_Inputs!M6+F_Inputs!M7</f>
        <v>847.9180686339007</v>
      </c>
    </row>
    <row r="11" spans="1:14" ht="15">
      <c r="A11" s="9"/>
      <c r="B11" s="253" t="s">
        <v>27</v>
      </c>
      <c r="C11" s="142" t="s">
        <v>39</v>
      </c>
      <c r="D11" s="142" t="s">
        <v>239</v>
      </c>
      <c r="E11" s="142"/>
      <c r="F11" s="138"/>
      <c r="G11" s="180"/>
      <c r="H11" s="182">
        <f>F_Inputs!H8</f>
        <v>2356.1320000000001</v>
      </c>
      <c r="I11" s="182">
        <f>F_Inputs!I8</f>
        <v>2287.4140000000002</v>
      </c>
      <c r="J11" s="182">
        <f>F_Inputs!J8</f>
        <v>2185.375</v>
      </c>
      <c r="K11" s="182">
        <f>F_Inputs!K8</f>
        <v>2109.5279999999998</v>
      </c>
      <c r="L11" s="182">
        <f>F_Inputs!L8</f>
        <v>2060.373</v>
      </c>
      <c r="M11" s="182">
        <f>F_Inputs!M8</f>
        <v>2012.2180000000001</v>
      </c>
    </row>
    <row r="12" spans="1:14" ht="15">
      <c r="A12" s="9"/>
      <c r="B12" s="253" t="s">
        <v>180</v>
      </c>
      <c r="C12" s="142" t="s">
        <v>37</v>
      </c>
      <c r="D12" s="142" t="s">
        <v>239</v>
      </c>
      <c r="E12" s="142"/>
      <c r="F12" s="138"/>
      <c r="G12" s="180"/>
      <c r="H12" s="182">
        <f>F_Inputs!H9</f>
        <v>916.26</v>
      </c>
      <c r="I12" s="182">
        <f>F_Inputs!I9</f>
        <v>1004.432</v>
      </c>
      <c r="J12" s="182">
        <f>F_Inputs!J9</f>
        <v>1128.444</v>
      </c>
      <c r="K12" s="182">
        <f>F_Inputs!K9</f>
        <v>1230.9490000000001</v>
      </c>
      <c r="L12" s="182">
        <f>F_Inputs!L9</f>
        <v>1310.1400000000001</v>
      </c>
      <c r="M12" s="182">
        <f>F_Inputs!M9</f>
        <v>1391.3620000000001</v>
      </c>
    </row>
    <row r="13" spans="1:14" ht="15">
      <c r="A13" s="9"/>
      <c r="B13" s="253" t="s">
        <v>22</v>
      </c>
      <c r="C13" s="141" t="s">
        <v>104</v>
      </c>
      <c r="D13" s="142" t="s">
        <v>239</v>
      </c>
      <c r="E13" s="142"/>
      <c r="F13" s="138"/>
      <c r="G13" s="180"/>
      <c r="H13" s="182">
        <f>F_Inputs!H10</f>
        <v>31.783999999999999</v>
      </c>
      <c r="I13" s="182">
        <f>F_Inputs!I10</f>
        <v>31.783999999999999</v>
      </c>
      <c r="J13" s="182">
        <f>F_Inputs!J10</f>
        <v>31.783999999999999</v>
      </c>
      <c r="K13" s="182">
        <f>F_Inputs!K10</f>
        <v>31.783999999999999</v>
      </c>
      <c r="L13" s="182">
        <f>F_Inputs!L10</f>
        <v>31.783999999999999</v>
      </c>
      <c r="M13" s="182">
        <f>F_Inputs!M10</f>
        <v>31.783999999999999</v>
      </c>
    </row>
    <row r="14" spans="1:14" ht="15">
      <c r="A14" s="9"/>
      <c r="B14" s="253" t="s">
        <v>23</v>
      </c>
      <c r="C14" s="141" t="s">
        <v>105</v>
      </c>
      <c r="D14" s="142" t="s">
        <v>239</v>
      </c>
      <c r="E14" s="142"/>
      <c r="F14" s="138"/>
      <c r="G14" s="180"/>
      <c r="H14" s="182">
        <f>F_Inputs!H11</f>
        <v>189.24299999999999</v>
      </c>
      <c r="I14" s="182">
        <f>F_Inputs!I11</f>
        <v>191.643</v>
      </c>
      <c r="J14" s="182">
        <f>F_Inputs!J11</f>
        <v>194.04300000000001</v>
      </c>
      <c r="K14" s="182">
        <f>F_Inputs!K11</f>
        <v>196.44300000000001</v>
      </c>
      <c r="L14" s="182">
        <f>F_Inputs!L11</f>
        <v>198.84299999999999</v>
      </c>
      <c r="M14" s="182">
        <f>F_Inputs!M11</f>
        <v>201.24299999999999</v>
      </c>
    </row>
    <row r="15" spans="1:14" ht="15">
      <c r="A15" s="9"/>
      <c r="B15" s="253"/>
      <c r="C15" s="138"/>
      <c r="D15" s="253"/>
      <c r="E15" s="253"/>
      <c r="F15" s="138"/>
      <c r="G15" s="180"/>
      <c r="H15" s="181"/>
      <c r="I15" s="181"/>
      <c r="J15" s="181"/>
      <c r="K15" s="181"/>
      <c r="L15" s="181"/>
      <c r="M15" s="181"/>
    </row>
    <row r="16" spans="1:14" s="5" customFormat="1" ht="15">
      <c r="A16" s="160"/>
      <c r="B16" s="253" t="s">
        <v>318</v>
      </c>
      <c r="C16" s="138" t="str">
        <f>"Sewerage: Non-households – under "&amp;Threshold&amp;"ML threshold"</f>
        <v>Sewerage: Non-households – under 50ML threshold</v>
      </c>
      <c r="D16" s="143" t="s">
        <v>238</v>
      </c>
      <c r="E16" s="143"/>
      <c r="F16" s="138"/>
      <c r="G16" s="180"/>
      <c r="H16" s="182">
        <f>F_Inputs!H12</f>
        <v>127.060071727283</v>
      </c>
      <c r="I16" s="182">
        <f>F_Inputs!I12</f>
        <v>119.14459220069</v>
      </c>
      <c r="J16" s="182">
        <f>F_Inputs!J12</f>
        <v>126.273990420437</v>
      </c>
      <c r="K16" s="182">
        <f>F_Inputs!K12</f>
        <v>136.46589478334801</v>
      </c>
      <c r="L16" s="182">
        <f>F_Inputs!L12</f>
        <v>148.06614577697999</v>
      </c>
      <c r="M16" s="182">
        <f>F_Inputs!M12</f>
        <v>156.09421859072199</v>
      </c>
    </row>
    <row r="17" spans="1:13" s="5" customFormat="1" ht="15">
      <c r="A17" s="160"/>
      <c r="B17" s="253" t="s">
        <v>319</v>
      </c>
      <c r="C17" s="138" t="str">
        <f>"Sewerage: Non-households – over "&amp;Threshold&amp;"ML threshold"</f>
        <v>Sewerage: Non-households – over 50ML threshold</v>
      </c>
      <c r="D17" s="143" t="s">
        <v>238</v>
      </c>
      <c r="E17" s="143"/>
      <c r="F17" s="138"/>
      <c r="G17" s="180"/>
      <c r="H17" s="182">
        <f>F_Inputs!H13</f>
        <v>16.629304957147401</v>
      </c>
      <c r="I17" s="182">
        <f>F_Inputs!I13</f>
        <v>15.3835957042481</v>
      </c>
      <c r="J17" s="182">
        <f>F_Inputs!J13</f>
        <v>16.3382078538088</v>
      </c>
      <c r="K17" s="182">
        <f>F_Inputs!K13</f>
        <v>17.7315951770832</v>
      </c>
      <c r="L17" s="182">
        <f>F_Inputs!L13</f>
        <v>19.337190526374101</v>
      </c>
      <c r="M17" s="182">
        <f>F_Inputs!M13</f>
        <v>20.4054933685692</v>
      </c>
    </row>
    <row r="18" spans="1:13" s="5" customFormat="1" ht="15">
      <c r="A18" s="160"/>
      <c r="B18" s="138"/>
      <c r="C18" s="138"/>
      <c r="D18" s="143"/>
      <c r="E18" s="143"/>
      <c r="F18" s="138"/>
      <c r="G18" s="180"/>
      <c r="H18" s="181"/>
      <c r="I18" s="181"/>
      <c r="J18" s="181"/>
      <c r="K18" s="181"/>
      <c r="L18" s="181"/>
      <c r="M18" s="181"/>
    </row>
    <row r="19" spans="1:13" s="5" customFormat="1" ht="15">
      <c r="A19" s="160"/>
      <c r="B19" s="138" t="s">
        <v>34</v>
      </c>
      <c r="C19" s="141" t="s">
        <v>102</v>
      </c>
      <c r="D19" s="143" t="s">
        <v>238</v>
      </c>
      <c r="E19" s="143"/>
      <c r="F19" s="138"/>
      <c r="G19" s="180"/>
      <c r="H19" s="181"/>
      <c r="I19" s="183">
        <f>F_Inputs!I14+F_Inputs!I15</f>
        <v>714.75874130167722</v>
      </c>
      <c r="J19" s="183">
        <f>F_Inputs!J14+F_Inputs!J15</f>
        <v>755.22095790208164</v>
      </c>
      <c r="K19" s="183">
        <f>F_Inputs!K14+F_Inputs!K15</f>
        <v>815.77803707402313</v>
      </c>
      <c r="L19" s="183">
        <f>F_Inputs!L14+F_Inputs!L15</f>
        <v>884.45077873096454</v>
      </c>
      <c r="M19" s="183">
        <f>F_Inputs!M14+F_Inputs!M15</f>
        <v>934.22043631235647</v>
      </c>
    </row>
    <row r="20" spans="1:13" s="5" customFormat="1" ht="15">
      <c r="A20" s="160"/>
      <c r="B20" s="138" t="s">
        <v>28</v>
      </c>
      <c r="C20" s="142" t="s">
        <v>103</v>
      </c>
      <c r="D20" s="142" t="s">
        <v>239</v>
      </c>
      <c r="E20" s="142"/>
      <c r="F20" s="138"/>
      <c r="G20" s="180"/>
      <c r="H20" s="183">
        <f>F_Inputs!H16</f>
        <v>3500.962</v>
      </c>
      <c r="I20" s="182">
        <f>F_Inputs!I16</f>
        <v>3359.1790000000001</v>
      </c>
      <c r="J20" s="182">
        <f>F_Inputs!J16</f>
        <v>3176.6660000000002</v>
      </c>
      <c r="K20" s="182">
        <f>F_Inputs!K16</f>
        <v>3000.4749999999999</v>
      </c>
      <c r="L20" s="182">
        <f>F_Inputs!L16</f>
        <v>2852.98</v>
      </c>
      <c r="M20" s="182">
        <f>F_Inputs!M16</f>
        <v>2708.3009999999999</v>
      </c>
    </row>
    <row r="21" spans="1:13" s="5" customFormat="1" ht="15">
      <c r="A21" s="160"/>
      <c r="B21" s="138" t="s">
        <v>29</v>
      </c>
      <c r="C21" s="142" t="s">
        <v>35</v>
      </c>
      <c r="D21" s="142" t="s">
        <v>239</v>
      </c>
      <c r="E21" s="142"/>
      <c r="F21" s="138"/>
      <c r="G21" s="180"/>
      <c r="H21" s="182">
        <f>F_Inputs!H17</f>
        <v>1589.606</v>
      </c>
      <c r="I21" s="182">
        <f>F_Inputs!I17</f>
        <v>1764.1669999999999</v>
      </c>
      <c r="J21" s="182">
        <f>F_Inputs!J17</f>
        <v>1978.932</v>
      </c>
      <c r="K21" s="182">
        <f>F_Inputs!K17</f>
        <v>2199.627</v>
      </c>
      <c r="L21" s="182">
        <f>F_Inputs!L17</f>
        <v>2393.5360000000001</v>
      </c>
      <c r="M21" s="182">
        <f>F_Inputs!M17</f>
        <v>2591.922</v>
      </c>
    </row>
    <row r="22" spans="1:13" s="5" customFormat="1" ht="15">
      <c r="A22" s="160"/>
      <c r="B22" s="138" t="s">
        <v>24</v>
      </c>
      <c r="C22" s="141" t="s">
        <v>38</v>
      </c>
      <c r="D22" s="142" t="s">
        <v>239</v>
      </c>
      <c r="E22" s="142"/>
      <c r="F22" s="138"/>
      <c r="G22" s="180"/>
      <c r="H22" s="183">
        <f>F_Inputs!H18</f>
        <v>51.103999999999999</v>
      </c>
      <c r="I22" s="182">
        <f>F_Inputs!I18</f>
        <v>51.103999999999999</v>
      </c>
      <c r="J22" s="182">
        <f>F_Inputs!J18</f>
        <v>51.103999999999999</v>
      </c>
      <c r="K22" s="182">
        <f>F_Inputs!K18</f>
        <v>51.103999999999999</v>
      </c>
      <c r="L22" s="182">
        <f>F_Inputs!L18</f>
        <v>51.103999999999999</v>
      </c>
      <c r="M22" s="182">
        <f>F_Inputs!M18</f>
        <v>51.103999999999999</v>
      </c>
    </row>
    <row r="23" spans="1:13" s="5" customFormat="1" ht="15">
      <c r="A23" s="160"/>
      <c r="B23" s="138" t="s">
        <v>25</v>
      </c>
      <c r="C23" s="141" t="s">
        <v>41</v>
      </c>
      <c r="D23" s="142" t="s">
        <v>239</v>
      </c>
      <c r="E23" s="142"/>
      <c r="F23" s="138"/>
      <c r="G23" s="180"/>
      <c r="H23" s="182">
        <f>F_Inputs!H19</f>
        <v>252.71899999999999</v>
      </c>
      <c r="I23" s="182">
        <f>F_Inputs!I19</f>
        <v>256.01799999999997</v>
      </c>
      <c r="J23" s="182">
        <f>F_Inputs!J19</f>
        <v>259.31700000000001</v>
      </c>
      <c r="K23" s="182">
        <f>F_Inputs!K19</f>
        <v>262.61599999999999</v>
      </c>
      <c r="L23" s="182">
        <f>F_Inputs!L19</f>
        <v>265.91500000000002</v>
      </c>
      <c r="M23" s="182">
        <f>F_Inputs!M19</f>
        <v>269.214</v>
      </c>
    </row>
    <row r="24" spans="1:13" s="5" customFormat="1" ht="15">
      <c r="A24" s="160"/>
      <c r="B24" s="138"/>
      <c r="C24" s="138"/>
      <c r="D24" s="143"/>
      <c r="E24" s="143"/>
      <c r="F24" s="138"/>
      <c r="G24" s="180"/>
      <c r="H24" s="181"/>
      <c r="I24" s="181"/>
      <c r="J24" s="181"/>
      <c r="K24" s="181"/>
      <c r="L24" s="181"/>
      <c r="M24" s="181"/>
    </row>
    <row r="25" spans="1:13" ht="15">
      <c r="A25" s="9"/>
      <c r="B25" s="138"/>
      <c r="C25" s="145"/>
      <c r="D25" s="253"/>
      <c r="E25" s="253"/>
      <c r="F25" s="138"/>
      <c r="G25" s="138"/>
      <c r="H25" s="138"/>
      <c r="I25" s="192"/>
      <c r="J25" s="192"/>
      <c r="K25" s="192"/>
      <c r="L25" s="192"/>
      <c r="M25" s="192"/>
    </row>
    <row r="26" spans="1:13" ht="15.6">
      <c r="A26" s="139"/>
      <c r="B26" s="139"/>
      <c r="C26" s="140" t="s">
        <v>382</v>
      </c>
      <c r="D26" s="139"/>
      <c r="E26" s="139"/>
      <c r="F26" s="139"/>
      <c r="G26" s="139"/>
      <c r="H26" s="139"/>
      <c r="I26" s="139"/>
      <c r="J26" s="139"/>
      <c r="K26" s="139"/>
      <c r="L26" s="139"/>
      <c r="M26" s="139"/>
    </row>
    <row r="27" spans="1:13" ht="15">
      <c r="A27" s="9"/>
      <c r="B27" s="138" t="s">
        <v>3</v>
      </c>
      <c r="C27" s="145" t="s">
        <v>45</v>
      </c>
      <c r="D27" s="143" t="s">
        <v>238</v>
      </c>
      <c r="E27" s="143"/>
      <c r="F27" s="138"/>
      <c r="G27" s="138"/>
      <c r="H27" s="138"/>
      <c r="I27" s="185">
        <f>F_Inputs!I20</f>
        <v>461.50883286846403</v>
      </c>
      <c r="J27" s="185">
        <f>F_Inputs!J20</f>
        <v>468.66040066455298</v>
      </c>
      <c r="K27" s="185">
        <f>F_Inputs!K20</f>
        <v>480.11906965055601</v>
      </c>
      <c r="L27" s="185">
        <f>F_Inputs!L20</f>
        <v>497.61884789411801</v>
      </c>
      <c r="M27" s="185">
        <f>F_Inputs!M20</f>
        <v>508.9</v>
      </c>
    </row>
    <row r="28" spans="1:13" ht="15">
      <c r="A28" s="9"/>
      <c r="B28" s="138" t="s">
        <v>4</v>
      </c>
      <c r="C28" s="145" t="s">
        <v>46</v>
      </c>
      <c r="D28" s="143" t="s">
        <v>238</v>
      </c>
      <c r="E28" s="143"/>
      <c r="F28" s="138"/>
      <c r="G28" s="138"/>
      <c r="H28" s="138"/>
      <c r="I28" s="185">
        <f>F_Inputs!I21</f>
        <v>6.4937628715361297</v>
      </c>
      <c r="J28" s="185">
        <f>F_Inputs!J21</f>
        <v>6.6063302316334296</v>
      </c>
      <c r="K28" s="185">
        <f>F_Inputs!K21</f>
        <v>7.1511161194444997</v>
      </c>
      <c r="L28" s="185">
        <f>F_Inputs!L21</f>
        <v>7.42783049588233</v>
      </c>
      <c r="M28" s="185">
        <f>F_Inputs!M21</f>
        <v>7.6</v>
      </c>
    </row>
    <row r="29" spans="1:13" ht="15">
      <c r="A29" s="9"/>
      <c r="B29" s="138" t="s">
        <v>5</v>
      </c>
      <c r="C29" s="145" t="s">
        <v>47</v>
      </c>
      <c r="D29" s="143" t="s">
        <v>238</v>
      </c>
      <c r="E29" s="143"/>
      <c r="F29" s="138"/>
      <c r="G29" s="138"/>
      <c r="H29" s="138"/>
      <c r="I29" s="185">
        <f>F_Inputs!I22</f>
        <v>167.15882445229201</v>
      </c>
      <c r="J29" s="185">
        <f>F_Inputs!J22</f>
        <v>174.06786642852899</v>
      </c>
      <c r="K29" s="185">
        <f>F_Inputs!K22</f>
        <v>182.991513421756</v>
      </c>
      <c r="L29" s="185">
        <f>F_Inputs!L22</f>
        <v>208.582500154803</v>
      </c>
      <c r="M29" s="185">
        <f>F_Inputs!M22</f>
        <v>218.3</v>
      </c>
    </row>
    <row r="30" spans="1:13" ht="15">
      <c r="A30" s="9"/>
      <c r="B30" s="138" t="s">
        <v>6</v>
      </c>
      <c r="C30" s="145" t="s">
        <v>48</v>
      </c>
      <c r="D30" s="143" t="s">
        <v>238</v>
      </c>
      <c r="E30" s="143"/>
      <c r="F30" s="138"/>
      <c r="G30" s="138"/>
      <c r="H30" s="138"/>
      <c r="I30" s="185">
        <f>F_Inputs!I23</f>
        <v>157.95562378050801</v>
      </c>
      <c r="J30" s="185">
        <f>F_Inputs!J23</f>
        <v>157.493038714383</v>
      </c>
      <c r="K30" s="185">
        <f>F_Inputs!K23</f>
        <v>156.63467809204499</v>
      </c>
      <c r="L30" s="185">
        <f>F_Inputs!L23</f>
        <v>174.45175487139801</v>
      </c>
      <c r="M30" s="185">
        <f>F_Inputs!M23</f>
        <v>178.7</v>
      </c>
    </row>
    <row r="31" spans="1:13" ht="15">
      <c r="A31" s="9"/>
      <c r="B31" s="138" t="s">
        <v>7</v>
      </c>
      <c r="C31" s="138" t="s">
        <v>49</v>
      </c>
      <c r="D31" s="143" t="s">
        <v>238</v>
      </c>
      <c r="E31" s="143"/>
      <c r="F31" s="186"/>
      <c r="G31" s="187"/>
      <c r="H31" s="182">
        <f>F_Inputs!H24</f>
        <v>1.8</v>
      </c>
      <c r="I31" s="182">
        <f>F_Inputs!I24</f>
        <v>0.4</v>
      </c>
      <c r="J31" s="182">
        <f>F_Inputs!J24</f>
        <v>-1.6</v>
      </c>
      <c r="K31" s="182">
        <f>F_Inputs!K24</f>
        <v>0.6</v>
      </c>
      <c r="L31" s="182">
        <f>F_Inputs!L24</f>
        <v>0.6</v>
      </c>
      <c r="M31" s="182">
        <f>F_Inputs!M24</f>
        <v>1.2</v>
      </c>
    </row>
    <row r="32" spans="1:13" s="3" customFormat="1" ht="15">
      <c r="A32" s="148"/>
      <c r="B32" s="146" t="s">
        <v>331</v>
      </c>
      <c r="C32" s="138" t="s">
        <v>233</v>
      </c>
      <c r="D32" s="143" t="s">
        <v>238</v>
      </c>
      <c r="E32" s="143"/>
      <c r="F32" s="186"/>
      <c r="G32" s="187"/>
      <c r="H32" s="181"/>
      <c r="I32" s="182">
        <f>F_Inputs!I25</f>
        <v>0</v>
      </c>
      <c r="J32" s="182">
        <f>F_Inputs!J25</f>
        <v>0</v>
      </c>
      <c r="K32" s="182">
        <f>F_Inputs!K25</f>
        <v>0</v>
      </c>
      <c r="L32" s="182">
        <f>F_Inputs!L25</f>
        <v>0</v>
      </c>
      <c r="M32" s="182">
        <f>F_Inputs!M25</f>
        <v>0</v>
      </c>
    </row>
    <row r="33" spans="1:14" s="3" customFormat="1" ht="15">
      <c r="A33" s="148"/>
      <c r="B33" s="146" t="s">
        <v>332</v>
      </c>
      <c r="C33" s="138" t="s">
        <v>170</v>
      </c>
      <c r="D33" s="143" t="s">
        <v>238</v>
      </c>
      <c r="E33" s="143"/>
      <c r="F33" s="186"/>
      <c r="G33" s="187"/>
      <c r="H33" s="181"/>
      <c r="I33" s="182">
        <f>F_Inputs!I26</f>
        <v>2.2254809999999998</v>
      </c>
      <c r="J33" s="182">
        <f>F_Inputs!J26</f>
        <v>2.274181</v>
      </c>
      <c r="K33" s="182">
        <f>F_Inputs!K26</f>
        <v>2.0285709999999999</v>
      </c>
      <c r="L33" s="182">
        <f>F_Inputs!L26</f>
        <v>1.899796</v>
      </c>
      <c r="M33" s="182">
        <f>F_Inputs!M26</f>
        <v>0.57049499999999997</v>
      </c>
    </row>
    <row r="34" spans="1:14" ht="15">
      <c r="A34" s="9"/>
      <c r="B34" s="9"/>
      <c r="C34" s="9"/>
      <c r="D34" s="160"/>
      <c r="E34" s="160"/>
      <c r="F34" s="9"/>
      <c r="G34" s="188"/>
      <c r="H34" s="226"/>
      <c r="I34" s="226"/>
      <c r="J34" s="226"/>
      <c r="K34" s="226"/>
      <c r="L34" s="226"/>
      <c r="M34" s="226"/>
      <c r="N34" s="3"/>
    </row>
    <row r="35" spans="1:14" ht="15">
      <c r="A35" s="9"/>
      <c r="B35" s="138" t="s">
        <v>380</v>
      </c>
      <c r="C35" s="145" t="s">
        <v>51</v>
      </c>
      <c r="D35" s="142" t="s">
        <v>239</v>
      </c>
      <c r="E35" s="142"/>
      <c r="F35" s="138"/>
      <c r="G35" s="181"/>
      <c r="H35" s="265">
        <f>F_Inputs!H52</f>
        <v>3289.3058717808099</v>
      </c>
      <c r="I35" s="265">
        <f>+F_Inputs!I39+F_Inputs!I40+F_Inputs!I43+F_Inputs!I44</f>
        <v>3356.5430000000001</v>
      </c>
      <c r="J35" s="265">
        <f>+F_Inputs!J39+F_Inputs!J40+F_Inputs!J43+F_Inputs!J44</f>
        <v>3364.7869999999994</v>
      </c>
      <c r="K35" s="265">
        <f>+F_Inputs!K39+F_Inputs!K40+F_Inputs!K43+F_Inputs!K44</f>
        <v>3381.7240000000002</v>
      </c>
      <c r="L35" s="265">
        <f>+F_Inputs!L39+F_Inputs!L40+F_Inputs!L43+F_Inputs!L44</f>
        <v>3402.3130000000001</v>
      </c>
      <c r="M35" s="265">
        <f>+F_Inputs!M39+F_Inputs!M40+F_Inputs!M43+F_Inputs!M44</f>
        <v>3428.9540000000002</v>
      </c>
    </row>
    <row r="36" spans="1:14" ht="15">
      <c r="A36" s="9"/>
      <c r="B36" s="138" t="s">
        <v>8</v>
      </c>
      <c r="C36" s="145" t="s">
        <v>52</v>
      </c>
      <c r="D36" s="142" t="s">
        <v>239</v>
      </c>
      <c r="E36" s="142"/>
      <c r="F36" s="138"/>
      <c r="G36" s="181"/>
      <c r="H36" s="182">
        <f>F_Inputs!H27</f>
        <v>216.24802</v>
      </c>
      <c r="I36" s="182">
        <f>F_Inputs!I27</f>
        <v>215.20699999999999</v>
      </c>
      <c r="J36" s="182">
        <f>F_Inputs!J27</f>
        <v>214.881</v>
      </c>
      <c r="K36" s="182">
        <f>F_Inputs!K27</f>
        <v>214.08</v>
      </c>
      <c r="L36" s="182">
        <f>F_Inputs!L27</f>
        <v>213.58</v>
      </c>
      <c r="M36" s="182">
        <f>F_Inputs!M27</f>
        <v>213.399</v>
      </c>
    </row>
    <row r="37" spans="1:14" ht="15">
      <c r="A37" s="9"/>
      <c r="B37" s="138" t="s">
        <v>330</v>
      </c>
      <c r="C37" s="138" t="s">
        <v>50</v>
      </c>
      <c r="D37" s="142" t="s">
        <v>239</v>
      </c>
      <c r="E37" s="142"/>
      <c r="F37" s="138"/>
      <c r="G37" s="181"/>
      <c r="H37" s="181"/>
      <c r="I37" s="182">
        <f>F_Inputs!I28</f>
        <v>1.345</v>
      </c>
      <c r="J37" s="182">
        <f>F_Inputs!J28</f>
        <v>2.5950000000000002</v>
      </c>
      <c r="K37" s="182">
        <f>F_Inputs!K28</f>
        <v>4.0279999999999996</v>
      </c>
      <c r="L37" s="182">
        <f>F_Inputs!L28</f>
        <v>6.141</v>
      </c>
      <c r="M37" s="182">
        <f>F_Inputs!M28</f>
        <v>7.9710000000000001</v>
      </c>
    </row>
    <row r="38" spans="1:14" ht="15">
      <c r="A38" s="9"/>
      <c r="B38" s="138"/>
      <c r="C38" s="138"/>
      <c r="D38" s="150"/>
      <c r="E38" s="150"/>
      <c r="F38" s="138"/>
      <c r="G38" s="181"/>
      <c r="H38" s="181"/>
      <c r="I38" s="181"/>
      <c r="J38" s="181"/>
      <c r="K38" s="181"/>
      <c r="L38" s="181"/>
      <c r="M38" s="181"/>
      <c r="N38" s="3"/>
    </row>
    <row r="39" spans="1:14" s="5" customFormat="1" ht="15">
      <c r="A39" s="160"/>
      <c r="B39" s="138" t="s">
        <v>9</v>
      </c>
      <c r="C39" s="145" t="s">
        <v>53</v>
      </c>
      <c r="D39" s="143" t="s">
        <v>238</v>
      </c>
      <c r="E39" s="143"/>
      <c r="F39" s="138"/>
      <c r="G39" s="181"/>
      <c r="H39" s="181"/>
      <c r="I39" s="185">
        <f>F_Inputs!I29</f>
        <v>422.155127748523</v>
      </c>
      <c r="J39" s="185">
        <f>F_Inputs!J29</f>
        <v>448.31550354532601</v>
      </c>
      <c r="K39" s="185">
        <f>F_Inputs!K29</f>
        <v>477.814305128814</v>
      </c>
      <c r="L39" s="185">
        <f>F_Inputs!L29</f>
        <v>508.10475812863098</v>
      </c>
      <c r="M39" s="185">
        <f>F_Inputs!M29</f>
        <v>523.9</v>
      </c>
    </row>
    <row r="40" spans="1:14" s="5" customFormat="1" ht="15">
      <c r="A40" s="160"/>
      <c r="B40" s="138" t="s">
        <v>11</v>
      </c>
      <c r="C40" s="145" t="s">
        <v>54</v>
      </c>
      <c r="D40" s="143" t="s">
        <v>238</v>
      </c>
      <c r="E40" s="143"/>
      <c r="F40" s="138"/>
      <c r="G40" s="181"/>
      <c r="H40" s="181"/>
      <c r="I40" s="185">
        <f>F_Inputs!I30</f>
        <v>4.1091094114772302</v>
      </c>
      <c r="J40" s="185">
        <f>F_Inputs!J30</f>
        <v>4.9672923484878098</v>
      </c>
      <c r="K40" s="185">
        <f>F_Inputs!K30</f>
        <v>6.5024926611854896</v>
      </c>
      <c r="L40" s="185">
        <f>F_Inputs!L30</f>
        <v>7.4911163313691604</v>
      </c>
      <c r="M40" s="185">
        <f>F_Inputs!M30</f>
        <v>8.1</v>
      </c>
    </row>
    <row r="41" spans="1:14" s="5" customFormat="1" ht="15">
      <c r="A41" s="160"/>
      <c r="B41" s="138" t="s">
        <v>12</v>
      </c>
      <c r="C41" s="145" t="s">
        <v>55</v>
      </c>
      <c r="D41" s="143" t="s">
        <v>238</v>
      </c>
      <c r="E41" s="143"/>
      <c r="F41" s="138"/>
      <c r="G41" s="181"/>
      <c r="H41" s="181"/>
      <c r="I41" s="185">
        <f>F_Inputs!I31</f>
        <v>184.478191791032</v>
      </c>
      <c r="J41" s="185">
        <f>F_Inputs!J31</f>
        <v>205.158348532975</v>
      </c>
      <c r="K41" s="185">
        <f>F_Inputs!K31</f>
        <v>231.09703330587101</v>
      </c>
      <c r="L41" s="185">
        <f>F_Inputs!L31</f>
        <v>271.89121958964103</v>
      </c>
      <c r="M41" s="185">
        <f>F_Inputs!M31</f>
        <v>295.10000000000002</v>
      </c>
    </row>
    <row r="42" spans="1:14" s="5" customFormat="1" ht="15">
      <c r="A42" s="160"/>
      <c r="B42" s="138" t="s">
        <v>13</v>
      </c>
      <c r="C42" s="145" t="s">
        <v>56</v>
      </c>
      <c r="D42" s="143" t="s">
        <v>238</v>
      </c>
      <c r="E42" s="143"/>
      <c r="F42" s="138"/>
      <c r="G42" s="181"/>
      <c r="H42" s="181"/>
      <c r="I42" s="185">
        <f>F_Inputs!I32</f>
        <v>110.522230959002</v>
      </c>
      <c r="J42" s="185">
        <f>F_Inputs!J32</f>
        <v>117.568581479896</v>
      </c>
      <c r="K42" s="185">
        <f>F_Inputs!K32</f>
        <v>127.4</v>
      </c>
      <c r="L42" s="185">
        <f>F_Inputs!L32</f>
        <v>137.16395266145699</v>
      </c>
      <c r="M42" s="185">
        <f>F_Inputs!M32</f>
        <v>151</v>
      </c>
    </row>
    <row r="43" spans="1:14" s="5" customFormat="1" ht="15">
      <c r="A43" s="160"/>
      <c r="B43" s="138" t="s">
        <v>10</v>
      </c>
      <c r="C43" s="145" t="s">
        <v>57</v>
      </c>
      <c r="D43" s="143" t="s">
        <v>238</v>
      </c>
      <c r="E43" s="143"/>
      <c r="F43" s="138"/>
      <c r="G43" s="181"/>
      <c r="H43" s="181"/>
      <c r="I43" s="185">
        <f>F_Inputs!I33</f>
        <v>4.49066133</v>
      </c>
      <c r="J43" s="185">
        <f>F_Inputs!J33</f>
        <v>6.6</v>
      </c>
      <c r="K43" s="185">
        <f>F_Inputs!K33</f>
        <v>6.8</v>
      </c>
      <c r="L43" s="185">
        <f>F_Inputs!L33</f>
        <v>8.4065434299999993</v>
      </c>
      <c r="M43" s="185">
        <f>F_Inputs!M33</f>
        <v>8.1999999999999993</v>
      </c>
    </row>
    <row r="44" spans="1:14" s="5" customFormat="1" ht="15">
      <c r="A44" s="160"/>
      <c r="B44" s="138" t="s">
        <v>14</v>
      </c>
      <c r="C44" s="138" t="s">
        <v>58</v>
      </c>
      <c r="D44" s="143" t="s">
        <v>238</v>
      </c>
      <c r="E44" s="143"/>
      <c r="F44" s="186"/>
      <c r="G44" s="181"/>
      <c r="H44" s="182">
        <f>F_Inputs!H34</f>
        <v>1.4</v>
      </c>
      <c r="I44" s="182">
        <f>F_Inputs!I34</f>
        <v>0.8</v>
      </c>
      <c r="J44" s="182">
        <f>F_Inputs!J34</f>
        <v>-0.4</v>
      </c>
      <c r="K44" s="182">
        <f>F_Inputs!K34</f>
        <v>0</v>
      </c>
      <c r="L44" s="182">
        <f>F_Inputs!L34</f>
        <v>0.2</v>
      </c>
      <c r="M44" s="182">
        <f>F_Inputs!M34</f>
        <v>0</v>
      </c>
    </row>
    <row r="45" spans="1:14" s="5" customFormat="1" ht="15">
      <c r="A45" s="148"/>
      <c r="B45" s="146" t="s">
        <v>355</v>
      </c>
      <c r="C45" s="138" t="s">
        <v>232</v>
      </c>
      <c r="D45" s="143" t="s">
        <v>238</v>
      </c>
      <c r="E45" s="143"/>
      <c r="F45" s="186"/>
      <c r="G45" s="187"/>
      <c r="H45" s="181"/>
      <c r="I45" s="182">
        <f>F_Inputs!I35</f>
        <v>0</v>
      </c>
      <c r="J45" s="182">
        <f>F_Inputs!J35</f>
        <v>0</v>
      </c>
      <c r="K45" s="182">
        <f>F_Inputs!K35</f>
        <v>0</v>
      </c>
      <c r="L45" s="182">
        <f>F_Inputs!L35</f>
        <v>0</v>
      </c>
      <c r="M45" s="182">
        <f>F_Inputs!M35</f>
        <v>0</v>
      </c>
    </row>
    <row r="46" spans="1:14" s="5" customFormat="1" ht="15">
      <c r="A46" s="148"/>
      <c r="B46" s="146" t="s">
        <v>356</v>
      </c>
      <c r="C46" s="138" t="s">
        <v>171</v>
      </c>
      <c r="D46" s="143" t="s">
        <v>238</v>
      </c>
      <c r="E46" s="143"/>
      <c r="F46" s="186"/>
      <c r="G46" s="187"/>
      <c r="H46" s="181"/>
      <c r="I46" s="182">
        <f>F_Inputs!I36</f>
        <v>1.483654</v>
      </c>
      <c r="J46" s="182">
        <f>F_Inputs!J36</f>
        <v>1.5161210000000001</v>
      </c>
      <c r="K46" s="182">
        <f>F_Inputs!K36</f>
        <v>1.3523810000000001</v>
      </c>
      <c r="L46" s="182">
        <f>F_Inputs!L36</f>
        <v>1.2665299999999999</v>
      </c>
      <c r="M46" s="182">
        <f>F_Inputs!M36</f>
        <v>0.40352100000000002</v>
      </c>
    </row>
    <row r="47" spans="1:14" s="5" customFormat="1" ht="15">
      <c r="A47" s="160"/>
      <c r="B47" s="149"/>
      <c r="C47" s="149"/>
      <c r="D47" s="151"/>
      <c r="E47" s="151"/>
      <c r="F47" s="149"/>
      <c r="G47" s="189"/>
      <c r="H47" s="189"/>
      <c r="I47" s="189"/>
      <c r="J47" s="189"/>
      <c r="K47" s="189"/>
      <c r="L47" s="189"/>
      <c r="M47" s="189"/>
    </row>
    <row r="48" spans="1:14" s="5" customFormat="1" ht="15">
      <c r="A48" s="160"/>
      <c r="B48" s="138" t="s">
        <v>15</v>
      </c>
      <c r="C48" s="145" t="s">
        <v>60</v>
      </c>
      <c r="D48" s="142" t="s">
        <v>239</v>
      </c>
      <c r="E48" s="142"/>
      <c r="F48" s="138"/>
      <c r="G48" s="181"/>
      <c r="H48" s="265">
        <f>F_Inputs!H53</f>
        <v>5100.5066690000003</v>
      </c>
      <c r="I48" s="265">
        <f>+F_Inputs!I41+F_Inputs!I42+F_Inputs!I43+F_Inputs!I44</f>
        <v>5194.8279999999995</v>
      </c>
      <c r="J48" s="265">
        <f>+F_Inputs!J41+F_Inputs!J42+F_Inputs!J43+F_Inputs!J44</f>
        <v>5197.66</v>
      </c>
      <c r="K48" s="265">
        <f>+F_Inputs!K41+F_Inputs!K42+F_Inputs!K43+F_Inputs!K44</f>
        <v>5209.51</v>
      </c>
      <c r="L48" s="265">
        <f>+F_Inputs!L41+F_Inputs!L42+F_Inputs!L43+F_Inputs!L44</f>
        <v>5236.8330000000005</v>
      </c>
      <c r="M48" s="265">
        <f>+F_Inputs!M41+F_Inputs!M42+F_Inputs!M43+F_Inputs!M44</f>
        <v>5277.6019999999999</v>
      </c>
    </row>
    <row r="49" spans="1:14" s="5" customFormat="1" ht="15">
      <c r="A49" s="160"/>
      <c r="B49" s="138" t="s">
        <v>16</v>
      </c>
      <c r="C49" s="145" t="s">
        <v>61</v>
      </c>
      <c r="D49" s="142" t="s">
        <v>239</v>
      </c>
      <c r="E49" s="142"/>
      <c r="F49" s="138"/>
      <c r="G49" s="181"/>
      <c r="H49" s="182">
        <f>F_Inputs!H37</f>
        <v>297.09005050000002</v>
      </c>
      <c r="I49" s="182">
        <f>F_Inputs!I37</f>
        <v>287.84500000000003</v>
      </c>
      <c r="J49" s="182">
        <f>F_Inputs!J37</f>
        <v>290.286</v>
      </c>
      <c r="K49" s="182">
        <f>F_Inputs!K37</f>
        <v>297.58600000000001</v>
      </c>
      <c r="L49" s="182">
        <f>F_Inputs!L37</f>
        <v>296.93240166907498</v>
      </c>
      <c r="M49" s="182">
        <f>F_Inputs!M37</f>
        <v>294.90067886856099</v>
      </c>
    </row>
    <row r="50" spans="1:14" s="5" customFormat="1" ht="15">
      <c r="A50" s="160"/>
      <c r="B50" s="138" t="s">
        <v>352</v>
      </c>
      <c r="C50" s="138" t="s">
        <v>59</v>
      </c>
      <c r="D50" s="142" t="s">
        <v>239</v>
      </c>
      <c r="E50" s="142"/>
      <c r="F50" s="138"/>
      <c r="G50" s="181"/>
      <c r="H50" s="181"/>
      <c r="I50" s="182">
        <f>F_Inputs!I38</f>
        <v>1.42</v>
      </c>
      <c r="J50" s="182">
        <f>F_Inputs!J38</f>
        <v>2.8540000000000001</v>
      </c>
      <c r="K50" s="182">
        <f>F_Inputs!K38</f>
        <v>4.4710000000000001</v>
      </c>
      <c r="L50" s="182">
        <f>F_Inputs!L38</f>
        <v>6.391</v>
      </c>
      <c r="M50" s="182">
        <f>F_Inputs!M38</f>
        <v>8.2929999999999993</v>
      </c>
    </row>
    <row r="51" spans="1:14" ht="15">
      <c r="A51" s="9"/>
      <c r="B51" s="138"/>
      <c r="C51" s="138"/>
      <c r="D51" s="150"/>
      <c r="E51" s="150"/>
      <c r="F51" s="138"/>
      <c r="G51" s="138"/>
      <c r="H51" s="138"/>
      <c r="I51" s="138"/>
      <c r="J51" s="138"/>
      <c r="K51" s="138"/>
      <c r="L51" s="138"/>
      <c r="M51" s="138"/>
    </row>
    <row r="52" spans="1:14" ht="15.6">
      <c r="A52" s="139"/>
      <c r="B52" s="139"/>
      <c r="C52" s="140" t="s">
        <v>42</v>
      </c>
      <c r="D52" s="139"/>
      <c r="E52" s="139"/>
      <c r="F52" s="190"/>
      <c r="G52" s="190"/>
      <c r="H52" s="190"/>
      <c r="I52" s="190"/>
      <c r="J52" s="190"/>
      <c r="K52" s="190"/>
      <c r="L52" s="139"/>
      <c r="M52" s="139"/>
    </row>
    <row r="53" spans="1:14" ht="15">
      <c r="A53" s="9"/>
      <c r="B53" s="138" t="s">
        <v>18</v>
      </c>
      <c r="C53" s="138" t="s">
        <v>81</v>
      </c>
      <c r="D53" s="153" t="s">
        <v>378</v>
      </c>
      <c r="E53" s="153"/>
      <c r="F53" s="138"/>
      <c r="G53" s="138"/>
      <c r="H53" s="138"/>
      <c r="I53" s="210">
        <f>F_Inputs!I45</f>
        <v>0.28000000000000003</v>
      </c>
      <c r="J53" s="210">
        <f>F_Inputs!J45</f>
        <v>0.26</v>
      </c>
      <c r="K53" s="210">
        <f>F_Inputs!K45</f>
        <v>0.24</v>
      </c>
      <c r="L53" s="210">
        <f>F_Inputs!L45</f>
        <v>0.23</v>
      </c>
      <c r="M53" s="210">
        <f>F_Inputs!M45</f>
        <v>0.21</v>
      </c>
    </row>
    <row r="54" spans="1:14" ht="15">
      <c r="A54" s="9"/>
      <c r="B54" s="138" t="s">
        <v>17</v>
      </c>
      <c r="C54" s="138" t="s">
        <v>202</v>
      </c>
      <c r="D54" s="144" t="s">
        <v>240</v>
      </c>
      <c r="E54" s="144"/>
      <c r="F54" s="182">
        <f>F_Inputs!F46</f>
        <v>208.59166666666599</v>
      </c>
      <c r="G54" s="182">
        <f>F_Inputs!G46</f>
        <v>214.78333333333299</v>
      </c>
      <c r="H54" s="182">
        <f>F_Inputs!H46</f>
        <v>212.98333333333301</v>
      </c>
      <c r="I54" s="182">
        <f>F_Inputs!I46</f>
        <v>217.23333333333301</v>
      </c>
      <c r="J54" s="182">
        <f>F_Inputs!J46</f>
        <v>223.74350000000001</v>
      </c>
      <c r="K54" s="182">
        <f>F_Inputs!K46</f>
        <v>229.78457449999999</v>
      </c>
      <c r="L54" s="182">
        <f>F_Inputs!L46</f>
        <v>235.52918886249901</v>
      </c>
      <c r="M54" s="182">
        <f>F_Inputs!M46</f>
        <v>241.41741858406201</v>
      </c>
    </row>
    <row r="55" spans="1:14" ht="15">
      <c r="A55" s="9"/>
      <c r="B55" s="138" t="s">
        <v>312</v>
      </c>
      <c r="C55" s="138" t="s">
        <v>194</v>
      </c>
      <c r="D55" s="144" t="s">
        <v>240</v>
      </c>
      <c r="E55" s="144"/>
      <c r="F55" s="182">
        <f>F_Inputs!F47</f>
        <v>208.59166666666701</v>
      </c>
      <c r="G55" s="182">
        <f>F_Inputs!G47</f>
        <v>214.78333333333299</v>
      </c>
      <c r="H55" s="182">
        <f>F_Inputs!H47</f>
        <v>215.76666666666699</v>
      </c>
      <c r="I55" s="182">
        <f>F_Inputs!I47</f>
        <v>226.47499999999999</v>
      </c>
      <c r="J55" s="182">
        <f>F_Inputs!J47</f>
        <v>237.34166666666701</v>
      </c>
      <c r="K55" s="182">
        <f>F_Inputs!K47</f>
        <v>244.67500000000001</v>
      </c>
      <c r="L55" s="182">
        <f>F_Inputs!L47</f>
        <v>251.73333333333301</v>
      </c>
      <c r="M55" s="182">
        <f>F_Inputs!M47</f>
        <v>256.66666666666703</v>
      </c>
    </row>
    <row r="56" spans="1:14" ht="15">
      <c r="A56" s="9"/>
      <c r="B56" s="127"/>
      <c r="C56" s="138"/>
      <c r="D56" s="144"/>
      <c r="E56" s="144"/>
      <c r="F56" s="180"/>
      <c r="G56" s="138"/>
      <c r="H56" s="180"/>
      <c r="I56" s="138"/>
      <c r="J56" s="138"/>
      <c r="K56" s="138"/>
      <c r="L56" s="138"/>
      <c r="M56" s="138"/>
    </row>
    <row r="57" spans="1:14" ht="15">
      <c r="A57" s="9"/>
      <c r="B57" s="138" t="s">
        <v>26</v>
      </c>
      <c r="C57" s="138" t="s">
        <v>43</v>
      </c>
      <c r="D57" s="153" t="s">
        <v>378</v>
      </c>
      <c r="E57" s="153"/>
      <c r="F57" s="138"/>
      <c r="G57" s="138"/>
      <c r="H57" s="138"/>
      <c r="I57" s="191">
        <f>F_Inputs!I48</f>
        <v>4.4999999999999998E-2</v>
      </c>
      <c r="J57" s="191">
        <f>F_Inputs!J48</f>
        <v>4.4999999999999998E-2</v>
      </c>
      <c r="K57" s="191">
        <f>F_Inputs!K48</f>
        <v>4.4999999999999998E-2</v>
      </c>
      <c r="L57" s="191">
        <f>F_Inputs!L48</f>
        <v>4.4999999999999998E-2</v>
      </c>
      <c r="M57" s="191">
        <f>F_Inputs!M48</f>
        <v>4.4999999999999998E-2</v>
      </c>
    </row>
    <row r="58" spans="1:14" ht="15">
      <c r="A58" s="9"/>
      <c r="B58" s="138" t="s">
        <v>324</v>
      </c>
      <c r="C58" s="145" t="s">
        <v>79</v>
      </c>
      <c r="D58" s="153" t="s">
        <v>378</v>
      </c>
      <c r="E58" s="153"/>
      <c r="F58" s="138"/>
      <c r="G58" s="138"/>
      <c r="H58" s="192"/>
      <c r="I58" s="270">
        <f>F_Inputs!I49</f>
        <v>0.42</v>
      </c>
      <c r="J58" s="270">
        <f>F_Inputs!J49</f>
        <v>0.42</v>
      </c>
      <c r="K58" s="270">
        <f>F_Inputs!K49</f>
        <v>0.42</v>
      </c>
      <c r="L58" s="270">
        <f>F_Inputs!L49</f>
        <v>0.42</v>
      </c>
      <c r="M58" s="270">
        <f>F_Inputs!M49</f>
        <v>0.42</v>
      </c>
    </row>
    <row r="59" spans="1:14" ht="15">
      <c r="A59" s="9"/>
      <c r="B59" s="138" t="s">
        <v>325</v>
      </c>
      <c r="C59" s="145" t="s">
        <v>80</v>
      </c>
      <c r="D59" s="153" t="s">
        <v>378</v>
      </c>
      <c r="E59" s="153"/>
      <c r="F59" s="138"/>
      <c r="G59" s="138"/>
      <c r="H59" s="138"/>
      <c r="I59" s="270">
        <f>F_Inputs!I50</f>
        <v>0</v>
      </c>
      <c r="J59" s="270">
        <f>F_Inputs!J50</f>
        <v>0.5</v>
      </c>
      <c r="K59" s="270">
        <f>F_Inputs!K50</f>
        <v>1</v>
      </c>
      <c r="L59" s="270">
        <f>F_Inputs!L50</f>
        <v>1.5</v>
      </c>
      <c r="M59" s="270">
        <f>F_Inputs!M50</f>
        <v>0</v>
      </c>
    </row>
    <row r="60" spans="1:14" ht="15">
      <c r="A60" s="9"/>
      <c r="B60" s="154" t="s">
        <v>326</v>
      </c>
      <c r="C60" s="138" t="s">
        <v>44</v>
      </c>
      <c r="D60" s="153" t="s">
        <v>378</v>
      </c>
      <c r="E60" s="153"/>
      <c r="F60" s="154"/>
      <c r="G60" s="154"/>
      <c r="H60" s="154"/>
      <c r="I60" s="154"/>
      <c r="J60" s="154"/>
      <c r="K60" s="154"/>
      <c r="L60" s="154"/>
      <c r="M60" s="191">
        <f>F_Inputs!N54</f>
        <v>3.5999999999999997E-2</v>
      </c>
    </row>
    <row r="61" spans="1:14" ht="15">
      <c r="A61" s="9"/>
      <c r="B61" s="154" t="s">
        <v>327</v>
      </c>
      <c r="C61" s="138" t="s">
        <v>168</v>
      </c>
      <c r="D61" s="144" t="s">
        <v>32</v>
      </c>
      <c r="E61" s="144"/>
      <c r="F61" s="229">
        <f>F_Inputs!F51</f>
        <v>50</v>
      </c>
      <c r="G61" s="154"/>
      <c r="H61" s="154"/>
      <c r="I61" s="154"/>
      <c r="J61" s="154"/>
      <c r="K61" s="154"/>
      <c r="L61" s="154"/>
      <c r="M61" s="227"/>
    </row>
    <row r="62" spans="1:14" ht="15">
      <c r="A62" s="9"/>
      <c r="B62" s="154"/>
      <c r="C62" s="138"/>
      <c r="D62" s="144"/>
      <c r="E62" s="144"/>
      <c r="F62" s="193"/>
      <c r="G62" s="154"/>
      <c r="H62" s="154"/>
      <c r="I62" s="154"/>
      <c r="J62" s="154"/>
      <c r="K62" s="154"/>
      <c r="L62" s="154"/>
      <c r="M62" s="227"/>
    </row>
    <row r="63" spans="1:14" ht="15.6">
      <c r="A63" s="139"/>
      <c r="B63" s="139"/>
      <c r="C63" s="140" t="s">
        <v>227</v>
      </c>
      <c r="D63" s="139"/>
      <c r="E63" s="139"/>
      <c r="F63" s="190"/>
      <c r="G63" s="190"/>
      <c r="H63" s="190"/>
      <c r="I63" s="190"/>
      <c r="J63" s="190"/>
      <c r="K63" s="190"/>
      <c r="L63" s="139"/>
      <c r="M63" s="139"/>
    </row>
    <row r="64" spans="1:14" ht="15">
      <c r="A64" s="9"/>
      <c r="B64" s="154"/>
      <c r="C64" s="138"/>
      <c r="D64" s="144"/>
      <c r="E64" s="144"/>
      <c r="F64" s="193"/>
      <c r="G64" s="154"/>
      <c r="H64" s="154"/>
      <c r="I64" s="154"/>
      <c r="J64" s="154"/>
      <c r="K64" s="154"/>
      <c r="L64" s="154"/>
      <c r="M64" s="227"/>
      <c r="N64" s="3"/>
    </row>
    <row r="65" spans="1:14" ht="15">
      <c r="A65" s="9"/>
      <c r="B65" s="154"/>
      <c r="C65" s="138"/>
      <c r="D65" s="144"/>
      <c r="E65" s="144"/>
      <c r="F65" s="193"/>
      <c r="G65" s="154"/>
      <c r="H65" s="154"/>
      <c r="I65" s="154"/>
      <c r="J65" s="154"/>
      <c r="K65" s="154"/>
      <c r="L65" s="154"/>
      <c r="M65" s="227"/>
      <c r="N65" s="3"/>
    </row>
    <row r="66" spans="1:14" ht="15">
      <c r="A66" s="9"/>
      <c r="B66" s="155"/>
      <c r="C66" s="156"/>
      <c r="D66" s="156"/>
      <c r="E66" s="156"/>
      <c r="F66" s="193"/>
      <c r="G66" s="154"/>
      <c r="H66" s="154"/>
      <c r="I66" s="154"/>
      <c r="J66" s="154"/>
      <c r="K66" s="154"/>
      <c r="L66" s="154"/>
      <c r="M66" s="227"/>
      <c r="N66" s="3"/>
    </row>
    <row r="67" spans="1:14" ht="15">
      <c r="A67" s="9"/>
      <c r="B67" s="155"/>
      <c r="C67" s="156"/>
      <c r="D67" s="156"/>
      <c r="E67" s="156"/>
      <c r="F67" s="193"/>
      <c r="G67" s="154"/>
      <c r="H67" s="154"/>
      <c r="I67" s="154"/>
      <c r="J67" s="154"/>
      <c r="K67" s="154"/>
      <c r="L67" s="154"/>
      <c r="M67" s="227"/>
      <c r="N67" s="3"/>
    </row>
    <row r="68" spans="1:14" ht="15">
      <c r="A68" s="157"/>
      <c r="B68" s="158"/>
      <c r="C68" s="159"/>
      <c r="D68" s="159"/>
      <c r="E68" s="159"/>
      <c r="F68" s="158"/>
      <c r="G68" s="158"/>
      <c r="H68" s="158"/>
      <c r="I68" s="158"/>
      <c r="J68" s="158"/>
      <c r="K68" s="158"/>
      <c r="L68" s="158"/>
      <c r="M68" s="228"/>
      <c r="N68" s="3"/>
    </row>
    <row r="132" spans="1:5" ht="15.6">
      <c r="A132" s="13"/>
      <c r="B132" s="2"/>
      <c r="C132" s="2"/>
      <c r="D132" s="7"/>
      <c r="E132" s="7"/>
    </row>
  </sheetData>
  <phoneticPr fontId="10"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94"/>
      <c r="B1" s="263">
        <f>+F_Inputs!A4</f>
        <v>0</v>
      </c>
      <c r="C1" s="126" t="s">
        <v>339</v>
      </c>
      <c r="D1" s="263"/>
      <c r="E1" s="263"/>
      <c r="F1" s="195"/>
      <c r="G1" s="195"/>
      <c r="H1" s="190"/>
      <c r="I1" s="190"/>
      <c r="J1" s="190"/>
      <c r="K1" s="190"/>
      <c r="L1" s="190"/>
      <c r="M1" s="19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94"/>
      <c r="B2" s="128"/>
      <c r="C2" s="130"/>
      <c r="D2" s="196"/>
      <c r="E2" s="196"/>
      <c r="F2" s="197"/>
      <c r="G2" s="197"/>
      <c r="H2" s="198"/>
      <c r="I2" s="199"/>
      <c r="J2" s="199"/>
      <c r="K2" s="199"/>
      <c r="L2" s="199"/>
      <c r="M2" s="19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200"/>
      <c r="B3" s="201"/>
      <c r="C3" s="203"/>
      <c r="D3" s="202" t="s">
        <v>64</v>
      </c>
      <c r="E3" s="264"/>
      <c r="F3" s="204" t="str">
        <f>+Input!F2</f>
        <v>2007-08</v>
      </c>
      <c r="G3" s="205" t="s">
        <v>70</v>
      </c>
      <c r="H3" s="205" t="s">
        <v>71</v>
      </c>
      <c r="I3" s="205" t="s">
        <v>72</v>
      </c>
      <c r="J3" s="205" t="s">
        <v>73</v>
      </c>
      <c r="K3" s="205" t="s">
        <v>74</v>
      </c>
      <c r="L3" s="205" t="s">
        <v>75</v>
      </c>
      <c r="M3" s="20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38" t="s">
        <v>98</v>
      </c>
      <c r="C4" s="138" t="s">
        <v>99</v>
      </c>
      <c r="D4" s="253"/>
      <c r="E4" s="253"/>
      <c r="F4" s="138"/>
      <c r="G4" s="138"/>
      <c r="H4" s="138"/>
      <c r="I4" s="179">
        <f>Input!I5</f>
        <v>1</v>
      </c>
      <c r="J4" s="179">
        <f>Input!J5</f>
        <v>2</v>
      </c>
      <c r="K4" s="179">
        <f>Input!K5</f>
        <v>3</v>
      </c>
      <c r="L4" s="179">
        <f>Input!L5</f>
        <v>4</v>
      </c>
      <c r="M4" s="179">
        <f>Input!M5</f>
        <v>5</v>
      </c>
    </row>
    <row r="5" spans="1:254" s="1" customFormat="1" ht="15.6">
      <c r="A5" s="139"/>
      <c r="B5" s="139"/>
      <c r="C5" s="140" t="s">
        <v>241</v>
      </c>
      <c r="D5" s="139"/>
      <c r="E5" s="139"/>
      <c r="F5" s="139"/>
      <c r="G5" s="139"/>
      <c r="H5" s="139"/>
      <c r="I5" s="139"/>
      <c r="J5" s="139"/>
      <c r="K5" s="139"/>
      <c r="L5" s="139"/>
      <c r="M5" s="139"/>
    </row>
    <row r="6" spans="1:254" s="3" customFormat="1" ht="15">
      <c r="A6" s="148"/>
      <c r="B6" s="147" t="s">
        <v>169</v>
      </c>
      <c r="C6" s="207" t="str">
        <f>"RPI: Fin year average - deflate to base year ("&amp;F$3&amp;")"</f>
        <v>RPI: Fin year average - deflate to base year (2007-08)</v>
      </c>
      <c r="D6" s="206" t="s">
        <v>67</v>
      </c>
      <c r="E6" s="206"/>
      <c r="F6" s="208">
        <f>IF(Input!F$54="",0,Input!$F$54/Input!F$54)</f>
        <v>1</v>
      </c>
      <c r="G6" s="208">
        <f>IF(Input!G$54="",0,Input!$F$54/Input!G$54)</f>
        <v>0.97117249941801653</v>
      </c>
      <c r="H6" s="208">
        <f>IF(Input!H$54="",0,Input!$F$54/Input!H$54)</f>
        <v>0.97938023319508394</v>
      </c>
      <c r="I6" s="209">
        <f>IF(Input!I$54="",0,Input!$F$54/Input!I$54)</f>
        <v>0.9602194261163095</v>
      </c>
      <c r="J6" s="209">
        <f>IF(Input!J$54="",0,Input!$F$54/Input!J$54)</f>
        <v>0.93228034184977882</v>
      </c>
      <c r="K6" s="209">
        <f>IF(Input!K$54="",0,Input!$F$54/Input!K$54)</f>
        <v>0.90777053734155677</v>
      </c>
      <c r="L6" s="209">
        <f>IF(Input!L$54="",0,Input!$F$54/Input!L$54)</f>
        <v>0.88562979252835183</v>
      </c>
      <c r="M6" s="209">
        <f>IF(Input!M$54="",0,Input!$F$54/Input!M$54)</f>
        <v>0.864029065881317</v>
      </c>
    </row>
    <row r="7" spans="1:254" s="3" customFormat="1" ht="15">
      <c r="A7" s="148"/>
      <c r="B7" s="147"/>
      <c r="C7" s="207" t="str">
        <f>"Outturn RPI FYA - deflate to base year ("&amp;F$3&amp;")"</f>
        <v>Outturn RPI FYA - deflate to base year (2007-08)</v>
      </c>
      <c r="D7" s="206" t="s">
        <v>67</v>
      </c>
      <c r="E7" s="206"/>
      <c r="F7" s="208">
        <f>IF(Input!F$55="",0,Input!$F$55/Input!F$55)</f>
        <v>1</v>
      </c>
      <c r="G7" s="208">
        <f>IF(Input!G$55="",0,Input!$F$55/Input!G$55)</f>
        <v>0.97117249941802131</v>
      </c>
      <c r="H7" s="208">
        <f>IF(Input!H$55="",0,Input!$F$55/Input!H$55)</f>
        <v>0.96674648540089614</v>
      </c>
      <c r="I7" s="209">
        <f>IF(Input!I$55="",0,Input!$F$55/Input!I$55)</f>
        <v>0.92103617029105644</v>
      </c>
      <c r="J7" s="209">
        <f>IF(Input!J$55="",0,Input!$F$55/Input!J$55)</f>
        <v>0.87886661282960588</v>
      </c>
      <c r="K7" s="209">
        <f>IF(Input!K$55="",0,Input!$F$55/Input!K$55)</f>
        <v>0.85252545894213549</v>
      </c>
      <c r="L7" s="209">
        <f>IF(Input!L$55="",0,Input!$F$55/Input!L$55)</f>
        <v>0.82862155720339226</v>
      </c>
      <c r="M7" s="209">
        <f>IF(Input!M$55="",0,Input!$F$55/Input!M$55)</f>
        <v>0.81269480519480541</v>
      </c>
    </row>
    <row r="8" spans="1:254" s="1" customFormat="1" ht="15">
      <c r="A8" s="9"/>
      <c r="B8" s="138"/>
      <c r="C8" s="138"/>
      <c r="D8" s="253"/>
      <c r="E8" s="253"/>
      <c r="F8" s="138"/>
      <c r="G8" s="138"/>
      <c r="H8" s="138"/>
      <c r="I8" s="179"/>
      <c r="J8" s="179"/>
      <c r="K8" s="179"/>
      <c r="L8" s="179"/>
      <c r="M8" s="179"/>
    </row>
    <row r="9" spans="1:254" s="1" customFormat="1" ht="15.6">
      <c r="A9" s="139"/>
      <c r="B9" s="139"/>
      <c r="C9" s="140" t="s">
        <v>242</v>
      </c>
      <c r="D9" s="139"/>
      <c r="E9" s="139"/>
      <c r="F9" s="139"/>
      <c r="G9" s="139"/>
      <c r="H9" s="139"/>
      <c r="I9" s="139"/>
      <c r="J9" s="139"/>
      <c r="K9" s="139"/>
      <c r="L9" s="139"/>
      <c r="M9" s="139"/>
    </row>
    <row r="10" spans="1:254" s="8" customFormat="1" ht="15.6">
      <c r="A10" s="140"/>
      <c r="B10" s="140"/>
      <c r="C10" s="140" t="str">
        <f>"2.1 Revenue expectation ("&amp;F$3&amp;" prices)"</f>
        <v>2.1 Revenue expectation (2007-08 prices)</v>
      </c>
      <c r="D10" s="140"/>
      <c r="E10" s="140"/>
      <c r="F10" s="140"/>
      <c r="G10" s="140"/>
      <c r="H10" s="140"/>
      <c r="I10" s="140"/>
      <c r="J10" s="140"/>
      <c r="K10" s="140"/>
      <c r="L10" s="140"/>
      <c r="M10" s="140"/>
      <c r="N10" s="1"/>
      <c r="O10" s="1"/>
      <c r="P10" s="1"/>
      <c r="Q10" s="1"/>
      <c r="R10" s="1"/>
      <c r="S10" s="1"/>
    </row>
    <row r="11" spans="1:254" s="3" customFormat="1" ht="15">
      <c r="A11" s="148"/>
      <c r="B11" s="193" t="s">
        <v>253</v>
      </c>
      <c r="C11" s="148" t="s">
        <v>108</v>
      </c>
      <c r="D11" s="253" t="s">
        <v>78</v>
      </c>
      <c r="E11" s="253"/>
      <c r="F11" s="193"/>
      <c r="G11" s="193"/>
      <c r="H11" s="181">
        <f>IF(Input!H$31&gt;=0,Input!H$31*Calc!H$7,0)</f>
        <v>1.7401436737216132</v>
      </c>
      <c r="I11" s="184">
        <f>IF(Input!I$31&gt;=0,Input!I$31*Calc!I$7,0)</f>
        <v>0.36841446811642259</v>
      </c>
      <c r="J11" s="184">
        <f>IF(Input!J$31&gt;=0,Input!J$31*Calc!J$7,0)</f>
        <v>0</v>
      </c>
      <c r="K11" s="184">
        <f>IF(Input!K$31&gt;=0,Input!K$31*Calc!K$7,0)</f>
        <v>0.5115152753652813</v>
      </c>
      <c r="L11" s="184">
        <f>IF(Input!L$31&gt;=0,Input!L$31*Calc!L$7,0)</f>
        <v>0.49717293432203535</v>
      </c>
      <c r="M11" s="184">
        <f>IF(Input!M$31&gt;=0,Input!M$31*Calc!M$7,0)</f>
        <v>0.97523376623376645</v>
      </c>
      <c r="N11" s="48"/>
      <c r="O11" s="48"/>
      <c r="P11" s="48"/>
    </row>
    <row r="12" spans="1:254" s="3" customFormat="1" ht="15">
      <c r="A12" s="148"/>
      <c r="B12" s="193" t="s">
        <v>253</v>
      </c>
      <c r="C12" s="148" t="s">
        <v>109</v>
      </c>
      <c r="D12" s="253" t="s">
        <v>78</v>
      </c>
      <c r="E12" s="253"/>
      <c r="F12" s="193"/>
      <c r="G12" s="193"/>
      <c r="H12" s="181">
        <f>IF(Input!H$31&lt;0,Input!H$31*Calc!H$7,0)</f>
        <v>0</v>
      </c>
      <c r="I12" s="184">
        <f>IF(Input!I$31&lt;0,Input!I$31*Calc!I$7,0)</f>
        <v>0</v>
      </c>
      <c r="J12" s="184">
        <f>IF(Input!J$31&lt;0,Input!J$31*Calc!J$7,0)</f>
        <v>-1.4061865805273694</v>
      </c>
      <c r="K12" s="184">
        <f>IF(Input!K$31&lt;0,Input!K$31*Calc!K$7,0)</f>
        <v>0</v>
      </c>
      <c r="L12" s="184">
        <f>IF(Input!L$31&lt;0,Input!L$31*Calc!L$7,0)</f>
        <v>0</v>
      </c>
      <c r="M12" s="184">
        <f>IF(Input!M$31&lt;0,Input!M$31*Calc!M$7,0)</f>
        <v>0</v>
      </c>
      <c r="N12" s="48"/>
      <c r="O12" s="48"/>
      <c r="P12" s="48"/>
    </row>
    <row r="13" spans="1:254" s="3" customFormat="1" ht="15">
      <c r="A13" s="148"/>
      <c r="B13" s="193"/>
      <c r="C13" s="148"/>
      <c r="D13" s="253"/>
      <c r="E13" s="253"/>
      <c r="F13" s="193"/>
      <c r="G13" s="193"/>
      <c r="H13" s="181"/>
      <c r="I13" s="184"/>
      <c r="J13" s="184"/>
      <c r="K13" s="184"/>
      <c r="L13" s="184"/>
      <c r="M13" s="184"/>
      <c r="N13" s="48"/>
      <c r="O13" s="48"/>
      <c r="P13" s="48"/>
    </row>
    <row r="14" spans="1:254" s="3" customFormat="1" ht="15">
      <c r="A14" s="148"/>
      <c r="B14" s="193" t="s">
        <v>253</v>
      </c>
      <c r="C14" s="145" t="str">
        <f>"Water: Change in non-household groups under "&amp;Threshold&amp;"ML threshold"</f>
        <v>Water: Change in non-household groups under 50ML threshold</v>
      </c>
      <c r="D14" s="253" t="s">
        <v>67</v>
      </c>
      <c r="E14" s="253"/>
      <c r="F14" s="193"/>
      <c r="G14" s="193"/>
      <c r="H14" s="193"/>
      <c r="I14" s="210">
        <f>IF(Input!H$7=0,0,Input!I$7/Input!H$7)</f>
        <v>1.0060404829157275</v>
      </c>
      <c r="J14" s="210">
        <f>IF(Input!I$7=0,0,Input!J$7/Input!I$7)</f>
        <v>0.99498230739515436</v>
      </c>
      <c r="K14" s="210">
        <f>IF(Input!J$7=0,0,Input!K$7/Input!J$7)</f>
        <v>1.0184271796172104</v>
      </c>
      <c r="L14" s="210">
        <f>IF(Input!K$7=0,0,Input!L$7/Input!K$7)</f>
        <v>1.0316151978686599</v>
      </c>
      <c r="M14" s="210">
        <f>IF(Input!L$7=0,0,Input!M$7/Input!L$7)</f>
        <v>1.0271591804634295</v>
      </c>
      <c r="N14" s="48"/>
      <c r="O14" s="48"/>
      <c r="P14" s="48"/>
    </row>
    <row r="15" spans="1:254" s="3" customFormat="1" ht="15">
      <c r="A15" s="148"/>
      <c r="B15" s="193" t="s">
        <v>253</v>
      </c>
      <c r="C15" s="145" t="str">
        <f>"Water: Change in non-household groups over "&amp;Threshold&amp;"ML threshold"</f>
        <v>Water: Change in non-household groups over 50ML threshold</v>
      </c>
      <c r="D15" s="253" t="s">
        <v>67</v>
      </c>
      <c r="E15" s="253"/>
      <c r="F15" s="193"/>
      <c r="G15" s="193"/>
      <c r="H15" s="193"/>
      <c r="I15" s="210">
        <f>IF(Input!H$8=0,0,Input!I$8/Input!H$8)</f>
        <v>1.0050958314728213</v>
      </c>
      <c r="J15" s="210">
        <f>IF(Input!I$8=0,0,Input!J$8/Input!I$8)</f>
        <v>0.99475558151236942</v>
      </c>
      <c r="K15" s="210">
        <f>IF(Input!J$8=0,0,Input!K$8/Input!J$8)</f>
        <v>1.0179604535647537</v>
      </c>
      <c r="L15" s="210">
        <f>IF(Input!K$8=0,0,Input!L$8/Input!K$8)</f>
        <v>1.0308518188976661</v>
      </c>
      <c r="M15" s="210">
        <f>IF(Input!L$8=0,0,Input!M$8/Input!L$8)</f>
        <v>1.0262941923499942</v>
      </c>
      <c r="N15" s="48"/>
      <c r="O15" s="48"/>
      <c r="P15" s="48"/>
    </row>
    <row r="16" spans="1:254" s="3" customFormat="1" ht="15">
      <c r="A16" s="148"/>
      <c r="B16" s="193"/>
      <c r="C16" s="145"/>
      <c r="D16" s="253"/>
      <c r="E16" s="253"/>
      <c r="F16" s="193"/>
      <c r="G16" s="193"/>
      <c r="H16" s="193"/>
      <c r="I16" s="210"/>
      <c r="J16" s="210"/>
      <c r="K16" s="210"/>
      <c r="L16" s="210"/>
      <c r="M16" s="210"/>
      <c r="N16" s="48"/>
      <c r="O16" s="48"/>
      <c r="P16" s="48"/>
    </row>
    <row r="17" spans="1:19" s="3" customFormat="1" ht="15">
      <c r="A17" s="148"/>
      <c r="B17" s="193" t="s">
        <v>253</v>
      </c>
      <c r="C17" s="145" t="str">
        <f>"Water: Revenue adjustment in non-household groups under "&amp;Threshold&amp;"ML threshold"</f>
        <v>Water: Revenue adjustment in non-household groups under 50ML threshold</v>
      </c>
      <c r="D17" s="253" t="s">
        <v>78</v>
      </c>
      <c r="E17" s="253"/>
      <c r="F17" s="193"/>
      <c r="G17" s="193"/>
      <c r="H17" s="181">
        <f t="shared" ref="H17:M18" si="0">+G17*H14+H11</f>
        <v>1.7401436737216132</v>
      </c>
      <c r="I17" s="184">
        <f t="shared" si="0"/>
        <v>2.1190694499700626</v>
      </c>
      <c r="J17" s="184">
        <f t="shared" si="0"/>
        <v>2.1084366108617933</v>
      </c>
      <c r="K17" s="184">
        <f t="shared" si="0"/>
        <v>2.6588044263669275</v>
      </c>
      <c r="L17" s="184">
        <f t="shared" si="0"/>
        <v>3.2400359887226218</v>
      </c>
      <c r="M17" s="184">
        <f t="shared" si="0"/>
        <v>4.3032664770821114</v>
      </c>
      <c r="N17" s="48"/>
      <c r="O17" s="48"/>
      <c r="P17" s="48"/>
    </row>
    <row r="18" spans="1:19" s="3" customFormat="1" ht="15">
      <c r="A18" s="148"/>
      <c r="B18" s="193" t="s">
        <v>253</v>
      </c>
      <c r="C18" s="145" t="str">
        <f>"Water: Revenue adjustment in non-household groups over "&amp;Threshold&amp;"ML threshold"</f>
        <v>Water: Revenue adjustment in non-household groups over 50ML threshold</v>
      </c>
      <c r="D18" s="253" t="s">
        <v>78</v>
      </c>
      <c r="E18" s="253"/>
      <c r="F18" s="193"/>
      <c r="G18" s="193"/>
      <c r="H18" s="181">
        <f t="shared" si="0"/>
        <v>0</v>
      </c>
      <c r="I18" s="184">
        <f t="shared" si="0"/>
        <v>0</v>
      </c>
      <c r="J18" s="184">
        <f t="shared" si="0"/>
        <v>-1.4061865805273694</v>
      </c>
      <c r="K18" s="184">
        <f t="shared" si="0"/>
        <v>-1.4314423293103111</v>
      </c>
      <c r="L18" s="184">
        <f t="shared" si="0"/>
        <v>-1.4756049288166462</v>
      </c>
      <c r="M18" s="184">
        <f t="shared" si="0"/>
        <v>-1.5144047686475506</v>
      </c>
      <c r="N18" s="48"/>
      <c r="O18" s="48"/>
      <c r="P18" s="48"/>
    </row>
    <row r="19" spans="1:19" s="3" customFormat="1" ht="15">
      <c r="A19" s="148"/>
      <c r="B19" s="193"/>
      <c r="C19" s="145"/>
      <c r="D19" s="253"/>
      <c r="E19" s="253"/>
      <c r="F19" s="193"/>
      <c r="G19" s="193"/>
      <c r="H19" s="181"/>
      <c r="I19" s="184"/>
      <c r="J19" s="184"/>
      <c r="K19" s="184"/>
      <c r="L19" s="184"/>
      <c r="M19" s="184"/>
      <c r="N19" s="48"/>
      <c r="O19" s="48"/>
      <c r="P19" s="48"/>
    </row>
    <row r="20" spans="1:19" s="3" customFormat="1" ht="15">
      <c r="A20" s="148"/>
      <c r="B20" s="193" t="s">
        <v>253</v>
      </c>
      <c r="C20" s="145" t="s">
        <v>121</v>
      </c>
      <c r="D20" s="253" t="s">
        <v>78</v>
      </c>
      <c r="E20" s="253"/>
      <c r="F20" s="193"/>
      <c r="G20" s="193"/>
      <c r="H20" s="181">
        <f t="shared" ref="H20:M20" si="1">+H17+H18</f>
        <v>1.7401436737216132</v>
      </c>
      <c r="I20" s="184">
        <f t="shared" si="1"/>
        <v>2.1190694499700626</v>
      </c>
      <c r="J20" s="184">
        <f t="shared" si="1"/>
        <v>0.7022500303344239</v>
      </c>
      <c r="K20" s="184">
        <f t="shared" si="1"/>
        <v>1.2273620970566164</v>
      </c>
      <c r="L20" s="184">
        <f t="shared" si="1"/>
        <v>1.7644310599059756</v>
      </c>
      <c r="M20" s="184">
        <f t="shared" si="1"/>
        <v>2.7888617084345606</v>
      </c>
      <c r="N20" s="48"/>
      <c r="O20" s="48"/>
      <c r="P20" s="48"/>
    </row>
    <row r="21" spans="1:19" s="3" customFormat="1" ht="15">
      <c r="A21" s="148"/>
      <c r="B21" s="193" t="s">
        <v>253</v>
      </c>
      <c r="C21" s="145" t="s">
        <v>122</v>
      </c>
      <c r="D21" s="253" t="s">
        <v>78</v>
      </c>
      <c r="E21" s="253"/>
      <c r="F21" s="193"/>
      <c r="G21" s="193"/>
      <c r="H21" s="181"/>
      <c r="I21" s="184">
        <f>Input!I10*Calc!I6-I20</f>
        <v>744.84189853448402</v>
      </c>
      <c r="J21" s="184">
        <f>Input!J10*Calc!J6-J20</f>
        <v>720.52582450558009</v>
      </c>
      <c r="K21" s="184">
        <f>Input!K10*Calc!K6-K20</f>
        <v>717.43232981332028</v>
      </c>
      <c r="L21" s="184">
        <f>Input!L10*Calc!L6-L20</f>
        <v>726.0603490331689</v>
      </c>
      <c r="M21" s="184">
        <f>Input!M10*Calc!M6-M20</f>
        <v>729.83699507720519</v>
      </c>
      <c r="N21" s="48"/>
      <c r="O21" s="48"/>
      <c r="P21" s="48"/>
    </row>
    <row r="22" spans="1:19" s="1" customFormat="1" ht="15.6">
      <c r="A22" s="9"/>
      <c r="B22" s="193"/>
      <c r="C22" s="211"/>
      <c r="D22" s="253"/>
      <c r="E22" s="253"/>
      <c r="F22" s="193"/>
      <c r="G22" s="193"/>
      <c r="H22" s="193"/>
      <c r="I22" s="184"/>
      <c r="J22" s="184"/>
      <c r="K22" s="184"/>
      <c r="L22" s="184"/>
      <c r="M22" s="184"/>
    </row>
    <row r="23" spans="1:19" s="10" customFormat="1" ht="15.6">
      <c r="A23" s="140"/>
      <c r="B23" s="140"/>
      <c r="C23" s="140" t="str">
        <f>"2.2 Revenue subtotals ("&amp;F$3&amp;" prices)"</f>
        <v>2.2 Revenue subtotals (2007-08 prices)</v>
      </c>
      <c r="D23" s="140"/>
      <c r="E23" s="140"/>
      <c r="F23" s="140"/>
      <c r="G23" s="140"/>
      <c r="H23" s="140"/>
      <c r="I23" s="212"/>
      <c r="J23" s="212"/>
      <c r="K23" s="212"/>
      <c r="L23" s="212"/>
      <c r="M23" s="212"/>
      <c r="N23" s="9"/>
      <c r="O23" s="9"/>
      <c r="P23" s="9"/>
      <c r="Q23" s="9"/>
      <c r="R23" s="9"/>
      <c r="S23" s="9"/>
    </row>
    <row r="24" spans="1:19" s="1" customFormat="1" ht="15">
      <c r="A24" s="9"/>
      <c r="B24" s="138" t="s">
        <v>94</v>
      </c>
      <c r="C24" s="138" t="s">
        <v>123</v>
      </c>
      <c r="D24" s="253" t="s">
        <v>78</v>
      </c>
      <c r="E24" s="253"/>
      <c r="F24" s="138"/>
      <c r="G24" s="138"/>
      <c r="H24" s="138"/>
      <c r="I24" s="184">
        <f>(Input!I27+Input!I28)*I$7</f>
        <v>431.04731846664328</v>
      </c>
      <c r="J24" s="184">
        <f>(Input!J27+Input!J28)*J$7</f>
        <v>417.69606197333115</v>
      </c>
      <c r="K24" s="184">
        <f>(Input!K27+Input!K28)*K$7</f>
        <v>415.41023875238932</v>
      </c>
      <c r="L24" s="184">
        <f>(Input!L27+Input!L28)*L$7</f>
        <v>418.49256510792293</v>
      </c>
      <c r="M24" s="184">
        <f>(Input!M27+Input!M28)*M$7</f>
        <v>419.75686688311697</v>
      </c>
    </row>
    <row r="25" spans="1:19" s="1" customFormat="1" ht="15">
      <c r="A25" s="9"/>
      <c r="B25" s="138" t="s">
        <v>96</v>
      </c>
      <c r="C25" s="138" t="s">
        <v>124</v>
      </c>
      <c r="D25" s="253" t="s">
        <v>78</v>
      </c>
      <c r="E25" s="253"/>
      <c r="F25" s="138"/>
      <c r="G25" s="138"/>
      <c r="H25" s="138"/>
      <c r="I25" s="184">
        <f>(Input!I29+Input!I30)*I$7</f>
        <v>299.442166306628</v>
      </c>
      <c r="J25" s="184">
        <f>(Input!J29+Input!J30)*J$7</f>
        <v>291.39780964966934</v>
      </c>
      <c r="K25" s="184">
        <f>(Input!K29+Input!K30)*K$7</f>
        <v>289.5399747890728</v>
      </c>
      <c r="L25" s="184">
        <f>(Input!L29+Input!L30)*L$7</f>
        <v>317.39044086205195</v>
      </c>
      <c r="M25" s="184">
        <f>(Input!M29+Input!M30)*M$7</f>
        <v>322.63983766233775</v>
      </c>
    </row>
    <row r="26" spans="1:19" s="1" customFormat="1" ht="15">
      <c r="A26" s="9"/>
      <c r="B26" s="138"/>
      <c r="C26" s="138"/>
      <c r="D26" s="253"/>
      <c r="E26" s="253"/>
      <c r="F26" s="138"/>
      <c r="G26" s="138"/>
      <c r="H26" s="138"/>
      <c r="I26" s="184"/>
      <c r="J26" s="184"/>
      <c r="K26" s="184"/>
      <c r="L26" s="184"/>
      <c r="M26" s="184"/>
    </row>
    <row r="27" spans="1:19" s="10" customFormat="1" ht="15.6">
      <c r="A27" s="140"/>
      <c r="B27" s="140"/>
      <c r="C27" s="140" t="str">
        <f>"2.3 Revenue correction ("&amp;F$3&amp;" prices)"</f>
        <v>2.3 Revenue correction (2007-08 prices)</v>
      </c>
      <c r="D27" s="140"/>
      <c r="E27" s="140"/>
      <c r="F27" s="140"/>
      <c r="G27" s="140"/>
      <c r="H27" s="140"/>
      <c r="I27" s="212"/>
      <c r="J27" s="212"/>
      <c r="K27" s="212"/>
      <c r="L27" s="212"/>
      <c r="M27" s="212"/>
      <c r="N27" s="9"/>
      <c r="O27" s="9"/>
      <c r="P27" s="9"/>
      <c r="Q27" s="9"/>
      <c r="R27" s="9"/>
      <c r="S27" s="9"/>
    </row>
    <row r="28" spans="1:19" s="1" customFormat="1" ht="15">
      <c r="A28" s="9"/>
      <c r="B28" s="138"/>
      <c r="C28" s="138" t="s">
        <v>125</v>
      </c>
      <c r="D28" s="253" t="s">
        <v>78</v>
      </c>
      <c r="E28" s="253"/>
      <c r="F28" s="138"/>
      <c r="G28" s="138"/>
      <c r="H28" s="138"/>
      <c r="I28" s="184">
        <f>+I24+I25+Input!I32*I7</f>
        <v>730.48948477327122</v>
      </c>
      <c r="J28" s="184">
        <f>+J24+J25+Input!J32*J7</f>
        <v>709.0938716230005</v>
      </c>
      <c r="K28" s="184">
        <f>+K24+K25+Input!K32*K7</f>
        <v>704.95021354146206</v>
      </c>
      <c r="L28" s="184">
        <f>+L24+L25+Input!L32*L7</f>
        <v>735.88300596997487</v>
      </c>
      <c r="M28" s="184">
        <f>+M24+M25+Input!M32*M7</f>
        <v>742.39670454545467</v>
      </c>
    </row>
    <row r="29" spans="1:19" s="1" customFormat="1" ht="15">
      <c r="A29" s="9"/>
      <c r="B29" s="193" t="s">
        <v>253</v>
      </c>
      <c r="C29" s="138" t="s">
        <v>126</v>
      </c>
      <c r="D29" s="253" t="s">
        <v>78</v>
      </c>
      <c r="E29" s="253"/>
      <c r="F29" s="138"/>
      <c r="G29" s="138"/>
      <c r="H29" s="138"/>
      <c r="I29" s="184">
        <f>I28-I21</f>
        <v>-14.352413761212802</v>
      </c>
      <c r="J29" s="184">
        <f>J28-J21</f>
        <v>-11.431952882579594</v>
      </c>
      <c r="K29" s="184">
        <f>K28-K21</f>
        <v>-12.482116271858217</v>
      </c>
      <c r="L29" s="184">
        <f>L28-L21</f>
        <v>9.82265693680597</v>
      </c>
      <c r="M29" s="184">
        <f>M28-M21</f>
        <v>12.55970946824948</v>
      </c>
    </row>
    <row r="30" spans="1:19" s="1" customFormat="1" ht="15">
      <c r="A30" s="9"/>
      <c r="B30" s="193" t="s">
        <v>253</v>
      </c>
      <c r="C30" s="138" t="s">
        <v>127</v>
      </c>
      <c r="D30" s="253" t="s">
        <v>78</v>
      </c>
      <c r="E30" s="253"/>
      <c r="F30" s="150"/>
      <c r="G30" s="150"/>
      <c r="H30" s="150"/>
      <c r="I30" s="213">
        <f>-I29*Input!I53</f>
        <v>4.0186758531395848</v>
      </c>
      <c r="J30" s="213">
        <f>-J29*Input!J53</f>
        <v>2.9723077494706946</v>
      </c>
      <c r="K30" s="213">
        <f>-K29*Input!K53</f>
        <v>2.9957079052459719</v>
      </c>
      <c r="L30" s="213">
        <f>-L29*Input!L53</f>
        <v>-2.259211095465373</v>
      </c>
      <c r="M30" s="213">
        <f>-M29*Input!M53</f>
        <v>-2.6375389883323908</v>
      </c>
    </row>
    <row r="31" spans="1:19" s="1" customFormat="1" ht="15">
      <c r="A31" s="9"/>
      <c r="B31" s="193" t="s">
        <v>253</v>
      </c>
      <c r="C31" s="138" t="s">
        <v>369</v>
      </c>
      <c r="D31" s="253" t="s">
        <v>78</v>
      </c>
      <c r="E31" s="253"/>
      <c r="F31" s="138"/>
      <c r="G31" s="138"/>
      <c r="H31" s="138"/>
      <c r="I31" s="213">
        <f>(I29+I30)*(1+Input!I57)^(5-I4)</f>
        <v>-12.323174669360982</v>
      </c>
      <c r="J31" s="213">
        <f>(J29+J30)*(1+Input!J57)^(5-J4)</f>
        <v>-9.6538604554249918</v>
      </c>
      <c r="K31" s="213">
        <f>(K29+K30)*(1+Input!K57)^(5-K4)</f>
        <v>-10.359395096549735</v>
      </c>
      <c r="L31" s="213">
        <f>(L29+L30)*(1+Input!L57)^(5-L4)</f>
        <v>7.9038009042009234</v>
      </c>
      <c r="M31" s="213">
        <f>(M29+M30)*(1+Input!M57)^(5-M4)</f>
        <v>9.9221704799170887</v>
      </c>
    </row>
    <row r="32" spans="1:19" s="1" customFormat="1" ht="15">
      <c r="A32" s="9"/>
      <c r="B32" s="138"/>
      <c r="C32" s="138"/>
      <c r="D32" s="253"/>
      <c r="E32" s="253"/>
      <c r="F32" s="138"/>
      <c r="G32" s="138"/>
      <c r="H32" s="138"/>
      <c r="I32" s="184"/>
      <c r="J32" s="184"/>
      <c r="K32" s="184"/>
      <c r="L32" s="184"/>
      <c r="M32" s="184"/>
    </row>
    <row r="33" spans="1:19" s="10" customFormat="1" ht="15.6">
      <c r="A33" s="140"/>
      <c r="B33" s="140"/>
      <c r="C33" s="140" t="str">
        <f>"2.4 Billing incentive ("&amp;F$3&amp;" prices)"</f>
        <v>2.4 Billing incentive (2007-08 prices)</v>
      </c>
      <c r="D33" s="140"/>
      <c r="E33" s="140"/>
      <c r="F33" s="140"/>
      <c r="G33" s="140"/>
      <c r="H33" s="140"/>
      <c r="I33" s="212"/>
      <c r="J33" s="212"/>
      <c r="K33" s="212"/>
      <c r="L33" s="212"/>
      <c r="M33" s="212"/>
      <c r="N33" s="9"/>
      <c r="O33" s="9"/>
      <c r="P33" s="9"/>
      <c r="Q33" s="9"/>
      <c r="R33" s="9"/>
      <c r="S33" s="9"/>
    </row>
    <row r="34" spans="1:19" s="1" customFormat="1" ht="15">
      <c r="A34" s="9"/>
      <c r="B34" s="193" t="s">
        <v>253</v>
      </c>
      <c r="C34" s="145" t="s">
        <v>189</v>
      </c>
      <c r="D34" s="150" t="s">
        <v>77</v>
      </c>
      <c r="E34" s="150"/>
      <c r="F34" s="138"/>
      <c r="G34" s="138"/>
      <c r="H34" s="138"/>
      <c r="I34" s="184">
        <f>Input!I11+Input!I12+Input!I13+Input!I14-(Input!$H11+Input!$H12+Input!$H13+Input!$H14)</f>
        <v>21.854000000000724</v>
      </c>
      <c r="J34" s="184">
        <f>Input!J11+Input!J12+Input!J13+Input!J14-(Input!$H11+Input!$H12+Input!$H13+Input!$H14)</f>
        <v>46.227000000000317</v>
      </c>
      <c r="K34" s="184">
        <f>Input!K11+Input!K12+Input!K13+Input!K14-(Input!$H11+Input!$H12+Input!$H13+Input!$H14)</f>
        <v>75.285000000000309</v>
      </c>
      <c r="L34" s="184">
        <f>Input!L11+Input!L12+Input!L13+Input!L14-(Input!$H11+Input!$H12+Input!$H13+Input!$H14)</f>
        <v>107.721</v>
      </c>
      <c r="M34" s="184">
        <f>Input!M11+Input!M12+Input!M13+Input!M14-(Input!$H11+Input!$H12+Input!$H13+Input!$H14)</f>
        <v>143.1880000000001</v>
      </c>
      <c r="N34" s="19"/>
      <c r="O34" s="19"/>
      <c r="P34" s="19"/>
    </row>
    <row r="35" spans="1:19" s="1" customFormat="1" ht="15">
      <c r="A35" s="9"/>
      <c r="B35" s="193" t="s">
        <v>253</v>
      </c>
      <c r="C35" s="138" t="s">
        <v>128</v>
      </c>
      <c r="D35" s="253" t="s">
        <v>78</v>
      </c>
      <c r="E35" s="253"/>
      <c r="F35" s="138"/>
      <c r="G35" s="138"/>
      <c r="H35" s="181"/>
      <c r="I35" s="184">
        <f>(Input!I27+Input!I29)*I$7</f>
        <v>579.02565148455938</v>
      </c>
      <c r="J35" s="184">
        <f>(Input!J27+Input!J29)*J$7</f>
        <v>564.87241506993917</v>
      </c>
      <c r="K35" s="184">
        <f>(Input!K27+Input!K29)*K$7</f>
        <v>565.31865416310984</v>
      </c>
      <c r="L35" s="184">
        <f>(Input!L27+Input!L29)*L$7</f>
        <v>585.17366071943172</v>
      </c>
      <c r="M35" s="184">
        <f>(Input!M27+Input!M29)*M$7</f>
        <v>590.99166233766255</v>
      </c>
    </row>
    <row r="36" spans="1:19" s="1" customFormat="1" ht="15">
      <c r="A36" s="9"/>
      <c r="B36" s="193" t="s">
        <v>253</v>
      </c>
      <c r="C36" s="145" t="s">
        <v>129</v>
      </c>
      <c r="D36" s="143" t="s">
        <v>379</v>
      </c>
      <c r="E36" s="253"/>
      <c r="F36" s="138"/>
      <c r="G36" s="138"/>
      <c r="H36" s="138"/>
      <c r="I36" s="184">
        <f>IF(Input!I35=0,0,(I35/Input!I35)*1000)</f>
        <v>172.50654959121911</v>
      </c>
      <c r="J36" s="184">
        <f>IF(Input!J35=0,0,(J35/Input!J35)*1000)</f>
        <v>167.87761456221131</v>
      </c>
      <c r="K36" s="184">
        <f>IF(Input!K35=0,0,(K35/Input!K35)*1000)</f>
        <v>167.16877372698357</v>
      </c>
      <c r="L36" s="184">
        <f>IF(Input!L35=0,0,(L35/Input!L35)*1000)</f>
        <v>171.99289445722121</v>
      </c>
      <c r="M36" s="184">
        <f>IF(Input!M35=0,0,(M35/Input!M35)*1000)</f>
        <v>172.35333642202912</v>
      </c>
    </row>
    <row r="37" spans="1:19" s="1" customFormat="1" ht="15">
      <c r="A37" s="9"/>
      <c r="B37" s="193" t="s">
        <v>253</v>
      </c>
      <c r="C37" s="145" t="s">
        <v>130</v>
      </c>
      <c r="D37" s="143" t="s">
        <v>379</v>
      </c>
      <c r="E37" s="253"/>
      <c r="F37" s="138"/>
      <c r="G37" s="138"/>
      <c r="H37" s="138"/>
      <c r="I37" s="184">
        <f>I36*Input!I58</f>
        <v>72.45275082831202</v>
      </c>
      <c r="J37" s="184">
        <f>J36*Input!J58</f>
        <v>70.508598116128752</v>
      </c>
      <c r="K37" s="184">
        <f>K36*Input!K58</f>
        <v>70.210884965333094</v>
      </c>
      <c r="L37" s="184">
        <f>L36*Input!L58</f>
        <v>72.237015672032911</v>
      </c>
      <c r="M37" s="184">
        <f>M36*Input!M58</f>
        <v>72.38840129725223</v>
      </c>
    </row>
    <row r="38" spans="1:19" s="1" customFormat="1" ht="15">
      <c r="A38" s="9"/>
      <c r="B38" s="193" t="s">
        <v>253</v>
      </c>
      <c r="C38" s="145" t="s">
        <v>186</v>
      </c>
      <c r="D38" s="150" t="s">
        <v>77</v>
      </c>
      <c r="E38" s="150"/>
      <c r="F38" s="138"/>
      <c r="G38" s="138"/>
      <c r="H38" s="138"/>
      <c r="I38" s="184">
        <f>Input!I35+Input!I36-(Input!$H$35+Input!$H$36)</f>
        <v>66.196108219190137</v>
      </c>
      <c r="J38" s="184">
        <f>Input!J35+Input!J36-(Input!$H$35+Input!$H$36)</f>
        <v>74.114108219189347</v>
      </c>
      <c r="K38" s="184">
        <f>Input!K35+Input!K36-(Input!$H$35+Input!$H$36)</f>
        <v>90.250108219190224</v>
      </c>
      <c r="L38" s="184">
        <f>Input!L35+Input!L36-(Input!$H$35+Input!$H$36)</f>
        <v>110.33910821919017</v>
      </c>
      <c r="M38" s="184">
        <f>Input!M35+Input!M36-(Input!$H$35+Input!$H$36)</f>
        <v>136.7991082191902</v>
      </c>
    </row>
    <row r="39" spans="1:19" s="1" customFormat="1" ht="15">
      <c r="A39" s="9"/>
      <c r="B39" s="193" t="s">
        <v>253</v>
      </c>
      <c r="C39" s="145" t="s">
        <v>131</v>
      </c>
      <c r="D39" s="150" t="s">
        <v>77</v>
      </c>
      <c r="E39" s="150"/>
      <c r="F39" s="138"/>
      <c r="G39" s="138"/>
      <c r="H39" s="138"/>
      <c r="I39" s="184">
        <f>I38-I34</f>
        <v>44.342108219189413</v>
      </c>
      <c r="J39" s="184">
        <f>J38-J34</f>
        <v>27.887108219189031</v>
      </c>
      <c r="K39" s="184">
        <f>K38-K34</f>
        <v>14.965108219189915</v>
      </c>
      <c r="L39" s="184">
        <f>L38-L34</f>
        <v>2.6181082191901623</v>
      </c>
      <c r="M39" s="184">
        <f>M38-M34</f>
        <v>-6.3888917808098995</v>
      </c>
    </row>
    <row r="40" spans="1:19" s="1" customFormat="1" ht="15">
      <c r="A40" s="9"/>
      <c r="B40" s="193" t="s">
        <v>253</v>
      </c>
      <c r="C40" s="145" t="s">
        <v>132</v>
      </c>
      <c r="D40" s="150" t="s">
        <v>77</v>
      </c>
      <c r="E40" s="150"/>
      <c r="F40" s="138"/>
      <c r="G40" s="138"/>
      <c r="H40" s="138"/>
      <c r="I40" s="184">
        <f>IF(I39&gt;MAX($I$39:I39,0),I39-MAX($I$39:I39,0),0)</f>
        <v>0</v>
      </c>
      <c r="J40" s="184">
        <f>IF(J39&gt;MAX($I$39:I39,0),J39-MAX($I$39:I39,0),0)</f>
        <v>0</v>
      </c>
      <c r="K40" s="184">
        <f>IF(K39&gt;MAX($I$39:J39,0),K39-MAX($I$39:J39,0),0)</f>
        <v>0</v>
      </c>
      <c r="L40" s="184">
        <f>IF(L39&gt;MAX($I$39:K39,0),L39-MAX($I$39:K39,0),0)</f>
        <v>0</v>
      </c>
      <c r="M40" s="184">
        <f>IF(M39&gt;MAX($I$39:L39,0),M39-MAX($I$39:L39,0),0)</f>
        <v>0</v>
      </c>
    </row>
    <row r="41" spans="1:19" s="1" customFormat="1" ht="15">
      <c r="A41" s="9"/>
      <c r="B41" s="193" t="s">
        <v>253</v>
      </c>
      <c r="C41" s="145" t="s">
        <v>133</v>
      </c>
      <c r="D41" s="253" t="s">
        <v>78</v>
      </c>
      <c r="E41" s="253"/>
      <c r="F41" s="138"/>
      <c r="G41" s="138"/>
      <c r="H41" s="138"/>
      <c r="I41" s="184">
        <f>I39*I37/1000</f>
        <v>3.212707718006977</v>
      </c>
      <c r="J41" s="184">
        <f>J39*J37/1000</f>
        <v>1.9662809060477904</v>
      </c>
      <c r="K41" s="184">
        <f>K39*K37/1000</f>
        <v>1.0507134916713039</v>
      </c>
      <c r="L41" s="184">
        <f>L39*L37/1000</f>
        <v>0.18912432446071792</v>
      </c>
      <c r="M41" s="184">
        <f>M39*M37/1000</f>
        <v>-0.46248166207398345</v>
      </c>
    </row>
    <row r="42" spans="1:19" s="1" customFormat="1" ht="15">
      <c r="A42" s="9"/>
      <c r="B42" s="193" t="s">
        <v>253</v>
      </c>
      <c r="C42" s="145" t="s">
        <v>134</v>
      </c>
      <c r="D42" s="253" t="s">
        <v>78</v>
      </c>
      <c r="E42" s="253"/>
      <c r="F42" s="138"/>
      <c r="G42" s="138"/>
      <c r="H42" s="138"/>
      <c r="I42" s="184">
        <f>I40*I37*Input!I59/1000</f>
        <v>0</v>
      </c>
      <c r="J42" s="184">
        <f>J40*J37*Input!J59/1000</f>
        <v>0</v>
      </c>
      <c r="K42" s="184">
        <f>K40*K37*Input!K59/1000</f>
        <v>0</v>
      </c>
      <c r="L42" s="184">
        <f>L40*L37*Input!L59/1000</f>
        <v>0</v>
      </c>
      <c r="M42" s="184">
        <f>M40*M37*Input!M59/1000</f>
        <v>0</v>
      </c>
    </row>
    <row r="43" spans="1:19" s="1" customFormat="1" ht="15">
      <c r="A43" s="9"/>
      <c r="B43" s="193" t="s">
        <v>253</v>
      </c>
      <c r="C43" s="145" t="s">
        <v>135</v>
      </c>
      <c r="D43" s="253" t="s">
        <v>78</v>
      </c>
      <c r="E43" s="253"/>
      <c r="F43" s="138"/>
      <c r="G43" s="138"/>
      <c r="H43" s="138"/>
      <c r="I43" s="184">
        <f>+I41+I42+Input!I33*I$7</f>
        <v>5.2624562153024872</v>
      </c>
      <c r="J43" s="184">
        <f>+J41+J42+Input!J33*J$7</f>
        <v>3.9649826584792365</v>
      </c>
      <c r="K43" s="184">
        <f>+K41+K42+Input!K33*K$7</f>
        <v>2.7801219144430105</v>
      </c>
      <c r="L43" s="184">
        <f>+L41+L42+Input!L33*L$7</f>
        <v>1.7633362443494938</v>
      </c>
      <c r="M43" s="184">
        <f>+M41+M42+Input!M33*M$7</f>
        <v>1.1566608156270419E-3</v>
      </c>
    </row>
    <row r="44" spans="1:19" s="1" customFormat="1" ht="15">
      <c r="A44" s="9"/>
      <c r="B44" s="193" t="s">
        <v>253</v>
      </c>
      <c r="C44" s="145" t="s">
        <v>136</v>
      </c>
      <c r="D44" s="253" t="s">
        <v>78</v>
      </c>
      <c r="E44" s="253"/>
      <c r="F44" s="150"/>
      <c r="G44" s="150"/>
      <c r="H44" s="138"/>
      <c r="I44" s="184">
        <f>-(1-Input!I58)*I36*Input!I37/1000</f>
        <v>-0.13457235933611003</v>
      </c>
      <c r="J44" s="184">
        <f>-(1-Input!J58)*J36*Input!J37/1000</f>
        <v>-0.25267259767758427</v>
      </c>
      <c r="K44" s="184">
        <f>-(1-Input!K58)*K36*Input!K37/1000</f>
        <v>-0.39054637593192809</v>
      </c>
      <c r="L44" s="184">
        <f>-(1-Input!L58)*L36*Input!L37/1000</f>
        <v>-0.61260085161984146</v>
      </c>
      <c r="M44" s="184">
        <f>-(1-Input!M58)*M36*Input!M37/1000</f>
        <v>-0.79682049787959675</v>
      </c>
    </row>
    <row r="45" spans="1:19" s="1" customFormat="1" ht="15">
      <c r="A45" s="9"/>
      <c r="B45" s="193" t="s">
        <v>253</v>
      </c>
      <c r="C45" s="145" t="s">
        <v>368</v>
      </c>
      <c r="D45" s="253" t="s">
        <v>78</v>
      </c>
      <c r="E45" s="253"/>
      <c r="F45" s="193"/>
      <c r="G45" s="193"/>
      <c r="H45" s="193"/>
      <c r="I45" s="184">
        <f>(I43+I44)*(1+Input!I57)^(5-I4)</f>
        <v>6.1150968800845513</v>
      </c>
      <c r="J45" s="184">
        <f>(J43+J44)*(1+Input!J57)^(5-J4)</f>
        <v>4.236362486883535</v>
      </c>
      <c r="K45" s="184">
        <f>(K43+K44)*(1+Input!K57)^(5-K4)</f>
        <v>2.6094762274425647</v>
      </c>
      <c r="L45" s="184">
        <f>(L43+L44)*(1+Input!L57)^(5-L4)</f>
        <v>1.2025184854024866</v>
      </c>
      <c r="M45" s="184">
        <f>(M43+M44)*(1+Input!M57)^(5-M4)</f>
        <v>-0.7956638370639697</v>
      </c>
    </row>
    <row r="46" spans="1:19" s="3" customFormat="1" ht="15">
      <c r="A46" s="148"/>
      <c r="B46" s="193" t="s">
        <v>253</v>
      </c>
      <c r="C46" s="145" t="s">
        <v>370</v>
      </c>
      <c r="D46" s="253" t="s">
        <v>78</v>
      </c>
      <c r="E46" s="253"/>
      <c r="F46" s="193"/>
      <c r="G46" s="193"/>
      <c r="H46" s="193"/>
      <c r="I46" s="184">
        <f>I45-I31</f>
        <v>18.438271549445535</v>
      </c>
      <c r="J46" s="184">
        <f>J45-J31</f>
        <v>13.890222942308526</v>
      </c>
      <c r="K46" s="184">
        <f>K45-K31</f>
        <v>12.9688713239923</v>
      </c>
      <c r="L46" s="184">
        <f>L45-L31</f>
        <v>-6.7012824187984368</v>
      </c>
      <c r="M46" s="184">
        <f>M45-M31</f>
        <v>-10.717834316981058</v>
      </c>
      <c r="N46" s="4"/>
      <c r="O46" s="4"/>
      <c r="P46" s="4"/>
      <c r="Q46" s="4"/>
      <c r="R46" s="11"/>
      <c r="S46" s="11"/>
    </row>
    <row r="47" spans="1:19" s="1" customFormat="1" ht="15">
      <c r="A47" s="9"/>
      <c r="B47" s="193"/>
      <c r="C47" s="145"/>
      <c r="D47" s="253"/>
      <c r="E47" s="253"/>
      <c r="F47" s="193"/>
      <c r="G47" s="193"/>
      <c r="H47" s="193"/>
      <c r="I47" s="184"/>
      <c r="J47" s="184"/>
      <c r="K47" s="184"/>
      <c r="L47" s="184"/>
      <c r="M47" s="184"/>
    </row>
    <row r="48" spans="1:19" s="10" customFormat="1" ht="15.6">
      <c r="A48" s="140"/>
      <c r="B48" s="140"/>
      <c r="C48" s="140" t="s">
        <v>243</v>
      </c>
      <c r="D48" s="140"/>
      <c r="E48" s="140"/>
      <c r="F48" s="140"/>
      <c r="G48" s="140"/>
      <c r="H48" s="140"/>
      <c r="I48" s="140"/>
      <c r="J48" s="140"/>
      <c r="K48" s="140"/>
      <c r="L48" s="140"/>
      <c r="M48" s="140"/>
      <c r="N48" s="9"/>
      <c r="O48" s="9"/>
      <c r="P48" s="9"/>
      <c r="Q48" s="9"/>
      <c r="R48" s="9"/>
      <c r="S48" s="9"/>
    </row>
    <row r="49" spans="1:19" s="1" customFormat="1" ht="15">
      <c r="A49" s="9"/>
      <c r="B49" s="193" t="s">
        <v>253</v>
      </c>
      <c r="C49" s="138" t="s">
        <v>374</v>
      </c>
      <c r="D49" s="253" t="s">
        <v>78</v>
      </c>
      <c r="E49" s="253"/>
      <c r="F49" s="154"/>
      <c r="G49" s="154"/>
      <c r="H49" s="154"/>
      <c r="I49" s="214"/>
      <c r="J49" s="214"/>
      <c r="K49" s="214"/>
      <c r="L49" s="214"/>
      <c r="M49" s="184">
        <f>SUM(I46:M46)</f>
        <v>27.878249079966867</v>
      </c>
      <c r="N49" s="4"/>
      <c r="O49" s="4"/>
      <c r="P49" s="4"/>
      <c r="Q49" s="4"/>
      <c r="R49" s="4"/>
      <c r="S49" s="4"/>
    </row>
    <row r="50" spans="1:19" s="1" customFormat="1" ht="15">
      <c r="A50" s="9"/>
      <c r="B50" s="193" t="s">
        <v>253</v>
      </c>
      <c r="C50" s="138" t="s">
        <v>375</v>
      </c>
      <c r="D50" s="253" t="s">
        <v>78</v>
      </c>
      <c r="E50" s="253"/>
      <c r="F50" s="154"/>
      <c r="G50" s="154"/>
      <c r="H50" s="154"/>
      <c r="I50" s="214"/>
      <c r="J50" s="214"/>
      <c r="K50" s="214"/>
      <c r="L50" s="214"/>
      <c r="M50" s="184">
        <f>IF(Input!F55=0,0,M49*(Input!K55/Input!F55))</f>
        <v>32.700781879945104</v>
      </c>
      <c r="N50" s="4"/>
      <c r="O50" s="4"/>
      <c r="P50" s="4"/>
      <c r="Q50" s="4"/>
      <c r="R50" s="4"/>
      <c r="S50" s="4"/>
    </row>
    <row r="51" spans="1:19" s="1" customFormat="1" ht="15">
      <c r="A51" s="9"/>
      <c r="B51" s="193" t="s">
        <v>253</v>
      </c>
      <c r="C51" s="138" t="s">
        <v>137</v>
      </c>
      <c r="D51" s="253" t="s">
        <v>78</v>
      </c>
      <c r="E51" s="253"/>
      <c r="F51" s="154"/>
      <c r="G51" s="154"/>
      <c r="H51" s="154"/>
      <c r="I51" s="214"/>
      <c r="J51" s="214"/>
      <c r="K51" s="214"/>
      <c r="L51" s="214"/>
      <c r="M51" s="184">
        <f>-PMT(Input!M60,5,M50)</f>
        <v>7.2631383232287892</v>
      </c>
      <c r="N51" s="4"/>
      <c r="O51" s="4"/>
      <c r="P51" s="4"/>
      <c r="Q51" s="4"/>
      <c r="R51" s="4"/>
      <c r="S51" s="4"/>
    </row>
    <row r="52" spans="1:19" s="1" customFormat="1" ht="15">
      <c r="A52" s="160"/>
      <c r="B52" s="160"/>
      <c r="C52" s="160"/>
      <c r="D52" s="160"/>
      <c r="E52" s="160"/>
      <c r="F52" s="9"/>
      <c r="G52" s="9"/>
      <c r="H52" s="9"/>
      <c r="I52" s="215"/>
      <c r="J52" s="215"/>
      <c r="K52" s="215"/>
      <c r="L52" s="215"/>
      <c r="M52" s="215"/>
      <c r="N52" s="4"/>
      <c r="O52" s="4"/>
      <c r="P52" s="4"/>
      <c r="Q52" s="4"/>
      <c r="R52" s="4"/>
      <c r="S52" s="4"/>
    </row>
    <row r="53" spans="1:19" ht="15">
      <c r="A53" s="160"/>
      <c r="B53" s="138"/>
      <c r="C53" s="145"/>
      <c r="D53" s="143"/>
      <c r="E53" s="143"/>
      <c r="F53" s="138"/>
      <c r="G53" s="138"/>
      <c r="H53" s="138"/>
      <c r="I53" s="216"/>
      <c r="J53" s="216"/>
      <c r="K53" s="216"/>
      <c r="L53" s="216"/>
      <c r="M53" s="216"/>
    </row>
    <row r="54" spans="1:19" s="1" customFormat="1" ht="15.6">
      <c r="A54" s="139"/>
      <c r="B54" s="139"/>
      <c r="C54" s="140" t="s">
        <v>244</v>
      </c>
      <c r="D54" s="139"/>
      <c r="E54" s="139"/>
      <c r="F54" s="139"/>
      <c r="G54" s="139"/>
      <c r="H54" s="139"/>
      <c r="I54" s="139"/>
      <c r="J54" s="139"/>
      <c r="K54" s="139"/>
      <c r="L54" s="139"/>
      <c r="M54" s="139"/>
    </row>
    <row r="55" spans="1:19" s="8" customFormat="1" ht="15.6">
      <c r="A55" s="140"/>
      <c r="B55" s="140"/>
      <c r="C55" s="140" t="str">
        <f>"3.1 Revenue expectation ("&amp;F$3&amp;" prices)"</f>
        <v>3.1 Revenue expectation (2007-08 prices)</v>
      </c>
      <c r="D55" s="140"/>
      <c r="E55" s="140"/>
      <c r="F55" s="140"/>
      <c r="G55" s="140"/>
      <c r="H55" s="140"/>
      <c r="I55" s="140"/>
      <c r="J55" s="140"/>
      <c r="K55" s="140"/>
      <c r="L55" s="140"/>
      <c r="M55" s="140"/>
      <c r="N55" s="1"/>
      <c r="O55" s="1"/>
      <c r="P55" s="1"/>
      <c r="Q55" s="1"/>
      <c r="R55" s="1"/>
      <c r="S55" s="1"/>
    </row>
    <row r="56" spans="1:19" s="3" customFormat="1" ht="15">
      <c r="A56" s="148"/>
      <c r="B56" s="193" t="s">
        <v>253</v>
      </c>
      <c r="C56" s="148" t="s">
        <v>138</v>
      </c>
      <c r="D56" s="253" t="s">
        <v>78</v>
      </c>
      <c r="E56" s="253"/>
      <c r="F56" s="193"/>
      <c r="G56" s="193"/>
      <c r="H56" s="181">
        <f>IF(Input!H$44&gt;=0,Input!H$44*H$7,0)</f>
        <v>1.3534450795612545</v>
      </c>
      <c r="I56" s="184">
        <f>IF(Input!I$44&gt;=0,Input!I$44*I$7,0)</f>
        <v>0.73682893623284518</v>
      </c>
      <c r="J56" s="184">
        <f>IF(Input!J$44&gt;=0,Input!J$44*J$7,0)</f>
        <v>0</v>
      </c>
      <c r="K56" s="184">
        <f>IF(Input!K$44&gt;=0,Input!K$44*K$7,0)</f>
        <v>0</v>
      </c>
      <c r="L56" s="184">
        <f>IF(Input!L$44&gt;=0,Input!L$44*L$7,0)</f>
        <v>0.16572431144067845</v>
      </c>
      <c r="M56" s="184">
        <f>IF(Input!M$44&gt;=0,Input!M$44*M$7,0)</f>
        <v>0</v>
      </c>
      <c r="N56" s="48"/>
      <c r="O56" s="48"/>
      <c r="P56" s="48"/>
    </row>
    <row r="57" spans="1:19" s="3" customFormat="1" ht="15">
      <c r="A57" s="148"/>
      <c r="B57" s="193" t="s">
        <v>253</v>
      </c>
      <c r="C57" s="148" t="s">
        <v>139</v>
      </c>
      <c r="D57" s="253" t="s">
        <v>78</v>
      </c>
      <c r="E57" s="253"/>
      <c r="F57" s="193"/>
      <c r="G57" s="193"/>
      <c r="H57" s="181">
        <f>IF(Input!H$44&lt;0,Input!H$44*H$7,0)</f>
        <v>0</v>
      </c>
      <c r="I57" s="184">
        <f>IF(Input!I$44&lt;0,Input!I$44*I$7,0)</f>
        <v>0</v>
      </c>
      <c r="J57" s="184">
        <f>IF(Input!J$44&lt;0,Input!J$44*J$7,0)</f>
        <v>-0.35154664513184236</v>
      </c>
      <c r="K57" s="184">
        <f>IF(Input!K$44&lt;0,Input!K$44*K$7,0)</f>
        <v>0</v>
      </c>
      <c r="L57" s="184">
        <f>IF(Input!L$44&lt;0,Input!L$44*L$7,0)</f>
        <v>0</v>
      </c>
      <c r="M57" s="184">
        <f>IF(Input!M$44&lt;0,Input!M$44*M$7,0)</f>
        <v>0</v>
      </c>
      <c r="N57" s="48"/>
      <c r="O57" s="48"/>
      <c r="P57" s="48"/>
    </row>
    <row r="58" spans="1:19" s="3" customFormat="1" ht="15">
      <c r="A58" s="148"/>
      <c r="B58" s="193"/>
      <c r="C58" s="148"/>
      <c r="D58" s="253"/>
      <c r="E58" s="253"/>
      <c r="F58" s="193"/>
      <c r="G58" s="193"/>
      <c r="H58" s="181"/>
      <c r="I58" s="184"/>
      <c r="J58" s="184"/>
      <c r="K58" s="184"/>
      <c r="L58" s="184"/>
      <c r="M58" s="184"/>
      <c r="N58" s="48"/>
      <c r="O58" s="48"/>
      <c r="P58" s="48"/>
    </row>
    <row r="59" spans="1:19" s="3" customFormat="1" ht="15">
      <c r="A59" s="148"/>
      <c r="B59" s="193" t="s">
        <v>253</v>
      </c>
      <c r="C59" s="145" t="str">
        <f>"Sewerage: Change in non-household groups under "&amp;Threshold&amp;"ML threshold"</f>
        <v>Sewerage: Change in non-household groups under 50ML threshold</v>
      </c>
      <c r="D59" s="253" t="s">
        <v>67</v>
      </c>
      <c r="E59" s="253"/>
      <c r="F59" s="193"/>
      <c r="G59" s="193"/>
      <c r="H59" s="193"/>
      <c r="I59" s="210">
        <f>IF(Input!H$16=0,0,Input!I$16/Input!H$16)</f>
        <v>0.93770285646003337</v>
      </c>
      <c r="J59" s="210">
        <f>IF(Input!I$16=0,0,Input!J$16/Input!I$16)</f>
        <v>1.059838202372946</v>
      </c>
      <c r="K59" s="210">
        <f>IF(Input!J$16=0,0,Input!K$16/Input!J$16)</f>
        <v>1.0807126180852955</v>
      </c>
      <c r="L59" s="210">
        <f>IF(Input!K$16=0,0,Input!L$16/Input!K$16)</f>
        <v>1.0850047626335388</v>
      </c>
      <c r="M59" s="210">
        <f>IF(Input!L$16=0,0,Input!M$16/Input!L$16)</f>
        <v>1.0542195028553929</v>
      </c>
      <c r="N59" s="48"/>
      <c r="O59" s="48"/>
      <c r="P59" s="48"/>
    </row>
    <row r="60" spans="1:19" s="3" customFormat="1" ht="15">
      <c r="A60" s="148"/>
      <c r="B60" s="193" t="s">
        <v>253</v>
      </c>
      <c r="C60" s="145" t="str">
        <f>"Sewerage: Change in non-household groups over "&amp;Threshold&amp;"ML threshold"</f>
        <v>Sewerage: Change in non-household groups over 50ML threshold</v>
      </c>
      <c r="D60" s="253" t="s">
        <v>67</v>
      </c>
      <c r="E60" s="253"/>
      <c r="F60" s="193"/>
      <c r="G60" s="193"/>
      <c r="H60" s="193"/>
      <c r="I60" s="210">
        <f>IF(Input!H$17=0,0,Input!I$17/Input!H$17)</f>
        <v>0.92508951780549997</v>
      </c>
      <c r="J60" s="210">
        <f>IF(Input!I$17=0,0,Input!J$17/Input!I$17)</f>
        <v>1.0620539026059486</v>
      </c>
      <c r="K60" s="210">
        <f>IF(Input!J$17=0,0,Input!K$17/Input!J$17)</f>
        <v>1.0852839758033541</v>
      </c>
      <c r="L60" s="210">
        <f>IF(Input!K$17=0,0,Input!L$17/Input!K$17)</f>
        <v>1.0905499665008154</v>
      </c>
      <c r="M60" s="210">
        <f>IF(Input!L$17=0,0,Input!M$17/Input!L$17)</f>
        <v>1.0552460214289161</v>
      </c>
      <c r="N60" s="48"/>
      <c r="O60" s="48"/>
      <c r="P60" s="48"/>
    </row>
    <row r="61" spans="1:19" s="3" customFormat="1" ht="15">
      <c r="A61" s="148"/>
      <c r="B61" s="193"/>
      <c r="C61" s="145"/>
      <c r="D61" s="253"/>
      <c r="E61" s="253"/>
      <c r="F61" s="193"/>
      <c r="G61" s="193"/>
      <c r="H61" s="193"/>
      <c r="I61" s="210"/>
      <c r="J61" s="210"/>
      <c r="K61" s="210"/>
      <c r="L61" s="210"/>
      <c r="M61" s="210"/>
      <c r="N61" s="48"/>
      <c r="O61" s="48"/>
      <c r="P61" s="48"/>
    </row>
    <row r="62" spans="1:19" s="3" customFormat="1" ht="15">
      <c r="A62" s="148"/>
      <c r="B62" s="193" t="s">
        <v>253</v>
      </c>
      <c r="C62" s="145" t="str">
        <f>"Sewerage: Revenue adjustment in non-household groups under "&amp;Threshold&amp;"ML threshold"</f>
        <v>Sewerage: Revenue adjustment in non-household groups under 50ML threshold</v>
      </c>
      <c r="D62" s="253" t="s">
        <v>78</v>
      </c>
      <c r="E62" s="253"/>
      <c r="F62" s="193"/>
      <c r="G62" s="193"/>
      <c r="H62" s="181">
        <f t="shared" ref="H62:M63" si="2">+G62*H59+H56</f>
        <v>1.3534450795612545</v>
      </c>
      <c r="I62" s="184">
        <f t="shared" si="2"/>
        <v>2.0059582533992106</v>
      </c>
      <c r="J62" s="184">
        <f t="shared" si="2"/>
        <v>2.1259911893177939</v>
      </c>
      <c r="K62" s="184">
        <f t="shared" si="2"/>
        <v>2.2975855042339042</v>
      </c>
      <c r="L62" s="184">
        <f t="shared" si="2"/>
        <v>2.6586155260922455</v>
      </c>
      <c r="M62" s="184">
        <f t="shared" si="2"/>
        <v>2.8027643382005958</v>
      </c>
      <c r="N62" s="48"/>
      <c r="O62" s="48"/>
      <c r="P62" s="48"/>
    </row>
    <row r="63" spans="1:19" s="3" customFormat="1" ht="15">
      <c r="A63" s="148"/>
      <c r="B63" s="193" t="s">
        <v>253</v>
      </c>
      <c r="C63" s="145" t="str">
        <f>"Sewerage: Revenue adjustment in non-household groups over "&amp;Threshold&amp;"ML threshold"</f>
        <v>Sewerage: Revenue adjustment in non-household groups over 50ML threshold</v>
      </c>
      <c r="D63" s="253" t="s">
        <v>78</v>
      </c>
      <c r="E63" s="253"/>
      <c r="F63" s="193"/>
      <c r="G63" s="193"/>
      <c r="H63" s="181">
        <f t="shared" si="2"/>
        <v>0</v>
      </c>
      <c r="I63" s="184">
        <f t="shared" si="2"/>
        <v>0</v>
      </c>
      <c r="J63" s="184">
        <f t="shared" si="2"/>
        <v>-0.35154664513184236</v>
      </c>
      <c r="K63" s="184">
        <f t="shared" si="2"/>
        <v>-0.38152794070901674</v>
      </c>
      <c r="L63" s="184">
        <f t="shared" si="2"/>
        <v>-0.41607528295934326</v>
      </c>
      <c r="M63" s="184">
        <f t="shared" si="2"/>
        <v>-0.43906178695775749</v>
      </c>
      <c r="N63" s="48"/>
      <c r="O63" s="48"/>
      <c r="P63" s="48"/>
    </row>
    <row r="64" spans="1:19" s="3" customFormat="1" ht="15">
      <c r="A64" s="148"/>
      <c r="B64" s="193"/>
      <c r="C64" s="145"/>
      <c r="D64" s="253"/>
      <c r="E64" s="253"/>
      <c r="F64" s="193"/>
      <c r="G64" s="193"/>
      <c r="H64" s="181"/>
      <c r="I64" s="184"/>
      <c r="J64" s="184"/>
      <c r="K64" s="184"/>
      <c r="L64" s="184"/>
      <c r="M64" s="184"/>
      <c r="N64" s="48"/>
      <c r="O64" s="48"/>
      <c r="P64" s="48"/>
    </row>
    <row r="65" spans="1:19" s="3" customFormat="1" ht="15">
      <c r="A65" s="148"/>
      <c r="B65" s="193" t="s">
        <v>253</v>
      </c>
      <c r="C65" s="145" t="s">
        <v>140</v>
      </c>
      <c r="D65" s="253" t="s">
        <v>78</v>
      </c>
      <c r="E65" s="253"/>
      <c r="F65" s="193"/>
      <c r="G65" s="193"/>
      <c r="H65" s="181">
        <f t="shared" ref="H65:M65" si="3">+H62+H63</f>
        <v>1.3534450795612545</v>
      </c>
      <c r="I65" s="184">
        <f t="shared" si="3"/>
        <v>2.0059582533992106</v>
      </c>
      <c r="J65" s="184">
        <f t="shared" si="3"/>
        <v>1.7744445441859515</v>
      </c>
      <c r="K65" s="184">
        <f t="shared" si="3"/>
        <v>1.9160575635248875</v>
      </c>
      <c r="L65" s="184">
        <f t="shared" si="3"/>
        <v>2.2425402431329022</v>
      </c>
      <c r="M65" s="184">
        <f t="shared" si="3"/>
        <v>2.3637025512428385</v>
      </c>
      <c r="N65" s="48"/>
      <c r="O65" s="48"/>
      <c r="P65" s="48"/>
    </row>
    <row r="66" spans="1:19" s="3" customFormat="1" ht="15">
      <c r="A66" s="148"/>
      <c r="B66" s="193" t="s">
        <v>253</v>
      </c>
      <c r="C66" s="145" t="s">
        <v>141</v>
      </c>
      <c r="D66" s="253" t="s">
        <v>78</v>
      </c>
      <c r="E66" s="253"/>
      <c r="F66" s="193"/>
      <c r="G66" s="193"/>
      <c r="H66" s="181"/>
      <c r="I66" s="184">
        <f>Input!I19*I6-I65</f>
        <v>684.31927013091308</v>
      </c>
      <c r="J66" s="184">
        <f>Input!J19*J6-J65</f>
        <v>702.30320826088416</v>
      </c>
      <c r="K66" s="184">
        <f>Input!K19*K6-K65</f>
        <v>738.62320950260153</v>
      </c>
      <c r="L66" s="184">
        <f>Input!L19*L6-L65</f>
        <v>781.05341942591042</v>
      </c>
      <c r="M66" s="184">
        <f>Input!M19*M6-M65</f>
        <v>804.82990836295892</v>
      </c>
      <c r="N66" s="48"/>
      <c r="O66" s="48"/>
      <c r="P66" s="48"/>
    </row>
    <row r="67" spans="1:19" ht="15.6">
      <c r="A67" s="160"/>
      <c r="B67" s="193"/>
      <c r="C67" s="211"/>
      <c r="D67" s="143"/>
      <c r="E67" s="143"/>
      <c r="F67" s="193"/>
      <c r="G67" s="193"/>
      <c r="H67" s="181"/>
      <c r="I67" s="184"/>
      <c r="J67" s="184"/>
      <c r="K67" s="184"/>
      <c r="L67" s="184"/>
      <c r="M67" s="184"/>
    </row>
    <row r="68" spans="1:19" s="10" customFormat="1" ht="15.6">
      <c r="A68" s="140"/>
      <c r="B68" s="140"/>
      <c r="C68" s="140" t="str">
        <f>"3.2 Revenue subtotals ("&amp;F$3&amp;" prices)"</f>
        <v>3.2 Revenue subtotals (2007-08 prices)</v>
      </c>
      <c r="D68" s="140"/>
      <c r="E68" s="140"/>
      <c r="F68" s="140"/>
      <c r="G68" s="140"/>
      <c r="H68" s="212"/>
      <c r="I68" s="212"/>
      <c r="J68" s="212"/>
      <c r="K68" s="212"/>
      <c r="L68" s="212"/>
      <c r="M68" s="212"/>
      <c r="N68" s="9"/>
      <c r="O68" s="9"/>
      <c r="P68" s="9"/>
      <c r="Q68" s="9"/>
      <c r="R68" s="9"/>
      <c r="S68" s="9"/>
    </row>
    <row r="69" spans="1:19" ht="15">
      <c r="A69" s="160"/>
      <c r="B69" s="138" t="s">
        <v>95</v>
      </c>
      <c r="C69" s="138" t="s">
        <v>142</v>
      </c>
      <c r="D69" s="143" t="s">
        <v>78</v>
      </c>
      <c r="E69" s="143"/>
      <c r="F69" s="138"/>
      <c r="G69" s="138"/>
      <c r="H69" s="181"/>
      <c r="I69" s="184">
        <f>(Input!I39+Input!I40)*I7</f>
        <v>392.60478052588525</v>
      </c>
      <c r="J69" s="184">
        <f>(Input!J39+Input!J40)*J7</f>
        <v>398.37511548112974</v>
      </c>
      <c r="K69" s="184">
        <f>(Input!K39+Input!K40)*K7</f>
        <v>412.89240030930478</v>
      </c>
      <c r="L69" s="184">
        <f>(Input!L39+Input!L40)*L7</f>
        <v>427.23385638269002</v>
      </c>
      <c r="M69" s="184">
        <f>(Input!M39+Input!M40)*M7</f>
        <v>432.3536363636365</v>
      </c>
    </row>
    <row r="70" spans="1:19" ht="15">
      <c r="A70" s="160"/>
      <c r="B70" s="138" t="s">
        <v>97</v>
      </c>
      <c r="C70" s="138" t="s">
        <v>143</v>
      </c>
      <c r="D70" s="143" t="s">
        <v>78</v>
      </c>
      <c r="E70" s="143"/>
      <c r="F70" s="138"/>
      <c r="G70" s="138"/>
      <c r="H70" s="181"/>
      <c r="I70" s="184">
        <f>(Input!I41+Input!I42+Input!I43)*I7</f>
        <v>275.84212111739129</v>
      </c>
      <c r="J70" s="184">
        <f>(Input!J41+Input!J42+Input!J43)*J7</f>
        <v>289.43444349398459</v>
      </c>
      <c r="K70" s="184">
        <f>(Input!K41+Input!K42+Input!K43)*K7</f>
        <v>311.42502096928825</v>
      </c>
      <c r="L70" s="184">
        <f>(Input!L41+Input!L42+Input!L43)*L7</f>
        <v>345.91777692047128</v>
      </c>
      <c r="M70" s="184">
        <f>(Input!M41+Input!M42+Input!M43)*M7</f>
        <v>369.2072500000001</v>
      </c>
    </row>
    <row r="71" spans="1:19" ht="15.6">
      <c r="A71" s="160"/>
      <c r="B71" s="138"/>
      <c r="C71" s="161"/>
      <c r="D71" s="143"/>
      <c r="E71" s="143"/>
      <c r="F71" s="138"/>
      <c r="G71" s="138"/>
      <c r="H71" s="181"/>
      <c r="I71" s="184"/>
      <c r="J71" s="184"/>
      <c r="K71" s="184"/>
      <c r="L71" s="184"/>
      <c r="M71" s="184"/>
    </row>
    <row r="72" spans="1:19" s="10" customFormat="1" ht="15.6">
      <c r="A72" s="140"/>
      <c r="B72" s="140"/>
      <c r="C72" s="140" t="str">
        <f>"3.3 Revenue correction ("&amp;F$3&amp;" prices)"</f>
        <v>3.3 Revenue correction (2007-08 prices)</v>
      </c>
      <c r="D72" s="140"/>
      <c r="E72" s="140"/>
      <c r="F72" s="140"/>
      <c r="G72" s="140"/>
      <c r="H72" s="212"/>
      <c r="I72" s="212"/>
      <c r="J72" s="212"/>
      <c r="K72" s="212"/>
      <c r="L72" s="212"/>
      <c r="M72" s="212"/>
      <c r="N72" s="9"/>
      <c r="O72" s="9"/>
      <c r="P72" s="9"/>
      <c r="Q72" s="9"/>
      <c r="R72" s="9"/>
      <c r="S72" s="9"/>
    </row>
    <row r="73" spans="1:19" ht="15">
      <c r="A73" s="160"/>
      <c r="B73" s="193" t="s">
        <v>253</v>
      </c>
      <c r="C73" s="138" t="s">
        <v>144</v>
      </c>
      <c r="D73" s="143" t="s">
        <v>78</v>
      </c>
      <c r="E73" s="143"/>
      <c r="F73" s="138"/>
      <c r="G73" s="138"/>
      <c r="H73" s="181"/>
      <c r="I73" s="184">
        <f>I69+I70+Input!I45*Calc!I$7</f>
        <v>668.44690164327653</v>
      </c>
      <c r="J73" s="184">
        <f>J69+J70+Input!J45*Calc!J$7</f>
        <v>687.80955897511433</v>
      </c>
      <c r="K73" s="184">
        <f>K69+K70+Input!K45*Calc!K$7</f>
        <v>724.31742127859297</v>
      </c>
      <c r="L73" s="184">
        <f>L69+L70+Input!L45*Calc!L$7</f>
        <v>773.15163330316136</v>
      </c>
      <c r="M73" s="184">
        <f>M69+M70+Input!M45*Calc!M$7</f>
        <v>801.56088636363666</v>
      </c>
    </row>
    <row r="74" spans="1:19" ht="15">
      <c r="A74" s="160"/>
      <c r="B74" s="193" t="s">
        <v>253</v>
      </c>
      <c r="C74" s="138" t="s">
        <v>145</v>
      </c>
      <c r="D74" s="143" t="s">
        <v>78</v>
      </c>
      <c r="E74" s="143"/>
      <c r="F74" s="138"/>
      <c r="G74" s="138"/>
      <c r="H74" s="181"/>
      <c r="I74" s="184">
        <f>I73-I66</f>
        <v>-15.87236848763655</v>
      </c>
      <c r="J74" s="184">
        <f>J73-J66</f>
        <v>-14.493649285769834</v>
      </c>
      <c r="K74" s="184">
        <f>K73-K66</f>
        <v>-14.305788224008552</v>
      </c>
      <c r="L74" s="184">
        <f>L73-L66</f>
        <v>-7.9017861227490584</v>
      </c>
      <c r="M74" s="184">
        <f>M73-M66</f>
        <v>-3.2690219993222627</v>
      </c>
    </row>
    <row r="75" spans="1:19" ht="15">
      <c r="A75" s="160"/>
      <c r="B75" s="193" t="s">
        <v>253</v>
      </c>
      <c r="C75" s="138" t="s">
        <v>146</v>
      </c>
      <c r="D75" s="143" t="s">
        <v>78</v>
      </c>
      <c r="E75" s="143"/>
      <c r="F75" s="150"/>
      <c r="G75" s="150"/>
      <c r="H75" s="217"/>
      <c r="I75" s="213">
        <f>-I74*Input!I53</f>
        <v>4.4442631765382341</v>
      </c>
      <c r="J75" s="213">
        <f>-J74*Input!J53</f>
        <v>3.7683488143001571</v>
      </c>
      <c r="K75" s="213">
        <f>-K74*Input!K53</f>
        <v>3.4333891737620523</v>
      </c>
      <c r="L75" s="213">
        <f>-L74*Input!L53</f>
        <v>1.8174108082322835</v>
      </c>
      <c r="M75" s="213">
        <f>-M74*Input!M53</f>
        <v>0.68649461985767513</v>
      </c>
    </row>
    <row r="76" spans="1:19" ht="15">
      <c r="A76" s="160"/>
      <c r="B76" s="193" t="s">
        <v>253</v>
      </c>
      <c r="C76" s="138" t="s">
        <v>371</v>
      </c>
      <c r="D76" s="143" t="s">
        <v>78</v>
      </c>
      <c r="E76" s="143"/>
      <c r="F76" s="138"/>
      <c r="G76" s="138"/>
      <c r="H76" s="181"/>
      <c r="I76" s="213">
        <f>(I74+I75)*(1+Input!I57)^(5-I4)</f>
        <v>-13.628228153386088</v>
      </c>
      <c r="J76" s="213">
        <f>(J74+J75)*(1+Input!J57)^(5-J4)</f>
        <v>-12.239349578487722</v>
      </c>
      <c r="K76" s="213">
        <f>(K74+K75)*(1+Input!K57)^(5-K4)</f>
        <v>-11.872931572845433</v>
      </c>
      <c r="L76" s="213">
        <f>(L74+L75)*(1+Input!L57)^(5-L4)</f>
        <v>-6.358172203670029</v>
      </c>
      <c r="M76" s="213">
        <f>(M74+M75)*(1+Input!M57)^(5-M4)</f>
        <v>-2.5825273794645875</v>
      </c>
    </row>
    <row r="77" spans="1:19" ht="15">
      <c r="A77" s="160"/>
      <c r="B77" s="193"/>
      <c r="C77" s="138"/>
      <c r="D77" s="143"/>
      <c r="E77" s="143"/>
      <c r="F77" s="138"/>
      <c r="G77" s="138"/>
      <c r="H77" s="181"/>
      <c r="I77" s="184"/>
      <c r="J77" s="184"/>
      <c r="K77" s="184"/>
      <c r="L77" s="184"/>
      <c r="M77" s="184"/>
    </row>
    <row r="78" spans="1:19" s="10" customFormat="1" ht="15.6">
      <c r="A78" s="140"/>
      <c r="B78" s="140"/>
      <c r="C78" s="140" t="str">
        <f>"3.4 Billing incentive ("&amp;F$3&amp;" prices)"</f>
        <v>3.4 Billing incentive (2007-08 prices)</v>
      </c>
      <c r="D78" s="140"/>
      <c r="E78" s="140"/>
      <c r="F78" s="140"/>
      <c r="G78" s="140"/>
      <c r="H78" s="212"/>
      <c r="I78" s="212"/>
      <c r="J78" s="212"/>
      <c r="K78" s="212"/>
      <c r="L78" s="212"/>
      <c r="M78" s="212"/>
      <c r="N78" s="9"/>
      <c r="O78" s="9"/>
      <c r="P78" s="9"/>
      <c r="Q78" s="9"/>
      <c r="R78" s="9"/>
      <c r="S78" s="9"/>
    </row>
    <row r="79" spans="1:19" ht="15">
      <c r="A79" s="160"/>
      <c r="B79" s="193" t="s">
        <v>253</v>
      </c>
      <c r="C79" s="145" t="s">
        <v>188</v>
      </c>
      <c r="D79" s="152" t="s">
        <v>77</v>
      </c>
      <c r="E79" s="152"/>
      <c r="F79" s="138"/>
      <c r="G79" s="138"/>
      <c r="H79" s="181"/>
      <c r="I79" s="184">
        <f>Input!I20+Input!I21+Input!I22+Input!I23-(Input!$H20+Input!$H21+Input!$H22+Input!$H23)</f>
        <v>36.076999999999316</v>
      </c>
      <c r="J79" s="184">
        <f>Input!J20+Input!J21+Input!J22+Input!J23-(Input!$H20+Input!$H21+Input!$H22+Input!$H23)</f>
        <v>71.627999999999702</v>
      </c>
      <c r="K79" s="184">
        <f>Input!K20+Input!K21+Input!K22+Input!K23-(Input!$H20+Input!$H21+Input!$H22+Input!$H23)</f>
        <v>119.43099999999959</v>
      </c>
      <c r="L79" s="184">
        <f>Input!L20+Input!L21+Input!L22+Input!L23-(Input!$H20+Input!$H21+Input!$H22+Input!$H23)</f>
        <v>169.14399999999932</v>
      </c>
      <c r="M79" s="184">
        <f>Input!M20+Input!M21+Input!M22+Input!M23-(Input!$H20+Input!$H21+Input!$H22+Input!$H23)</f>
        <v>226.14999999999964</v>
      </c>
      <c r="N79" s="19"/>
      <c r="O79" s="19"/>
      <c r="P79" s="19"/>
    </row>
    <row r="80" spans="1:19" ht="15">
      <c r="A80" s="160"/>
      <c r="B80" s="193" t="s">
        <v>253</v>
      </c>
      <c r="C80" s="138" t="s">
        <v>147</v>
      </c>
      <c r="D80" s="143" t="s">
        <v>78</v>
      </c>
      <c r="E80" s="143"/>
      <c r="F80" s="138"/>
      <c r="G80" s="138"/>
      <c r="H80" s="181"/>
      <c r="I80" s="184">
        <f>(Input!I39+Input!I41)*I$7</f>
        <v>558.73122939966242</v>
      </c>
      <c r="J80" s="184">
        <f>(Input!J39+Input!J41)*J$7</f>
        <v>574.31635094877129</v>
      </c>
      <c r="K80" s="184">
        <f>(Input!K39+Input!K41)*K$7</f>
        <v>604.36496414831345</v>
      </c>
      <c r="L80" s="184">
        <f>(Input!L39+Input!L41)*L$7</f>
        <v>646.32148166929699</v>
      </c>
      <c r="M80" s="184">
        <f>(Input!M39+Input!M41)*M$7</f>
        <v>665.59704545454565</v>
      </c>
    </row>
    <row r="81" spans="1:19" ht="15">
      <c r="A81" s="160"/>
      <c r="B81" s="193" t="s">
        <v>253</v>
      </c>
      <c r="C81" s="145" t="s">
        <v>148</v>
      </c>
      <c r="D81" s="143" t="s">
        <v>379</v>
      </c>
      <c r="E81" s="143"/>
      <c r="F81" s="138"/>
      <c r="G81" s="138"/>
      <c r="H81" s="181"/>
      <c r="I81" s="184">
        <f>IF(Input!I48=0,0,(I80/Input!I48)*1000)</f>
        <v>107.55528949171415</v>
      </c>
      <c r="J81" s="184">
        <f>IF(Input!J48=0,0,(J80/Input!J48)*1000)</f>
        <v>110.49517493425336</v>
      </c>
      <c r="K81" s="184">
        <f>IF(Input!K48=0,0,(K80/Input!K48)*1000)</f>
        <v>116.01186371622541</v>
      </c>
      <c r="L81" s="184">
        <f>IF(Input!L48=0,0,(L80/Input!L48)*1000)</f>
        <v>123.41838696580488</v>
      </c>
      <c r="M81" s="184">
        <f>IF(Input!M48=0,0,(M80/Input!M48)*1000)</f>
        <v>126.11732477260423</v>
      </c>
    </row>
    <row r="82" spans="1:19" ht="15">
      <c r="A82" s="160"/>
      <c r="B82" s="193" t="s">
        <v>253</v>
      </c>
      <c r="C82" s="145" t="s">
        <v>149</v>
      </c>
      <c r="D82" s="143" t="s">
        <v>379</v>
      </c>
      <c r="E82" s="143"/>
      <c r="F82" s="138"/>
      <c r="G82" s="138"/>
      <c r="H82" s="181"/>
      <c r="I82" s="184">
        <f>I81*Input!I58</f>
        <v>45.173221586519944</v>
      </c>
      <c r="J82" s="184">
        <f>J81*Input!J58</f>
        <v>46.407973472386409</v>
      </c>
      <c r="K82" s="184">
        <f>K81*Input!K58</f>
        <v>48.724982760814669</v>
      </c>
      <c r="L82" s="184">
        <f>L81*Input!L58</f>
        <v>51.835722525638047</v>
      </c>
      <c r="M82" s="184">
        <f>M81*Input!M58</f>
        <v>52.969276404493776</v>
      </c>
    </row>
    <row r="83" spans="1:19" ht="15">
      <c r="A83" s="160"/>
      <c r="B83" s="193" t="s">
        <v>253</v>
      </c>
      <c r="C83" s="145" t="s">
        <v>187</v>
      </c>
      <c r="D83" s="152" t="s">
        <v>77</v>
      </c>
      <c r="E83" s="152"/>
      <c r="F83" s="138"/>
      <c r="G83" s="138"/>
      <c r="H83" s="181"/>
      <c r="I83" s="184">
        <f>Input!I48+Input!I49-(Input!$H$48+Input!$H$49)</f>
        <v>85.076280499999484</v>
      </c>
      <c r="J83" s="184">
        <f>Input!J48+Input!J49-(Input!$H$48+Input!$H$49)</f>
        <v>90.349280499999622</v>
      </c>
      <c r="K83" s="184">
        <f>Input!K48+Input!K49-(Input!$H$48+Input!$H$49)</f>
        <v>109.49928050000017</v>
      </c>
      <c r="L83" s="184">
        <f>Input!L48+Input!L49-(Input!$H$48+Input!$H$49)</f>
        <v>136.16868216907551</v>
      </c>
      <c r="M83" s="184">
        <f>Input!M48+Input!M49-(Input!$H$48+Input!$H$49)</f>
        <v>174.90595936856062</v>
      </c>
    </row>
    <row r="84" spans="1:19" ht="15">
      <c r="A84" s="160"/>
      <c r="B84" s="193" t="s">
        <v>253</v>
      </c>
      <c r="C84" s="145" t="s">
        <v>150</v>
      </c>
      <c r="D84" s="152" t="s">
        <v>77</v>
      </c>
      <c r="E84" s="152"/>
      <c r="F84" s="138"/>
      <c r="G84" s="138"/>
      <c r="H84" s="181"/>
      <c r="I84" s="184">
        <f>I83-I79</f>
        <v>48.999280500000168</v>
      </c>
      <c r="J84" s="184">
        <f>J83-J79</f>
        <v>18.721280499999921</v>
      </c>
      <c r="K84" s="184">
        <f>K83-K79</f>
        <v>-9.9317194999994172</v>
      </c>
      <c r="L84" s="184">
        <f>L83-L79</f>
        <v>-32.975317830923814</v>
      </c>
      <c r="M84" s="184">
        <f>M83-M79</f>
        <v>-51.24404063143902</v>
      </c>
    </row>
    <row r="85" spans="1:19" ht="15">
      <c r="A85" s="160"/>
      <c r="B85" s="193" t="s">
        <v>253</v>
      </c>
      <c r="C85" s="145" t="s">
        <v>151</v>
      </c>
      <c r="D85" s="152" t="s">
        <v>77</v>
      </c>
      <c r="E85" s="152"/>
      <c r="F85" s="138"/>
      <c r="G85" s="138"/>
      <c r="H85" s="181"/>
      <c r="I85" s="184">
        <f>IF(I84&gt;MAX($I$84:I84,0),I84-MAX($I$84:I84,0),0)</f>
        <v>0</v>
      </c>
      <c r="J85" s="218">
        <f>IF(J84&gt;MAX($I$84:I84,0),J84-MAX($I$84:I84,0),0)</f>
        <v>0</v>
      </c>
      <c r="K85" s="184">
        <f>IF(K84&gt;MAX($I$84:J84,0),K84-MAX($I$84:J84,0),0)</f>
        <v>0</v>
      </c>
      <c r="L85" s="184">
        <f>IF(L84&gt;MAX($I$84:K84,0),L84-MAX($I$84:K84,0),0)</f>
        <v>0</v>
      </c>
      <c r="M85" s="184">
        <f>IF(M84&gt;MAX($I$84:L84,0),M84-MAX($I$84:L84,0),0)</f>
        <v>0</v>
      </c>
    </row>
    <row r="86" spans="1:19" ht="15">
      <c r="A86" s="160"/>
      <c r="B86" s="193" t="s">
        <v>253</v>
      </c>
      <c r="C86" s="145" t="s">
        <v>152</v>
      </c>
      <c r="D86" s="143" t="s">
        <v>78</v>
      </c>
      <c r="E86" s="143"/>
      <c r="F86" s="138"/>
      <c r="G86" s="138"/>
      <c r="H86" s="181"/>
      <c r="I86" s="184">
        <f>I84*I82/1000</f>
        <v>2.2134553556065533</v>
      </c>
      <c r="J86" s="184">
        <f>J84*J82/1000</f>
        <v>0.86881668881310137</v>
      </c>
      <c r="K86" s="184">
        <f>K84*K82/1000</f>
        <v>-0.48392286142271851</v>
      </c>
      <c r="L86" s="184">
        <f>L84*L82/1000</f>
        <v>-1.7092994252784914</v>
      </c>
      <c r="M86" s="184">
        <f>M84*M82/1000</f>
        <v>-2.7143597522898029</v>
      </c>
    </row>
    <row r="87" spans="1:19" ht="15">
      <c r="A87" s="160"/>
      <c r="B87" s="193" t="s">
        <v>253</v>
      </c>
      <c r="C87" s="145" t="s">
        <v>153</v>
      </c>
      <c r="D87" s="143" t="s">
        <v>78</v>
      </c>
      <c r="E87" s="143"/>
      <c r="F87" s="138"/>
      <c r="G87" s="138"/>
      <c r="H87" s="181"/>
      <c r="I87" s="184">
        <f>I85*I82*Input!I59/1000</f>
        <v>0</v>
      </c>
      <c r="J87" s="184">
        <f>J85*J82*Input!J59/1000</f>
        <v>0</v>
      </c>
      <c r="K87" s="184">
        <f>K85*K82*Input!K59/1000</f>
        <v>0</v>
      </c>
      <c r="L87" s="184">
        <f>L85*L82*Input!L59/1000</f>
        <v>0</v>
      </c>
      <c r="M87" s="184">
        <f>M85*M82*Input!M59/1000</f>
        <v>0</v>
      </c>
    </row>
    <row r="88" spans="1:19" ht="15">
      <c r="A88" s="160"/>
      <c r="B88" s="193" t="s">
        <v>253</v>
      </c>
      <c r="C88" s="145" t="s">
        <v>154</v>
      </c>
      <c r="D88" s="143" t="s">
        <v>78</v>
      </c>
      <c r="E88" s="143"/>
      <c r="F88" s="138"/>
      <c r="G88" s="138"/>
      <c r="H88" s="181"/>
      <c r="I88" s="184">
        <f>+I86+I87+Input!I46*I$7</f>
        <v>3.5799543538035605</v>
      </c>
      <c r="J88" s="184">
        <f>+J86+J87+Input!J46*J$7</f>
        <v>2.2012848167229362</v>
      </c>
      <c r="K88" s="184">
        <f>+K86+K87+Input!K46*K$7</f>
        <v>0.66901637126690572</v>
      </c>
      <c r="L88" s="184">
        <f>+L86+L87+Input!L46*L$7</f>
        <v>-0.65982536443367912</v>
      </c>
      <c r="M88" s="184">
        <f>+M86+M87+Input!M46*M$7</f>
        <v>-2.3864203318027899</v>
      </c>
    </row>
    <row r="89" spans="1:19" ht="15">
      <c r="A89" s="160"/>
      <c r="B89" s="193" t="s">
        <v>253</v>
      </c>
      <c r="C89" s="145" t="s">
        <v>155</v>
      </c>
      <c r="D89" s="143" t="s">
        <v>78</v>
      </c>
      <c r="E89" s="143"/>
      <c r="F89" s="150"/>
      <c r="G89" s="150"/>
      <c r="H89" s="181"/>
      <c r="I89" s="184">
        <f>-(1-Input!I58)*I81*Input!I50/1000</f>
        <v>-8.858253642537578E-2</v>
      </c>
      <c r="J89" s="184">
        <f>-(1-Input!J58)*J81*Input!J50/1000</f>
        <v>-0.18290487297216831</v>
      </c>
      <c r="K89" s="184">
        <f>-(1-Input!K58)*K81*Input!K50/1000</f>
        <v>-0.30083964475164138</v>
      </c>
      <c r="L89" s="184">
        <f>-(1-Input!L58)*L81*Input!L50/1000</f>
        <v>-0.45748480843710626</v>
      </c>
      <c r="M89" s="184">
        <f>-(1-Input!M58)*M81*Input!M50/1000</f>
        <v>-0.60661676511674001</v>
      </c>
    </row>
    <row r="90" spans="1:19" ht="15">
      <c r="A90" s="160"/>
      <c r="B90" s="193" t="s">
        <v>253</v>
      </c>
      <c r="C90" s="145" t="s">
        <v>372</v>
      </c>
      <c r="D90" s="143" t="s">
        <v>78</v>
      </c>
      <c r="E90" s="143"/>
      <c r="F90" s="193"/>
      <c r="G90" s="193"/>
      <c r="H90" s="181"/>
      <c r="I90" s="184">
        <f>(I88+I89)*(1+Input!I57)^(5-I4)</f>
        <v>4.1635258339213941</v>
      </c>
      <c r="J90" s="184">
        <f>(J88+J89)*(1+Input!J57)^(5-J4)</f>
        <v>2.3033068191877812</v>
      </c>
      <c r="K90" s="184">
        <f>(K88+K89)*(1+Input!K57)^(5-K4)</f>
        <v>0.40205818977283148</v>
      </c>
      <c r="L90" s="184">
        <f>(L88+L89)*(1+Input!L57)^(5-L4)</f>
        <v>-1.1675891306499708</v>
      </c>
      <c r="M90" s="184">
        <f>(M88+M89)*(1+Input!M57)^(5-M4)</f>
        <v>-2.9930370969195299</v>
      </c>
    </row>
    <row r="91" spans="1:19" s="3" customFormat="1" ht="15">
      <c r="A91" s="148"/>
      <c r="B91" s="193" t="s">
        <v>253</v>
      </c>
      <c r="C91" s="145" t="s">
        <v>373</v>
      </c>
      <c r="D91" s="253" t="s">
        <v>78</v>
      </c>
      <c r="E91" s="253"/>
      <c r="F91" s="193"/>
      <c r="G91" s="193"/>
      <c r="H91" s="181"/>
      <c r="I91" s="184">
        <f>I90-I76</f>
        <v>17.79175398730748</v>
      </c>
      <c r="J91" s="184">
        <f>J90-J76</f>
        <v>14.542656397675504</v>
      </c>
      <c r="K91" s="184">
        <f>K90-K76</f>
        <v>12.274989762618265</v>
      </c>
      <c r="L91" s="184">
        <f>L90-L76</f>
        <v>5.1905830730200577</v>
      </c>
      <c r="M91" s="184">
        <f>M90-M76</f>
        <v>-0.41050971745494236</v>
      </c>
      <c r="N91" s="4"/>
      <c r="O91" s="4"/>
      <c r="P91" s="4"/>
      <c r="Q91" s="4"/>
    </row>
    <row r="92" spans="1:19" ht="15">
      <c r="A92" s="160"/>
      <c r="B92" s="193"/>
      <c r="C92" s="145"/>
      <c r="D92" s="143"/>
      <c r="E92" s="143"/>
      <c r="F92" s="193"/>
      <c r="G92" s="193"/>
      <c r="H92" s="181"/>
      <c r="I92" s="184"/>
      <c r="J92" s="184"/>
      <c r="K92" s="184"/>
      <c r="L92" s="184"/>
      <c r="M92" s="184"/>
    </row>
    <row r="93" spans="1:19" s="10" customFormat="1" ht="15.6">
      <c r="A93" s="140"/>
      <c r="B93" s="140"/>
      <c r="C93" s="140" t="s">
        <v>245</v>
      </c>
      <c r="D93" s="140"/>
      <c r="E93" s="140"/>
      <c r="F93" s="140"/>
      <c r="G93" s="140"/>
      <c r="H93" s="212"/>
      <c r="I93" s="212"/>
      <c r="J93" s="212"/>
      <c r="K93" s="212"/>
      <c r="L93" s="212"/>
      <c r="M93" s="212"/>
      <c r="N93" s="9"/>
      <c r="O93" s="9"/>
      <c r="P93" s="9"/>
      <c r="Q93" s="9"/>
      <c r="R93" s="9"/>
      <c r="S93" s="9"/>
    </row>
    <row r="94" spans="1:19" ht="15">
      <c r="A94" s="160"/>
      <c r="B94" s="193" t="s">
        <v>253</v>
      </c>
      <c r="C94" s="138" t="s">
        <v>376</v>
      </c>
      <c r="D94" s="143" t="s">
        <v>78</v>
      </c>
      <c r="E94" s="143"/>
      <c r="F94" s="154"/>
      <c r="G94" s="154"/>
      <c r="H94" s="219"/>
      <c r="I94" s="220"/>
      <c r="J94" s="220"/>
      <c r="K94" s="220"/>
      <c r="L94" s="220"/>
      <c r="M94" s="184">
        <f>SUM(I91:M91)</f>
        <v>49.389473503166364</v>
      </c>
      <c r="N94" s="4"/>
      <c r="O94" s="4"/>
      <c r="P94" s="4"/>
      <c r="Q94" s="4"/>
    </row>
    <row r="95" spans="1:19" ht="15">
      <c r="A95" s="160"/>
      <c r="B95" s="193" t="s">
        <v>253</v>
      </c>
      <c r="C95" s="138" t="s">
        <v>377</v>
      </c>
      <c r="D95" s="143" t="s">
        <v>78</v>
      </c>
      <c r="E95" s="143"/>
      <c r="F95" s="154"/>
      <c r="G95" s="154"/>
      <c r="H95" s="219"/>
      <c r="I95" s="220"/>
      <c r="J95" s="220"/>
      <c r="K95" s="220"/>
      <c r="L95" s="220"/>
      <c r="M95" s="184">
        <f>IF(Input!F55=0,0,M94*(Input!K55/Input!F55))</f>
        <v>57.933136172205081</v>
      </c>
      <c r="N95" s="4"/>
      <c r="O95" s="4"/>
      <c r="P95" s="4"/>
      <c r="Q95" s="4"/>
    </row>
    <row r="96" spans="1:19" ht="15">
      <c r="A96" s="160"/>
      <c r="B96" s="193" t="s">
        <v>253</v>
      </c>
      <c r="C96" s="138" t="s">
        <v>156</v>
      </c>
      <c r="D96" s="143" t="s">
        <v>78</v>
      </c>
      <c r="E96" s="143"/>
      <c r="F96" s="154"/>
      <c r="G96" s="154"/>
      <c r="H96" s="219"/>
      <c r="I96" s="220"/>
      <c r="J96" s="220"/>
      <c r="K96" s="220"/>
      <c r="L96" s="220"/>
      <c r="M96" s="184">
        <f>-PMT(Input!M60,5,M95)</f>
        <v>12.867471581015332</v>
      </c>
    </row>
    <row r="97" spans="1:13" ht="15">
      <c r="A97" s="160"/>
      <c r="B97" s="149"/>
      <c r="C97" s="149"/>
      <c r="D97" s="151"/>
      <c r="E97" s="151"/>
      <c r="F97" s="149"/>
      <c r="G97" s="149"/>
      <c r="H97" s="149"/>
      <c r="I97" s="221"/>
      <c r="J97" s="221"/>
      <c r="K97" s="221"/>
      <c r="L97" s="221"/>
      <c r="M97" s="221"/>
    </row>
    <row r="98" spans="1:13" ht="15.6">
      <c r="A98" s="223"/>
      <c r="B98" s="222"/>
      <c r="C98" s="223"/>
      <c r="D98" s="224"/>
      <c r="E98" s="224"/>
      <c r="F98" s="222"/>
      <c r="G98" s="222"/>
      <c r="H98" s="222"/>
      <c r="I98" s="225"/>
      <c r="J98" s="225"/>
      <c r="K98" s="225"/>
      <c r="L98" s="225"/>
      <c r="M98" s="225"/>
    </row>
    <row r="100" spans="1:13">
      <c r="B100" s="7"/>
      <c r="C100" s="7"/>
      <c r="D100" s="12"/>
      <c r="E100" s="12"/>
      <c r="F100" s="7"/>
      <c r="G100" s="7"/>
      <c r="H100" s="7"/>
      <c r="I100" s="7"/>
      <c r="J100" s="7"/>
      <c r="K100" s="7"/>
      <c r="L100" s="7"/>
      <c r="M100" s="7"/>
    </row>
  </sheetData>
  <phoneticPr fontId="10"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205" t="s">
        <v>72</v>
      </c>
      <c r="C1" s="205" t="s">
        <v>73</v>
      </c>
      <c r="D1" s="205" t="s">
        <v>74</v>
      </c>
      <c r="E1" s="205" t="s">
        <v>75</v>
      </c>
      <c r="F1" s="205" t="s">
        <v>76</v>
      </c>
      <c r="G1" s="10"/>
      <c r="H1" s="205" t="s">
        <v>409</v>
      </c>
      <c r="I1" s="10"/>
      <c r="J1" s="276"/>
      <c r="K1" s="276"/>
      <c r="L1" s="276"/>
    </row>
    <row r="2" spans="1:12" ht="15">
      <c r="A2" s="277" t="s">
        <v>374</v>
      </c>
      <c r="B2" s="9"/>
      <c r="C2" s="9"/>
      <c r="D2" s="9"/>
      <c r="E2" s="9"/>
      <c r="F2" s="9"/>
      <c r="G2" s="9"/>
      <c r="H2" s="9"/>
      <c r="I2" s="9"/>
      <c r="J2" s="9"/>
      <c r="K2" s="3"/>
      <c r="L2" s="3"/>
    </row>
    <row r="3" spans="1:12" ht="15">
      <c r="A3" s="9" t="s">
        <v>410</v>
      </c>
      <c r="B3" s="188">
        <f>-Calc!I31</f>
        <v>12.323174669360982</v>
      </c>
      <c r="C3" s="188">
        <f>-Calc!J31</f>
        <v>9.6538604554249918</v>
      </c>
      <c r="D3" s="188">
        <f>-Calc!K31</f>
        <v>10.359395096549735</v>
      </c>
      <c r="E3" s="188">
        <f>-Calc!L31</f>
        <v>-7.9038009042009234</v>
      </c>
      <c r="F3" s="188">
        <f>-Calc!M31</f>
        <v>-9.9221704799170887</v>
      </c>
      <c r="G3" s="9"/>
      <c r="H3" s="188">
        <f>SUM(B3:F3)</f>
        <v>14.510458837217698</v>
      </c>
      <c r="I3" s="9"/>
      <c r="J3" s="9"/>
      <c r="K3" s="3"/>
      <c r="L3" s="3"/>
    </row>
    <row r="4" spans="1:12" ht="15">
      <c r="A4" s="9" t="s">
        <v>411</v>
      </c>
      <c r="B4" s="278">
        <f>(Calc!I41+Calc!I42)*(1+Input!I57)^(5-Calc!I4)</f>
        <v>3.8312137120948155</v>
      </c>
      <c r="C4" s="278">
        <f>(Calc!J41+Calc!J42)*(1+Input!J57)^(5-Calc!J4)</f>
        <v>2.2438531622160456</v>
      </c>
      <c r="D4" s="278">
        <f>(Calc!K41+Calc!K42)*(1+Input!K57)^(5-Calc!K4)</f>
        <v>1.1474054007423555</v>
      </c>
      <c r="E4" s="278">
        <f>(Calc!L41+Calc!L42)*(1+Input!L57)^(5-Calc!L4)</f>
        <v>0.1976349190614502</v>
      </c>
      <c r="F4" s="278">
        <f>(Calc!M41+Calc!M42)*(1+Input!M57)^(5-Calc!M4)</f>
        <v>-0.46248166207398345</v>
      </c>
      <c r="G4" s="9"/>
      <c r="H4" s="188">
        <f>SUM(B4:F4)</f>
        <v>6.9576255320406837</v>
      </c>
      <c r="I4" s="9"/>
      <c r="J4" s="9"/>
      <c r="K4" s="3"/>
      <c r="L4" s="3"/>
    </row>
    <row r="5" spans="1:12" ht="15">
      <c r="A5" s="9" t="s">
        <v>412</v>
      </c>
      <c r="B5" s="278">
        <f>(+Input!I33*Calc!I$7)*(1+Input!I57)^(5-Calc!I4)</f>
        <v>2.4443632096280372</v>
      </c>
      <c r="C5" s="278">
        <f>(+Input!J33*Calc!J$7)*(1+Input!J57)^(5-Calc!J4)</f>
        <v>2.280850733852902</v>
      </c>
      <c r="D5" s="278">
        <f>(+Input!K33*Calc!K$7)*(1+Input!K57)^(5-Calc!K4)</f>
        <v>1.8885572328772726</v>
      </c>
      <c r="E5" s="278">
        <f>(+Input!L33*Calc!L$7)*(1+Input!L57)^(5-Calc!L4)</f>
        <v>1.6450514562837706</v>
      </c>
      <c r="F5" s="278">
        <f>(+Input!M33*Calc!M$7)*(1+Input!M57)^(5-Calc!M4)</f>
        <v>0.46363832288961049</v>
      </c>
      <c r="G5" s="9"/>
      <c r="H5" s="188">
        <f>SUM(B5:F5)</f>
        <v>8.7224609555315933</v>
      </c>
      <c r="I5" s="9"/>
      <c r="J5" s="9"/>
      <c r="K5" s="3"/>
      <c r="L5" s="3"/>
    </row>
    <row r="6" spans="1:12" ht="15">
      <c r="A6" s="9" t="s">
        <v>413</v>
      </c>
      <c r="B6" s="278">
        <f>Calc!I44*(1+Input!I57)^(5-Calc!I4)</f>
        <v>-0.16048004163830251</v>
      </c>
      <c r="C6" s="278">
        <f>Calc!J44*(1+Input!J57)^(5-Calc!J4)</f>
        <v>-0.28834140918541279</v>
      </c>
      <c r="D6" s="278">
        <f>Calc!K44*(1+Input!K57)^(5-Calc!K4)</f>
        <v>-0.42648640617706368</v>
      </c>
      <c r="E6" s="278">
        <f>Calc!L44*(1+Input!L57)^(5-Calc!L4)</f>
        <v>-0.64016788994273433</v>
      </c>
      <c r="F6" s="278">
        <f>Calc!M44*(1+Input!M57)^(5-Calc!M4)</f>
        <v>-0.79682049787959675</v>
      </c>
      <c r="G6" s="9"/>
      <c r="H6" s="188">
        <f>SUM(B6:F6)</f>
        <v>-2.3122962448231101</v>
      </c>
      <c r="I6" s="9"/>
      <c r="J6" s="9"/>
      <c r="K6" s="3"/>
      <c r="L6" s="3"/>
    </row>
    <row r="7" spans="1:12" ht="15.6" thickBot="1">
      <c r="A7" s="9" t="s">
        <v>414</v>
      </c>
      <c r="B7" s="279">
        <f>SUM(B3:B6)</f>
        <v>18.438271549445535</v>
      </c>
      <c r="C7" s="279">
        <f>SUM(C3:C6)</f>
        <v>13.890222942308526</v>
      </c>
      <c r="D7" s="279">
        <f>SUM(D3:D6)</f>
        <v>12.968871323992298</v>
      </c>
      <c r="E7" s="279">
        <f>SUM(E3:E6)</f>
        <v>-6.7012824187984377</v>
      </c>
      <c r="F7" s="279">
        <f>SUM(F3:F6)</f>
        <v>-10.71783431698106</v>
      </c>
      <c r="G7" s="9"/>
      <c r="H7" s="279">
        <f>SUM(B7:F7)</f>
        <v>27.878249079966857</v>
      </c>
      <c r="I7" s="9"/>
      <c r="J7" s="9"/>
      <c r="K7" s="3"/>
      <c r="L7" s="3"/>
    </row>
    <row r="8" spans="1:12" ht="15.6" thickTop="1">
      <c r="A8" s="9"/>
      <c r="B8" s="280" t="b">
        <f>Calc!I46=B7</f>
        <v>1</v>
      </c>
      <c r="C8" s="280" t="b">
        <f>Calc!J46=C7</f>
        <v>1</v>
      </c>
      <c r="D8" s="280" t="b">
        <f>Calc!K46=D7</f>
        <v>1</v>
      </c>
      <c r="E8" s="280" t="b">
        <f>Calc!L46=E7</f>
        <v>1</v>
      </c>
      <c r="F8" s="280" t="b">
        <f>Calc!M46=F7</f>
        <v>1</v>
      </c>
      <c r="G8" s="280"/>
      <c r="H8" s="280" t="b">
        <f>Calc!M49=H7</f>
        <v>1</v>
      </c>
      <c r="I8" s="9"/>
      <c r="J8" s="9"/>
      <c r="K8" s="3"/>
      <c r="L8" s="3"/>
    </row>
    <row r="9" spans="1:12" ht="15">
      <c r="A9" s="9"/>
      <c r="B9" s="9"/>
      <c r="C9" s="9"/>
      <c r="D9" s="9"/>
      <c r="E9" s="9"/>
      <c r="F9" s="9"/>
      <c r="G9" s="9"/>
      <c r="H9" s="9"/>
      <c r="I9" s="9"/>
      <c r="J9" s="9"/>
      <c r="K9" s="3"/>
      <c r="L9" s="3"/>
    </row>
    <row r="10" spans="1:12" ht="15.6">
      <c r="A10" s="277" t="s">
        <v>375</v>
      </c>
      <c r="B10" s="205" t="s">
        <v>72</v>
      </c>
      <c r="C10" s="205" t="s">
        <v>73</v>
      </c>
      <c r="D10" s="205" t="s">
        <v>74</v>
      </c>
      <c r="E10" s="205" t="s">
        <v>75</v>
      </c>
      <c r="F10" s="205" t="s">
        <v>76</v>
      </c>
      <c r="G10" s="10"/>
      <c r="H10" s="205" t="s">
        <v>409</v>
      </c>
      <c r="I10" s="10"/>
      <c r="J10" s="140" t="s">
        <v>415</v>
      </c>
      <c r="K10" s="281"/>
      <c r="L10" s="140" t="s">
        <v>416</v>
      </c>
    </row>
    <row r="11" spans="1:12" ht="15">
      <c r="A11" s="9" t="s">
        <v>410</v>
      </c>
      <c r="B11" s="188">
        <f>B3*Input!$K$55/Input!$F$55</f>
        <v>14.45490517626572</v>
      </c>
      <c r="C11" s="188">
        <f>C3*Input!$K$55/Input!$F$55</f>
        <v>11.323838313760247</v>
      </c>
      <c r="D11" s="188">
        <f>D3*Input!$K$55/Input!$F$55</f>
        <v>12.151420216123856</v>
      </c>
      <c r="E11" s="188">
        <f>E3*Input!$K$55/Input!$F$55</f>
        <v>-9.2710438395686534</v>
      </c>
      <c r="F11" s="188">
        <f>F3*Input!$K$55/Input!$F$55</f>
        <v>-11.638562081452806</v>
      </c>
      <c r="G11" s="9"/>
      <c r="H11" s="188">
        <f>SUM(B11:F11)</f>
        <v>17.020557785128368</v>
      </c>
      <c r="I11" s="9"/>
      <c r="J11" s="278">
        <f>-PMT(Input!$M$60,5,H11)</f>
        <v>3.7804192568163604</v>
      </c>
      <c r="K11" s="3"/>
      <c r="L11" s="278">
        <f>J11*5</f>
        <v>18.9020962840818</v>
      </c>
    </row>
    <row r="12" spans="1:12" ht="15">
      <c r="A12" s="9" t="s">
        <v>411</v>
      </c>
      <c r="B12" s="188">
        <f>B4*Input!$K$55/Input!$F$55</f>
        <v>4.4939581239589188</v>
      </c>
      <c r="C12" s="188">
        <f>C4*Input!$K$55/Input!$F$55</f>
        <v>2.6320072188815953</v>
      </c>
      <c r="D12" s="188">
        <f>D4*Input!$K$55/Input!$F$55</f>
        <v>1.3458898953775817</v>
      </c>
      <c r="E12" s="188">
        <f>E4*Input!$K$55/Input!$F$55</f>
        <v>0.23182289395402619</v>
      </c>
      <c r="F12" s="188">
        <f>F4*Input!$K$55/Input!$F$55</f>
        <v>-0.54248428269562565</v>
      </c>
      <c r="G12" s="9"/>
      <c r="H12" s="188">
        <f>SUM(B12:F12)</f>
        <v>8.1611938494764971</v>
      </c>
      <c r="I12" s="9"/>
      <c r="J12" s="278">
        <f>-PMT(Input!$M$60,5,H12)</f>
        <v>1.8126746947229675</v>
      </c>
      <c r="K12" s="3"/>
      <c r="L12" s="278">
        <f>J12*5</f>
        <v>9.0633734736148384</v>
      </c>
    </row>
    <row r="13" spans="1:12" ht="15">
      <c r="A13" s="9" t="s">
        <v>412</v>
      </c>
      <c r="B13" s="188">
        <f>B5*Input!$K$55/Input!$F$55</f>
        <v>2.8672025966956451</v>
      </c>
      <c r="C13" s="188">
        <f>C5*Input!$K$55/Input!$F$55</f>
        <v>2.6754048338721965</v>
      </c>
      <c r="D13" s="188">
        <f>D5*Input!$K$55/Input!$F$55</f>
        <v>2.2152502462749992</v>
      </c>
      <c r="E13" s="188">
        <f>E5*Input!$K$55/Input!$F$55</f>
        <v>1.9296215016558551</v>
      </c>
      <c r="F13" s="188">
        <f>F5*Input!$K$55/Input!$F$55</f>
        <v>0.54384102905844078</v>
      </c>
      <c r="G13" s="9"/>
      <c r="H13" s="188">
        <f>SUM(B13:F13)</f>
        <v>10.231320207557138</v>
      </c>
      <c r="I13" s="9"/>
      <c r="J13" s="278">
        <f>-PMT(Input!$M$60,5,H13)</f>
        <v>2.2724684128212695</v>
      </c>
      <c r="K13" s="3"/>
      <c r="L13" s="278">
        <f>J13*5</f>
        <v>11.362342064106347</v>
      </c>
    </row>
    <row r="14" spans="1:12" ht="15">
      <c r="A14" s="9" t="s">
        <v>413</v>
      </c>
      <c r="B14" s="188">
        <f>B6*Input!$K$55/Input!$F$55</f>
        <v>-0.18824076155735656</v>
      </c>
      <c r="C14" s="188">
        <f>C6*Input!$K$55/Input!$F$55</f>
        <v>-0.33822029144232718</v>
      </c>
      <c r="D14" s="188">
        <f>D6*Input!$K$55/Input!$F$55</f>
        <v>-0.5002623695323698</v>
      </c>
      <c r="E14" s="188">
        <f>E6*Input!$K$55/Input!$F$55</f>
        <v>-0.75090765117688429</v>
      </c>
      <c r="F14" s="188">
        <f>F6*Input!$K$55/Input!$F$55</f>
        <v>-0.9346588885079623</v>
      </c>
      <c r="G14" s="148"/>
      <c r="H14" s="188">
        <f>SUM(B14:F14)</f>
        <v>-2.7122899622169001</v>
      </c>
      <c r="I14" s="148"/>
      <c r="J14" s="278">
        <f>-PMT(Input!$M$60,5,H14)</f>
        <v>-0.60242404113180803</v>
      </c>
      <c r="K14" s="3"/>
      <c r="L14" s="278">
        <f>J14*5</f>
        <v>-3.0121202056590404</v>
      </c>
    </row>
    <row r="15" spans="1:12" ht="15.6" thickBot="1">
      <c r="A15" s="9" t="s">
        <v>414</v>
      </c>
      <c r="B15" s="279">
        <f>SUM(B9:B14)</f>
        <v>21.627825135362926</v>
      </c>
      <c r="C15" s="279">
        <f>SUM(C9:C14)</f>
        <v>16.293030075071712</v>
      </c>
      <c r="D15" s="279">
        <f>SUM(D9:D14)</f>
        <v>15.212297988244067</v>
      </c>
      <c r="E15" s="279">
        <f>SUM(E9:E14)</f>
        <v>-7.8605070951356559</v>
      </c>
      <c r="F15" s="279">
        <f>SUM(F9:F14)</f>
        <v>-12.571864223597952</v>
      </c>
      <c r="G15" s="9"/>
      <c r="H15" s="279">
        <f>SUM(B15:F15)</f>
        <v>32.700781879945097</v>
      </c>
      <c r="I15" s="9"/>
      <c r="J15" s="282">
        <f>-PMT(Input!$M$60,5,H15)</f>
        <v>7.2631383232287883</v>
      </c>
      <c r="K15" s="3"/>
      <c r="L15" s="282">
        <f>J15*5</f>
        <v>36.315691616143944</v>
      </c>
    </row>
    <row r="16" spans="1:12" ht="15.6" thickTop="1">
      <c r="A16" s="9"/>
      <c r="B16" s="9"/>
      <c r="C16" s="9"/>
      <c r="D16" s="9"/>
      <c r="E16" s="9"/>
      <c r="F16" s="9"/>
      <c r="G16" s="10"/>
      <c r="H16" s="280" t="b">
        <f>Calc!M50=H15</f>
        <v>1</v>
      </c>
      <c r="I16" s="280"/>
      <c r="J16" s="280" t="b">
        <f>Calc!M51=J15</f>
        <v>1</v>
      </c>
      <c r="K16" s="283"/>
      <c r="L16" s="283"/>
    </row>
    <row r="17" spans="1:12">
      <c r="A17" s="284"/>
      <c r="B17" s="284"/>
      <c r="C17" s="284"/>
      <c r="D17" s="284"/>
      <c r="E17" s="284"/>
      <c r="F17" s="284"/>
      <c r="G17" s="284"/>
      <c r="H17" s="284"/>
      <c r="I17" s="284"/>
      <c r="J17" s="284"/>
      <c r="K17" s="281"/>
      <c r="L17" s="281"/>
    </row>
    <row r="18" spans="1:12">
      <c r="A18" s="284"/>
      <c r="B18" s="284"/>
      <c r="C18" s="284"/>
      <c r="D18" s="284"/>
      <c r="E18" s="284"/>
      <c r="F18" s="284"/>
      <c r="G18" s="284"/>
      <c r="H18" s="284"/>
      <c r="I18" s="284"/>
      <c r="J18" s="284"/>
      <c r="K18" s="281"/>
      <c r="L18" s="281"/>
    </row>
    <row r="19" spans="1:12" ht="15.6">
      <c r="A19" s="9"/>
      <c r="B19" s="205" t="s">
        <v>72</v>
      </c>
      <c r="C19" s="205" t="s">
        <v>73</v>
      </c>
      <c r="D19" s="205" t="s">
        <v>74</v>
      </c>
      <c r="E19" s="205" t="s">
        <v>75</v>
      </c>
      <c r="F19" s="205" t="s">
        <v>76</v>
      </c>
      <c r="G19" s="10"/>
      <c r="H19" s="205" t="s">
        <v>409</v>
      </c>
      <c r="I19" s="10"/>
      <c r="J19" s="276"/>
      <c r="K19" s="276"/>
      <c r="L19" s="276"/>
    </row>
    <row r="20" spans="1:12" ht="15">
      <c r="A20" s="277" t="s">
        <v>376</v>
      </c>
      <c r="B20" s="9"/>
      <c r="C20" s="9"/>
      <c r="D20" s="9"/>
      <c r="E20" s="9"/>
      <c r="F20" s="9"/>
      <c r="G20" s="9"/>
      <c r="H20" s="9"/>
      <c r="I20" s="9"/>
      <c r="J20" s="9"/>
      <c r="K20" s="285"/>
      <c r="L20" s="285"/>
    </row>
    <row r="21" spans="1:12" ht="15">
      <c r="A21" s="9" t="s">
        <v>417</v>
      </c>
      <c r="B21" s="188">
        <f>-Calc!I76</f>
        <v>13.628228153386088</v>
      </c>
      <c r="C21" s="188">
        <f>-Calc!J76</f>
        <v>12.239349578487722</v>
      </c>
      <c r="D21" s="188">
        <f>-Calc!K76</f>
        <v>11.872931572845433</v>
      </c>
      <c r="E21" s="188">
        <f>-Calc!L76</f>
        <v>6.358172203670029</v>
      </c>
      <c r="F21" s="188">
        <f>-Calc!M76</f>
        <v>2.5825273794645875</v>
      </c>
      <c r="G21" s="9"/>
      <c r="H21" s="188">
        <f>SUM(B21:F21)</f>
        <v>46.681208887853856</v>
      </c>
      <c r="I21" s="9"/>
      <c r="J21" s="9"/>
      <c r="K21" s="285"/>
      <c r="L21" s="285"/>
    </row>
    <row r="22" spans="1:12" ht="15">
      <c r="A22" s="9" t="s">
        <v>418</v>
      </c>
      <c r="B22" s="278">
        <f>(Calc!I86+Calc!I87)*(1+Input!I57)^(5-Calc!I4)</f>
        <v>2.6395866832138375</v>
      </c>
      <c r="C22" s="278">
        <f>(Calc!J86+Calc!J87)*(1+Input!J57)^(5-Calc!J4)</f>
        <v>0.99146417410817755</v>
      </c>
      <c r="D22" s="278">
        <f>(Calc!K86+Calc!K87)*(1+Input!K57)^(5-Calc!K4)</f>
        <v>-0.52845586274514411</v>
      </c>
      <c r="E22" s="278">
        <f>(Calc!L86+Calc!L87)*(1+Input!L57)^(5-Calc!L4)</f>
        <v>-1.7862178994160234</v>
      </c>
      <c r="F22" s="278">
        <f>(Calc!M86+Calc!M87)*(1+Input!M57)^(5-Calc!M4)</f>
        <v>-2.7143597522898029</v>
      </c>
      <c r="G22" s="9"/>
      <c r="H22" s="188">
        <f>SUM(B22:F22)</f>
        <v>-1.3979826571289549</v>
      </c>
      <c r="I22" s="9"/>
      <c r="J22" s="9"/>
      <c r="K22" s="285"/>
      <c r="L22" s="285"/>
    </row>
    <row r="23" spans="1:12" ht="15">
      <c r="A23" s="9" t="s">
        <v>419</v>
      </c>
      <c r="B23" s="278">
        <f>(+Input!I46*Calc!I$7)*(1+Input!I57)^(5-Calc!I4)</f>
        <v>1.6295754730853584</v>
      </c>
      <c r="C23" s="278">
        <f>(+Input!J46*Calc!J$7)*(1+Input!J57)^(5-Calc!J4)</f>
        <v>1.5205674902128705</v>
      </c>
      <c r="D23" s="278">
        <f>(+Input!K46*Calc!K$7)*(1+Input!K57)^(5-Calc!K4)</f>
        <v>1.2590384655778866</v>
      </c>
      <c r="E23" s="278">
        <f>(+Input!L46*Calc!L$7)*(1+Input!L57)^(5-Calc!L4)</f>
        <v>1.0967003935828288</v>
      </c>
      <c r="F23" s="278">
        <f>(+Input!M46*Calc!M$7)*(1+Input!M57)^(5-Calc!M4)</f>
        <v>0.32793942048701308</v>
      </c>
      <c r="G23" s="9"/>
      <c r="H23" s="188">
        <f>SUM(B23:F23)</f>
        <v>5.8338212429459571</v>
      </c>
      <c r="I23" s="9"/>
      <c r="J23" s="9"/>
      <c r="K23" s="285"/>
      <c r="L23" s="285"/>
    </row>
    <row r="24" spans="1:12" ht="15">
      <c r="A24" s="9" t="s">
        <v>420</v>
      </c>
      <c r="B24" s="278">
        <f>Calc!I89*(1+Input!I57)^(5-Calc!I4)</f>
        <v>-0.10563632237780217</v>
      </c>
      <c r="C24" s="278">
        <f>Calc!J89*(1+Input!J57)^(5-Calc!J4)</f>
        <v>-0.2087248451332665</v>
      </c>
      <c r="D24" s="278">
        <f>Calc!K89*(1+Input!K57)^(5-Calc!K4)</f>
        <v>-0.32852441305991109</v>
      </c>
      <c r="E24" s="278">
        <f>Calc!L89*(1+Input!L57)^(5-Calc!L4)</f>
        <v>-0.47807162481677601</v>
      </c>
      <c r="F24" s="278">
        <f>Calc!M89*(1+Input!M57)^(5-Calc!M4)</f>
        <v>-0.60661676511674001</v>
      </c>
      <c r="G24" s="9"/>
      <c r="H24" s="188">
        <f>SUM(B24:F24)</f>
        <v>-1.7275739705044959</v>
      </c>
      <c r="I24" s="9"/>
      <c r="J24" s="9"/>
      <c r="K24" s="285"/>
      <c r="L24" s="285"/>
    </row>
    <row r="25" spans="1:12" ht="15.6" thickBot="1">
      <c r="A25" s="9" t="s">
        <v>421</v>
      </c>
      <c r="B25" s="279">
        <f>SUM(B18:B24)</f>
        <v>17.791753987307484</v>
      </c>
      <c r="C25" s="279">
        <f>SUM(C18:C24)</f>
        <v>14.542656397675504</v>
      </c>
      <c r="D25" s="279">
        <f>SUM(D18:D24)</f>
        <v>12.274989762618263</v>
      </c>
      <c r="E25" s="279">
        <f>SUM(E18:E24)</f>
        <v>5.1905830730200586</v>
      </c>
      <c r="F25" s="279">
        <f>SUM(F18:F24)</f>
        <v>-0.41050971745494225</v>
      </c>
      <c r="G25" s="9"/>
      <c r="H25" s="279">
        <f>SUM(B25:F25)</f>
        <v>49.389473503166364</v>
      </c>
      <c r="I25" s="9"/>
      <c r="J25" s="9"/>
      <c r="K25" s="285"/>
      <c r="L25" s="285"/>
    </row>
    <row r="26" spans="1:12" ht="15.6" thickTop="1">
      <c r="A26" s="9"/>
      <c r="B26" s="280" t="b">
        <f>Calc!I91=B25</f>
        <v>1</v>
      </c>
      <c r="C26" s="280" t="b">
        <f>Calc!J91=C25</f>
        <v>1</v>
      </c>
      <c r="D26" s="280" t="b">
        <f>Calc!K91=D25</f>
        <v>1</v>
      </c>
      <c r="E26" s="280" t="b">
        <f>Calc!L91=E25</f>
        <v>1</v>
      </c>
      <c r="F26" s="280" t="b">
        <f>Calc!M91=F25</f>
        <v>1</v>
      </c>
      <c r="G26" s="280"/>
      <c r="H26" s="280" t="b">
        <f>Calc!M94=H25</f>
        <v>1</v>
      </c>
      <c r="I26" s="9"/>
      <c r="J26" s="9"/>
      <c r="K26" s="285"/>
      <c r="L26" s="285"/>
    </row>
    <row r="27" spans="1:12" ht="15">
      <c r="A27" s="9"/>
      <c r="B27" s="9"/>
      <c r="C27" s="9"/>
      <c r="D27" s="9"/>
      <c r="E27" s="9"/>
      <c r="F27" s="9"/>
      <c r="G27" s="9"/>
      <c r="H27" s="9"/>
      <c r="I27" s="9"/>
      <c r="J27" s="9"/>
      <c r="K27" s="285"/>
      <c r="L27" s="285"/>
    </row>
    <row r="28" spans="1:12" ht="15.6">
      <c r="A28" s="277" t="s">
        <v>422</v>
      </c>
      <c r="B28" s="205" t="s">
        <v>72</v>
      </c>
      <c r="C28" s="205" t="s">
        <v>73</v>
      </c>
      <c r="D28" s="205" t="s">
        <v>74</v>
      </c>
      <c r="E28" s="205" t="s">
        <v>75</v>
      </c>
      <c r="F28" s="205" t="s">
        <v>76</v>
      </c>
      <c r="G28" s="10"/>
      <c r="H28" s="205" t="s">
        <v>409</v>
      </c>
      <c r="I28" s="10"/>
      <c r="J28" s="140" t="s">
        <v>423</v>
      </c>
      <c r="K28" s="276"/>
      <c r="L28" s="140" t="s">
        <v>416</v>
      </c>
    </row>
    <row r="29" spans="1:12" ht="15">
      <c r="A29" s="9" t="s">
        <v>417</v>
      </c>
      <c r="B29" s="188">
        <f>B21*Input!$K$55/Input!$F$55</f>
        <v>15.985713987118704</v>
      </c>
      <c r="C29" s="188">
        <f>C21*Input!$K$55/Input!$F$55</f>
        <v>14.35657956030432</v>
      </c>
      <c r="D29" s="188">
        <f>D21*Input!$K$55/Input!$F$55</f>
        <v>13.926776553486246</v>
      </c>
      <c r="E29" s="188">
        <f>E21*Input!$K$55/Input!$F$55</f>
        <v>7.458043788580377</v>
      </c>
      <c r="F29" s="188">
        <f>F21*Input!$K$55/Input!$F$55</f>
        <v>3.0292671642547098</v>
      </c>
      <c r="G29" s="9"/>
      <c r="H29" s="188">
        <f>SUM(B29:F29)</f>
        <v>54.756381053744363</v>
      </c>
      <c r="I29" s="9"/>
      <c r="J29" s="278">
        <f>-PMT(Input!$M$60,5,H29)</f>
        <v>12.161885643372791</v>
      </c>
      <c r="K29" s="285"/>
      <c r="L29" s="278">
        <f>J29*5</f>
        <v>60.809428216863957</v>
      </c>
    </row>
    <row r="30" spans="1:12" ht="15">
      <c r="A30" s="9" t="s">
        <v>418</v>
      </c>
      <c r="B30" s="188">
        <f>B22*Input!$K$55/Input!$F$55</f>
        <v>3.0961969000775582</v>
      </c>
      <c r="C30" s="188">
        <f>C22*Input!$K$55/Input!$F$55</f>
        <v>1.1629730979980886</v>
      </c>
      <c r="D30" s="188">
        <f>D22*Input!$K$55/Input!$F$55</f>
        <v>-0.61987106332388442</v>
      </c>
      <c r="E30" s="188">
        <f>E22*Input!$K$55/Input!$F$55</f>
        <v>-2.0952076922517588</v>
      </c>
      <c r="F30" s="188">
        <f>F22*Input!$K$55/Input!$F$55</f>
        <v>-3.1839046257433092</v>
      </c>
      <c r="G30" s="9"/>
      <c r="H30" s="188">
        <f>SUM(B30:F30)</f>
        <v>-1.6398133832433057</v>
      </c>
      <c r="I30" s="9"/>
      <c r="J30" s="278">
        <f>-PMT(Input!$M$60,5,H30)</f>
        <v>-0.36421732882424601</v>
      </c>
      <c r="K30" s="285"/>
      <c r="L30" s="278">
        <f>J30*5</f>
        <v>-1.8210866441212301</v>
      </c>
    </row>
    <row r="31" spans="1:12" ht="15">
      <c r="A31" s="9" t="s">
        <v>419</v>
      </c>
      <c r="B31" s="188">
        <f>B23*Input!$K$55/Input!$F$55</f>
        <v>1.9114683977970968</v>
      </c>
      <c r="C31" s="188">
        <f>C23*Input!$K$55/Input!$F$55</f>
        <v>1.7836036147233438</v>
      </c>
      <c r="D31" s="188">
        <f>D23*Input!$K$55/Input!$F$55</f>
        <v>1.4768338615249998</v>
      </c>
      <c r="E31" s="188">
        <f>E23*Input!$K$55/Input!$F$55</f>
        <v>1.2864136573043581</v>
      </c>
      <c r="F31" s="188">
        <f>F23*Input!$K$55/Input!$F$55</f>
        <v>0.38466818444805145</v>
      </c>
      <c r="G31" s="9"/>
      <c r="H31" s="188">
        <f>SUM(B31:F31)</f>
        <v>6.8429877157978494</v>
      </c>
      <c r="I31" s="9"/>
      <c r="J31" s="278">
        <f>-PMT(Input!$M$60,5,H31)</f>
        <v>1.5198892340392758</v>
      </c>
      <c r="K31" s="285"/>
      <c r="L31" s="278">
        <f>J31*5</f>
        <v>7.5994461701963791</v>
      </c>
    </row>
    <row r="32" spans="1:12" ht="15">
      <c r="A32" s="9" t="s">
        <v>420</v>
      </c>
      <c r="B32" s="188">
        <f>B24*Input!$K$55/Input!$F$55</f>
        <v>-0.12390987420936617</v>
      </c>
      <c r="C32" s="188">
        <f>C24*Input!$K$55/Input!$F$55</f>
        <v>-0.24483121640996477</v>
      </c>
      <c r="D32" s="188">
        <f>D24*Input!$K$55/Input!$F$55</f>
        <v>-0.38535437225248831</v>
      </c>
      <c r="E32" s="188">
        <f>E24*Input!$K$55/Input!$F$55</f>
        <v>-0.56077108290700883</v>
      </c>
      <c r="F32" s="188">
        <f>F24*Input!$K$55/Input!$F$55</f>
        <v>-0.71155266831499231</v>
      </c>
      <c r="G32" s="148"/>
      <c r="H32" s="188">
        <f>SUM(B32:F32)</f>
        <v>-2.0264192140938206</v>
      </c>
      <c r="I32" s="148"/>
      <c r="J32" s="278">
        <f>-PMT(Input!$M$60,5,H32)</f>
        <v>-0.45008596757248853</v>
      </c>
      <c r="K32" s="3"/>
      <c r="L32" s="278">
        <f>J32*5</f>
        <v>-2.2504298378624426</v>
      </c>
    </row>
    <row r="33" spans="1:12" ht="15.6" thickBot="1">
      <c r="A33" s="9" t="s">
        <v>421</v>
      </c>
      <c r="B33" s="279">
        <f>SUM(B27:B32)</f>
        <v>20.869469410783992</v>
      </c>
      <c r="C33" s="279">
        <f>SUM(C27:C32)</f>
        <v>17.058325056615789</v>
      </c>
      <c r="D33" s="279">
        <f>SUM(D27:D32)</f>
        <v>14.398384979434873</v>
      </c>
      <c r="E33" s="279">
        <f>SUM(E27:E32)</f>
        <v>6.0884786707259666</v>
      </c>
      <c r="F33" s="279">
        <f>SUM(F27:F32)</f>
        <v>-0.48152194535554033</v>
      </c>
      <c r="G33" s="9"/>
      <c r="H33" s="279">
        <f>SUM(B33:F33)</f>
        <v>57.933136172205081</v>
      </c>
      <c r="I33" s="9"/>
      <c r="J33" s="282">
        <f>-PMT(Input!$M$60,5,H33)</f>
        <v>12.867471581015332</v>
      </c>
      <c r="K33" s="285"/>
      <c r="L33" s="282">
        <f>J33*5</f>
        <v>64.337357905076658</v>
      </c>
    </row>
    <row r="34" spans="1:12" ht="15.6" thickTop="1">
      <c r="A34" s="9"/>
      <c r="B34" s="188"/>
      <c r="C34" s="9"/>
      <c r="D34" s="160"/>
      <c r="E34" s="160"/>
      <c r="F34" s="160"/>
      <c r="G34" s="10"/>
      <c r="H34" s="280" t="b">
        <f>Calc!M95=H33</f>
        <v>1</v>
      </c>
      <c r="I34" s="280"/>
      <c r="J34" s="280" t="b">
        <f>Calc!M96=J33</f>
        <v>1</v>
      </c>
      <c r="K34" s="283"/>
      <c r="L34" s="28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2016-09-30T14:41:49Z</dcterms:created>
  <dcterms:modified xsi:type="dcterms:W3CDTF">2016-09-30T14:41:54Z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