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1652"/>
  </bookViews>
  <sheets>
    <sheet name="ANH BY" sheetId="1" r:id="rId1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61" i="1" l="1"/>
  <c r="AU61" i="1"/>
  <c r="AT61" i="1"/>
  <c r="AS61" i="1"/>
  <c r="AR61" i="1"/>
  <c r="AP61" i="1"/>
  <c r="AO61" i="1"/>
  <c r="AN61" i="1"/>
  <c r="AM61" i="1"/>
  <c r="AL61" i="1"/>
  <c r="AJ61" i="1"/>
  <c r="AI61" i="1"/>
  <c r="AH61" i="1"/>
  <c r="AG61" i="1"/>
  <c r="AF61" i="1"/>
  <c r="AD61" i="1"/>
  <c r="AC61" i="1"/>
  <c r="AB61" i="1"/>
  <c r="AA61" i="1"/>
  <c r="Z61" i="1"/>
  <c r="X61" i="1"/>
  <c r="W61" i="1"/>
  <c r="V61" i="1"/>
  <c r="U61" i="1"/>
  <c r="T61" i="1"/>
  <c r="AD60" i="1"/>
  <c r="AC60" i="1"/>
  <c r="AB60" i="1"/>
  <c r="AA60" i="1"/>
  <c r="Z60" i="1"/>
  <c r="X60" i="1"/>
  <c r="W60" i="1"/>
  <c r="V60" i="1"/>
  <c r="U60" i="1"/>
  <c r="T60" i="1"/>
  <c r="R60" i="1"/>
  <c r="Q60" i="1"/>
  <c r="P60" i="1"/>
  <c r="O60" i="1"/>
  <c r="M60" i="1"/>
  <c r="L60" i="1"/>
  <c r="K60" i="1"/>
  <c r="J60" i="1"/>
  <c r="I60" i="1"/>
  <c r="AD59" i="1"/>
  <c r="AC59" i="1"/>
  <c r="AB59" i="1"/>
  <c r="AA59" i="1"/>
  <c r="Z59" i="1"/>
  <c r="X59" i="1"/>
  <c r="W59" i="1"/>
  <c r="V59" i="1"/>
  <c r="U59" i="1"/>
  <c r="T59" i="1"/>
  <c r="R59" i="1"/>
  <c r="Q59" i="1"/>
  <c r="P59" i="1"/>
  <c r="O59" i="1"/>
  <c r="M59" i="1"/>
  <c r="L59" i="1"/>
  <c r="K59" i="1"/>
  <c r="J59" i="1"/>
  <c r="I59" i="1"/>
  <c r="AD58" i="1"/>
  <c r="AC58" i="1"/>
  <c r="AB58" i="1"/>
  <c r="AA58" i="1"/>
  <c r="Z58" i="1"/>
  <c r="X58" i="1"/>
  <c r="W58" i="1"/>
  <c r="V58" i="1"/>
  <c r="U58" i="1"/>
  <c r="T58" i="1"/>
  <c r="R58" i="1"/>
  <c r="Q58" i="1"/>
  <c r="P58" i="1"/>
  <c r="O58" i="1"/>
  <c r="M58" i="1"/>
  <c r="L58" i="1"/>
  <c r="K58" i="1"/>
  <c r="J58" i="1"/>
  <c r="I58" i="1"/>
  <c r="AD57" i="1"/>
  <c r="AC57" i="1"/>
  <c r="AB57" i="1"/>
  <c r="AA57" i="1"/>
  <c r="Z57" i="1"/>
  <c r="X57" i="1"/>
  <c r="W57" i="1"/>
  <c r="V57" i="1"/>
  <c r="U57" i="1"/>
  <c r="T57" i="1"/>
  <c r="R57" i="1"/>
  <c r="Q57" i="1"/>
  <c r="P57" i="1"/>
  <c r="O57" i="1"/>
  <c r="M57" i="1"/>
  <c r="L57" i="1"/>
  <c r="K57" i="1"/>
  <c r="J57" i="1"/>
  <c r="I57" i="1"/>
  <c r="AD56" i="1"/>
  <c r="AC56" i="1"/>
  <c r="AB56" i="1"/>
  <c r="AA56" i="1"/>
  <c r="Z56" i="1"/>
  <c r="X56" i="1"/>
  <c r="W56" i="1"/>
  <c r="V56" i="1"/>
  <c r="U56" i="1"/>
  <c r="T56" i="1"/>
  <c r="R56" i="1"/>
  <c r="Q56" i="1"/>
  <c r="P56" i="1"/>
  <c r="O56" i="1"/>
  <c r="M56" i="1"/>
  <c r="L56" i="1"/>
  <c r="K56" i="1"/>
  <c r="J56" i="1"/>
  <c r="I56" i="1"/>
  <c r="M55" i="1"/>
  <c r="L55" i="1"/>
  <c r="K55" i="1"/>
  <c r="J55" i="1"/>
  <c r="E51" i="1"/>
  <c r="D51" i="1"/>
  <c r="C51" i="1"/>
  <c r="AV46" i="1"/>
  <c r="AU46" i="1"/>
  <c r="AT46" i="1"/>
  <c r="AS46" i="1"/>
  <c r="AR46" i="1"/>
  <c r="AJ46" i="1"/>
  <c r="AI46" i="1"/>
  <c r="AH46" i="1"/>
  <c r="AG46" i="1"/>
  <c r="AF46" i="1"/>
  <c r="AD46" i="1"/>
  <c r="AC46" i="1"/>
  <c r="AB46" i="1"/>
  <c r="AA46" i="1"/>
  <c r="Z46" i="1"/>
  <c r="X46" i="1"/>
  <c r="W46" i="1"/>
  <c r="V46" i="1"/>
  <c r="U46" i="1"/>
  <c r="T46" i="1"/>
  <c r="AD45" i="1"/>
  <c r="AC45" i="1"/>
  <c r="AB45" i="1"/>
  <c r="AA45" i="1"/>
  <c r="Z45" i="1"/>
  <c r="X45" i="1"/>
  <c r="W45" i="1"/>
  <c r="V45" i="1"/>
  <c r="U45" i="1"/>
  <c r="T45" i="1"/>
  <c r="R45" i="1"/>
  <c r="Q45" i="1"/>
  <c r="P45" i="1"/>
  <c r="O45" i="1"/>
  <c r="M45" i="1"/>
  <c r="L45" i="1"/>
  <c r="K45" i="1"/>
  <c r="J45" i="1"/>
  <c r="I45" i="1"/>
  <c r="AD44" i="1"/>
  <c r="AC44" i="1"/>
  <c r="AB44" i="1"/>
  <c r="AA44" i="1"/>
  <c r="Z44" i="1"/>
  <c r="X44" i="1"/>
  <c r="W44" i="1"/>
  <c r="V44" i="1"/>
  <c r="U44" i="1"/>
  <c r="T44" i="1"/>
  <c r="R44" i="1"/>
  <c r="Q44" i="1"/>
  <c r="P44" i="1"/>
  <c r="O44" i="1"/>
  <c r="M44" i="1"/>
  <c r="L44" i="1"/>
  <c r="K44" i="1"/>
  <c r="J44" i="1"/>
  <c r="I44" i="1"/>
  <c r="AD43" i="1"/>
  <c r="AC43" i="1"/>
  <c r="AB43" i="1"/>
  <c r="AA43" i="1"/>
  <c r="Z43" i="1"/>
  <c r="X43" i="1"/>
  <c r="W43" i="1"/>
  <c r="V43" i="1"/>
  <c r="U43" i="1"/>
  <c r="T43" i="1"/>
  <c r="R43" i="1"/>
  <c r="Q43" i="1"/>
  <c r="P43" i="1"/>
  <c r="O43" i="1"/>
  <c r="M43" i="1"/>
  <c r="L43" i="1"/>
  <c r="K43" i="1"/>
  <c r="J43" i="1"/>
  <c r="I43" i="1"/>
  <c r="AD42" i="1"/>
  <c r="AC42" i="1"/>
  <c r="AB42" i="1"/>
  <c r="AA42" i="1"/>
  <c r="Z42" i="1"/>
  <c r="X42" i="1"/>
  <c r="W42" i="1"/>
  <c r="V42" i="1"/>
  <c r="U42" i="1"/>
  <c r="T42" i="1"/>
  <c r="R42" i="1"/>
  <c r="Q42" i="1"/>
  <c r="P42" i="1"/>
  <c r="O42" i="1"/>
  <c r="M42" i="1"/>
  <c r="L42" i="1"/>
  <c r="K42" i="1"/>
  <c r="J42" i="1"/>
  <c r="I42" i="1"/>
  <c r="AV41" i="1"/>
  <c r="AU41" i="1"/>
  <c r="AT41" i="1"/>
  <c r="AS41" i="1"/>
  <c r="AR41" i="1"/>
  <c r="AP41" i="1"/>
  <c r="AO41" i="1"/>
  <c r="AN41" i="1"/>
  <c r="AM41" i="1"/>
  <c r="AL41" i="1"/>
  <c r="AJ41" i="1"/>
  <c r="AI41" i="1"/>
  <c r="AH41" i="1"/>
  <c r="AG41" i="1"/>
  <c r="AF41" i="1"/>
  <c r="AD41" i="1"/>
  <c r="AC41" i="1"/>
  <c r="AB41" i="1"/>
  <c r="AA41" i="1"/>
  <c r="Z41" i="1"/>
  <c r="X41" i="1"/>
  <c r="W41" i="1"/>
  <c r="V41" i="1"/>
  <c r="U41" i="1"/>
  <c r="T41" i="1"/>
  <c r="R41" i="1"/>
  <c r="Q41" i="1"/>
  <c r="P41" i="1"/>
  <c r="O41" i="1"/>
  <c r="M41" i="1"/>
  <c r="L41" i="1"/>
  <c r="K41" i="1"/>
  <c r="J41" i="1"/>
  <c r="I41" i="1"/>
  <c r="AD40" i="1"/>
  <c r="AC40" i="1"/>
  <c r="AB40" i="1"/>
  <c r="AA40" i="1"/>
  <c r="Z40" i="1"/>
  <c r="X40" i="1"/>
  <c r="W40" i="1"/>
  <c r="V40" i="1"/>
  <c r="U40" i="1"/>
  <c r="T40" i="1"/>
  <c r="R40" i="1"/>
  <c r="Q40" i="1"/>
  <c r="P40" i="1"/>
  <c r="O40" i="1"/>
  <c r="M40" i="1"/>
  <c r="L40" i="1"/>
  <c r="K40" i="1"/>
  <c r="J40" i="1"/>
  <c r="I40" i="1"/>
  <c r="M39" i="1"/>
  <c r="L39" i="1"/>
  <c r="K39" i="1"/>
  <c r="J39" i="1"/>
  <c r="E35" i="1"/>
  <c r="D35" i="1"/>
  <c r="C35" i="1"/>
  <c r="AV30" i="1"/>
  <c r="AU30" i="1"/>
  <c r="AT30" i="1"/>
  <c r="AS30" i="1"/>
  <c r="AR30" i="1"/>
  <c r="AP30" i="1"/>
  <c r="AO30" i="1"/>
  <c r="AN30" i="1"/>
  <c r="AM30" i="1"/>
  <c r="AL30" i="1"/>
  <c r="AJ30" i="1"/>
  <c r="AI30" i="1"/>
  <c r="AH30" i="1"/>
  <c r="AG30" i="1"/>
  <c r="AF30" i="1"/>
  <c r="AD30" i="1"/>
  <c r="AC30" i="1"/>
  <c r="AB30" i="1"/>
  <c r="AA30" i="1"/>
  <c r="Z30" i="1"/>
  <c r="X30" i="1"/>
  <c r="W30" i="1"/>
  <c r="V30" i="1"/>
  <c r="U30" i="1"/>
  <c r="T30" i="1"/>
  <c r="AD29" i="1"/>
  <c r="AC29" i="1"/>
  <c r="AB29" i="1"/>
  <c r="AA29" i="1"/>
  <c r="Z29" i="1"/>
  <c r="X29" i="1"/>
  <c r="W29" i="1"/>
  <c r="V29" i="1"/>
  <c r="U29" i="1"/>
  <c r="T29" i="1"/>
  <c r="R29" i="1"/>
  <c r="Q29" i="1"/>
  <c r="P29" i="1"/>
  <c r="O29" i="1"/>
  <c r="M29" i="1"/>
  <c r="L29" i="1"/>
  <c r="K29" i="1"/>
  <c r="J29" i="1"/>
  <c r="I29" i="1"/>
  <c r="AD28" i="1"/>
  <c r="AC28" i="1"/>
  <c r="AB28" i="1"/>
  <c r="AA28" i="1"/>
  <c r="Z28" i="1"/>
  <c r="X28" i="1"/>
  <c r="W28" i="1"/>
  <c r="V28" i="1"/>
  <c r="U28" i="1"/>
  <c r="T28" i="1"/>
  <c r="R28" i="1"/>
  <c r="Q28" i="1"/>
  <c r="P28" i="1"/>
  <c r="O28" i="1"/>
  <c r="M28" i="1"/>
  <c r="L28" i="1"/>
  <c r="K28" i="1"/>
  <c r="J28" i="1"/>
  <c r="I28" i="1"/>
  <c r="AD27" i="1"/>
  <c r="AC27" i="1"/>
  <c r="AB27" i="1"/>
  <c r="AA27" i="1"/>
  <c r="Z27" i="1"/>
  <c r="X27" i="1"/>
  <c r="W27" i="1"/>
  <c r="V27" i="1"/>
  <c r="U27" i="1"/>
  <c r="T27" i="1"/>
  <c r="R27" i="1"/>
  <c r="Q27" i="1"/>
  <c r="P27" i="1"/>
  <c r="O27" i="1"/>
  <c r="M27" i="1"/>
  <c r="L27" i="1"/>
  <c r="K27" i="1"/>
  <c r="J27" i="1"/>
  <c r="I27" i="1"/>
  <c r="M26" i="1"/>
  <c r="L26" i="1"/>
  <c r="K26" i="1"/>
  <c r="J26" i="1"/>
  <c r="E22" i="1"/>
  <c r="D22" i="1"/>
  <c r="C22" i="1"/>
  <c r="AV17" i="1"/>
  <c r="AU17" i="1"/>
  <c r="AT17" i="1"/>
  <c r="AS17" i="1"/>
  <c r="AR17" i="1"/>
  <c r="AP17" i="1"/>
  <c r="AO17" i="1"/>
  <c r="AN17" i="1"/>
  <c r="AM17" i="1"/>
  <c r="AL17" i="1"/>
  <c r="AJ17" i="1"/>
  <c r="AI17" i="1"/>
  <c r="AH17" i="1"/>
  <c r="AG17" i="1"/>
  <c r="AF17" i="1"/>
  <c r="AD17" i="1"/>
  <c r="AC17" i="1"/>
  <c r="AB17" i="1"/>
  <c r="AA17" i="1"/>
  <c r="Z17" i="1"/>
  <c r="X17" i="1"/>
  <c r="W17" i="1"/>
  <c r="V17" i="1"/>
  <c r="U17" i="1"/>
  <c r="T17" i="1"/>
  <c r="AD16" i="1"/>
  <c r="AC16" i="1"/>
  <c r="AB16" i="1"/>
  <c r="AA16" i="1"/>
  <c r="Z16" i="1"/>
  <c r="X16" i="1"/>
  <c r="W16" i="1"/>
  <c r="V16" i="1"/>
  <c r="U16" i="1"/>
  <c r="T16" i="1"/>
  <c r="R16" i="1"/>
  <c r="Q16" i="1"/>
  <c r="P16" i="1"/>
  <c r="O16" i="1"/>
  <c r="M16" i="1"/>
  <c r="L16" i="1"/>
  <c r="K16" i="1"/>
  <c r="J16" i="1"/>
  <c r="I16" i="1"/>
  <c r="AD15" i="1"/>
  <c r="AC15" i="1"/>
  <c r="AB15" i="1"/>
  <c r="AA15" i="1"/>
  <c r="Z15" i="1"/>
  <c r="X15" i="1"/>
  <c r="W15" i="1"/>
  <c r="V15" i="1"/>
  <c r="U15" i="1"/>
  <c r="T15" i="1"/>
  <c r="R15" i="1"/>
  <c r="Q15" i="1"/>
  <c r="P15" i="1"/>
  <c r="O15" i="1"/>
  <c r="M15" i="1"/>
  <c r="L15" i="1"/>
  <c r="K15" i="1"/>
  <c r="J15" i="1"/>
  <c r="I15" i="1"/>
  <c r="AD14" i="1"/>
  <c r="AC14" i="1"/>
  <c r="AB14" i="1"/>
  <c r="AA14" i="1"/>
  <c r="Z14" i="1"/>
  <c r="X14" i="1"/>
  <c r="W14" i="1"/>
  <c r="V14" i="1"/>
  <c r="U14" i="1"/>
  <c r="T14" i="1"/>
  <c r="R14" i="1"/>
  <c r="Q14" i="1"/>
  <c r="P14" i="1"/>
  <c r="O14" i="1"/>
  <c r="M14" i="1"/>
  <c r="L14" i="1"/>
  <c r="K14" i="1"/>
  <c r="J14" i="1"/>
  <c r="I14" i="1"/>
  <c r="AD13" i="1"/>
  <c r="AC13" i="1"/>
  <c r="AB13" i="1"/>
  <c r="AA13" i="1"/>
  <c r="Z13" i="1"/>
  <c r="X13" i="1"/>
  <c r="W13" i="1"/>
  <c r="V13" i="1"/>
  <c r="U13" i="1"/>
  <c r="T13" i="1"/>
  <c r="R13" i="1"/>
  <c r="Q13" i="1"/>
  <c r="P13" i="1"/>
  <c r="O13" i="1"/>
  <c r="M13" i="1"/>
  <c r="L13" i="1"/>
  <c r="K13" i="1"/>
  <c r="J13" i="1"/>
  <c r="I13" i="1"/>
  <c r="AD12" i="1"/>
  <c r="AC12" i="1"/>
  <c r="AB12" i="1"/>
  <c r="AA12" i="1"/>
  <c r="Z12" i="1"/>
  <c r="X12" i="1"/>
  <c r="W12" i="1"/>
  <c r="V12" i="1"/>
  <c r="U12" i="1"/>
  <c r="T12" i="1"/>
  <c r="R12" i="1"/>
  <c r="Q12" i="1"/>
  <c r="P12" i="1"/>
  <c r="O12" i="1"/>
  <c r="M12" i="1"/>
  <c r="L12" i="1"/>
  <c r="K12" i="1"/>
  <c r="J12" i="1"/>
  <c r="I12" i="1"/>
  <c r="AD11" i="1"/>
  <c r="AC11" i="1"/>
  <c r="AB11" i="1"/>
  <c r="AA11" i="1"/>
  <c r="Z11" i="1"/>
  <c r="X11" i="1"/>
  <c r="W11" i="1"/>
  <c r="V11" i="1"/>
  <c r="U11" i="1"/>
  <c r="T11" i="1"/>
  <c r="R11" i="1"/>
  <c r="Q11" i="1"/>
  <c r="P11" i="1"/>
  <c r="O11" i="1"/>
  <c r="M11" i="1"/>
  <c r="L11" i="1"/>
  <c r="K11" i="1"/>
  <c r="J11" i="1"/>
  <c r="I11" i="1"/>
  <c r="M10" i="1"/>
  <c r="L10" i="1"/>
  <c r="K10" i="1"/>
  <c r="J10" i="1"/>
  <c r="E6" i="1"/>
  <c r="D6" i="1"/>
  <c r="C6" i="1"/>
</calcChain>
</file>

<file path=xl/comments1.xml><?xml version="1.0" encoding="utf-8"?>
<comments xmlns="http://schemas.openxmlformats.org/spreadsheetml/2006/main">
  <authors>
    <author>Author</author>
  </authors>
  <commentList>
    <comment ref="AR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compounded efficiency as at FD09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After Caistor St Edmund exclusion.</t>
        </r>
      </text>
    </comment>
  </commentList>
</comments>
</file>

<file path=xl/sharedStrings.xml><?xml version="1.0" encoding="utf-8"?>
<sst xmlns="http://schemas.openxmlformats.org/spreadsheetml/2006/main" count="295" uniqueCount="66">
  <si>
    <t>Serviceability - Shortfall Calculator - ANH Blind Year Reconciliation draft proposals</t>
  </si>
  <si>
    <t>Sewerage infrastructure</t>
  </si>
  <si>
    <t>OFWAT FD09 BASELINE (£m)</t>
  </si>
  <si>
    <t>Maximum value for shortfall adjustment (50%) £(m)</t>
  </si>
  <si>
    <t>Indexation</t>
  </si>
  <si>
    <t>line 11 (OFWAT baseline before efficiency)</t>
  </si>
  <si>
    <t>line 16 (OFWAT view of Grants &amp; Contributions)</t>
  </si>
  <si>
    <t>2007-08 prices</t>
  </si>
  <si>
    <t>2012-13 prices</t>
  </si>
  <si>
    <t>COPI 2007-08</t>
  </si>
  <si>
    <t>COPI 2012-13</t>
  </si>
  <si>
    <t>Performance and measures</t>
  </si>
  <si>
    <t>Step I: Unscaled yearly shortfall value (£m)</t>
  </si>
  <si>
    <t>Step II: Scaling factor based on the distance of performance of the indicator above the upper control limit</t>
  </si>
  <si>
    <t>Step III: Calculate the value of the shortfall (£m)</t>
  </si>
  <si>
    <t>Step IV: Moderate the value of shortfall where actual serviceablity performance as represented by the scaling factor is above 1 standard deviation by capping the scaling factor at 1 standard deviation (£m)</t>
  </si>
  <si>
    <t>Step V: Shortfall values (£m) 
pre-efficiency; where shortfall is applied</t>
  </si>
  <si>
    <t>Step VI: Apply volatility factor where applicable
(£m)</t>
  </si>
  <si>
    <t>Step VII: Step VI in post efficiency; where shortfall is applied
(£m)</t>
  </si>
  <si>
    <t xml:space="preserve">Actual Performance </t>
  </si>
  <si>
    <t>2011/12</t>
  </si>
  <si>
    <t>2012/13</t>
  </si>
  <si>
    <t>2013/14</t>
  </si>
  <si>
    <t>2014/15</t>
  </si>
  <si>
    <t>Measure</t>
  </si>
  <si>
    <t>Ref level</t>
  </si>
  <si>
    <t>UCL</t>
  </si>
  <si>
    <t>Total Shortfall value (non scaled)</t>
  </si>
  <si>
    <t>Total</t>
  </si>
  <si>
    <t>Sewer collapses</t>
  </si>
  <si>
    <t>no shortfall applied</t>
  </si>
  <si>
    <t>Pollution Incidents</t>
  </si>
  <si>
    <t>Flooding other causes</t>
  </si>
  <si>
    <t>Flooding overloaded sewers</t>
  </si>
  <si>
    <t>Sewer Blockages</t>
  </si>
  <si>
    <t>Equipment failures</t>
  </si>
  <si>
    <t>Sewerage Non-infrastructure</t>
  </si>
  <si>
    <t xml:space="preserve">Step V: Shortfall values
pre-efficiency; where shortfall is applied
(£m) </t>
  </si>
  <si>
    <t>% of sewage treatment works discharges failing numeric consents</t>
  </si>
  <si>
    <t>% of total p.e. served by sewage treatment works in breach of WRA or UWWTD consent (LUT)</t>
  </si>
  <si>
    <t>Unplanned non-infrastructure maintenance</t>
  </si>
  <si>
    <t>Water infrastructure</t>
  </si>
  <si>
    <t>ANH FD09 efficiency</t>
  </si>
  <si>
    <t>2011-12</t>
  </si>
  <si>
    <t>2012-13</t>
  </si>
  <si>
    <t>2013-14</t>
  </si>
  <si>
    <t>2014-15</t>
  </si>
  <si>
    <t>Number of burst mains</t>
  </si>
  <si>
    <t>DG3 unplanned interruption to supply exceeding 12 hours</t>
  </si>
  <si>
    <t>apply shortfall</t>
  </si>
  <si>
    <t>Iron non-compliance (as 100-Mean Zonal Compliance) (%)</t>
  </si>
  <si>
    <t>DG2 Properties at risk of receiving low pressure</t>
  </si>
  <si>
    <t>Customer contacts per 1,000 population supplied – discolouration (orange/brown/black)</t>
  </si>
  <si>
    <t>Distribution index TIM</t>
  </si>
  <si>
    <t>Water Non-infrastructure</t>
  </si>
  <si>
    <t>Water treatment works coliform non-compliance (% samples failing for coliforms leaving WTW)</t>
  </si>
  <si>
    <t>Service reservoir coliform non-compliance (% service reservoirs having more than 5% of coliform samples failing)</t>
  </si>
  <si>
    <t>Number of WTW where turbidity 95%ile greater than or equal to 0.5NTU</t>
  </si>
  <si>
    <t>Enforcement actions considered for microbiological standards</t>
  </si>
  <si>
    <t>Undertaken by:</t>
  </si>
  <si>
    <t>Date:</t>
  </si>
  <si>
    <t>Ambrat Virwani</t>
  </si>
  <si>
    <t>Checked by</t>
  </si>
  <si>
    <t>Salim Lorgat</t>
  </si>
  <si>
    <t>Signed off</t>
  </si>
  <si>
    <t>Jeremy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</si>
</sst>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%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2" applyFill="1"/>
    <xf numFmtId="0" fontId="3" fillId="2" borderId="1" xfId="2" applyFont="1" applyFill="1" applyBorder="1" applyAlignment="1">
      <alignment wrapText="1"/>
    </xf>
    <xf numFmtId="0" fontId="3" fillId="2" borderId="0" xfId="2" applyFont="1" applyFill="1" applyBorder="1" applyAlignment="1">
      <alignment wrapText="1"/>
    </xf>
    <xf numFmtId="0" fontId="2" fillId="2" borderId="0" xfId="2" applyFill="1"/>
    <xf numFmtId="0" fontId="0" fillId="0" borderId="0" xfId="0" applyFill="1" applyBorder="1"/>
    <xf numFmtId="0" fontId="0" fillId="0" borderId="0" xfId="0" applyBorder="1"/>
    <xf numFmtId="0" fontId="2" fillId="0" borderId="6" xfId="2" applyFont="1" applyFill="1" applyBorder="1" applyAlignment="1">
      <alignment wrapText="1"/>
    </xf>
    <xf numFmtId="0" fontId="2" fillId="0" borderId="7" xfId="2" applyFont="1" applyFill="1" applyBorder="1" applyAlignment="1">
      <alignment wrapText="1"/>
    </xf>
    <xf numFmtId="0" fontId="2" fillId="0" borderId="8" xfId="2" applyFont="1" applyFill="1" applyBorder="1" applyAlignment="1">
      <alignment wrapText="1"/>
    </xf>
    <xf numFmtId="0" fontId="2" fillId="0" borderId="10" xfId="2" applyFont="1" applyFill="1" applyBorder="1" applyAlignment="1">
      <alignment wrapText="1"/>
    </xf>
    <xf numFmtId="0" fontId="2" fillId="0" borderId="11" xfId="2" applyFont="1" applyFill="1" applyBorder="1" applyAlignment="1">
      <alignment wrapText="1"/>
    </xf>
    <xf numFmtId="0" fontId="3" fillId="0" borderId="0" xfId="2" applyFont="1" applyFill="1" applyAlignment="1">
      <alignment horizontal="left"/>
    </xf>
    <xf numFmtId="164" fontId="2" fillId="0" borderId="12" xfId="0" applyNumberFormat="1" applyFont="1" applyBorder="1"/>
    <xf numFmtId="164" fontId="2" fillId="0" borderId="12" xfId="2" applyNumberFormat="1" applyFont="1" applyFill="1" applyBorder="1"/>
    <xf numFmtId="164" fontId="2" fillId="0" borderId="13" xfId="2" applyNumberFormat="1" applyFont="1" applyFill="1" applyBorder="1"/>
    <xf numFmtId="0" fontId="2" fillId="0" borderId="12" xfId="2" applyFont="1" applyFill="1" applyBorder="1"/>
    <xf numFmtId="0" fontId="2" fillId="0" borderId="14" xfId="2" applyFont="1" applyFill="1" applyBorder="1"/>
    <xf numFmtId="164" fontId="0" fillId="0" borderId="0" xfId="0" applyNumberFormat="1" applyBorder="1"/>
    <xf numFmtId="0" fontId="2" fillId="0" borderId="0" xfId="2" applyFont="1" applyFill="1"/>
    <xf numFmtId="0" fontId="4" fillId="0" borderId="0" xfId="3" applyFont="1" applyFill="1" applyBorder="1" applyAlignment="1">
      <alignment horizontal="center" vertical="top" wrapText="1"/>
    </xf>
    <xf numFmtId="0" fontId="2" fillId="0" borderId="0" xfId="2" applyFont="1" applyFill="1" applyBorder="1"/>
    <xf numFmtId="0" fontId="2" fillId="0" borderId="26" xfId="2" applyFont="1" applyFill="1" applyBorder="1"/>
    <xf numFmtId="0" fontId="5" fillId="0" borderId="27" xfId="3" applyFont="1" applyFill="1" applyBorder="1" applyAlignment="1">
      <alignment wrapText="1"/>
    </xf>
    <xf numFmtId="0" fontId="5" fillId="0" borderId="27" xfId="3" applyFont="1" applyFill="1" applyBorder="1"/>
    <xf numFmtId="0" fontId="5" fillId="0" borderId="28" xfId="3" applyFont="1" applyFill="1" applyBorder="1"/>
    <xf numFmtId="0" fontId="4" fillId="0" borderId="26" xfId="3" applyFont="1" applyFill="1" applyBorder="1"/>
    <xf numFmtId="0" fontId="4" fillId="0" borderId="27" xfId="3" applyFont="1" applyFill="1" applyBorder="1"/>
    <xf numFmtId="0" fontId="4" fillId="0" borderId="27" xfId="3" applyFont="1" applyFill="1" applyBorder="1" applyAlignment="1">
      <alignment wrapText="1"/>
    </xf>
    <xf numFmtId="0" fontId="4" fillId="0" borderId="28" xfId="3" applyFont="1" applyFill="1" applyBorder="1"/>
    <xf numFmtId="164" fontId="2" fillId="0" borderId="26" xfId="2" applyNumberFormat="1" applyFont="1" applyFill="1" applyBorder="1" applyAlignment="1">
      <alignment wrapText="1"/>
    </xf>
    <xf numFmtId="164" fontId="2" fillId="0" borderId="27" xfId="2" applyNumberFormat="1" applyFont="1" applyFill="1" applyBorder="1"/>
    <xf numFmtId="164" fontId="2" fillId="0" borderId="28" xfId="2" applyNumberFormat="1" applyFont="1" applyFill="1" applyBorder="1"/>
    <xf numFmtId="0" fontId="5" fillId="0" borderId="26" xfId="3" applyFont="1" applyFill="1" applyBorder="1" applyAlignment="1">
      <alignment wrapText="1"/>
    </xf>
    <xf numFmtId="0" fontId="5" fillId="0" borderId="0" xfId="3" applyFont="1" applyFill="1" applyBorder="1"/>
    <xf numFmtId="0" fontId="5" fillId="0" borderId="35" xfId="3" applyFont="1" applyFill="1" applyBorder="1" applyAlignment="1">
      <alignment wrapText="1"/>
    </xf>
    <xf numFmtId="0" fontId="5" fillId="0" borderId="36" xfId="3" applyFont="1" applyFill="1" applyBorder="1"/>
    <xf numFmtId="0" fontId="5" fillId="0" borderId="37" xfId="3" applyFont="1" applyFill="1" applyBorder="1"/>
    <xf numFmtId="1" fontId="2" fillId="0" borderId="27" xfId="2" applyNumberFormat="1" applyFont="1" applyFill="1" applyBorder="1"/>
    <xf numFmtId="1" fontId="2" fillId="0" borderId="28" xfId="2" applyNumberFormat="1" applyFont="1" applyFill="1" applyBorder="1"/>
    <xf numFmtId="164" fontId="2" fillId="0" borderId="26" xfId="3" applyNumberFormat="1" applyFont="1" applyFill="1" applyBorder="1"/>
    <xf numFmtId="164" fontId="2" fillId="0" borderId="27" xfId="3" applyNumberFormat="1" applyFont="1" applyFill="1" applyBorder="1"/>
    <xf numFmtId="164" fontId="6" fillId="0" borderId="27" xfId="3" applyNumberFormat="1" applyFont="1" applyFill="1" applyBorder="1"/>
    <xf numFmtId="164" fontId="6" fillId="0" borderId="28" xfId="3" applyNumberFormat="1" applyFont="1" applyFill="1" applyBorder="1"/>
    <xf numFmtId="2" fontId="2" fillId="0" borderId="26" xfId="3" applyNumberFormat="1" applyFont="1" applyFill="1" applyBorder="1"/>
    <xf numFmtId="2" fontId="2" fillId="0" borderId="27" xfId="3" applyNumberFormat="1" applyFont="1" applyFill="1" applyBorder="1"/>
    <xf numFmtId="2" fontId="2" fillId="0" borderId="28" xfId="3" applyNumberFormat="1" applyFont="1" applyFill="1" applyBorder="1"/>
    <xf numFmtId="164" fontId="6" fillId="0" borderId="26" xfId="3" applyNumberFormat="1" applyFont="1" applyFill="1" applyBorder="1"/>
    <xf numFmtId="164" fontId="2" fillId="0" borderId="0" xfId="2" applyNumberFormat="1" applyFont="1" applyFill="1" applyBorder="1"/>
    <xf numFmtId="164" fontId="6" fillId="0" borderId="23" xfId="3" applyNumberFormat="1" applyFont="1" applyFill="1" applyBorder="1"/>
    <xf numFmtId="165" fontId="7" fillId="0" borderId="26" xfId="0" applyNumberFormat="1" applyFont="1" applyFill="1" applyBorder="1"/>
    <xf numFmtId="165" fontId="7" fillId="0" borderId="27" xfId="0" applyNumberFormat="1" applyFont="1" applyFill="1" applyBorder="1"/>
    <xf numFmtId="165" fontId="2" fillId="0" borderId="28" xfId="2" applyNumberFormat="1" applyFont="1" applyFill="1" applyBorder="1"/>
    <xf numFmtId="164" fontId="2" fillId="0" borderId="0" xfId="2" applyNumberFormat="1" applyFill="1" applyBorder="1"/>
    <xf numFmtId="0" fontId="2" fillId="0" borderId="6" xfId="2" applyFill="1" applyBorder="1"/>
    <xf numFmtId="0" fontId="2" fillId="0" borderId="7" xfId="2" applyFill="1" applyBorder="1"/>
    <xf numFmtId="164" fontId="2" fillId="0" borderId="11" xfId="2" applyNumberFormat="1" applyFill="1" applyBorder="1"/>
    <xf numFmtId="165" fontId="2" fillId="0" borderId="26" xfId="2" applyNumberFormat="1" applyFill="1" applyBorder="1"/>
    <xf numFmtId="165" fontId="2" fillId="0" borderId="27" xfId="2" applyNumberFormat="1" applyFill="1" applyBorder="1"/>
    <xf numFmtId="165" fontId="2" fillId="0" borderId="28" xfId="2" applyNumberFormat="1" applyFill="1" applyBorder="1"/>
    <xf numFmtId="0" fontId="8" fillId="0" borderId="0" xfId="2" applyFont="1" applyFill="1"/>
    <xf numFmtId="165" fontId="2" fillId="0" borderId="26" xfId="2" applyNumberFormat="1" applyFont="1" applyFill="1" applyBorder="1"/>
    <xf numFmtId="165" fontId="2" fillId="0" borderId="27" xfId="2" applyNumberFormat="1" applyFont="1" applyFill="1" applyBorder="1"/>
    <xf numFmtId="165" fontId="7" fillId="0" borderId="21" xfId="0" applyNumberFormat="1" applyFont="1" applyFill="1" applyBorder="1"/>
    <xf numFmtId="165" fontId="7" fillId="0" borderId="23" xfId="0" applyNumberFormat="1" applyFont="1" applyFill="1" applyBorder="1"/>
    <xf numFmtId="0" fontId="2" fillId="0" borderId="38" xfId="2" applyFont="1" applyFill="1" applyBorder="1"/>
    <xf numFmtId="1" fontId="2" fillId="0" borderId="12" xfId="2" applyNumberFormat="1" applyFont="1" applyFill="1" applyBorder="1"/>
    <xf numFmtId="3" fontId="2" fillId="0" borderId="14" xfId="2" applyNumberFormat="1" applyFont="1" applyFill="1" applyBorder="1"/>
    <xf numFmtId="164" fontId="2" fillId="0" borderId="38" xfId="3" applyNumberFormat="1" applyFont="1" applyFill="1" applyBorder="1"/>
    <xf numFmtId="164" fontId="2" fillId="0" borderId="12" xfId="3" applyNumberFormat="1" applyFont="1" applyFill="1" applyBorder="1"/>
    <xf numFmtId="164" fontId="6" fillId="0" borderId="12" xfId="3" applyNumberFormat="1" applyFont="1" applyFill="1" applyBorder="1"/>
    <xf numFmtId="164" fontId="6" fillId="0" borderId="14" xfId="3" applyNumberFormat="1" applyFont="1" applyFill="1" applyBorder="1"/>
    <xf numFmtId="2" fontId="2" fillId="0" borderId="38" xfId="3" applyNumberFormat="1" applyFont="1" applyFill="1" applyBorder="1"/>
    <xf numFmtId="2" fontId="2" fillId="0" borderId="12" xfId="3" applyNumberFormat="1" applyFont="1" applyFill="1" applyBorder="1"/>
    <xf numFmtId="2" fontId="2" fillId="0" borderId="14" xfId="3" applyNumberFormat="1" applyFont="1" applyFill="1" applyBorder="1"/>
    <xf numFmtId="164" fontId="6" fillId="0" borderId="35" xfId="3" applyNumberFormat="1" applyFont="1" applyFill="1" applyBorder="1"/>
    <xf numFmtId="164" fontId="6" fillId="0" borderId="36" xfId="3" applyNumberFormat="1" applyFont="1" applyFill="1" applyBorder="1"/>
    <xf numFmtId="164" fontId="2" fillId="0" borderId="37" xfId="2" applyNumberFormat="1" applyFont="1" applyFill="1" applyBorder="1"/>
    <xf numFmtId="164" fontId="6" fillId="0" borderId="38" xfId="3" applyNumberFormat="1" applyFont="1" applyFill="1" applyBorder="1"/>
    <xf numFmtId="164" fontId="6" fillId="0" borderId="39" xfId="3" applyNumberFormat="1" applyFont="1" applyFill="1" applyBorder="1"/>
    <xf numFmtId="165" fontId="7" fillId="0" borderId="35" xfId="0" applyNumberFormat="1" applyFont="1" applyFill="1" applyBorder="1"/>
    <xf numFmtId="165" fontId="7" fillId="0" borderId="36" xfId="0" applyNumberFormat="1" applyFont="1" applyFill="1" applyBorder="1"/>
    <xf numFmtId="165" fontId="2" fillId="0" borderId="37" xfId="2" applyNumberFormat="1" applyFont="1" applyFill="1" applyBorder="1"/>
    <xf numFmtId="165" fontId="2" fillId="0" borderId="38" xfId="2" applyNumberFormat="1" applyFont="1" applyFill="1" applyBorder="1"/>
    <xf numFmtId="165" fontId="2" fillId="0" borderId="12" xfId="2" applyNumberFormat="1" applyFont="1" applyFill="1" applyBorder="1"/>
    <xf numFmtId="165" fontId="2" fillId="0" borderId="14" xfId="2" applyNumberFormat="1" applyFont="1" applyFill="1" applyBorder="1"/>
    <xf numFmtId="164" fontId="2" fillId="0" borderId="40" xfId="3" applyNumberFormat="1" applyFont="1" applyFill="1" applyBorder="1"/>
    <xf numFmtId="164" fontId="2" fillId="0" borderId="41" xfId="3" applyNumberFormat="1" applyFont="1" applyFill="1" applyBorder="1"/>
    <xf numFmtId="164" fontId="2" fillId="0" borderId="42" xfId="3" applyNumberFormat="1" applyFont="1" applyFill="1" applyBorder="1"/>
    <xf numFmtId="164" fontId="2" fillId="0" borderId="0" xfId="3" applyNumberFormat="1" applyFont="1" applyFill="1" applyBorder="1"/>
    <xf numFmtId="164" fontId="2" fillId="0" borderId="42" xfId="2" applyNumberFormat="1" applyFont="1" applyFill="1" applyBorder="1"/>
    <xf numFmtId="165" fontId="2" fillId="0" borderId="40" xfId="2" applyNumberFormat="1" applyFont="1" applyFill="1" applyBorder="1"/>
    <xf numFmtId="165" fontId="2" fillId="0" borderId="41" xfId="2" applyNumberFormat="1" applyFont="1" applyFill="1" applyBorder="1"/>
    <xf numFmtId="165" fontId="2" fillId="0" borderId="42" xfId="2" applyNumberFormat="1" applyFont="1" applyFill="1" applyBorder="1"/>
    <xf numFmtId="165" fontId="2" fillId="0" borderId="0" xfId="2" applyNumberFormat="1" applyFont="1" applyFill="1" applyBorder="1"/>
    <xf numFmtId="164" fontId="2" fillId="2" borderId="0" xfId="2" applyNumberFormat="1" applyFill="1" applyBorder="1"/>
    <xf numFmtId="0" fontId="2" fillId="0" borderId="0" xfId="2" applyFont="1" applyFill="1" applyBorder="1" applyAlignment="1">
      <alignment wrapText="1"/>
    </xf>
    <xf numFmtId="166" fontId="0" fillId="0" borderId="0" xfId="1" applyNumberFormat="1" applyFont="1"/>
    <xf numFmtId="0" fontId="2" fillId="0" borderId="0" xfId="2" applyFill="1" applyBorder="1"/>
    <xf numFmtId="0" fontId="9" fillId="0" borderId="0" xfId="2" applyFont="1" applyFill="1" applyBorder="1" applyAlignment="1">
      <alignment wrapText="1"/>
    </xf>
    <xf numFmtId="165" fontId="2" fillId="0" borderId="0" xfId="2" applyNumberFormat="1" applyFill="1"/>
    <xf numFmtId="0" fontId="2" fillId="0" borderId="6" xfId="2" applyFont="1" applyFill="1" applyBorder="1"/>
    <xf numFmtId="0" fontId="5" fillId="0" borderId="7" xfId="3" applyFont="1" applyFill="1" applyBorder="1" applyAlignment="1">
      <alignment wrapText="1"/>
    </xf>
    <xf numFmtId="0" fontId="5" fillId="0" borderId="7" xfId="3" applyFont="1" applyFill="1" applyBorder="1"/>
    <xf numFmtId="0" fontId="5" fillId="0" borderId="11" xfId="3" applyFont="1" applyFill="1" applyBorder="1"/>
    <xf numFmtId="0" fontId="5" fillId="0" borderId="6" xfId="3" applyFont="1" applyFill="1" applyBorder="1" applyAlignment="1">
      <alignment wrapText="1"/>
    </xf>
    <xf numFmtId="0" fontId="5" fillId="0" borderId="6" xfId="3" applyFont="1" applyFill="1" applyBorder="1"/>
    <xf numFmtId="0" fontId="7" fillId="0" borderId="26" xfId="2" applyFont="1" applyFill="1" applyBorder="1" applyAlignment="1">
      <alignment wrapText="1"/>
    </xf>
    <xf numFmtId="2" fontId="2" fillId="0" borderId="27" xfId="2" applyNumberFormat="1" applyFont="1" applyFill="1" applyBorder="1"/>
    <xf numFmtId="2" fontId="2" fillId="0" borderId="27" xfId="2" applyNumberFormat="1" applyFont="1" applyBorder="1"/>
    <xf numFmtId="2" fontId="2" fillId="0" borderId="28" xfId="2" applyNumberFormat="1" applyBorder="1"/>
    <xf numFmtId="164" fontId="2" fillId="0" borderId="28" xfId="3" applyNumberFormat="1" applyFont="1" applyFill="1" applyBorder="1"/>
    <xf numFmtId="164" fontId="2" fillId="0" borderId="0" xfId="2" applyNumberFormat="1" applyFill="1"/>
    <xf numFmtId="165" fontId="2" fillId="0" borderId="0" xfId="2" applyNumberFormat="1" applyFill="1" applyBorder="1"/>
    <xf numFmtId="0" fontId="7" fillId="0" borderId="38" xfId="2" applyFont="1" applyFill="1" applyBorder="1" applyAlignment="1">
      <alignment wrapText="1"/>
    </xf>
    <xf numFmtId="1" fontId="2" fillId="0" borderId="14" xfId="2" applyNumberFormat="1" applyFont="1" applyFill="1" applyBorder="1"/>
    <xf numFmtId="164" fontId="2" fillId="0" borderId="14" xfId="3" applyNumberFormat="1" applyFont="1" applyFill="1" applyBorder="1"/>
    <xf numFmtId="164" fontId="6" fillId="0" borderId="43" xfId="3" applyNumberFormat="1" applyFont="1" applyFill="1" applyBorder="1"/>
    <xf numFmtId="164" fontId="2" fillId="0" borderId="43" xfId="3" applyNumberFormat="1" applyFont="1" applyFill="1" applyBorder="1"/>
    <xf numFmtId="164" fontId="2" fillId="0" borderId="44" xfId="3" applyNumberFormat="1" applyFont="1" applyFill="1" applyBorder="1"/>
    <xf numFmtId="164" fontId="2" fillId="0" borderId="0" xfId="2" applyNumberFormat="1" applyFont="1" applyFill="1"/>
    <xf numFmtId="0" fontId="2" fillId="2" borderId="0" xfId="2" applyFill="1" applyBorder="1"/>
    <xf numFmtId="0" fontId="2" fillId="4" borderId="27" xfId="0" applyFont="1" applyFill="1" applyBorder="1" applyAlignment="1">
      <alignment horizontal="center"/>
    </xf>
    <xf numFmtId="10" fontId="2" fillId="3" borderId="27" xfId="1" applyNumberFormat="1" applyFont="1" applyFill="1" applyBorder="1"/>
    <xf numFmtId="0" fontId="4" fillId="0" borderId="0" xfId="2" applyFont="1" applyFill="1"/>
    <xf numFmtId="0" fontId="4" fillId="0" borderId="0" xfId="3" applyFont="1" applyFill="1"/>
    <xf numFmtId="0" fontId="4" fillId="0" borderId="0" xfId="3" applyFont="1" applyFill="1" applyBorder="1" applyAlignment="1">
      <alignment horizontal="left" vertical="top" wrapText="1"/>
    </xf>
    <xf numFmtId="164" fontId="2" fillId="0" borderId="26" xfId="2" applyNumberFormat="1" applyFill="1" applyBorder="1"/>
    <xf numFmtId="164" fontId="2" fillId="0" borderId="27" xfId="2" applyNumberFormat="1" applyFill="1" applyBorder="1"/>
    <xf numFmtId="164" fontId="2" fillId="0" borderId="28" xfId="2" applyNumberFormat="1" applyFill="1" applyBorder="1"/>
    <xf numFmtId="2" fontId="2" fillId="5" borderId="23" xfId="3" applyNumberFormat="1" applyFont="1" applyFill="1" applyBorder="1"/>
    <xf numFmtId="164" fontId="2" fillId="0" borderId="26" xfId="2" applyNumberFormat="1" applyFont="1" applyFill="1" applyBorder="1"/>
    <xf numFmtId="164" fontId="4" fillId="0" borderId="0" xfId="2" applyNumberFormat="1" applyFont="1" applyFill="1" applyBorder="1"/>
    <xf numFmtId="164" fontId="2" fillId="0" borderId="21" xfId="2" applyNumberFormat="1" applyFill="1" applyBorder="1"/>
    <xf numFmtId="2" fontId="2" fillId="0" borderId="28" xfId="2" applyNumberFormat="1" applyFont="1" applyFill="1" applyBorder="1"/>
    <xf numFmtId="165" fontId="2" fillId="0" borderId="21" xfId="2" applyNumberFormat="1" applyFill="1" applyBorder="1"/>
    <xf numFmtId="2" fontId="2" fillId="0" borderId="12" xfId="2" applyNumberFormat="1" applyFont="1" applyFill="1" applyBorder="1"/>
    <xf numFmtId="2" fontId="2" fillId="0" borderId="14" xfId="2" applyNumberFormat="1" applyFont="1" applyFill="1" applyBorder="1"/>
    <xf numFmtId="165" fontId="2" fillId="0" borderId="35" xfId="2" applyNumberFormat="1" applyFill="1" applyBorder="1"/>
    <xf numFmtId="165" fontId="2" fillId="0" borderId="36" xfId="2" applyNumberFormat="1" applyFill="1" applyBorder="1"/>
    <xf numFmtId="165" fontId="2" fillId="0" borderId="38" xfId="2" applyNumberFormat="1" applyFill="1" applyBorder="1"/>
    <xf numFmtId="165" fontId="2" fillId="0" borderId="12" xfId="2" applyNumberFormat="1" applyFill="1" applyBorder="1"/>
    <xf numFmtId="165" fontId="2" fillId="0" borderId="14" xfId="2" applyNumberFormat="1" applyFill="1" applyBorder="1"/>
    <xf numFmtId="164" fontId="2" fillId="0" borderId="40" xfId="2" applyNumberFormat="1" applyFont="1" applyFill="1" applyBorder="1"/>
    <xf numFmtId="164" fontId="2" fillId="0" borderId="41" xfId="2" applyNumberFormat="1" applyFont="1" applyFill="1" applyBorder="1"/>
    <xf numFmtId="164" fontId="2" fillId="0" borderId="40" xfId="2" applyNumberFormat="1" applyFill="1" applyBorder="1"/>
    <xf numFmtId="164" fontId="2" fillId="0" borderId="41" xfId="2" applyNumberFormat="1" applyFill="1" applyBorder="1"/>
    <xf numFmtId="164" fontId="2" fillId="0" borderId="42" xfId="2" applyNumberFormat="1" applyFill="1" applyBorder="1"/>
    <xf numFmtId="0" fontId="5" fillId="0" borderId="8" xfId="3" applyFont="1" applyFill="1" applyBorder="1"/>
    <xf numFmtId="165" fontId="2" fillId="0" borderId="35" xfId="2" applyNumberFormat="1" applyFont="1" applyFill="1" applyBorder="1"/>
    <xf numFmtId="165" fontId="2" fillId="0" borderId="36" xfId="2" applyNumberFormat="1" applyFont="1" applyFill="1" applyBorder="1"/>
    <xf numFmtId="165" fontId="2" fillId="0" borderId="40" xfId="2" applyNumberFormat="1" applyFill="1" applyBorder="1"/>
    <xf numFmtId="165" fontId="2" fillId="0" borderId="41" xfId="2" applyNumberFormat="1" applyFill="1" applyBorder="1"/>
    <xf numFmtId="0" fontId="6" fillId="0" borderId="27" xfId="3" applyFont="1" applyFill="1" applyBorder="1"/>
    <xf numFmtId="0" fontId="2" fillId="0" borderId="27" xfId="0" applyFont="1" applyFill="1" applyBorder="1"/>
    <xf numFmtId="14" fontId="2" fillId="0" borderId="27" xfId="0" applyNumberFormat="1" applyFont="1" applyFill="1" applyBorder="1"/>
    <xf numFmtId="166" fontId="10" fillId="0" borderId="0" xfId="4" applyNumberFormat="1" applyFont="1"/>
    <xf numFmtId="0" fontId="4" fillId="0" borderId="18" xfId="3" applyFont="1" applyFill="1" applyBorder="1" applyAlignment="1">
      <alignment horizontal="center" vertical="top" wrapText="1"/>
    </xf>
    <xf numFmtId="0" fontId="4" fillId="0" borderId="19" xfId="3" applyFont="1" applyFill="1" applyBorder="1" applyAlignment="1">
      <alignment horizontal="center" vertical="top" wrapText="1"/>
    </xf>
    <xf numFmtId="0" fontId="4" fillId="0" borderId="20" xfId="3" applyFont="1" applyFill="1" applyBorder="1" applyAlignment="1">
      <alignment horizontal="center" vertical="top" wrapText="1"/>
    </xf>
    <xf numFmtId="0" fontId="4" fillId="0" borderId="32" xfId="3" applyFont="1" applyFill="1" applyBorder="1" applyAlignment="1">
      <alignment horizontal="center" vertical="top" wrapText="1"/>
    </xf>
    <xf numFmtId="0" fontId="4" fillId="0" borderId="33" xfId="3" applyFont="1" applyFill="1" applyBorder="1" applyAlignment="1">
      <alignment horizontal="center" vertical="top" wrapText="1"/>
    </xf>
    <xf numFmtId="0" fontId="4" fillId="0" borderId="34" xfId="3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left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wrapText="1"/>
    </xf>
    <xf numFmtId="0" fontId="2" fillId="0" borderId="9" xfId="2" applyFont="1" applyFill="1" applyBorder="1" applyAlignment="1">
      <alignment horizontal="center" wrapText="1"/>
    </xf>
    <xf numFmtId="0" fontId="2" fillId="0" borderId="3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0" fontId="4" fillId="0" borderId="15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left"/>
    </xf>
    <xf numFmtId="0" fontId="4" fillId="0" borderId="17" xfId="2" applyFont="1" applyFill="1" applyBorder="1" applyAlignment="1">
      <alignment horizontal="left"/>
    </xf>
    <xf numFmtId="0" fontId="4" fillId="0" borderId="15" xfId="3" applyFont="1" applyFill="1" applyBorder="1" applyAlignment="1">
      <alignment horizontal="center"/>
    </xf>
    <xf numFmtId="0" fontId="4" fillId="0" borderId="16" xfId="3" applyFont="1" applyFill="1" applyBorder="1" applyAlignment="1">
      <alignment horizontal="center"/>
    </xf>
    <xf numFmtId="0" fontId="4" fillId="0" borderId="17" xfId="3" applyFont="1" applyFill="1" applyBorder="1" applyAlignment="1">
      <alignment horizontal="center"/>
    </xf>
    <xf numFmtId="0" fontId="2" fillId="0" borderId="21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center"/>
    </xf>
    <xf numFmtId="0" fontId="2" fillId="0" borderId="23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horizontal="left" wrapText="1"/>
    </xf>
    <xf numFmtId="0" fontId="2" fillId="0" borderId="18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0" fontId="2" fillId="0" borderId="2" xfId="2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4" fillId="0" borderId="29" xfId="3" applyFont="1" applyFill="1" applyBorder="1" applyAlignment="1">
      <alignment horizontal="center" vertical="top" wrapText="1"/>
    </xf>
    <xf numFmtId="0" fontId="4" fillId="0" borderId="30" xfId="3" applyFont="1" applyFill="1" applyBorder="1" applyAlignment="1">
      <alignment horizontal="center" vertical="top" wrapText="1"/>
    </xf>
    <xf numFmtId="0" fontId="4" fillId="0" borderId="31" xfId="3" applyFont="1" applyFill="1" applyBorder="1" applyAlignment="1">
      <alignment horizontal="center" vertical="top" wrapText="1"/>
    </xf>
    <xf numFmtId="0" fontId="2" fillId="3" borderId="24" xfId="2" applyFill="1" applyBorder="1" applyAlignment="1">
      <alignment horizontal="center"/>
    </xf>
    <xf numFmtId="0" fontId="2" fillId="3" borderId="22" xfId="2" applyFill="1" applyBorder="1" applyAlignment="1">
      <alignment horizontal="center"/>
    </xf>
    <xf numFmtId="0" fontId="2" fillId="3" borderId="23" xfId="2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 vertical="top" wrapText="1"/>
    </xf>
  </cellXfs>
  <cellStyles count="5">
    <cellStyle name="Bold text" xfId="3"/>
    <cellStyle name="Normal" xfId="0" builtinId="0"/>
    <cellStyle name="Normal 2" xfId="2"/>
    <cellStyle name="Percent" xfId="1" builtinId="5"/>
    <cellStyle name="Percent 3" xfId="4"/>
  </cellStyles>
  <dxfs count="2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7"/>
  <sheetViews>
    <sheetView tabSelected="1" zoomScale="80" zoomScaleNormal="80" workbookViewId="0">
      <selection sqref="A1:I1"/>
    </sheetView>
  </sheetViews>
  <sheetFormatPr defaultColWidth="7.69921875" defaultRowHeight="13.2" x14ac:dyDescent="0.25"/>
  <cols>
    <col min="1" max="1" width="25.796875" style="1" bestFit="1" customWidth="1"/>
    <col min="2" max="2" width="16.69921875" style="1" bestFit="1" customWidth="1"/>
    <col min="3" max="4" width="9.09765625" style="1" customWidth="1"/>
    <col min="5" max="5" width="17.796875" style="1" customWidth="1"/>
    <col min="6" max="6" width="10.19921875" style="1" customWidth="1"/>
    <col min="7" max="7" width="10.09765625" style="1" customWidth="1"/>
    <col min="8" max="8" width="1.5" style="1" customWidth="1"/>
    <col min="9" max="9" width="14.796875" style="1" customWidth="1"/>
    <col min="10" max="10" width="9.59765625" style="1" customWidth="1"/>
    <col min="11" max="11" width="9" style="1" customWidth="1"/>
    <col min="12" max="12" width="7.69921875" style="1"/>
    <col min="13" max="13" width="9" style="1" customWidth="1"/>
    <col min="14" max="14" width="1.5" style="1" customWidth="1"/>
    <col min="15" max="15" width="7.69921875" style="1"/>
    <col min="16" max="17" width="11" style="1" bestFit="1" customWidth="1"/>
    <col min="18" max="18" width="11.19921875" style="1" customWidth="1"/>
    <col min="19" max="19" width="1.5" style="1" customWidth="1"/>
    <col min="20" max="23" width="7.69921875" style="1"/>
    <col min="24" max="24" width="8.796875" style="1" customWidth="1"/>
    <col min="25" max="25" width="1.296875" style="1" customWidth="1"/>
    <col min="26" max="28" width="7.69921875" style="1"/>
    <col min="29" max="29" width="11.19921875" style="1" customWidth="1"/>
    <col min="30" max="30" width="13.796875" style="1" customWidth="1"/>
    <col min="31" max="31" width="1.5" style="1" customWidth="1"/>
    <col min="32" max="36" width="7.69921875" style="1"/>
    <col min="37" max="37" width="1.296875" style="1" customWidth="1"/>
    <col min="38" max="38" width="7.69921875" style="1" customWidth="1"/>
    <col min="39" max="42" width="7.69921875" style="1"/>
    <col min="43" max="43" width="1.5" style="1" customWidth="1"/>
    <col min="44" max="16384" width="7.69921875" style="1"/>
  </cols>
  <sheetData>
    <row r="1" spans="1:49" ht="15.6" x14ac:dyDescent="0.3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3" spans="1:49" ht="16.2" thickBot="1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/>
      <c r="AR3" s="4"/>
      <c r="AS3" s="4"/>
      <c r="AT3" s="4"/>
      <c r="AU3" s="4"/>
      <c r="AV3" s="4"/>
    </row>
    <row r="4" spans="1:49" ht="14.4" thickBot="1" x14ac:dyDescent="0.3">
      <c r="A4" s="164" t="s">
        <v>2</v>
      </c>
      <c r="B4" s="165"/>
      <c r="C4" s="165"/>
      <c r="D4" s="165"/>
      <c r="E4" s="166" t="s">
        <v>3</v>
      </c>
      <c r="F4" s="168" t="s">
        <v>4</v>
      </c>
      <c r="G4" s="169"/>
      <c r="I4" s="5"/>
      <c r="J4" s="6"/>
      <c r="K4" s="6"/>
      <c r="L4" s="6"/>
      <c r="M4" s="6"/>
    </row>
    <row r="5" spans="1:49" ht="28.5" customHeight="1" thickBot="1" x14ac:dyDescent="0.35">
      <c r="A5" s="7" t="s">
        <v>5</v>
      </c>
      <c r="B5" s="8" t="s">
        <v>6</v>
      </c>
      <c r="C5" s="8" t="s">
        <v>7</v>
      </c>
      <c r="D5" s="9" t="s">
        <v>8</v>
      </c>
      <c r="E5" s="167"/>
      <c r="F5" s="10" t="s">
        <v>9</v>
      </c>
      <c r="G5" s="11" t="s">
        <v>10</v>
      </c>
      <c r="H5" s="12"/>
      <c r="I5" s="6"/>
      <c r="J5" s="6"/>
      <c r="K5" s="6"/>
      <c r="L5" s="6"/>
      <c r="M5" s="6"/>
    </row>
    <row r="6" spans="1:49" ht="16.2" thickBot="1" x14ac:dyDescent="0.35">
      <c r="A6" s="13">
        <v>160.09326128760193</v>
      </c>
      <c r="B6" s="13">
        <v>0</v>
      </c>
      <c r="C6" s="14">
        <f ca="1">A6-B6</f>
        <v>160.09326128760193</v>
      </c>
      <c r="D6" s="14">
        <f ca="1">C6*G6/F6</f>
        <v>163.40156767539602</v>
      </c>
      <c r="E6" s="15">
        <f ca="1">D6*0.5</f>
        <v>81.700783837698012</v>
      </c>
      <c r="F6" s="16">
        <v>111.30000000000001</v>
      </c>
      <c r="G6" s="17">
        <v>113.6</v>
      </c>
      <c r="H6" s="12"/>
      <c r="I6" s="18"/>
      <c r="J6" s="18"/>
      <c r="K6" s="18"/>
      <c r="L6" s="18"/>
      <c r="M6" s="18"/>
    </row>
    <row r="7" spans="1:49" ht="13.8" thickBot="1" x14ac:dyDescent="0.3"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49" ht="12.75" customHeight="1" x14ac:dyDescent="0.25">
      <c r="A8" s="170" t="s">
        <v>11</v>
      </c>
      <c r="B8" s="171"/>
      <c r="C8" s="171"/>
      <c r="D8" s="171"/>
      <c r="E8" s="171"/>
      <c r="F8" s="171"/>
      <c r="G8" s="172"/>
      <c r="H8" s="19"/>
      <c r="I8" s="173" t="s">
        <v>12</v>
      </c>
      <c r="J8" s="174"/>
      <c r="K8" s="174"/>
      <c r="L8" s="174"/>
      <c r="M8" s="175"/>
      <c r="N8" s="19"/>
      <c r="O8" s="157" t="s">
        <v>13</v>
      </c>
      <c r="P8" s="158"/>
      <c r="Q8" s="158"/>
      <c r="R8" s="159"/>
      <c r="S8" s="19"/>
      <c r="T8" s="157" t="s">
        <v>14</v>
      </c>
      <c r="U8" s="158"/>
      <c r="V8" s="158"/>
      <c r="W8" s="158"/>
      <c r="X8" s="159"/>
      <c r="Y8" s="20"/>
      <c r="Z8" s="157" t="s">
        <v>15</v>
      </c>
      <c r="AA8" s="158"/>
      <c r="AB8" s="158"/>
      <c r="AC8" s="158"/>
      <c r="AD8" s="159"/>
      <c r="AF8" s="157" t="s">
        <v>16</v>
      </c>
      <c r="AG8" s="158"/>
      <c r="AH8" s="158"/>
      <c r="AI8" s="158"/>
      <c r="AJ8" s="159"/>
      <c r="AK8" s="20"/>
      <c r="AL8" s="157" t="s">
        <v>17</v>
      </c>
      <c r="AM8" s="158"/>
      <c r="AN8" s="158"/>
      <c r="AO8" s="158"/>
      <c r="AP8" s="159"/>
      <c r="AQ8" s="20"/>
      <c r="AR8" s="157" t="s">
        <v>18</v>
      </c>
      <c r="AS8" s="158"/>
      <c r="AT8" s="158"/>
      <c r="AU8" s="158"/>
      <c r="AV8" s="159"/>
    </row>
    <row r="9" spans="1:49" ht="42" customHeight="1" thickBot="1" x14ac:dyDescent="0.3">
      <c r="A9" s="176"/>
      <c r="B9" s="177"/>
      <c r="C9" s="178"/>
      <c r="D9" s="179" t="s">
        <v>19</v>
      </c>
      <c r="E9" s="180"/>
      <c r="F9" s="180"/>
      <c r="G9" s="181"/>
      <c r="H9" s="21"/>
      <c r="I9" s="22"/>
      <c r="J9" s="23" t="s">
        <v>20</v>
      </c>
      <c r="K9" s="24" t="s">
        <v>21</v>
      </c>
      <c r="L9" s="24" t="s">
        <v>22</v>
      </c>
      <c r="M9" s="25" t="s">
        <v>23</v>
      </c>
      <c r="N9" s="21"/>
      <c r="O9" s="190"/>
      <c r="P9" s="191"/>
      <c r="Q9" s="191"/>
      <c r="R9" s="192"/>
      <c r="S9" s="21"/>
      <c r="T9" s="190"/>
      <c r="U9" s="191"/>
      <c r="V9" s="191"/>
      <c r="W9" s="191"/>
      <c r="X9" s="192"/>
      <c r="Y9" s="21"/>
      <c r="Z9" s="190"/>
      <c r="AA9" s="191"/>
      <c r="AB9" s="191"/>
      <c r="AC9" s="191"/>
      <c r="AD9" s="192"/>
      <c r="AF9" s="190"/>
      <c r="AG9" s="191"/>
      <c r="AH9" s="191"/>
      <c r="AI9" s="191"/>
      <c r="AJ9" s="192"/>
      <c r="AK9" s="21"/>
      <c r="AL9" s="160"/>
      <c r="AM9" s="161"/>
      <c r="AN9" s="161"/>
      <c r="AO9" s="161"/>
      <c r="AP9" s="162"/>
      <c r="AQ9" s="21"/>
      <c r="AR9" s="160"/>
      <c r="AS9" s="161"/>
      <c r="AT9" s="161"/>
      <c r="AU9" s="161"/>
      <c r="AV9" s="162"/>
    </row>
    <row r="10" spans="1:49" ht="27" thickBot="1" x14ac:dyDescent="0.3">
      <c r="A10" s="26" t="s">
        <v>24</v>
      </c>
      <c r="B10" s="27" t="s">
        <v>25</v>
      </c>
      <c r="C10" s="27" t="s">
        <v>26</v>
      </c>
      <c r="D10" s="28" t="s">
        <v>20</v>
      </c>
      <c r="E10" s="27" t="s">
        <v>21</v>
      </c>
      <c r="F10" s="27" t="s">
        <v>22</v>
      </c>
      <c r="G10" s="29" t="s">
        <v>23</v>
      </c>
      <c r="H10" s="21"/>
      <c r="I10" s="30" t="s">
        <v>27</v>
      </c>
      <c r="J10" s="31">
        <f ca="1">$E$6/4</f>
        <v>20.425195959424503</v>
      </c>
      <c r="K10" s="31">
        <f ca="1">$E$6/4</f>
        <v>20.425195959424503</v>
      </c>
      <c r="L10" s="31">
        <f ca="1">$E$6/4</f>
        <v>20.425195959424503</v>
      </c>
      <c r="M10" s="32">
        <f ca="1">$E$6/4</f>
        <v>20.425195959424503</v>
      </c>
      <c r="N10" s="21"/>
      <c r="O10" s="33" t="s">
        <v>20</v>
      </c>
      <c r="P10" s="24" t="s">
        <v>21</v>
      </c>
      <c r="Q10" s="24" t="s">
        <v>22</v>
      </c>
      <c r="R10" s="25" t="s">
        <v>23</v>
      </c>
      <c r="S10" s="21"/>
      <c r="T10" s="33" t="s">
        <v>20</v>
      </c>
      <c r="U10" s="24" t="s">
        <v>21</v>
      </c>
      <c r="V10" s="24" t="s">
        <v>22</v>
      </c>
      <c r="W10" s="24" t="s">
        <v>23</v>
      </c>
      <c r="X10" s="25" t="s">
        <v>28</v>
      </c>
      <c r="Y10" s="34"/>
      <c r="Z10" s="33" t="s">
        <v>20</v>
      </c>
      <c r="AA10" s="24" t="s">
        <v>21</v>
      </c>
      <c r="AB10" s="24" t="s">
        <v>22</v>
      </c>
      <c r="AC10" s="24" t="s">
        <v>23</v>
      </c>
      <c r="AD10" s="25" t="s">
        <v>28</v>
      </c>
      <c r="AF10" s="35" t="s">
        <v>20</v>
      </c>
      <c r="AG10" s="36" t="s">
        <v>21</v>
      </c>
      <c r="AH10" s="36" t="s">
        <v>22</v>
      </c>
      <c r="AI10" s="36" t="s">
        <v>23</v>
      </c>
      <c r="AJ10" s="37" t="s">
        <v>28</v>
      </c>
      <c r="AK10" s="34"/>
      <c r="AL10" s="35" t="s">
        <v>20</v>
      </c>
      <c r="AM10" s="36" t="s">
        <v>21</v>
      </c>
      <c r="AN10" s="36" t="s">
        <v>22</v>
      </c>
      <c r="AO10" s="36" t="s">
        <v>23</v>
      </c>
      <c r="AP10" s="37" t="s">
        <v>28</v>
      </c>
      <c r="AQ10" s="34"/>
      <c r="AR10" s="35" t="s">
        <v>20</v>
      </c>
      <c r="AS10" s="36" t="s">
        <v>21</v>
      </c>
      <c r="AT10" s="36" t="s">
        <v>22</v>
      </c>
      <c r="AU10" s="36" t="s">
        <v>23</v>
      </c>
      <c r="AV10" s="37" t="s">
        <v>28</v>
      </c>
    </row>
    <row r="11" spans="1:49" x14ac:dyDescent="0.25">
      <c r="A11" s="22" t="s">
        <v>29</v>
      </c>
      <c r="B11" s="38">
        <v>420</v>
      </c>
      <c r="C11" s="38">
        <v>520</v>
      </c>
      <c r="D11" s="38">
        <v>387</v>
      </c>
      <c r="E11" s="38">
        <v>293</v>
      </c>
      <c r="F11" s="38">
        <v>276</v>
      </c>
      <c r="G11" s="39">
        <v>250</v>
      </c>
      <c r="H11" s="21"/>
      <c r="I11" s="40">
        <f t="shared" ref="I11:I16" ca="1" si="0">$E$6/6</f>
        <v>13.616797306283003</v>
      </c>
      <c r="J11" s="41">
        <f t="shared" ref="J11:M16" ca="1" si="1">J$10/6</f>
        <v>3.4041993265707506</v>
      </c>
      <c r="K11" s="42">
        <f t="shared" ca="1" si="1"/>
        <v>3.4041993265707506</v>
      </c>
      <c r="L11" s="42">
        <f t="shared" ca="1" si="1"/>
        <v>3.4041993265707506</v>
      </c>
      <c r="M11" s="43">
        <f t="shared" ca="1" si="1"/>
        <v>3.4041993265707506</v>
      </c>
      <c r="N11" s="21"/>
      <c r="O11" s="44">
        <f t="shared" ref="O11:R16" ca="1" si="2">((D11-$C11)/($C11-$B11))</f>
        <v>-1.33</v>
      </c>
      <c r="P11" s="45">
        <f t="shared" ca="1" si="2"/>
        <v>-2.27</v>
      </c>
      <c r="Q11" s="45">
        <f t="shared" ca="1" si="2"/>
        <v>-2.44</v>
      </c>
      <c r="R11" s="46">
        <f t="shared" ca="1" si="2"/>
        <v>-2.7</v>
      </c>
      <c r="S11" s="21"/>
      <c r="T11" s="47">
        <f t="shared" ref="T11:W16" ca="1" si="3">J11*O11</f>
        <v>-4.5275851043390984</v>
      </c>
      <c r="U11" s="42">
        <f t="shared" ca="1" si="3"/>
        <v>-7.7275324713156044</v>
      </c>
      <c r="V11" s="42">
        <f t="shared" ca="1" si="3"/>
        <v>-8.3062463568326308</v>
      </c>
      <c r="W11" s="42">
        <f t="shared" ca="1" si="3"/>
        <v>-9.1913381817410276</v>
      </c>
      <c r="X11" s="32">
        <f t="shared" ref="X11:X16" ca="1" si="4">SUMIF(T11:W11,"&gt;0")</f>
        <v>0</v>
      </c>
      <c r="Y11" s="48"/>
      <c r="Z11" s="47">
        <f ca="1">IF(T11&gt;0,T11,0)</f>
        <v>0</v>
      </c>
      <c r="AA11" s="42">
        <f t="shared" ref="AA11:AC16" ca="1" si="5">IF(U11&gt;0,U11,0)</f>
        <v>0</v>
      </c>
      <c r="AB11" s="49">
        <f t="shared" ca="1" si="5"/>
        <v>0</v>
      </c>
      <c r="AC11" s="49">
        <f t="shared" ca="1" si="5"/>
        <v>0</v>
      </c>
      <c r="AD11" s="32">
        <f ca="1">SUM(Z11:AC11)</f>
        <v>0</v>
      </c>
      <c r="AF11" s="50"/>
      <c r="AG11" s="51"/>
      <c r="AH11" s="51"/>
      <c r="AI11" s="51"/>
      <c r="AJ11" s="52"/>
      <c r="AK11" s="53"/>
      <c r="AL11" s="54"/>
      <c r="AM11" s="55"/>
      <c r="AN11" s="55"/>
      <c r="AO11" s="55"/>
      <c r="AP11" s="56"/>
      <c r="AQ11" s="53"/>
      <c r="AR11" s="54"/>
      <c r="AS11" s="55"/>
      <c r="AT11" s="55"/>
      <c r="AU11" s="55"/>
      <c r="AV11" s="56"/>
      <c r="AW11" s="19" t="s">
        <v>30</v>
      </c>
    </row>
    <row r="12" spans="1:49" x14ac:dyDescent="0.25">
      <c r="A12" s="22" t="s">
        <v>31</v>
      </c>
      <c r="B12" s="38">
        <v>140</v>
      </c>
      <c r="C12" s="38">
        <v>165</v>
      </c>
      <c r="D12" s="38">
        <v>214</v>
      </c>
      <c r="E12" s="38">
        <v>148</v>
      </c>
      <c r="F12" s="38">
        <v>137</v>
      </c>
      <c r="G12" s="39">
        <v>142</v>
      </c>
      <c r="H12" s="21"/>
      <c r="I12" s="40">
        <f t="shared" ca="1" si="0"/>
        <v>13.616797306283003</v>
      </c>
      <c r="J12" s="41">
        <f t="shared" ca="1" si="1"/>
        <v>3.4041993265707506</v>
      </c>
      <c r="K12" s="42">
        <f t="shared" ca="1" si="1"/>
        <v>3.4041993265707506</v>
      </c>
      <c r="L12" s="42">
        <f t="shared" ca="1" si="1"/>
        <v>3.4041993265707506</v>
      </c>
      <c r="M12" s="43">
        <f t="shared" ca="1" si="1"/>
        <v>3.4041993265707506</v>
      </c>
      <c r="N12" s="21"/>
      <c r="O12" s="44">
        <f t="shared" ca="1" si="2"/>
        <v>1.96</v>
      </c>
      <c r="P12" s="45">
        <f t="shared" ca="1" si="2"/>
        <v>-0.68</v>
      </c>
      <c r="Q12" s="45">
        <f t="shared" ca="1" si="2"/>
        <v>-1.1200000000000001</v>
      </c>
      <c r="R12" s="46">
        <f t="shared" ca="1" si="2"/>
        <v>-0.92</v>
      </c>
      <c r="S12" s="21"/>
      <c r="T12" s="47">
        <f t="shared" ca="1" si="3"/>
        <v>6.6722306800786715</v>
      </c>
      <c r="U12" s="42">
        <f t="shared" ca="1" si="3"/>
        <v>-2.3148555420681105</v>
      </c>
      <c r="V12" s="42">
        <f t="shared" ca="1" si="3"/>
        <v>-3.8127032457592409</v>
      </c>
      <c r="W12" s="42">
        <f t="shared" ca="1" si="3"/>
        <v>-3.1318633804450906</v>
      </c>
      <c r="X12" s="32">
        <f t="shared" ca="1" si="4"/>
        <v>6.6722306800786715</v>
      </c>
      <c r="Y12" s="48"/>
      <c r="Z12" s="47">
        <f ca="1">J12*1</f>
        <v>3.4041993265707506</v>
      </c>
      <c r="AA12" s="42">
        <f t="shared" ca="1" si="5"/>
        <v>0</v>
      </c>
      <c r="AB12" s="49">
        <f t="shared" ca="1" si="5"/>
        <v>0</v>
      </c>
      <c r="AC12" s="49">
        <f t="shared" ca="1" si="5"/>
        <v>0</v>
      </c>
      <c r="AD12" s="32">
        <f t="shared" ref="AD12:AD17" ca="1" si="6">SUM(Z12:AC12)</f>
        <v>3.4041993265707506</v>
      </c>
      <c r="AF12" s="50"/>
      <c r="AG12" s="51"/>
      <c r="AH12" s="51"/>
      <c r="AI12" s="51"/>
      <c r="AJ12" s="52"/>
      <c r="AK12" s="53"/>
      <c r="AL12" s="57"/>
      <c r="AM12" s="58"/>
      <c r="AN12" s="58"/>
      <c r="AO12" s="58"/>
      <c r="AP12" s="59"/>
      <c r="AQ12" s="60"/>
      <c r="AR12" s="57"/>
      <c r="AS12" s="58"/>
      <c r="AT12" s="58"/>
      <c r="AU12" s="58"/>
      <c r="AV12" s="59"/>
      <c r="AW12" s="19" t="s">
        <v>30</v>
      </c>
    </row>
    <row r="13" spans="1:49" x14ac:dyDescent="0.25">
      <c r="A13" s="22" t="s">
        <v>32</v>
      </c>
      <c r="B13" s="38">
        <v>147</v>
      </c>
      <c r="C13" s="38">
        <v>235</v>
      </c>
      <c r="D13" s="38">
        <v>241</v>
      </c>
      <c r="E13" s="38">
        <v>272</v>
      </c>
      <c r="F13" s="38">
        <v>174</v>
      </c>
      <c r="G13" s="39">
        <v>179</v>
      </c>
      <c r="H13" s="21"/>
      <c r="I13" s="40">
        <f t="shared" ca="1" si="0"/>
        <v>13.616797306283003</v>
      </c>
      <c r="J13" s="41">
        <f t="shared" ca="1" si="1"/>
        <v>3.4041993265707506</v>
      </c>
      <c r="K13" s="42">
        <f t="shared" ca="1" si="1"/>
        <v>3.4041993265707506</v>
      </c>
      <c r="L13" s="42">
        <f t="shared" ca="1" si="1"/>
        <v>3.4041993265707506</v>
      </c>
      <c r="M13" s="43">
        <f t="shared" ca="1" si="1"/>
        <v>3.4041993265707506</v>
      </c>
      <c r="N13" s="21"/>
      <c r="O13" s="44">
        <f t="shared" ca="1" si="2"/>
        <v>6.8181818181818177E-2</v>
      </c>
      <c r="P13" s="45">
        <f t="shared" ca="1" si="2"/>
        <v>0.42045454545454547</v>
      </c>
      <c r="Q13" s="45">
        <f t="shared" ca="1" si="2"/>
        <v>-0.69318181818181823</v>
      </c>
      <c r="R13" s="46">
        <f t="shared" ca="1" si="2"/>
        <v>-0.63636363636363635</v>
      </c>
      <c r="S13" s="21"/>
      <c r="T13" s="47">
        <f t="shared" ca="1" si="3"/>
        <v>0.23210449953891479</v>
      </c>
      <c r="U13" s="42">
        <f ca="1">K13*P13</f>
        <v>1.4313110804899747</v>
      </c>
      <c r="V13" s="42">
        <f t="shared" ca="1" si="3"/>
        <v>-2.3597290786456342</v>
      </c>
      <c r="W13" s="42">
        <f t="shared" ca="1" si="3"/>
        <v>-2.1663086623632051</v>
      </c>
      <c r="X13" s="32">
        <f t="shared" ca="1" si="4"/>
        <v>1.6634155800288895</v>
      </c>
      <c r="Y13" s="48"/>
      <c r="Z13" s="47">
        <f t="shared" ref="Z13:Z16" ca="1" si="7">IF(T13&gt;0,T13,0)</f>
        <v>0.23210449953891479</v>
      </c>
      <c r="AA13" s="42">
        <f t="shared" ca="1" si="5"/>
        <v>1.4313110804899747</v>
      </c>
      <c r="AB13" s="49">
        <f t="shared" ca="1" si="5"/>
        <v>0</v>
      </c>
      <c r="AC13" s="49">
        <f t="shared" ca="1" si="5"/>
        <v>0</v>
      </c>
      <c r="AD13" s="32">
        <f t="shared" ca="1" si="6"/>
        <v>1.6634155800288895</v>
      </c>
      <c r="AF13" s="50"/>
      <c r="AG13" s="51"/>
      <c r="AH13" s="51"/>
      <c r="AI13" s="51"/>
      <c r="AJ13" s="52"/>
      <c r="AK13" s="48"/>
      <c r="AL13" s="57"/>
      <c r="AM13" s="58"/>
      <c r="AN13" s="58"/>
      <c r="AO13" s="58"/>
      <c r="AP13" s="59"/>
      <c r="AR13" s="57"/>
      <c r="AS13" s="58"/>
      <c r="AT13" s="58"/>
      <c r="AU13" s="58"/>
      <c r="AV13" s="59"/>
      <c r="AW13" s="19" t="s">
        <v>30</v>
      </c>
    </row>
    <row r="14" spans="1:49" x14ac:dyDescent="0.25">
      <c r="A14" s="22" t="s">
        <v>33</v>
      </c>
      <c r="B14" s="38">
        <v>56</v>
      </c>
      <c r="C14" s="38">
        <v>93</v>
      </c>
      <c r="D14" s="38">
        <v>1</v>
      </c>
      <c r="E14" s="38">
        <v>125</v>
      </c>
      <c r="F14" s="38">
        <v>36</v>
      </c>
      <c r="G14" s="39">
        <v>54</v>
      </c>
      <c r="H14" s="21"/>
      <c r="I14" s="40">
        <f t="shared" ca="1" si="0"/>
        <v>13.616797306283003</v>
      </c>
      <c r="J14" s="41">
        <f t="shared" ca="1" si="1"/>
        <v>3.4041993265707506</v>
      </c>
      <c r="K14" s="42">
        <f t="shared" ca="1" si="1"/>
        <v>3.4041993265707506</v>
      </c>
      <c r="L14" s="42">
        <f t="shared" ca="1" si="1"/>
        <v>3.4041993265707506</v>
      </c>
      <c r="M14" s="43">
        <f t="shared" ca="1" si="1"/>
        <v>3.4041993265707506</v>
      </c>
      <c r="N14" s="21"/>
      <c r="O14" s="44">
        <f t="shared" ca="1" si="2"/>
        <v>-2.4864864864864864</v>
      </c>
      <c r="P14" s="45">
        <f t="shared" ca="1" si="2"/>
        <v>0.86486486486486491</v>
      </c>
      <c r="Q14" s="45">
        <f t="shared" ca="1" si="2"/>
        <v>-1.5405405405405406</v>
      </c>
      <c r="R14" s="46">
        <f t="shared" ca="1" si="2"/>
        <v>-1.0540540540540539</v>
      </c>
      <c r="S14" s="21"/>
      <c r="T14" s="47">
        <f t="shared" ca="1" si="3"/>
        <v>-8.4644956228245682</v>
      </c>
      <c r="U14" s="42">
        <f t="shared" ca="1" si="3"/>
        <v>2.9441723905476764</v>
      </c>
      <c r="V14" s="42">
        <f t="shared" ca="1" si="3"/>
        <v>-5.2443070706630488</v>
      </c>
      <c r="W14" s="42">
        <f t="shared" ca="1" si="3"/>
        <v>-3.5882101009799801</v>
      </c>
      <c r="X14" s="32">
        <f t="shared" ca="1" si="4"/>
        <v>2.9441723905476764</v>
      </c>
      <c r="Y14" s="48"/>
      <c r="Z14" s="47">
        <f t="shared" ca="1" si="7"/>
        <v>0</v>
      </c>
      <c r="AA14" s="42">
        <f t="shared" ca="1" si="5"/>
        <v>2.9441723905476764</v>
      </c>
      <c r="AB14" s="49">
        <f t="shared" ca="1" si="5"/>
        <v>0</v>
      </c>
      <c r="AC14" s="49">
        <f t="shared" ca="1" si="5"/>
        <v>0</v>
      </c>
      <c r="AD14" s="32">
        <f t="shared" ca="1" si="6"/>
        <v>2.9441723905476764</v>
      </c>
      <c r="AF14" s="50"/>
      <c r="AG14" s="51"/>
      <c r="AH14" s="51"/>
      <c r="AI14" s="51"/>
      <c r="AJ14" s="52"/>
      <c r="AK14" s="48"/>
      <c r="AL14" s="61"/>
      <c r="AM14" s="62"/>
      <c r="AN14" s="62"/>
      <c r="AO14" s="62"/>
      <c r="AP14" s="52"/>
      <c r="AQ14" s="60"/>
      <c r="AR14" s="61"/>
      <c r="AS14" s="62"/>
      <c r="AT14" s="62"/>
      <c r="AU14" s="62"/>
      <c r="AV14" s="52"/>
      <c r="AW14" s="19" t="s">
        <v>30</v>
      </c>
    </row>
    <row r="15" spans="1:49" x14ac:dyDescent="0.25">
      <c r="A15" s="22" t="s">
        <v>34</v>
      </c>
      <c r="B15" s="38">
        <v>14763</v>
      </c>
      <c r="C15" s="38">
        <v>15987</v>
      </c>
      <c r="D15" s="38">
        <v>14401</v>
      </c>
      <c r="E15" s="38">
        <v>11565</v>
      </c>
      <c r="F15" s="38">
        <v>9822</v>
      </c>
      <c r="G15" s="39">
        <v>11017</v>
      </c>
      <c r="H15" s="21"/>
      <c r="I15" s="40">
        <f t="shared" ca="1" si="0"/>
        <v>13.616797306283003</v>
      </c>
      <c r="J15" s="41">
        <f t="shared" ca="1" si="1"/>
        <v>3.4041993265707506</v>
      </c>
      <c r="K15" s="42">
        <f t="shared" ca="1" si="1"/>
        <v>3.4041993265707506</v>
      </c>
      <c r="L15" s="42">
        <f t="shared" ca="1" si="1"/>
        <v>3.4041993265707506</v>
      </c>
      <c r="M15" s="43">
        <f t="shared" ca="1" si="1"/>
        <v>3.4041993265707506</v>
      </c>
      <c r="N15" s="21"/>
      <c r="O15" s="44">
        <f t="shared" ca="1" si="2"/>
        <v>-1.2957516339869282</v>
      </c>
      <c r="P15" s="45">
        <f t="shared" ca="1" si="2"/>
        <v>-3.6127450980392157</v>
      </c>
      <c r="Q15" s="45">
        <f t="shared" ca="1" si="2"/>
        <v>-5.0367647058823533</v>
      </c>
      <c r="R15" s="46">
        <f t="shared" ca="1" si="2"/>
        <v>-4.0604575163398691</v>
      </c>
      <c r="S15" s="21"/>
      <c r="T15" s="47">
        <f t="shared" ca="1" si="3"/>
        <v>-4.4109968398212507</v>
      </c>
      <c r="U15" s="42">
        <f t="shared" ca="1" si="3"/>
        <v>-12.298504429816878</v>
      </c>
      <c r="V15" s="42">
        <f t="shared" ca="1" si="3"/>
        <v>-17.146151019860032</v>
      </c>
      <c r="W15" s="42">
        <f t="shared" ca="1" si="3"/>
        <v>-13.822606742693324</v>
      </c>
      <c r="X15" s="32">
        <f t="shared" ca="1" si="4"/>
        <v>0</v>
      </c>
      <c r="Y15" s="48"/>
      <c r="Z15" s="47">
        <f t="shared" ca="1" si="7"/>
        <v>0</v>
      </c>
      <c r="AA15" s="42">
        <f t="shared" ca="1" si="5"/>
        <v>0</v>
      </c>
      <c r="AB15" s="49">
        <f t="shared" ca="1" si="5"/>
        <v>0</v>
      </c>
      <c r="AC15" s="49">
        <f t="shared" ca="1" si="5"/>
        <v>0</v>
      </c>
      <c r="AD15" s="32">
        <f t="shared" ca="1" si="6"/>
        <v>0</v>
      </c>
      <c r="AF15" s="50"/>
      <c r="AG15" s="51"/>
      <c r="AH15" s="51"/>
      <c r="AI15" s="51"/>
      <c r="AJ15" s="52"/>
      <c r="AK15" s="48"/>
      <c r="AL15" s="63"/>
      <c r="AM15" s="51"/>
      <c r="AN15" s="51"/>
      <c r="AO15" s="64"/>
      <c r="AP15" s="52"/>
      <c r="AR15" s="61"/>
      <c r="AS15" s="62"/>
      <c r="AT15" s="62"/>
      <c r="AU15" s="62"/>
      <c r="AV15" s="52"/>
      <c r="AW15" s="19" t="s">
        <v>30</v>
      </c>
    </row>
    <row r="16" spans="1:49" ht="13.8" thickBot="1" x14ac:dyDescent="0.3">
      <c r="A16" s="65" t="s">
        <v>35</v>
      </c>
      <c r="B16" s="66">
        <v>1350</v>
      </c>
      <c r="C16" s="66">
        <v>1485</v>
      </c>
      <c r="D16" s="66">
        <v>1365</v>
      </c>
      <c r="E16" s="66">
        <v>1415</v>
      </c>
      <c r="F16" s="66">
        <v>1251</v>
      </c>
      <c r="G16" s="67">
        <v>1112</v>
      </c>
      <c r="H16" s="21"/>
      <c r="I16" s="68">
        <f t="shared" ca="1" si="0"/>
        <v>13.616797306283003</v>
      </c>
      <c r="J16" s="69">
        <f t="shared" ca="1" si="1"/>
        <v>3.4041993265707506</v>
      </c>
      <c r="K16" s="70">
        <f t="shared" ca="1" si="1"/>
        <v>3.4041993265707506</v>
      </c>
      <c r="L16" s="70">
        <f t="shared" ca="1" si="1"/>
        <v>3.4041993265707506</v>
      </c>
      <c r="M16" s="71">
        <f t="shared" ca="1" si="1"/>
        <v>3.4041993265707506</v>
      </c>
      <c r="N16" s="21"/>
      <c r="O16" s="72">
        <f t="shared" ca="1" si="2"/>
        <v>-0.88888888888888884</v>
      </c>
      <c r="P16" s="73">
        <f t="shared" ca="1" si="2"/>
        <v>-0.51851851851851849</v>
      </c>
      <c r="Q16" s="73">
        <f t="shared" ca="1" si="2"/>
        <v>-1.7333333333333334</v>
      </c>
      <c r="R16" s="74">
        <f t="shared" ca="1" si="2"/>
        <v>-2.7629629629629631</v>
      </c>
      <c r="S16" s="21"/>
      <c r="T16" s="75">
        <f t="shared" ca="1" si="3"/>
        <v>-3.0259549569517783</v>
      </c>
      <c r="U16" s="76">
        <f t="shared" ca="1" si="3"/>
        <v>-1.765140391555204</v>
      </c>
      <c r="V16" s="76">
        <f t="shared" ca="1" si="3"/>
        <v>-5.9006121660559678</v>
      </c>
      <c r="W16" s="76">
        <f t="shared" ca="1" si="3"/>
        <v>-9.4056766578584448</v>
      </c>
      <c r="X16" s="77">
        <f t="shared" ca="1" si="4"/>
        <v>0</v>
      </c>
      <c r="Y16" s="48"/>
      <c r="Z16" s="78">
        <f t="shared" ca="1" si="7"/>
        <v>0</v>
      </c>
      <c r="AA16" s="70">
        <f t="shared" ca="1" si="5"/>
        <v>0</v>
      </c>
      <c r="AB16" s="79">
        <f t="shared" ca="1" si="5"/>
        <v>0</v>
      </c>
      <c r="AC16" s="49">
        <f t="shared" ca="1" si="5"/>
        <v>0</v>
      </c>
      <c r="AD16" s="77">
        <f t="shared" ca="1" si="6"/>
        <v>0</v>
      </c>
      <c r="AF16" s="80"/>
      <c r="AG16" s="81"/>
      <c r="AH16" s="81"/>
      <c r="AI16" s="81"/>
      <c r="AJ16" s="82"/>
      <c r="AK16" s="48"/>
      <c r="AL16" s="83"/>
      <c r="AM16" s="84"/>
      <c r="AN16" s="84"/>
      <c r="AO16" s="84"/>
      <c r="AP16" s="85"/>
      <c r="AQ16" s="60"/>
      <c r="AR16" s="83"/>
      <c r="AS16" s="84"/>
      <c r="AT16" s="84"/>
      <c r="AU16" s="84"/>
      <c r="AV16" s="85"/>
      <c r="AW16" s="19" t="s">
        <v>30</v>
      </c>
    </row>
    <row r="17" spans="1:49" ht="13.8" thickBo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86">
        <f ca="1">SUMIF(T11:T16,"&gt;0")</f>
        <v>6.9043351796175862</v>
      </c>
      <c r="U17" s="87">
        <f t="shared" ref="U17:X17" ca="1" si="8">SUMIF(U11:U16,"&gt;0")</f>
        <v>4.3754834710376507</v>
      </c>
      <c r="V17" s="87">
        <f t="shared" ca="1" si="8"/>
        <v>0</v>
      </c>
      <c r="W17" s="87">
        <f t="shared" ca="1" si="8"/>
        <v>0</v>
      </c>
      <c r="X17" s="88">
        <f t="shared" ca="1" si="8"/>
        <v>11.279818650655237</v>
      </c>
      <c r="Y17" s="89"/>
      <c r="Z17" s="86">
        <f ca="1">SUMIF(Z11:Z16,"&gt;0")</f>
        <v>3.6363038261096654</v>
      </c>
      <c r="AA17" s="87">
        <f t="shared" ref="AA17:AC17" ca="1" si="9">SUMIF(AA11:AA16,"&gt;0")</f>
        <v>4.3754834710376507</v>
      </c>
      <c r="AB17" s="87">
        <f t="shared" ca="1" si="9"/>
        <v>0</v>
      </c>
      <c r="AC17" s="87">
        <f t="shared" ca="1" si="9"/>
        <v>0</v>
      </c>
      <c r="AD17" s="90">
        <f t="shared" ca="1" si="6"/>
        <v>8.0117872971473165</v>
      </c>
      <c r="AF17" s="91">
        <f ca="1">SUM(AF11:AF16)</f>
        <v>0</v>
      </c>
      <c r="AG17" s="92">
        <f t="shared" ref="AG17:AI17" ca="1" si="10">SUM(AG11:AG16)</f>
        <v>0</v>
      </c>
      <c r="AH17" s="92">
        <f t="shared" ca="1" si="10"/>
        <v>0</v>
      </c>
      <c r="AI17" s="92">
        <f t="shared" ca="1" si="10"/>
        <v>0</v>
      </c>
      <c r="AJ17" s="93">
        <f ca="1">SUM(AJ11:AJ16)</f>
        <v>0</v>
      </c>
      <c r="AK17" s="48"/>
      <c r="AL17" s="91">
        <f ca="1">SUM(AL11:AL16)</f>
        <v>0</v>
      </c>
      <c r="AM17" s="92">
        <f t="shared" ref="AM17:AO17" ca="1" si="11">SUM(AM11:AM16)</f>
        <v>0</v>
      </c>
      <c r="AN17" s="92">
        <f t="shared" ca="1" si="11"/>
        <v>0</v>
      </c>
      <c r="AO17" s="92">
        <f t="shared" ca="1" si="11"/>
        <v>0</v>
      </c>
      <c r="AP17" s="93">
        <f ca="1">SUM(AP11:AQ16)</f>
        <v>0</v>
      </c>
      <c r="AQ17" s="53"/>
      <c r="AR17" s="91">
        <f ca="1">SUM(AR11:AR16)</f>
        <v>0</v>
      </c>
      <c r="AS17" s="92">
        <f t="shared" ref="AS17:AU17" ca="1" si="12">SUM(AS11:AS16)</f>
        <v>0</v>
      </c>
      <c r="AT17" s="92">
        <f t="shared" ca="1" si="12"/>
        <v>0</v>
      </c>
      <c r="AU17" s="92">
        <f t="shared" ca="1" si="12"/>
        <v>0</v>
      </c>
      <c r="AV17" s="93">
        <f ca="1">SUM(AV11:AW16)</f>
        <v>0</v>
      </c>
    </row>
    <row r="18" spans="1:49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F18" s="48"/>
      <c r="AG18" s="48"/>
      <c r="AH18" s="48"/>
      <c r="AI18" s="48"/>
      <c r="AJ18" s="94"/>
      <c r="AK18" s="48"/>
      <c r="AL18" s="21"/>
      <c r="AM18" s="21"/>
      <c r="AN18" s="21"/>
      <c r="AO18" s="21"/>
      <c r="AP18" s="48"/>
      <c r="AQ18" s="53"/>
    </row>
    <row r="19" spans="1:49" ht="16.2" thickBot="1" x14ac:dyDescent="0.35">
      <c r="A19" s="182" t="s">
        <v>36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95"/>
      <c r="AR19" s="4"/>
      <c r="AS19" s="4"/>
      <c r="AT19" s="4"/>
      <c r="AU19" s="4"/>
      <c r="AV19" s="4"/>
    </row>
    <row r="20" spans="1:49" ht="14.4" thickBot="1" x14ac:dyDescent="0.3">
      <c r="A20" s="184" t="s">
        <v>2</v>
      </c>
      <c r="B20" s="185"/>
      <c r="C20" s="185"/>
      <c r="D20" s="186"/>
      <c r="E20" s="166" t="s">
        <v>3</v>
      </c>
      <c r="F20" s="187" t="s">
        <v>4</v>
      </c>
      <c r="G20" s="169"/>
      <c r="H20" s="19"/>
      <c r="I20" s="19"/>
      <c r="K20" s="96"/>
      <c r="L20" s="96"/>
      <c r="M20" s="21"/>
      <c r="N20" s="21"/>
      <c r="O20" s="188"/>
      <c r="P20" s="18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F20" s="97"/>
      <c r="AG20" s="97"/>
      <c r="AH20" s="97"/>
      <c r="AI20" s="97"/>
      <c r="AL20" s="97"/>
      <c r="AM20" s="97"/>
      <c r="AN20" s="97"/>
      <c r="AO20" s="97"/>
    </row>
    <row r="21" spans="1:49" ht="40.200000000000003" thickBot="1" x14ac:dyDescent="0.3">
      <c r="A21" s="7" t="s">
        <v>5</v>
      </c>
      <c r="B21" s="8" t="s">
        <v>6</v>
      </c>
      <c r="C21" s="8" t="s">
        <v>7</v>
      </c>
      <c r="D21" s="8" t="s">
        <v>8</v>
      </c>
      <c r="E21" s="167"/>
      <c r="F21" s="8" t="s">
        <v>9</v>
      </c>
      <c r="G21" s="11" t="s">
        <v>10</v>
      </c>
      <c r="H21" s="19"/>
      <c r="I21" s="19"/>
      <c r="K21" s="98"/>
      <c r="L21" s="48"/>
      <c r="M21" s="21"/>
      <c r="N21" s="21"/>
      <c r="O21" s="99"/>
      <c r="P21" s="99"/>
      <c r="Q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F21" s="100"/>
      <c r="AG21" s="100"/>
      <c r="AH21" s="100"/>
      <c r="AI21" s="100"/>
      <c r="AL21" s="100"/>
      <c r="AM21" s="100"/>
      <c r="AN21" s="100"/>
      <c r="AO21" s="100"/>
      <c r="AP21" s="100"/>
    </row>
    <row r="22" spans="1:49" ht="13.8" thickBot="1" x14ac:dyDescent="0.3">
      <c r="A22" s="13">
        <v>484.40013806068231</v>
      </c>
      <c r="B22" s="13">
        <v>0</v>
      </c>
      <c r="C22" s="14">
        <f ca="1">A22-B22</f>
        <v>484.40013806068231</v>
      </c>
      <c r="D22" s="14">
        <f ca="1">C22*G22/F22</f>
        <v>494.41020380677003</v>
      </c>
      <c r="E22" s="14">
        <f ca="1">D22*0.5</f>
        <v>247.20510190338501</v>
      </c>
      <c r="F22" s="16">
        <v>111.30000000000001</v>
      </c>
      <c r="G22" s="17">
        <v>113.6</v>
      </c>
      <c r="H22" s="19"/>
      <c r="I22" s="21"/>
      <c r="L22" s="19"/>
      <c r="M22" s="19"/>
      <c r="N22" s="19"/>
      <c r="Q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49" ht="13.8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49" ht="62.25" customHeight="1" thickBot="1" x14ac:dyDescent="0.3">
      <c r="A24" s="170" t="s">
        <v>11</v>
      </c>
      <c r="B24" s="171"/>
      <c r="C24" s="171"/>
      <c r="D24" s="171"/>
      <c r="E24" s="171"/>
      <c r="F24" s="171"/>
      <c r="G24" s="172"/>
      <c r="H24" s="19"/>
      <c r="I24" s="173" t="s">
        <v>12</v>
      </c>
      <c r="J24" s="174"/>
      <c r="K24" s="174"/>
      <c r="L24" s="174"/>
      <c r="M24" s="175"/>
      <c r="N24" s="19"/>
      <c r="O24" s="157" t="s">
        <v>13</v>
      </c>
      <c r="P24" s="158"/>
      <c r="Q24" s="158"/>
      <c r="R24" s="159"/>
      <c r="S24" s="19"/>
      <c r="T24" s="157" t="s">
        <v>14</v>
      </c>
      <c r="U24" s="158"/>
      <c r="V24" s="158"/>
      <c r="W24" s="158"/>
      <c r="X24" s="159"/>
      <c r="Y24" s="20"/>
      <c r="Z24" s="157" t="s">
        <v>15</v>
      </c>
      <c r="AA24" s="158"/>
      <c r="AB24" s="158"/>
      <c r="AC24" s="158"/>
      <c r="AD24" s="159"/>
      <c r="AF24" s="157" t="s">
        <v>37</v>
      </c>
      <c r="AG24" s="158"/>
      <c r="AH24" s="158"/>
      <c r="AI24" s="158"/>
      <c r="AJ24" s="159"/>
      <c r="AK24" s="20"/>
      <c r="AL24" s="157" t="s">
        <v>17</v>
      </c>
      <c r="AM24" s="158"/>
      <c r="AN24" s="158"/>
      <c r="AO24" s="158"/>
      <c r="AP24" s="159"/>
      <c r="AQ24" s="20"/>
      <c r="AR24" s="157" t="s">
        <v>18</v>
      </c>
      <c r="AS24" s="158"/>
      <c r="AT24" s="158"/>
      <c r="AU24" s="158"/>
      <c r="AV24" s="159"/>
    </row>
    <row r="25" spans="1:49" ht="13.8" thickBot="1" x14ac:dyDescent="0.3">
      <c r="A25" s="196"/>
      <c r="B25" s="197"/>
      <c r="C25" s="197"/>
      <c r="D25" s="198" t="s">
        <v>19</v>
      </c>
      <c r="E25" s="198"/>
      <c r="F25" s="198"/>
      <c r="G25" s="199"/>
      <c r="H25" s="21"/>
      <c r="I25" s="101"/>
      <c r="J25" s="102" t="s">
        <v>20</v>
      </c>
      <c r="K25" s="103" t="s">
        <v>21</v>
      </c>
      <c r="L25" s="103" t="s">
        <v>22</v>
      </c>
      <c r="M25" s="104" t="s">
        <v>23</v>
      </c>
      <c r="N25" s="21"/>
      <c r="O25" s="160"/>
      <c r="P25" s="161"/>
      <c r="Q25" s="161"/>
      <c r="R25" s="162"/>
      <c r="S25" s="21"/>
      <c r="T25" s="160"/>
      <c r="U25" s="161"/>
      <c r="V25" s="161"/>
      <c r="W25" s="161"/>
      <c r="X25" s="162"/>
      <c r="Y25" s="34"/>
      <c r="Z25" s="190"/>
      <c r="AA25" s="191"/>
      <c r="AB25" s="191"/>
      <c r="AC25" s="191"/>
      <c r="AD25" s="192"/>
      <c r="AF25" s="190"/>
      <c r="AG25" s="191"/>
      <c r="AH25" s="191"/>
      <c r="AI25" s="191"/>
      <c r="AJ25" s="192"/>
      <c r="AK25" s="34"/>
      <c r="AL25" s="160"/>
      <c r="AM25" s="161"/>
      <c r="AN25" s="161"/>
      <c r="AO25" s="161"/>
      <c r="AP25" s="162"/>
      <c r="AQ25" s="34"/>
      <c r="AR25" s="160"/>
      <c r="AS25" s="161"/>
      <c r="AT25" s="161"/>
      <c r="AU25" s="161"/>
      <c r="AV25" s="162"/>
    </row>
    <row r="26" spans="1:49" ht="26.4" x14ac:dyDescent="0.25">
      <c r="A26" s="26" t="s">
        <v>24</v>
      </c>
      <c r="B26" s="27" t="s">
        <v>25</v>
      </c>
      <c r="C26" s="27" t="s">
        <v>26</v>
      </c>
      <c r="D26" s="28" t="s">
        <v>20</v>
      </c>
      <c r="E26" s="27" t="s">
        <v>21</v>
      </c>
      <c r="F26" s="27" t="s">
        <v>22</v>
      </c>
      <c r="G26" s="29" t="s">
        <v>23</v>
      </c>
      <c r="H26" s="21"/>
      <c r="I26" s="30" t="s">
        <v>27</v>
      </c>
      <c r="J26" s="31">
        <f ca="1">$E$22/4</f>
        <v>61.801275475846253</v>
      </c>
      <c r="K26" s="31">
        <f ca="1">$E$22/4</f>
        <v>61.801275475846253</v>
      </c>
      <c r="L26" s="31">
        <f ca="1">$E$22/4</f>
        <v>61.801275475846253</v>
      </c>
      <c r="M26" s="32">
        <f ca="1">$E$22/4</f>
        <v>61.801275475846253</v>
      </c>
      <c r="N26" s="21"/>
      <c r="O26" s="105" t="s">
        <v>20</v>
      </c>
      <c r="P26" s="103" t="s">
        <v>21</v>
      </c>
      <c r="Q26" s="103" t="s">
        <v>22</v>
      </c>
      <c r="R26" s="104" t="s">
        <v>23</v>
      </c>
      <c r="S26" s="21"/>
      <c r="T26" s="105" t="s">
        <v>20</v>
      </c>
      <c r="U26" s="103" t="s">
        <v>21</v>
      </c>
      <c r="V26" s="103" t="s">
        <v>22</v>
      </c>
      <c r="W26" s="103" t="s">
        <v>23</v>
      </c>
      <c r="X26" s="104" t="s">
        <v>28</v>
      </c>
      <c r="Y26" s="21"/>
      <c r="Z26" s="106" t="s">
        <v>20</v>
      </c>
      <c r="AA26" s="103" t="s">
        <v>21</v>
      </c>
      <c r="AB26" s="103" t="s">
        <v>22</v>
      </c>
      <c r="AC26" s="103" t="s">
        <v>23</v>
      </c>
      <c r="AD26" s="104" t="s">
        <v>28</v>
      </c>
      <c r="AF26" s="105" t="s">
        <v>20</v>
      </c>
      <c r="AG26" s="103" t="s">
        <v>21</v>
      </c>
      <c r="AH26" s="103" t="s">
        <v>22</v>
      </c>
      <c r="AI26" s="103" t="s">
        <v>23</v>
      </c>
      <c r="AJ26" s="104" t="s">
        <v>28</v>
      </c>
      <c r="AK26" s="21"/>
      <c r="AL26" s="105" t="s">
        <v>20</v>
      </c>
      <c r="AM26" s="103" t="s">
        <v>21</v>
      </c>
      <c r="AN26" s="103" t="s">
        <v>22</v>
      </c>
      <c r="AO26" s="103" t="s">
        <v>23</v>
      </c>
      <c r="AP26" s="104" t="s">
        <v>28</v>
      </c>
      <c r="AQ26" s="21"/>
      <c r="AR26" s="105" t="s">
        <v>20</v>
      </c>
      <c r="AS26" s="103" t="s">
        <v>21</v>
      </c>
      <c r="AT26" s="103" t="s">
        <v>22</v>
      </c>
      <c r="AU26" s="103" t="s">
        <v>23</v>
      </c>
      <c r="AV26" s="104" t="s">
        <v>28</v>
      </c>
    </row>
    <row r="27" spans="1:49" ht="39.6" x14ac:dyDescent="0.25">
      <c r="A27" s="107" t="s">
        <v>38</v>
      </c>
      <c r="B27" s="108">
        <v>2.1</v>
      </c>
      <c r="C27" s="108">
        <v>2.8</v>
      </c>
      <c r="D27" s="109">
        <v>2.64</v>
      </c>
      <c r="E27" s="109">
        <v>1.94</v>
      </c>
      <c r="F27" s="109">
        <v>2.23</v>
      </c>
      <c r="G27" s="110">
        <v>1.25</v>
      </c>
      <c r="H27" s="21"/>
      <c r="I27" s="40">
        <f ca="1">$E$22/3</f>
        <v>82.401700634461676</v>
      </c>
      <c r="J27" s="41">
        <f ca="1">J$26/3</f>
        <v>20.600425158615419</v>
      </c>
      <c r="K27" s="41">
        <f t="shared" ref="K27:M29" ca="1" si="13">K$26/3</f>
        <v>20.600425158615419</v>
      </c>
      <c r="L27" s="41">
        <f t="shared" ca="1" si="13"/>
        <v>20.600425158615419</v>
      </c>
      <c r="M27" s="111">
        <f t="shared" ca="1" si="13"/>
        <v>20.600425158615419</v>
      </c>
      <c r="N27" s="21"/>
      <c r="O27" s="44">
        <f t="shared" ref="O27:R29" ca="1" si="14">((D27-$C27)/($C27-$B27))</f>
        <v>-0.22857142857142823</v>
      </c>
      <c r="P27" s="45">
        <f t="shared" ca="1" si="14"/>
        <v>-1.2285714285714289</v>
      </c>
      <c r="Q27" s="45">
        <f t="shared" ca="1" si="14"/>
        <v>-0.81428571428571439</v>
      </c>
      <c r="R27" s="46">
        <f t="shared" ca="1" si="14"/>
        <v>-2.2142857142857149</v>
      </c>
      <c r="S27" s="21"/>
      <c r="T27" s="47">
        <f ca="1">J27*O27</f>
        <v>-4.7086686076835171</v>
      </c>
      <c r="U27" s="42">
        <f ca="1">K27*P27</f>
        <v>-25.30909376629895</v>
      </c>
      <c r="V27" s="42">
        <f t="shared" ref="V27:W29" ca="1" si="15">L27*Q27</f>
        <v>-16.774631914872558</v>
      </c>
      <c r="W27" s="42">
        <f t="shared" ca="1" si="15"/>
        <v>-45.615227136934152</v>
      </c>
      <c r="X27" s="32">
        <f ca="1">SUMIF(T27:W27,"&gt;0")</f>
        <v>0</v>
      </c>
      <c r="Y27" s="48"/>
      <c r="Z27" s="47">
        <f ca="1">IF(T27&gt;0,T27,0)</f>
        <v>0</v>
      </c>
      <c r="AA27" s="42">
        <f t="shared" ref="AA27:AC29" ca="1" si="16">IF(U27&gt;0,U27,0)</f>
        <v>0</v>
      </c>
      <c r="AB27" s="42">
        <f t="shared" ca="1" si="16"/>
        <v>0</v>
      </c>
      <c r="AC27" s="49">
        <f t="shared" ca="1" si="16"/>
        <v>0</v>
      </c>
      <c r="AD27" s="32">
        <f ca="1">SUM(Z27:AC27)</f>
        <v>0</v>
      </c>
      <c r="AE27" s="112"/>
      <c r="AF27" s="50"/>
      <c r="AG27" s="51"/>
      <c r="AH27" s="51"/>
      <c r="AI27" s="51"/>
      <c r="AJ27" s="52"/>
      <c r="AK27" s="113"/>
      <c r="AL27" s="57"/>
      <c r="AM27" s="58"/>
      <c r="AN27" s="58"/>
      <c r="AO27" s="58"/>
      <c r="AP27" s="59"/>
      <c r="AR27" s="57"/>
      <c r="AS27" s="58"/>
      <c r="AT27" s="58"/>
      <c r="AU27" s="58"/>
      <c r="AV27" s="59"/>
      <c r="AW27" s="19" t="s">
        <v>30</v>
      </c>
    </row>
    <row r="28" spans="1:49" ht="39.6" x14ac:dyDescent="0.25">
      <c r="A28" s="107" t="s">
        <v>39</v>
      </c>
      <c r="B28" s="108">
        <v>0.5</v>
      </c>
      <c r="C28" s="108">
        <v>1.7</v>
      </c>
      <c r="D28" s="109">
        <v>0.09</v>
      </c>
      <c r="E28" s="109">
        <v>0.69</v>
      </c>
      <c r="F28" s="109">
        <v>1.9</v>
      </c>
      <c r="G28" s="110">
        <v>0</v>
      </c>
      <c r="H28" s="21"/>
      <c r="I28" s="40">
        <f ca="1">$E$22/3</f>
        <v>82.401700634461676</v>
      </c>
      <c r="J28" s="41">
        <f t="shared" ref="J28:J29" ca="1" si="17">J$26/3</f>
        <v>20.600425158615419</v>
      </c>
      <c r="K28" s="41">
        <f t="shared" ca="1" si="13"/>
        <v>20.600425158615419</v>
      </c>
      <c r="L28" s="41">
        <f t="shared" ca="1" si="13"/>
        <v>20.600425158615419</v>
      </c>
      <c r="M28" s="111">
        <f t="shared" ca="1" si="13"/>
        <v>20.600425158615419</v>
      </c>
      <c r="N28" s="21"/>
      <c r="O28" s="44">
        <f t="shared" ca="1" si="14"/>
        <v>-1.3416666666666666</v>
      </c>
      <c r="P28" s="45">
        <f t="shared" ca="1" si="14"/>
        <v>-0.84166666666666667</v>
      </c>
      <c r="Q28" s="45">
        <f t="shared" ca="1" si="14"/>
        <v>0.16666666666666663</v>
      </c>
      <c r="R28" s="46">
        <f t="shared" ca="1" si="14"/>
        <v>-1.4166666666666667</v>
      </c>
      <c r="S28" s="21"/>
      <c r="T28" s="47">
        <f t="shared" ref="T28:T29" ca="1" si="18">J28*O28</f>
        <v>-27.638903754475685</v>
      </c>
      <c r="U28" s="42">
        <f ca="1">K28*P28</f>
        <v>-17.338691175167977</v>
      </c>
      <c r="V28" s="42">
        <f t="shared" ca="1" si="15"/>
        <v>3.4334041931025689</v>
      </c>
      <c r="W28" s="42">
        <f t="shared" ca="1" si="15"/>
        <v>-29.183935641371846</v>
      </c>
      <c r="X28" s="77">
        <f ca="1">SUMIF(T28:W28,"&gt;0")</f>
        <v>3.4334041931025689</v>
      </c>
      <c r="Y28" s="48"/>
      <c r="Z28" s="47">
        <f t="shared" ref="Z28:Z29" ca="1" si="19">IF(T28&gt;0,T28,0)</f>
        <v>0</v>
      </c>
      <c r="AA28" s="42">
        <f t="shared" ca="1" si="16"/>
        <v>0</v>
      </c>
      <c r="AB28" s="42">
        <f t="shared" ca="1" si="16"/>
        <v>3.4334041931025689</v>
      </c>
      <c r="AC28" s="49">
        <f t="shared" ca="1" si="16"/>
        <v>0</v>
      </c>
      <c r="AD28" s="32">
        <f t="shared" ref="AD28:AD29" ca="1" si="20">SUM(Z28:AC28)</f>
        <v>3.4334041931025689</v>
      </c>
      <c r="AE28" s="112"/>
      <c r="AF28" s="50"/>
      <c r="AG28" s="51"/>
      <c r="AH28" s="51"/>
      <c r="AI28" s="51"/>
      <c r="AJ28" s="52"/>
      <c r="AK28" s="94"/>
      <c r="AL28" s="61"/>
      <c r="AM28" s="62"/>
      <c r="AN28" s="62"/>
      <c r="AO28" s="62"/>
      <c r="AP28" s="52"/>
      <c r="AR28" s="61"/>
      <c r="AS28" s="62"/>
      <c r="AT28" s="62"/>
      <c r="AU28" s="62"/>
      <c r="AV28" s="52"/>
      <c r="AW28" s="19" t="s">
        <v>30</v>
      </c>
    </row>
    <row r="29" spans="1:49" ht="27" thickBot="1" x14ac:dyDescent="0.3">
      <c r="A29" s="114" t="s">
        <v>40</v>
      </c>
      <c r="B29" s="66">
        <v>63205</v>
      </c>
      <c r="C29" s="66">
        <v>75846</v>
      </c>
      <c r="D29" s="66">
        <v>62691</v>
      </c>
      <c r="E29" s="66">
        <v>77254</v>
      </c>
      <c r="F29" s="66">
        <v>74568</v>
      </c>
      <c r="G29" s="115">
        <v>72956</v>
      </c>
      <c r="H29" s="21"/>
      <c r="I29" s="68">
        <f ca="1">$E$22/3</f>
        <v>82.401700634461676</v>
      </c>
      <c r="J29" s="69">
        <f t="shared" ca="1" si="17"/>
        <v>20.600425158615419</v>
      </c>
      <c r="K29" s="69">
        <f t="shared" ca="1" si="13"/>
        <v>20.600425158615419</v>
      </c>
      <c r="L29" s="69">
        <f t="shared" ca="1" si="13"/>
        <v>20.600425158615419</v>
      </c>
      <c r="M29" s="116">
        <f t="shared" ca="1" si="13"/>
        <v>20.600425158615419</v>
      </c>
      <c r="N29" s="21"/>
      <c r="O29" s="72">
        <f t="shared" ca="1" si="14"/>
        <v>-1.040661340083854</v>
      </c>
      <c r="P29" s="73">
        <f t="shared" ca="1" si="14"/>
        <v>0.1113835930701685</v>
      </c>
      <c r="Q29" s="73">
        <f t="shared" ca="1" si="14"/>
        <v>-0.10109959655090578</v>
      </c>
      <c r="R29" s="74">
        <f t="shared" ca="1" si="14"/>
        <v>-0.22862115338976347</v>
      </c>
      <c r="S29" s="21"/>
      <c r="T29" s="75">
        <f t="shared" ca="1" si="18"/>
        <v>-21.438066051861863</v>
      </c>
      <c r="U29" s="76">
        <f ca="1">K29*P29</f>
        <v>2.2945493729396813</v>
      </c>
      <c r="V29" s="76">
        <f t="shared" ca="1" si="15"/>
        <v>-2.0826946723131479</v>
      </c>
      <c r="W29" s="117">
        <f t="shared" ca="1" si="15"/>
        <v>-4.7096929600821582</v>
      </c>
      <c r="X29" s="118">
        <f ca="1">SUMIF(T29:W29,"&gt;0")</f>
        <v>2.2945493729396813</v>
      </c>
      <c r="Y29" s="119"/>
      <c r="Z29" s="78">
        <f t="shared" ca="1" si="19"/>
        <v>0</v>
      </c>
      <c r="AA29" s="70">
        <f t="shared" ca="1" si="16"/>
        <v>2.2945493729396813</v>
      </c>
      <c r="AB29" s="70">
        <f t="shared" ca="1" si="16"/>
        <v>0</v>
      </c>
      <c r="AC29" s="49">
        <f t="shared" ca="1" si="16"/>
        <v>0</v>
      </c>
      <c r="AD29" s="32">
        <f t="shared" ca="1" si="20"/>
        <v>2.2945493729396813</v>
      </c>
      <c r="AE29" s="112"/>
      <c r="AF29" s="80"/>
      <c r="AG29" s="81"/>
      <c r="AH29" s="81"/>
      <c r="AI29" s="81"/>
      <c r="AJ29" s="82"/>
      <c r="AK29" s="94"/>
      <c r="AL29" s="83"/>
      <c r="AM29" s="84"/>
      <c r="AN29" s="84"/>
      <c r="AO29" s="84"/>
      <c r="AP29" s="85"/>
      <c r="AR29" s="83"/>
      <c r="AS29" s="84"/>
      <c r="AT29" s="84"/>
      <c r="AU29" s="84"/>
      <c r="AV29" s="85"/>
      <c r="AW29" s="19" t="s">
        <v>30</v>
      </c>
    </row>
    <row r="30" spans="1:49" ht="13.8" thickBot="1" x14ac:dyDescent="0.3">
      <c r="A30" s="19"/>
      <c r="B30" s="19"/>
      <c r="C30" s="19"/>
      <c r="D30" s="19"/>
      <c r="E30" s="19"/>
      <c r="F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86">
        <f ca="1">SUMIF(T27:T29,"&gt;0")</f>
        <v>0</v>
      </c>
      <c r="U30" s="87">
        <f t="shared" ref="U30:W30" ca="1" si="21">SUMIF(U27:U29,"&gt;0")</f>
        <v>2.2945493729396813</v>
      </c>
      <c r="V30" s="87">
        <f t="shared" ca="1" si="21"/>
        <v>3.4334041931025689</v>
      </c>
      <c r="W30" s="87">
        <f t="shared" ca="1" si="21"/>
        <v>0</v>
      </c>
      <c r="X30" s="88">
        <f ca="1">SUMIF(X27:X29,"&gt;0")</f>
        <v>5.7279535660422507</v>
      </c>
      <c r="Y30" s="120"/>
      <c r="Z30" s="86">
        <f ca="1">SUMIF(Z27:Z29,"&gt;0")</f>
        <v>0</v>
      </c>
      <c r="AA30" s="87">
        <f t="shared" ref="AA30:AC30" ca="1" si="22">SUMIF(AA27:AA29,"&gt;0")</f>
        <v>2.2945493729396813</v>
      </c>
      <c r="AB30" s="87">
        <f t="shared" ca="1" si="22"/>
        <v>3.4334041931025689</v>
      </c>
      <c r="AC30" s="87">
        <f t="shared" ca="1" si="22"/>
        <v>0</v>
      </c>
      <c r="AD30" s="88">
        <f ca="1">SUMIF(AD27:AD29,"&gt;0")</f>
        <v>5.7279535660422507</v>
      </c>
      <c r="AE30" s="112"/>
      <c r="AF30" s="91">
        <f ca="1">SUM(AF27:AF29)</f>
        <v>0</v>
      </c>
      <c r="AG30" s="92">
        <f t="shared" ref="AG30:AJ30" ca="1" si="23">SUM(AG27:AG29)</f>
        <v>0</v>
      </c>
      <c r="AH30" s="92">
        <f t="shared" ca="1" si="23"/>
        <v>0</v>
      </c>
      <c r="AI30" s="92">
        <f t="shared" ca="1" si="23"/>
        <v>0</v>
      </c>
      <c r="AJ30" s="93">
        <f t="shared" ca="1" si="23"/>
        <v>0</v>
      </c>
      <c r="AK30" s="94"/>
      <c r="AL30" s="91">
        <f ca="1">SUM(AL27:AL29)</f>
        <v>0</v>
      </c>
      <c r="AM30" s="92">
        <f t="shared" ref="AM30:AP30" ca="1" si="24">SUM(AM27:AM29)</f>
        <v>0</v>
      </c>
      <c r="AN30" s="92">
        <f t="shared" ca="1" si="24"/>
        <v>0</v>
      </c>
      <c r="AO30" s="92">
        <f t="shared" ca="1" si="24"/>
        <v>0</v>
      </c>
      <c r="AP30" s="93">
        <f t="shared" ca="1" si="24"/>
        <v>0</v>
      </c>
      <c r="AQ30" s="98"/>
      <c r="AR30" s="91">
        <f ca="1">SUM(AR27:AR29)</f>
        <v>0</v>
      </c>
      <c r="AS30" s="92">
        <f t="shared" ref="AS30:AV30" ca="1" si="25">SUM(AS27:AS29)</f>
        <v>0</v>
      </c>
      <c r="AT30" s="92">
        <f t="shared" ca="1" si="25"/>
        <v>0</v>
      </c>
      <c r="AU30" s="92">
        <f t="shared" ca="1" si="25"/>
        <v>0</v>
      </c>
      <c r="AV30" s="93">
        <f t="shared" ca="1" si="25"/>
        <v>0</v>
      </c>
    </row>
    <row r="31" spans="1:49" x14ac:dyDescent="0.25">
      <c r="A31" s="19"/>
      <c r="B31" s="19"/>
      <c r="C31" s="19"/>
      <c r="D31" s="19"/>
      <c r="E31" s="19"/>
      <c r="F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89"/>
      <c r="U31" s="89"/>
      <c r="V31" s="89"/>
      <c r="W31" s="89"/>
      <c r="X31" s="89"/>
      <c r="Y31" s="120"/>
      <c r="Z31" s="89"/>
      <c r="AA31" s="89"/>
      <c r="AB31" s="89"/>
      <c r="AC31" s="89"/>
      <c r="AD31" s="89"/>
      <c r="AE31" s="112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98"/>
    </row>
    <row r="32" spans="1:49" ht="16.2" thickBot="1" x14ac:dyDescent="0.35">
      <c r="A32" s="182" t="s">
        <v>41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21"/>
      <c r="AR32" s="4"/>
      <c r="AS32" s="4"/>
      <c r="AT32" s="4"/>
      <c r="AU32" s="4"/>
      <c r="AV32" s="4"/>
    </row>
    <row r="33" spans="1:49" ht="13.8" thickBot="1" x14ac:dyDescent="0.3">
      <c r="A33" s="184" t="s">
        <v>2</v>
      </c>
      <c r="B33" s="185"/>
      <c r="C33" s="185"/>
      <c r="D33" s="186"/>
      <c r="E33" s="166" t="s">
        <v>3</v>
      </c>
      <c r="F33" s="187" t="s">
        <v>4</v>
      </c>
      <c r="G33" s="16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89"/>
      <c r="U33" s="89"/>
      <c r="V33" s="89"/>
      <c r="W33" s="89"/>
      <c r="X33" s="89"/>
      <c r="Y33" s="120"/>
      <c r="Z33" s="89"/>
      <c r="AA33" s="89"/>
      <c r="AB33" s="89"/>
      <c r="AC33" s="89"/>
      <c r="AD33" s="89"/>
      <c r="AE33" s="112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98"/>
      <c r="AR33" s="193" t="s">
        <v>42</v>
      </c>
      <c r="AS33" s="194"/>
      <c r="AT33" s="194"/>
      <c r="AU33" s="195"/>
    </row>
    <row r="34" spans="1:49" ht="40.200000000000003" thickBot="1" x14ac:dyDescent="0.3">
      <c r="A34" s="7" t="s">
        <v>5</v>
      </c>
      <c r="B34" s="8" t="s">
        <v>6</v>
      </c>
      <c r="C34" s="8" t="s">
        <v>7</v>
      </c>
      <c r="D34" s="8" t="s">
        <v>8</v>
      </c>
      <c r="E34" s="167"/>
      <c r="F34" s="8" t="s">
        <v>9</v>
      </c>
      <c r="G34" s="11" t="s">
        <v>10</v>
      </c>
      <c r="H34" s="19"/>
      <c r="I34" s="19"/>
      <c r="J34" s="188"/>
      <c r="K34" s="189"/>
      <c r="L34" s="21"/>
      <c r="M34" s="21"/>
      <c r="N34" s="21"/>
      <c r="O34" s="96"/>
      <c r="P34" s="96"/>
      <c r="Q34" s="21"/>
      <c r="R34" s="2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R34" s="122" t="s">
        <v>43</v>
      </c>
      <c r="AS34" s="122" t="s">
        <v>44</v>
      </c>
      <c r="AT34" s="122" t="s">
        <v>45</v>
      </c>
      <c r="AU34" s="122" t="s">
        <v>46</v>
      </c>
    </row>
    <row r="35" spans="1:49" ht="13.8" thickBot="1" x14ac:dyDescent="0.3">
      <c r="A35" s="13">
        <v>179.10139168740858</v>
      </c>
      <c r="B35" s="13">
        <v>0</v>
      </c>
      <c r="C35" s="14">
        <f ca="1">A35-B35</f>
        <v>179.10139168740858</v>
      </c>
      <c r="D35" s="14">
        <f ca="1">C35*G35/F35</f>
        <v>182.80249861356344</v>
      </c>
      <c r="E35" s="14">
        <f ca="1">D35*0.5</f>
        <v>91.401249306781722</v>
      </c>
      <c r="F35" s="16">
        <v>111.30000000000001</v>
      </c>
      <c r="G35" s="17">
        <v>113.6</v>
      </c>
      <c r="H35" s="19"/>
      <c r="I35" s="19"/>
      <c r="J35" s="99"/>
      <c r="K35" s="99"/>
      <c r="L35" s="21"/>
      <c r="M35" s="21"/>
      <c r="N35" s="21"/>
      <c r="O35" s="98"/>
      <c r="P35" s="48"/>
      <c r="Q35" s="21"/>
      <c r="R35" s="2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R35" s="123">
        <v>-0.16621400959999999</v>
      </c>
      <c r="AS35" s="123">
        <v>-0.16154915356160005</v>
      </c>
      <c r="AT35" s="123">
        <v>-0.15690295694735368</v>
      </c>
      <c r="AU35" s="123">
        <v>-0.1522753451195642</v>
      </c>
    </row>
    <row r="36" spans="1:49" ht="13.8" thickBot="1" x14ac:dyDescent="0.3">
      <c r="A36" s="124"/>
      <c r="B36" s="19"/>
      <c r="C36" s="19"/>
      <c r="D36" s="19"/>
      <c r="E36" s="19"/>
      <c r="F36" s="19"/>
      <c r="G36" s="19"/>
      <c r="H36" s="19"/>
      <c r="I36" s="125"/>
      <c r="J36" s="19"/>
      <c r="K36" s="19"/>
      <c r="L36" s="19"/>
      <c r="M36" s="19"/>
      <c r="N36" s="19"/>
      <c r="O36" s="200"/>
      <c r="P36" s="200"/>
      <c r="Q36" s="200"/>
      <c r="R36" s="200"/>
      <c r="S36" s="19"/>
      <c r="T36" s="201"/>
      <c r="U36" s="201"/>
      <c r="V36" s="201"/>
      <c r="W36" s="201"/>
      <c r="X36" s="201"/>
      <c r="Y36" s="126"/>
      <c r="Z36" s="126"/>
      <c r="AA36" s="126"/>
      <c r="AB36" s="126"/>
      <c r="AC36" s="126"/>
      <c r="AD36" s="126"/>
    </row>
    <row r="37" spans="1:49" ht="55.5" customHeight="1" thickBot="1" x14ac:dyDescent="0.3">
      <c r="A37" s="170" t="s">
        <v>11</v>
      </c>
      <c r="B37" s="171"/>
      <c r="C37" s="171"/>
      <c r="D37" s="171"/>
      <c r="E37" s="171"/>
      <c r="F37" s="171"/>
      <c r="G37" s="172"/>
      <c r="H37" s="19"/>
      <c r="I37" s="173" t="s">
        <v>12</v>
      </c>
      <c r="J37" s="174"/>
      <c r="K37" s="174"/>
      <c r="L37" s="174"/>
      <c r="M37" s="175"/>
      <c r="N37" s="19"/>
      <c r="O37" s="157" t="s">
        <v>13</v>
      </c>
      <c r="P37" s="158"/>
      <c r="Q37" s="158"/>
      <c r="R37" s="159"/>
      <c r="S37" s="19"/>
      <c r="T37" s="157" t="s">
        <v>14</v>
      </c>
      <c r="U37" s="158"/>
      <c r="V37" s="158"/>
      <c r="W37" s="158"/>
      <c r="X37" s="159"/>
      <c r="Y37" s="19"/>
      <c r="Z37" s="157" t="s">
        <v>15</v>
      </c>
      <c r="AA37" s="158"/>
      <c r="AB37" s="158"/>
      <c r="AC37" s="158"/>
      <c r="AD37" s="159"/>
      <c r="AF37" s="157" t="s">
        <v>37</v>
      </c>
      <c r="AG37" s="158"/>
      <c r="AH37" s="158"/>
      <c r="AI37" s="158"/>
      <c r="AJ37" s="159"/>
      <c r="AK37" s="20"/>
      <c r="AL37" s="157" t="s">
        <v>17</v>
      </c>
      <c r="AM37" s="158"/>
      <c r="AN37" s="158"/>
      <c r="AO37" s="158"/>
      <c r="AP37" s="159"/>
      <c r="AQ37" s="20"/>
      <c r="AR37" s="157" t="s">
        <v>18</v>
      </c>
      <c r="AS37" s="158"/>
      <c r="AT37" s="158"/>
      <c r="AU37" s="158"/>
      <c r="AV37" s="159"/>
    </row>
    <row r="38" spans="1:49" ht="13.8" thickBot="1" x14ac:dyDescent="0.3">
      <c r="A38" s="196"/>
      <c r="B38" s="197"/>
      <c r="C38" s="197"/>
      <c r="D38" s="198" t="s">
        <v>19</v>
      </c>
      <c r="E38" s="198"/>
      <c r="F38" s="198"/>
      <c r="G38" s="199"/>
      <c r="H38" s="21"/>
      <c r="I38" s="101"/>
      <c r="J38" s="102" t="s">
        <v>20</v>
      </c>
      <c r="K38" s="103" t="s">
        <v>21</v>
      </c>
      <c r="L38" s="103" t="s">
        <v>22</v>
      </c>
      <c r="M38" s="104" t="s">
        <v>23</v>
      </c>
      <c r="N38" s="21"/>
      <c r="O38" s="160"/>
      <c r="P38" s="161"/>
      <c r="Q38" s="161"/>
      <c r="R38" s="162"/>
      <c r="S38" s="21"/>
      <c r="T38" s="160"/>
      <c r="U38" s="161"/>
      <c r="V38" s="161"/>
      <c r="W38" s="161"/>
      <c r="X38" s="162"/>
      <c r="Y38" s="34"/>
      <c r="Z38" s="190"/>
      <c r="AA38" s="191"/>
      <c r="AB38" s="191"/>
      <c r="AC38" s="191"/>
      <c r="AD38" s="192"/>
      <c r="AF38" s="190"/>
      <c r="AG38" s="191"/>
      <c r="AH38" s="191"/>
      <c r="AI38" s="191"/>
      <c r="AJ38" s="192"/>
      <c r="AK38" s="34"/>
      <c r="AL38" s="160"/>
      <c r="AM38" s="161"/>
      <c r="AN38" s="161"/>
      <c r="AO38" s="161"/>
      <c r="AP38" s="162"/>
      <c r="AQ38" s="34"/>
      <c r="AR38" s="160"/>
      <c r="AS38" s="161"/>
      <c r="AT38" s="161"/>
      <c r="AU38" s="161"/>
      <c r="AV38" s="162"/>
    </row>
    <row r="39" spans="1:49" ht="26.4" x14ac:dyDescent="0.25">
      <c r="A39" s="26" t="s">
        <v>24</v>
      </c>
      <c r="B39" s="27" t="s">
        <v>25</v>
      </c>
      <c r="C39" s="27" t="s">
        <v>26</v>
      </c>
      <c r="D39" s="28" t="s">
        <v>20</v>
      </c>
      <c r="E39" s="27" t="s">
        <v>21</v>
      </c>
      <c r="F39" s="27" t="s">
        <v>22</v>
      </c>
      <c r="G39" s="29" t="s">
        <v>23</v>
      </c>
      <c r="H39" s="21"/>
      <c r="I39" s="30" t="s">
        <v>27</v>
      </c>
      <c r="J39" s="31">
        <f ca="1">$E$35/4</f>
        <v>22.85031232669543</v>
      </c>
      <c r="K39" s="31">
        <f t="shared" ref="K39:M39" ca="1" si="26">$E$35/4</f>
        <v>22.85031232669543</v>
      </c>
      <c r="L39" s="31">
        <f t="shared" ca="1" si="26"/>
        <v>22.85031232669543</v>
      </c>
      <c r="M39" s="32">
        <f t="shared" ca="1" si="26"/>
        <v>22.85031232669543</v>
      </c>
      <c r="N39" s="21"/>
      <c r="O39" s="105" t="s">
        <v>20</v>
      </c>
      <c r="P39" s="103" t="s">
        <v>21</v>
      </c>
      <c r="Q39" s="103" t="s">
        <v>22</v>
      </c>
      <c r="R39" s="104" t="s">
        <v>23</v>
      </c>
      <c r="S39" s="21"/>
      <c r="T39" s="105" t="s">
        <v>20</v>
      </c>
      <c r="U39" s="103" t="s">
        <v>21</v>
      </c>
      <c r="V39" s="103" t="s">
        <v>22</v>
      </c>
      <c r="W39" s="103" t="s">
        <v>23</v>
      </c>
      <c r="X39" s="104" t="s">
        <v>28</v>
      </c>
      <c r="Y39" s="21"/>
      <c r="Z39" s="105" t="s">
        <v>20</v>
      </c>
      <c r="AA39" s="103" t="s">
        <v>21</v>
      </c>
      <c r="AB39" s="103" t="s">
        <v>22</v>
      </c>
      <c r="AC39" s="103" t="s">
        <v>23</v>
      </c>
      <c r="AD39" s="104" t="s">
        <v>28</v>
      </c>
      <c r="AF39" s="105" t="s">
        <v>20</v>
      </c>
      <c r="AG39" s="103" t="s">
        <v>21</v>
      </c>
      <c r="AH39" s="103" t="s">
        <v>22</v>
      </c>
      <c r="AI39" s="103" t="s">
        <v>23</v>
      </c>
      <c r="AJ39" s="104" t="s">
        <v>28</v>
      </c>
      <c r="AK39" s="21"/>
      <c r="AL39" s="105" t="s">
        <v>20</v>
      </c>
      <c r="AM39" s="103" t="s">
        <v>21</v>
      </c>
      <c r="AN39" s="103" t="s">
        <v>22</v>
      </c>
      <c r="AO39" s="103" t="s">
        <v>23</v>
      </c>
      <c r="AP39" s="104" t="s">
        <v>28</v>
      </c>
      <c r="AQ39" s="21"/>
      <c r="AR39" s="105" t="s">
        <v>20</v>
      </c>
      <c r="AS39" s="103" t="s">
        <v>21</v>
      </c>
      <c r="AT39" s="103" t="s">
        <v>22</v>
      </c>
      <c r="AU39" s="103" t="s">
        <v>23</v>
      </c>
      <c r="AV39" s="104" t="s">
        <v>28</v>
      </c>
    </row>
    <row r="40" spans="1:49" x14ac:dyDescent="0.25">
      <c r="A40" s="107" t="s">
        <v>47</v>
      </c>
      <c r="B40" s="38">
        <v>4416</v>
      </c>
      <c r="C40" s="38">
        <v>5112</v>
      </c>
      <c r="D40" s="38">
        <v>6181</v>
      </c>
      <c r="E40" s="38">
        <v>4986</v>
      </c>
      <c r="F40" s="38">
        <v>4921</v>
      </c>
      <c r="G40" s="39">
        <v>4858</v>
      </c>
      <c r="H40" s="21"/>
      <c r="I40" s="40">
        <f ca="1">$E$35/6</f>
        <v>15.233541551130287</v>
      </c>
      <c r="J40" s="41">
        <f ca="1">J$39/6</f>
        <v>3.8083853877825717</v>
      </c>
      <c r="K40" s="41">
        <f t="shared" ref="K40:M45" ca="1" si="27">K$39/6</f>
        <v>3.8083853877825717</v>
      </c>
      <c r="L40" s="41">
        <f t="shared" ca="1" si="27"/>
        <v>3.8083853877825717</v>
      </c>
      <c r="M40" s="111">
        <f t="shared" ca="1" si="27"/>
        <v>3.8083853877825717</v>
      </c>
      <c r="N40" s="21"/>
      <c r="O40" s="44">
        <f ca="1">((D40-$C40)/($C40-$B40))</f>
        <v>1.5359195402298851</v>
      </c>
      <c r="P40" s="45">
        <f t="shared" ref="O40:R45" ca="1" si="28">((E40-$C40)/($C40-$B40))</f>
        <v>-0.18103448275862069</v>
      </c>
      <c r="Q40" s="45">
        <f t="shared" ca="1" si="28"/>
        <v>-0.27442528735632182</v>
      </c>
      <c r="R40" s="46">
        <f t="shared" ca="1" si="28"/>
        <v>-0.36494252873563221</v>
      </c>
      <c r="S40" s="21"/>
      <c r="T40" s="47">
        <f t="shared" ref="T40:W45" ca="1" si="29">J40*O40</f>
        <v>5.8493735338212201</v>
      </c>
      <c r="U40" s="42">
        <f t="shared" ca="1" si="29"/>
        <v>-0.68944907882270701</v>
      </c>
      <c r="V40" s="42">
        <f t="shared" ca="1" si="29"/>
        <v>-1.0451172544058493</v>
      </c>
      <c r="W40" s="42">
        <f t="shared" ca="1" si="29"/>
        <v>-1.389841793817203</v>
      </c>
      <c r="X40" s="32">
        <f ca="1">SUMIF(T40:W40,"&gt;0")</f>
        <v>5.8493735338212201</v>
      </c>
      <c r="Y40" s="48"/>
      <c r="Z40" s="47">
        <f ca="1">J40*1</f>
        <v>3.8083853877825717</v>
      </c>
      <c r="AA40" s="42">
        <f t="shared" ref="AA40:AC45" ca="1" si="30">IF(U40&gt;0,U40,0)</f>
        <v>0</v>
      </c>
      <c r="AB40" s="42">
        <f t="shared" ca="1" si="30"/>
        <v>0</v>
      </c>
      <c r="AC40" s="49">
        <f ca="1">IF(W40&gt;0,W40,0)</f>
        <v>0</v>
      </c>
      <c r="AD40" s="32">
        <f ca="1">SUM(Z40:AC40)</f>
        <v>3.8083853877825717</v>
      </c>
      <c r="AE40" s="112"/>
      <c r="AF40" s="57"/>
      <c r="AG40" s="58"/>
      <c r="AH40" s="58"/>
      <c r="AI40" s="58"/>
      <c r="AJ40" s="52"/>
      <c r="AK40" s="98"/>
      <c r="AL40" s="127"/>
      <c r="AM40" s="128"/>
      <c r="AN40" s="128"/>
      <c r="AO40" s="128"/>
      <c r="AP40" s="129"/>
      <c r="AQ40" s="98"/>
      <c r="AR40" s="127"/>
      <c r="AS40" s="128"/>
      <c r="AT40" s="128"/>
      <c r="AU40" s="128"/>
      <c r="AV40" s="129"/>
      <c r="AW40" s="19" t="s">
        <v>30</v>
      </c>
    </row>
    <row r="41" spans="1:49" ht="26.4" x14ac:dyDescent="0.25">
      <c r="A41" s="107" t="s">
        <v>48</v>
      </c>
      <c r="B41" s="38">
        <v>750</v>
      </c>
      <c r="C41" s="38">
        <v>1500</v>
      </c>
      <c r="D41" s="38">
        <v>8105</v>
      </c>
      <c r="E41" s="38">
        <v>868</v>
      </c>
      <c r="F41" s="38">
        <v>698</v>
      </c>
      <c r="G41" s="39">
        <v>2115</v>
      </c>
      <c r="H41" s="21"/>
      <c r="I41" s="40">
        <f t="shared" ref="I41:I45" ca="1" si="31">$E$35/6</f>
        <v>15.233541551130287</v>
      </c>
      <c r="J41" s="41">
        <f t="shared" ref="J41:J45" ca="1" si="32">J$39/6</f>
        <v>3.8083853877825717</v>
      </c>
      <c r="K41" s="41">
        <f t="shared" ca="1" si="27"/>
        <v>3.8083853877825717</v>
      </c>
      <c r="L41" s="41">
        <f t="shared" ca="1" si="27"/>
        <v>3.8083853877825717</v>
      </c>
      <c r="M41" s="111">
        <f t="shared" ca="1" si="27"/>
        <v>3.8083853877825717</v>
      </c>
      <c r="N41" s="21"/>
      <c r="O41" s="44">
        <f ca="1">((D41-$C41)/($C41-$B41))</f>
        <v>8.8066666666666666</v>
      </c>
      <c r="P41" s="45">
        <f t="shared" ca="1" si="28"/>
        <v>-0.84266666666666667</v>
      </c>
      <c r="Q41" s="45">
        <f t="shared" ca="1" si="28"/>
        <v>-1.0693333333333332</v>
      </c>
      <c r="R41" s="130">
        <f ca="1">((G41-$C41)/($C41-$B41))</f>
        <v>0.82</v>
      </c>
      <c r="S41" s="21"/>
      <c r="T41" s="47">
        <f ca="1">J41*O41</f>
        <v>33.539180648405178</v>
      </c>
      <c r="U41" s="42">
        <f t="shared" ca="1" si="29"/>
        <v>-3.2091994201047807</v>
      </c>
      <c r="V41" s="42">
        <f t="shared" ca="1" si="29"/>
        <v>-4.0724334413354963</v>
      </c>
      <c r="W41" s="42">
        <f ca="1">M41*R41</f>
        <v>3.1228760179817088</v>
      </c>
      <c r="X41" s="32">
        <f t="shared" ref="X41:X45" ca="1" si="33">SUMIF(T41:W41,"&gt;0")</f>
        <v>36.662056666386889</v>
      </c>
      <c r="Y41" s="48"/>
      <c r="Z41" s="47">
        <f ca="1">J41*1</f>
        <v>3.8083853877825717</v>
      </c>
      <c r="AA41" s="42">
        <f t="shared" ca="1" si="30"/>
        <v>0</v>
      </c>
      <c r="AB41" s="42">
        <f t="shared" ca="1" si="30"/>
        <v>0</v>
      </c>
      <c r="AC41" s="49">
        <f ca="1">IF(W41&gt;0,W41,0)</f>
        <v>3.1228760179817088</v>
      </c>
      <c r="AD41" s="32">
        <f ca="1">SUM(Z41:AC41)</f>
        <v>6.9312614057642801</v>
      </c>
      <c r="AE41" s="112"/>
      <c r="AF41" s="131">
        <f ca="1">IF(Z41&gt;0,Z41,0)</f>
        <v>3.8083853877825717</v>
      </c>
      <c r="AG41" s="31">
        <f t="shared" ref="AG41:AI41" ca="1" si="34">IF(AA41&gt;0,AA41,0)</f>
        <v>0</v>
      </c>
      <c r="AH41" s="31">
        <f t="shared" ca="1" si="34"/>
        <v>0</v>
      </c>
      <c r="AI41" s="31">
        <f t="shared" ca="1" si="34"/>
        <v>3.1228760179817088</v>
      </c>
      <c r="AJ41" s="32">
        <f t="shared" ref="AJ41" ca="1" si="35">SUM(AF41:AI41)</f>
        <v>6.9312614057642801</v>
      </c>
      <c r="AK41" s="132"/>
      <c r="AL41" s="133">
        <f ca="1">AF$41*0.75</f>
        <v>2.8562890408369288</v>
      </c>
      <c r="AM41" s="128">
        <f t="shared" ref="AM41:AP41" ca="1" si="36">AG$41*0.75</f>
        <v>0</v>
      </c>
      <c r="AN41" s="128">
        <f t="shared" ca="1" si="36"/>
        <v>0</v>
      </c>
      <c r="AO41" s="128">
        <f t="shared" ca="1" si="36"/>
        <v>2.3421570134862817</v>
      </c>
      <c r="AP41" s="129">
        <f t="shared" ca="1" si="36"/>
        <v>5.1984460543232096</v>
      </c>
      <c r="AQ41" s="112"/>
      <c r="AR41" s="133">
        <f ca="1">AL41*(1-AR35)</f>
        <v>3.3310442948909729</v>
      </c>
      <c r="AS41" s="128">
        <f ca="1">AM41*(1-AS35)</f>
        <v>0</v>
      </c>
      <c r="AT41" s="128">
        <f ca="1">AN41*(1-AT35)</f>
        <v>0</v>
      </c>
      <c r="AU41" s="128">
        <f ca="1">AO41*(1-AU35)</f>
        <v>2.6988097810391132</v>
      </c>
      <c r="AV41" s="32">
        <f ca="1">SUM(AR41:AU41)</f>
        <v>6.0298540759300856</v>
      </c>
      <c r="AW41" s="60" t="s">
        <v>49</v>
      </c>
    </row>
    <row r="42" spans="1:49" ht="26.4" x14ac:dyDescent="0.25">
      <c r="A42" s="107" t="s">
        <v>50</v>
      </c>
      <c r="B42" s="108">
        <v>0.23999999999999488</v>
      </c>
      <c r="C42" s="108">
        <v>0.47999999999999488</v>
      </c>
      <c r="D42" s="108">
        <v>0.14000000000000057</v>
      </c>
      <c r="E42" s="108">
        <v>0.20999999999999375</v>
      </c>
      <c r="F42" s="108">
        <v>0.14999999999999147</v>
      </c>
      <c r="G42" s="134">
        <v>0.10999999999999943</v>
      </c>
      <c r="H42" s="21"/>
      <c r="I42" s="40">
        <f t="shared" ca="1" si="31"/>
        <v>15.233541551130287</v>
      </c>
      <c r="J42" s="41">
        <f t="shared" ca="1" si="32"/>
        <v>3.8083853877825717</v>
      </c>
      <c r="K42" s="41">
        <f t="shared" ca="1" si="27"/>
        <v>3.8083853877825717</v>
      </c>
      <c r="L42" s="41">
        <f t="shared" ca="1" si="27"/>
        <v>3.8083853877825717</v>
      </c>
      <c r="M42" s="111">
        <f t="shared" ca="1" si="27"/>
        <v>3.8083853877825717</v>
      </c>
      <c r="N42" s="21"/>
      <c r="O42" s="44">
        <f t="shared" ca="1" si="28"/>
        <v>-1.416666666666643</v>
      </c>
      <c r="P42" s="45">
        <f t="shared" ca="1" si="28"/>
        <v>-1.1250000000000047</v>
      </c>
      <c r="Q42" s="45">
        <f t="shared" ca="1" si="28"/>
        <v>-1.3750000000000142</v>
      </c>
      <c r="R42" s="46">
        <f t="shared" ca="1" si="28"/>
        <v>-1.5416666666666476</v>
      </c>
      <c r="S42" s="21"/>
      <c r="T42" s="47">
        <f ca="1">J42*O42</f>
        <v>-5.3952126326918863</v>
      </c>
      <c r="U42" s="42">
        <f ca="1">K42*P42</f>
        <v>-4.284433561255411</v>
      </c>
      <c r="V42" s="42">
        <f t="shared" ca="1" si="29"/>
        <v>-5.2365299082010903</v>
      </c>
      <c r="W42" s="42">
        <f t="shared" ca="1" si="29"/>
        <v>-5.8712608061647256</v>
      </c>
      <c r="X42" s="32">
        <f t="shared" ca="1" si="33"/>
        <v>0</v>
      </c>
      <c r="Y42" s="48"/>
      <c r="Z42" s="47">
        <f t="shared" ref="Z42:Z45" ca="1" si="37">IF(T42&gt;0,T42,0)</f>
        <v>0</v>
      </c>
      <c r="AA42" s="42">
        <f t="shared" ca="1" si="30"/>
        <v>0</v>
      </c>
      <c r="AB42" s="42">
        <f t="shared" ca="1" si="30"/>
        <v>0</v>
      </c>
      <c r="AC42" s="49">
        <f t="shared" ca="1" si="30"/>
        <v>0</v>
      </c>
      <c r="AD42" s="32">
        <f t="shared" ref="AD42:AD45" ca="1" si="38">SUM(Z42:AC42)</f>
        <v>0</v>
      </c>
      <c r="AE42" s="112"/>
      <c r="AF42" s="57"/>
      <c r="AG42" s="58"/>
      <c r="AH42" s="58"/>
      <c r="AI42" s="58"/>
      <c r="AJ42" s="52"/>
      <c r="AK42" s="113"/>
      <c r="AL42" s="57"/>
      <c r="AM42" s="58"/>
      <c r="AN42" s="58"/>
      <c r="AO42" s="58"/>
      <c r="AP42" s="59"/>
      <c r="AR42" s="135"/>
      <c r="AS42" s="58"/>
      <c r="AT42" s="58"/>
      <c r="AU42" s="58"/>
      <c r="AV42" s="59"/>
      <c r="AW42" s="19" t="s">
        <v>30</v>
      </c>
    </row>
    <row r="43" spans="1:49" ht="26.4" x14ac:dyDescent="0.25">
      <c r="A43" s="107" t="s">
        <v>51</v>
      </c>
      <c r="B43" s="38">
        <v>651</v>
      </c>
      <c r="C43" s="38">
        <v>851</v>
      </c>
      <c r="D43" s="38">
        <v>536</v>
      </c>
      <c r="E43" s="38">
        <v>611</v>
      </c>
      <c r="F43" s="38">
        <v>524</v>
      </c>
      <c r="G43" s="39">
        <v>505</v>
      </c>
      <c r="H43" s="21"/>
      <c r="I43" s="40">
        <f t="shared" ca="1" si="31"/>
        <v>15.233541551130287</v>
      </c>
      <c r="J43" s="41">
        <f t="shared" ca="1" si="32"/>
        <v>3.8083853877825717</v>
      </c>
      <c r="K43" s="41">
        <f t="shared" ca="1" si="27"/>
        <v>3.8083853877825717</v>
      </c>
      <c r="L43" s="41">
        <f t="shared" ca="1" si="27"/>
        <v>3.8083853877825717</v>
      </c>
      <c r="M43" s="111">
        <f t="shared" ca="1" si="27"/>
        <v>3.8083853877825717</v>
      </c>
      <c r="N43" s="21"/>
      <c r="O43" s="44">
        <f t="shared" ca="1" si="28"/>
        <v>-1.575</v>
      </c>
      <c r="P43" s="45">
        <f t="shared" ca="1" si="28"/>
        <v>-1.2</v>
      </c>
      <c r="Q43" s="45">
        <f t="shared" ca="1" si="28"/>
        <v>-1.635</v>
      </c>
      <c r="R43" s="46">
        <f t="shared" ca="1" si="28"/>
        <v>-1.73</v>
      </c>
      <c r="S43" s="21"/>
      <c r="T43" s="47">
        <f t="shared" ref="T43:U45" ca="1" si="39">J43*O43</f>
        <v>-5.99820698575755</v>
      </c>
      <c r="U43" s="42">
        <f t="shared" ca="1" si="39"/>
        <v>-4.5700624653390856</v>
      </c>
      <c r="V43" s="42">
        <f t="shared" ca="1" si="29"/>
        <v>-6.2267101090245047</v>
      </c>
      <c r="W43" s="42">
        <f t="shared" ca="1" si="29"/>
        <v>-6.5885067208638493</v>
      </c>
      <c r="X43" s="32">
        <f t="shared" ca="1" si="33"/>
        <v>0</v>
      </c>
      <c r="Y43" s="48"/>
      <c r="Z43" s="47">
        <f t="shared" ca="1" si="37"/>
        <v>0</v>
      </c>
      <c r="AA43" s="42">
        <f t="shared" ca="1" si="30"/>
        <v>0</v>
      </c>
      <c r="AB43" s="42">
        <f t="shared" ca="1" si="30"/>
        <v>0</v>
      </c>
      <c r="AC43" s="49">
        <f t="shared" ca="1" si="30"/>
        <v>0</v>
      </c>
      <c r="AD43" s="32">
        <f t="shared" ca="1" si="38"/>
        <v>0</v>
      </c>
      <c r="AE43" s="112"/>
      <c r="AF43" s="57"/>
      <c r="AG43" s="58"/>
      <c r="AH43" s="58"/>
      <c r="AI43" s="58"/>
      <c r="AJ43" s="52"/>
      <c r="AK43" s="113"/>
      <c r="AL43" s="57"/>
      <c r="AM43" s="58"/>
      <c r="AN43" s="58"/>
      <c r="AO43" s="58"/>
      <c r="AP43" s="59"/>
      <c r="AQ43" s="98"/>
      <c r="AR43" s="57"/>
      <c r="AS43" s="58"/>
      <c r="AT43" s="58"/>
      <c r="AU43" s="58"/>
      <c r="AV43" s="59"/>
      <c r="AW43" s="19" t="s">
        <v>30</v>
      </c>
    </row>
    <row r="44" spans="1:49" ht="52.8" x14ac:dyDescent="0.25">
      <c r="A44" s="107" t="s">
        <v>52</v>
      </c>
      <c r="B44" s="108">
        <v>0.55500000000000005</v>
      </c>
      <c r="C44" s="108">
        <v>0.66</v>
      </c>
      <c r="D44" s="108">
        <v>0.46</v>
      </c>
      <c r="E44" s="108">
        <v>0.42</v>
      </c>
      <c r="F44" s="108">
        <v>0.45</v>
      </c>
      <c r="G44" s="134">
        <v>0.47</v>
      </c>
      <c r="H44" s="21"/>
      <c r="I44" s="40">
        <f t="shared" ca="1" si="31"/>
        <v>15.233541551130287</v>
      </c>
      <c r="J44" s="41">
        <f t="shared" ca="1" si="32"/>
        <v>3.8083853877825717</v>
      </c>
      <c r="K44" s="41">
        <f t="shared" ca="1" si="27"/>
        <v>3.8083853877825717</v>
      </c>
      <c r="L44" s="41">
        <f t="shared" ca="1" si="27"/>
        <v>3.8083853877825717</v>
      </c>
      <c r="M44" s="111">
        <f t="shared" ca="1" si="27"/>
        <v>3.8083853877825717</v>
      </c>
      <c r="N44" s="21"/>
      <c r="O44" s="44">
        <f t="shared" ca="1" si="28"/>
        <v>-1.9047619047619051</v>
      </c>
      <c r="P44" s="45">
        <f t="shared" ca="1" si="28"/>
        <v>-2.2857142857142865</v>
      </c>
      <c r="Q44" s="45">
        <f t="shared" ca="1" si="28"/>
        <v>-2.0000000000000004</v>
      </c>
      <c r="R44" s="46">
        <f t="shared" ca="1" si="28"/>
        <v>-1.8095238095238104</v>
      </c>
      <c r="S44" s="21"/>
      <c r="T44" s="47">
        <f t="shared" ca="1" si="39"/>
        <v>-7.2540674053001375</v>
      </c>
      <c r="U44" s="42">
        <f t="shared" ca="1" si="39"/>
        <v>-8.7048808863601668</v>
      </c>
      <c r="V44" s="42">
        <f t="shared" ca="1" si="29"/>
        <v>-7.6167707755651453</v>
      </c>
      <c r="W44" s="42">
        <f t="shared" ca="1" si="29"/>
        <v>-6.8913640350351333</v>
      </c>
      <c r="X44" s="32">
        <f t="shared" ca="1" si="33"/>
        <v>0</v>
      </c>
      <c r="Y44" s="48"/>
      <c r="Z44" s="47">
        <f t="shared" ca="1" si="37"/>
        <v>0</v>
      </c>
      <c r="AA44" s="42">
        <f t="shared" ca="1" si="30"/>
        <v>0</v>
      </c>
      <c r="AB44" s="42">
        <f t="shared" ca="1" si="30"/>
        <v>0</v>
      </c>
      <c r="AC44" s="49">
        <f t="shared" ca="1" si="30"/>
        <v>0</v>
      </c>
      <c r="AD44" s="32">
        <f t="shared" ca="1" si="38"/>
        <v>0</v>
      </c>
      <c r="AE44" s="112"/>
      <c r="AF44" s="57"/>
      <c r="AG44" s="58"/>
      <c r="AH44" s="58"/>
      <c r="AI44" s="58"/>
      <c r="AJ44" s="52"/>
      <c r="AK44" s="113"/>
      <c r="AL44" s="57"/>
      <c r="AM44" s="58"/>
      <c r="AN44" s="58"/>
      <c r="AO44" s="58"/>
      <c r="AP44" s="59"/>
      <c r="AQ44" s="98"/>
      <c r="AR44" s="57"/>
      <c r="AS44" s="58"/>
      <c r="AT44" s="58"/>
      <c r="AU44" s="58"/>
      <c r="AV44" s="59"/>
      <c r="AW44" s="19" t="s">
        <v>30</v>
      </c>
    </row>
    <row r="45" spans="1:49" ht="13.8" thickBot="1" x14ac:dyDescent="0.3">
      <c r="A45" s="114" t="s">
        <v>53</v>
      </c>
      <c r="B45" s="136">
        <v>9.9999999999994316E-2</v>
      </c>
      <c r="C45" s="136">
        <v>0.18999999999999773</v>
      </c>
      <c r="D45" s="136">
        <v>4.9999999999997158E-2</v>
      </c>
      <c r="E45" s="136">
        <v>7.000000000000739E-2</v>
      </c>
      <c r="F45" s="136">
        <v>6.0000000000002274E-2</v>
      </c>
      <c r="G45" s="137">
        <v>6.0000000000002274E-2</v>
      </c>
      <c r="H45" s="21"/>
      <c r="I45" s="68">
        <f t="shared" ca="1" si="31"/>
        <v>15.233541551130287</v>
      </c>
      <c r="J45" s="69">
        <f t="shared" ca="1" si="32"/>
        <v>3.8083853877825717</v>
      </c>
      <c r="K45" s="69">
        <f t="shared" ca="1" si="27"/>
        <v>3.8083853877825717</v>
      </c>
      <c r="L45" s="69">
        <f t="shared" ca="1" si="27"/>
        <v>3.8083853877825717</v>
      </c>
      <c r="M45" s="116">
        <f t="shared" ca="1" si="27"/>
        <v>3.8083853877825717</v>
      </c>
      <c r="N45" s="21"/>
      <c r="O45" s="72">
        <f t="shared" ca="1" si="28"/>
        <v>-1.555555555555503</v>
      </c>
      <c r="P45" s="73">
        <f t="shared" ca="1" si="28"/>
        <v>-1.3333333333331754</v>
      </c>
      <c r="Q45" s="73">
        <f t="shared" ca="1" si="28"/>
        <v>-1.4444444444443392</v>
      </c>
      <c r="R45" s="74">
        <f t="shared" ca="1" si="28"/>
        <v>-1.4444444444443392</v>
      </c>
      <c r="S45" s="21"/>
      <c r="T45" s="75">
        <f t="shared" ca="1" si="39"/>
        <v>-5.9241550476615776</v>
      </c>
      <c r="U45" s="76">
        <f t="shared" ca="1" si="39"/>
        <v>-5.0778471837094941</v>
      </c>
      <c r="V45" s="76">
        <f t="shared" ca="1" si="29"/>
        <v>-5.5010011156855363</v>
      </c>
      <c r="W45" s="76">
        <f t="shared" ca="1" si="29"/>
        <v>-5.5010011156855363</v>
      </c>
      <c r="X45" s="77">
        <f t="shared" ca="1" si="33"/>
        <v>0</v>
      </c>
      <c r="Y45" s="48"/>
      <c r="Z45" s="78">
        <f t="shared" ca="1" si="37"/>
        <v>0</v>
      </c>
      <c r="AA45" s="70">
        <f t="shared" ca="1" si="30"/>
        <v>0</v>
      </c>
      <c r="AB45" s="70">
        <f t="shared" ca="1" si="30"/>
        <v>0</v>
      </c>
      <c r="AC45" s="49">
        <f t="shared" ca="1" si="30"/>
        <v>0</v>
      </c>
      <c r="AD45" s="32">
        <f t="shared" ca="1" si="38"/>
        <v>0</v>
      </c>
      <c r="AE45" s="112"/>
      <c r="AF45" s="138"/>
      <c r="AG45" s="139"/>
      <c r="AH45" s="139"/>
      <c r="AI45" s="139"/>
      <c r="AJ45" s="52"/>
      <c r="AK45" s="113"/>
      <c r="AL45" s="140"/>
      <c r="AM45" s="141"/>
      <c r="AN45" s="141"/>
      <c r="AO45" s="141"/>
      <c r="AP45" s="142"/>
      <c r="AR45" s="140"/>
      <c r="AS45" s="141"/>
      <c r="AT45" s="141"/>
      <c r="AU45" s="141"/>
      <c r="AV45" s="142"/>
      <c r="AW45" s="19" t="s">
        <v>30</v>
      </c>
    </row>
    <row r="46" spans="1:49" ht="13.8" thickBot="1" x14ac:dyDescent="0.3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43">
        <f ca="1">SUMIF(T40:T45,"&gt;0")</f>
        <v>39.3885541822264</v>
      </c>
      <c r="U46" s="144">
        <f t="shared" ref="U46:W46" ca="1" si="40">SUMIF(U40:U45,"&gt;0")</f>
        <v>0</v>
      </c>
      <c r="V46" s="144">
        <f t="shared" ca="1" si="40"/>
        <v>0</v>
      </c>
      <c r="W46" s="144">
        <f t="shared" ca="1" si="40"/>
        <v>3.1228760179817088</v>
      </c>
      <c r="X46" s="90">
        <f ca="1">SUMIF(X40:X45,"&gt;0")</f>
        <v>42.51143020020811</v>
      </c>
      <c r="Y46" s="120"/>
      <c r="Z46" s="143">
        <f ca="1">SUMIF(Z40:Z45,"&gt;0")</f>
        <v>7.6167707755651435</v>
      </c>
      <c r="AA46" s="144">
        <f t="shared" ref="AA46:AC46" ca="1" si="41">SUMIF(AA40:AA45,"&gt;0")</f>
        <v>0</v>
      </c>
      <c r="AB46" s="144">
        <f t="shared" ca="1" si="41"/>
        <v>0</v>
      </c>
      <c r="AC46" s="144">
        <f t="shared" ca="1" si="41"/>
        <v>3.1228760179817088</v>
      </c>
      <c r="AD46" s="90">
        <f ca="1">SUMIF(AD40:AD45,"&gt;0")</f>
        <v>10.739646793546852</v>
      </c>
      <c r="AE46" s="112"/>
      <c r="AF46" s="145">
        <f ca="1">SUM(AF40:AF45)</f>
        <v>3.8083853877825717</v>
      </c>
      <c r="AG46" s="146">
        <f t="shared" ref="AG46:AI46" ca="1" si="42">SUM(AG40:AG45)</f>
        <v>0</v>
      </c>
      <c r="AH46" s="146">
        <f t="shared" ca="1" si="42"/>
        <v>0</v>
      </c>
      <c r="AI46" s="146">
        <f t="shared" ca="1" si="42"/>
        <v>3.1228760179817088</v>
      </c>
      <c r="AJ46" s="147">
        <f ca="1">SUM(AF46:AI46)</f>
        <v>6.9312614057642801</v>
      </c>
      <c r="AK46" s="53"/>
      <c r="AL46" s="145">
        <v>0</v>
      </c>
      <c r="AM46" s="146">
        <v>0</v>
      </c>
      <c r="AN46" s="146">
        <v>0</v>
      </c>
      <c r="AO46" s="146">
        <v>0</v>
      </c>
      <c r="AP46" s="147">
        <v>0</v>
      </c>
      <c r="AQ46" s="53"/>
      <c r="AR46" s="145">
        <f ca="1">SUM(AR40:AR45)</f>
        <v>3.3310442948909729</v>
      </c>
      <c r="AS46" s="146">
        <f t="shared" ref="AS46:AU46" ca="1" si="43">SUM(AS40:AS45)</f>
        <v>0</v>
      </c>
      <c r="AT46" s="146">
        <f t="shared" ca="1" si="43"/>
        <v>0</v>
      </c>
      <c r="AU46" s="146">
        <f t="shared" ca="1" si="43"/>
        <v>2.6988097810391132</v>
      </c>
      <c r="AV46" s="147">
        <f ca="1">SUM(AR46:AU46)</f>
        <v>6.0298540759300856</v>
      </c>
    </row>
    <row r="47" spans="1:49" x14ac:dyDescent="0.25"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12"/>
      <c r="AF47" s="53"/>
      <c r="AG47" s="53"/>
      <c r="AH47" s="53"/>
      <c r="AI47" s="53"/>
      <c r="AJ47" s="53"/>
      <c r="AK47" s="98"/>
      <c r="AL47" s="53"/>
      <c r="AM47" s="53"/>
      <c r="AN47" s="53"/>
      <c r="AO47" s="53"/>
      <c r="AP47" s="53"/>
      <c r="AQ47" s="98"/>
    </row>
    <row r="48" spans="1:49" ht="16.2" thickBot="1" x14ac:dyDescent="0.35">
      <c r="A48" s="182" t="s">
        <v>54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21"/>
      <c r="AR48" s="4"/>
      <c r="AS48" s="4"/>
      <c r="AT48" s="4"/>
      <c r="AU48" s="4"/>
      <c r="AV48" s="4"/>
    </row>
    <row r="49" spans="1:49" ht="13.8" thickBot="1" x14ac:dyDescent="0.3">
      <c r="A49" s="184" t="s">
        <v>2</v>
      </c>
      <c r="B49" s="185"/>
      <c r="C49" s="185"/>
      <c r="D49" s="186"/>
      <c r="E49" s="166" t="s">
        <v>3</v>
      </c>
      <c r="F49" s="187" t="s">
        <v>4</v>
      </c>
      <c r="G49" s="169"/>
      <c r="H49" s="19"/>
      <c r="I49" s="19"/>
      <c r="J49" s="188"/>
      <c r="K49" s="189"/>
      <c r="L49" s="96"/>
      <c r="M49" s="96"/>
      <c r="N49" s="21"/>
      <c r="O49" s="21"/>
      <c r="P49" s="21"/>
      <c r="Q49" s="21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49" ht="40.200000000000003" thickBot="1" x14ac:dyDescent="0.3">
      <c r="A50" s="7" t="s">
        <v>5</v>
      </c>
      <c r="B50" s="8" t="s">
        <v>6</v>
      </c>
      <c r="C50" s="8" t="s">
        <v>7</v>
      </c>
      <c r="D50" s="8" t="s">
        <v>8</v>
      </c>
      <c r="E50" s="167"/>
      <c r="F50" s="8" t="s">
        <v>9</v>
      </c>
      <c r="G50" s="11" t="s">
        <v>10</v>
      </c>
      <c r="H50" s="19"/>
      <c r="I50" s="19"/>
      <c r="J50" s="99"/>
      <c r="K50" s="99"/>
      <c r="L50" s="98"/>
      <c r="M50" s="48"/>
      <c r="N50" s="21"/>
      <c r="O50" s="21"/>
      <c r="P50" s="21"/>
      <c r="Q50" s="21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49" ht="13.8" thickBot="1" x14ac:dyDescent="0.3">
      <c r="A51" s="13">
        <v>319.1141212836522</v>
      </c>
      <c r="B51" s="13">
        <v>0</v>
      </c>
      <c r="C51" s="14">
        <f ca="1">A51-B51</f>
        <v>319.1141212836522</v>
      </c>
      <c r="D51" s="14">
        <f ca="1">C51*G51/F51</f>
        <v>325.70857302626126</v>
      </c>
      <c r="E51" s="14">
        <f ca="1">D51*0.5</f>
        <v>162.85428651313063</v>
      </c>
      <c r="F51" s="16">
        <v>111.30000000000001</v>
      </c>
      <c r="G51" s="17">
        <v>113.6</v>
      </c>
      <c r="H51" s="19"/>
      <c r="I51" s="19"/>
      <c r="J51" s="98"/>
      <c r="K51" s="98"/>
      <c r="L51" s="48"/>
      <c r="M51" s="21"/>
      <c r="N51" s="21"/>
      <c r="O51" s="21"/>
      <c r="P51" s="21"/>
      <c r="Q51" s="21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49" ht="13.8" thickBot="1" x14ac:dyDescent="0.3">
      <c r="A52" s="124"/>
      <c r="B52" s="19"/>
      <c r="C52" s="19"/>
      <c r="D52" s="19"/>
      <c r="E52" s="19"/>
      <c r="F52" s="19"/>
      <c r="G52" s="19"/>
      <c r="H52" s="19"/>
      <c r="I52" s="125"/>
      <c r="J52" s="19"/>
      <c r="K52" s="19"/>
      <c r="L52" s="19"/>
      <c r="M52" s="19"/>
      <c r="N52" s="19"/>
      <c r="O52" s="200"/>
      <c r="P52" s="200"/>
      <c r="Q52" s="200"/>
      <c r="R52" s="200"/>
      <c r="S52" s="19"/>
      <c r="T52" s="201"/>
      <c r="U52" s="201"/>
      <c r="V52" s="201"/>
      <c r="W52" s="201"/>
      <c r="X52" s="201"/>
      <c r="Y52" s="126"/>
      <c r="Z52" s="126"/>
      <c r="AA52" s="126"/>
      <c r="AB52" s="126"/>
      <c r="AC52" s="126"/>
      <c r="AD52" s="126"/>
    </row>
    <row r="53" spans="1:49" ht="78" customHeight="1" thickBot="1" x14ac:dyDescent="0.3">
      <c r="A53" s="170" t="s">
        <v>11</v>
      </c>
      <c r="B53" s="171"/>
      <c r="C53" s="171"/>
      <c r="D53" s="171"/>
      <c r="E53" s="171"/>
      <c r="F53" s="171"/>
      <c r="G53" s="172"/>
      <c r="H53" s="19"/>
      <c r="I53" s="173" t="s">
        <v>12</v>
      </c>
      <c r="J53" s="174"/>
      <c r="K53" s="174"/>
      <c r="L53" s="174"/>
      <c r="M53" s="175"/>
      <c r="N53" s="19"/>
      <c r="O53" s="157" t="s">
        <v>13</v>
      </c>
      <c r="P53" s="158"/>
      <c r="Q53" s="158"/>
      <c r="R53" s="159"/>
      <c r="S53" s="19"/>
      <c r="T53" s="157" t="s">
        <v>14</v>
      </c>
      <c r="U53" s="158"/>
      <c r="V53" s="158"/>
      <c r="W53" s="158"/>
      <c r="X53" s="159"/>
      <c r="Y53" s="19"/>
      <c r="Z53" s="157" t="s">
        <v>15</v>
      </c>
      <c r="AA53" s="158"/>
      <c r="AB53" s="158"/>
      <c r="AC53" s="158"/>
      <c r="AD53" s="159"/>
      <c r="AF53" s="157" t="s">
        <v>37</v>
      </c>
      <c r="AG53" s="158"/>
      <c r="AH53" s="158"/>
      <c r="AI53" s="158"/>
      <c r="AJ53" s="159"/>
      <c r="AK53" s="20"/>
      <c r="AL53" s="157" t="s">
        <v>17</v>
      </c>
      <c r="AM53" s="158"/>
      <c r="AN53" s="158"/>
      <c r="AO53" s="158"/>
      <c r="AP53" s="159"/>
      <c r="AQ53" s="20"/>
      <c r="AR53" s="157" t="s">
        <v>18</v>
      </c>
      <c r="AS53" s="158"/>
      <c r="AT53" s="158"/>
      <c r="AU53" s="158"/>
      <c r="AV53" s="159"/>
    </row>
    <row r="54" spans="1:49" ht="13.8" thickBot="1" x14ac:dyDescent="0.3">
      <c r="A54" s="196"/>
      <c r="B54" s="197"/>
      <c r="C54" s="197"/>
      <c r="D54" s="198" t="s">
        <v>19</v>
      </c>
      <c r="E54" s="198"/>
      <c r="F54" s="198"/>
      <c r="G54" s="199"/>
      <c r="H54" s="21"/>
      <c r="I54" s="101"/>
      <c r="J54" s="102" t="s">
        <v>20</v>
      </c>
      <c r="K54" s="103" t="s">
        <v>21</v>
      </c>
      <c r="L54" s="103" t="s">
        <v>22</v>
      </c>
      <c r="M54" s="104" t="s">
        <v>23</v>
      </c>
      <c r="N54" s="21"/>
      <c r="O54" s="160"/>
      <c r="P54" s="161"/>
      <c r="Q54" s="161"/>
      <c r="R54" s="162"/>
      <c r="S54" s="21"/>
      <c r="T54" s="160"/>
      <c r="U54" s="161"/>
      <c r="V54" s="161"/>
      <c r="W54" s="161"/>
      <c r="X54" s="162"/>
      <c r="Y54" s="34"/>
      <c r="Z54" s="190"/>
      <c r="AA54" s="191"/>
      <c r="AB54" s="191"/>
      <c r="AC54" s="191"/>
      <c r="AD54" s="192"/>
      <c r="AF54" s="160"/>
      <c r="AG54" s="161"/>
      <c r="AH54" s="161"/>
      <c r="AI54" s="161"/>
      <c r="AJ54" s="162"/>
      <c r="AK54" s="34"/>
      <c r="AL54" s="160"/>
      <c r="AM54" s="161"/>
      <c r="AN54" s="161"/>
      <c r="AO54" s="161"/>
      <c r="AP54" s="162"/>
      <c r="AQ54" s="34"/>
      <c r="AR54" s="160"/>
      <c r="AS54" s="161"/>
      <c r="AT54" s="161"/>
      <c r="AU54" s="161"/>
      <c r="AV54" s="162"/>
    </row>
    <row r="55" spans="1:49" ht="26.4" x14ac:dyDescent="0.25">
      <c r="A55" s="26" t="s">
        <v>24</v>
      </c>
      <c r="B55" s="27" t="s">
        <v>25</v>
      </c>
      <c r="C55" s="27" t="s">
        <v>26</v>
      </c>
      <c r="D55" s="28" t="s">
        <v>20</v>
      </c>
      <c r="E55" s="27" t="s">
        <v>21</v>
      </c>
      <c r="F55" s="27" t="s">
        <v>22</v>
      </c>
      <c r="G55" s="29" t="s">
        <v>23</v>
      </c>
      <c r="H55" s="21"/>
      <c r="I55" s="30" t="s">
        <v>27</v>
      </c>
      <c r="J55" s="31">
        <f ca="1">$E$51/4</f>
        <v>40.713571628282658</v>
      </c>
      <c r="K55" s="31">
        <f t="shared" ref="K55:M55" ca="1" si="44">$E$51/4</f>
        <v>40.713571628282658</v>
      </c>
      <c r="L55" s="31">
        <f t="shared" ca="1" si="44"/>
        <v>40.713571628282658</v>
      </c>
      <c r="M55" s="32">
        <f t="shared" ca="1" si="44"/>
        <v>40.713571628282658</v>
      </c>
      <c r="N55" s="21"/>
      <c r="O55" s="105" t="s">
        <v>20</v>
      </c>
      <c r="P55" s="103" t="s">
        <v>21</v>
      </c>
      <c r="Q55" s="103" t="s">
        <v>22</v>
      </c>
      <c r="R55" s="104" t="s">
        <v>23</v>
      </c>
      <c r="S55" s="21"/>
      <c r="T55" s="105" t="s">
        <v>20</v>
      </c>
      <c r="U55" s="103" t="s">
        <v>21</v>
      </c>
      <c r="V55" s="103" t="s">
        <v>22</v>
      </c>
      <c r="W55" s="148" t="s">
        <v>23</v>
      </c>
      <c r="X55" s="104" t="s">
        <v>28</v>
      </c>
      <c r="Y55" s="21"/>
      <c r="Z55" s="105" t="s">
        <v>20</v>
      </c>
      <c r="AA55" s="103" t="s">
        <v>21</v>
      </c>
      <c r="AB55" s="103" t="s">
        <v>22</v>
      </c>
      <c r="AC55" s="103" t="s">
        <v>23</v>
      </c>
      <c r="AD55" s="104" t="s">
        <v>28</v>
      </c>
      <c r="AF55" s="105" t="s">
        <v>20</v>
      </c>
      <c r="AG55" s="103" t="s">
        <v>21</v>
      </c>
      <c r="AH55" s="103" t="s">
        <v>22</v>
      </c>
      <c r="AI55" s="103" t="s">
        <v>23</v>
      </c>
      <c r="AJ55" s="104" t="s">
        <v>28</v>
      </c>
      <c r="AK55" s="21"/>
      <c r="AL55" s="105" t="s">
        <v>20</v>
      </c>
      <c r="AM55" s="103" t="s">
        <v>21</v>
      </c>
      <c r="AN55" s="103" t="s">
        <v>22</v>
      </c>
      <c r="AO55" s="103" t="s">
        <v>23</v>
      </c>
      <c r="AP55" s="104" t="s">
        <v>28</v>
      </c>
      <c r="AQ55" s="21"/>
      <c r="AR55" s="105" t="s">
        <v>20</v>
      </c>
      <c r="AS55" s="103" t="s">
        <v>21</v>
      </c>
      <c r="AT55" s="103" t="s">
        <v>22</v>
      </c>
      <c r="AU55" s="103" t="s">
        <v>23</v>
      </c>
      <c r="AV55" s="104" t="s">
        <v>28</v>
      </c>
    </row>
    <row r="56" spans="1:49" ht="52.8" x14ac:dyDescent="0.25">
      <c r="A56" s="107" t="s">
        <v>55</v>
      </c>
      <c r="B56" s="108">
        <v>0.02</v>
      </c>
      <c r="C56" s="108">
        <v>0.04</v>
      </c>
      <c r="D56" s="108">
        <v>0.04</v>
      </c>
      <c r="E56" s="108">
        <v>0.02</v>
      </c>
      <c r="F56" s="108">
        <v>0.01</v>
      </c>
      <c r="G56" s="134">
        <v>0.03</v>
      </c>
      <c r="H56" s="21"/>
      <c r="I56" s="40">
        <f ca="1">$E$51/5</f>
        <v>32.570857302626123</v>
      </c>
      <c r="J56" s="41">
        <f ca="1">J$55/5</f>
        <v>8.1427143256565309</v>
      </c>
      <c r="K56" s="41">
        <f t="shared" ref="K56:M60" ca="1" si="45">K$55/5</f>
        <v>8.1427143256565309</v>
      </c>
      <c r="L56" s="41">
        <f t="shared" ca="1" si="45"/>
        <v>8.1427143256565309</v>
      </c>
      <c r="M56" s="111">
        <f t="shared" ca="1" si="45"/>
        <v>8.1427143256565309</v>
      </c>
      <c r="N56" s="21"/>
      <c r="O56" s="44">
        <f ca="1">((D56-$C56)/($C56-$B56))</f>
        <v>0</v>
      </c>
      <c r="P56" s="45">
        <f ca="1">((E56-$C56)/($C56-$B56))</f>
        <v>-1</v>
      </c>
      <c r="Q56" s="45">
        <f ca="1">((F56-$C56)/($C56-$B56))</f>
        <v>-1.5</v>
      </c>
      <c r="R56" s="46">
        <f ca="1">((G56-$C56)/($C56-$B56))</f>
        <v>-0.50000000000000011</v>
      </c>
      <c r="S56" s="21"/>
      <c r="T56" s="47">
        <f ca="1">J56*O56</f>
        <v>0</v>
      </c>
      <c r="U56" s="42">
        <f ca="1">K56*P56</f>
        <v>-8.1427143256565309</v>
      </c>
      <c r="V56" s="42">
        <f ca="1">L56*Q56</f>
        <v>-12.214071488484796</v>
      </c>
      <c r="W56" s="42">
        <f t="shared" ref="T56:W60" ca="1" si="46">M56*R56</f>
        <v>-4.0713571628282663</v>
      </c>
      <c r="X56" s="32">
        <f ca="1">SUMIF(T56:W56,"&gt;0")</f>
        <v>0</v>
      </c>
      <c r="Y56" s="48"/>
      <c r="Z56" s="47">
        <f ca="1">IF(T56&gt;0,T56,0)</f>
        <v>0</v>
      </c>
      <c r="AA56" s="42">
        <f t="shared" ref="AA56:AC60" ca="1" si="47">IF(U56&gt;0,U56,0)</f>
        <v>0</v>
      </c>
      <c r="AB56" s="42">
        <f t="shared" ca="1" si="47"/>
        <v>0</v>
      </c>
      <c r="AC56" s="49">
        <f t="shared" ca="1" si="47"/>
        <v>0</v>
      </c>
      <c r="AD56" s="32">
        <f ca="1">SUMIF(Z56:AC56,"&gt;0")</f>
        <v>0</v>
      </c>
      <c r="AF56" s="61"/>
      <c r="AG56" s="62"/>
      <c r="AH56" s="62"/>
      <c r="AI56" s="62"/>
      <c r="AJ56" s="52"/>
      <c r="AK56" s="113"/>
      <c r="AL56" s="135"/>
      <c r="AM56" s="58"/>
      <c r="AN56" s="58"/>
      <c r="AO56" s="58"/>
      <c r="AP56" s="52"/>
      <c r="AR56" s="57"/>
      <c r="AS56" s="58"/>
      <c r="AT56" s="58"/>
      <c r="AU56" s="58"/>
      <c r="AV56" s="52"/>
      <c r="AW56" s="19" t="s">
        <v>30</v>
      </c>
    </row>
    <row r="57" spans="1:49" ht="52.8" x14ac:dyDescent="0.25">
      <c r="A57" s="107" t="s">
        <v>56</v>
      </c>
      <c r="B57" s="108">
        <v>0.1</v>
      </c>
      <c r="C57" s="108">
        <v>0.52</v>
      </c>
      <c r="D57" s="108">
        <v>0</v>
      </c>
      <c r="E57" s="108">
        <v>0</v>
      </c>
      <c r="F57" s="108">
        <v>0</v>
      </c>
      <c r="G57" s="134">
        <v>0</v>
      </c>
      <c r="H57" s="21"/>
      <c r="I57" s="40">
        <f t="shared" ref="I57:I60" ca="1" si="48">$E$51/5</f>
        <v>32.570857302626123</v>
      </c>
      <c r="J57" s="41">
        <f t="shared" ref="J57:J60" ca="1" si="49">J$55/5</f>
        <v>8.1427143256565309</v>
      </c>
      <c r="K57" s="41">
        <f t="shared" ca="1" si="45"/>
        <v>8.1427143256565309</v>
      </c>
      <c r="L57" s="41">
        <f t="shared" ca="1" si="45"/>
        <v>8.1427143256565309</v>
      </c>
      <c r="M57" s="111">
        <f t="shared" ca="1" si="45"/>
        <v>8.1427143256565309</v>
      </c>
      <c r="N57" s="21"/>
      <c r="O57" s="44">
        <f t="shared" ref="O57:R60" ca="1" si="50">((D57-$C57)/($C57-$B57))</f>
        <v>-1.2380952380952379</v>
      </c>
      <c r="P57" s="45">
        <f t="shared" ca="1" si="50"/>
        <v>-1.2380952380952379</v>
      </c>
      <c r="Q57" s="45">
        <f t="shared" ca="1" si="50"/>
        <v>-1.2380952380952379</v>
      </c>
      <c r="R57" s="46">
        <f t="shared" ca="1" si="50"/>
        <v>-1.2380952380952379</v>
      </c>
      <c r="S57" s="21"/>
      <c r="T57" s="47">
        <f t="shared" ca="1" si="46"/>
        <v>-10.081455831765227</v>
      </c>
      <c r="U57" s="42">
        <f t="shared" ca="1" si="46"/>
        <v>-10.081455831765227</v>
      </c>
      <c r="V57" s="42">
        <f t="shared" ca="1" si="46"/>
        <v>-10.081455831765227</v>
      </c>
      <c r="W57" s="42">
        <f t="shared" ca="1" si="46"/>
        <v>-10.081455831765227</v>
      </c>
      <c r="X57" s="32">
        <f ca="1">SUMIF(T57:W57,"&gt;0")</f>
        <v>0</v>
      </c>
      <c r="Y57" s="48"/>
      <c r="Z57" s="47">
        <f t="shared" ref="Z57:Z60" ca="1" si="51">IF(T57&gt;0,T57,0)</f>
        <v>0</v>
      </c>
      <c r="AA57" s="42">
        <f t="shared" ca="1" si="47"/>
        <v>0</v>
      </c>
      <c r="AB57" s="42">
        <f t="shared" ca="1" si="47"/>
        <v>0</v>
      </c>
      <c r="AC57" s="49">
        <f t="shared" ca="1" si="47"/>
        <v>0</v>
      </c>
      <c r="AD57" s="32">
        <f t="shared" ref="AD57:AD60" ca="1" si="52">SUMIF(Z57:AC57,"&gt;0")</f>
        <v>0</v>
      </c>
      <c r="AF57" s="61"/>
      <c r="AG57" s="62"/>
      <c r="AH57" s="62"/>
      <c r="AI57" s="62"/>
      <c r="AJ57" s="52"/>
      <c r="AK57" s="113"/>
      <c r="AL57" s="57"/>
      <c r="AM57" s="58"/>
      <c r="AN57" s="58"/>
      <c r="AO57" s="58"/>
      <c r="AP57" s="52"/>
      <c r="AQ57" s="98"/>
      <c r="AR57" s="57"/>
      <c r="AS57" s="58"/>
      <c r="AT57" s="58"/>
      <c r="AU57" s="58"/>
      <c r="AV57" s="52"/>
      <c r="AW57" s="19" t="s">
        <v>30</v>
      </c>
    </row>
    <row r="58" spans="1:49" ht="39.6" x14ac:dyDescent="0.25">
      <c r="A58" s="107" t="s">
        <v>57</v>
      </c>
      <c r="B58" s="38">
        <v>0</v>
      </c>
      <c r="C58" s="38">
        <v>1</v>
      </c>
      <c r="D58" s="38">
        <v>0</v>
      </c>
      <c r="E58" s="38">
        <v>0</v>
      </c>
      <c r="F58" s="38">
        <v>1</v>
      </c>
      <c r="G58" s="39">
        <v>0</v>
      </c>
      <c r="H58" s="21"/>
      <c r="I58" s="40">
        <f t="shared" ca="1" si="48"/>
        <v>32.570857302626123</v>
      </c>
      <c r="J58" s="41">
        <f t="shared" ca="1" si="49"/>
        <v>8.1427143256565309</v>
      </c>
      <c r="K58" s="41">
        <f t="shared" ca="1" si="45"/>
        <v>8.1427143256565309</v>
      </c>
      <c r="L58" s="41">
        <f t="shared" ca="1" si="45"/>
        <v>8.1427143256565309</v>
      </c>
      <c r="M58" s="111">
        <f t="shared" ca="1" si="45"/>
        <v>8.1427143256565309</v>
      </c>
      <c r="N58" s="21"/>
      <c r="O58" s="44">
        <f t="shared" ca="1" si="50"/>
        <v>-1</v>
      </c>
      <c r="P58" s="45">
        <f t="shared" ca="1" si="50"/>
        <v>-1</v>
      </c>
      <c r="Q58" s="45">
        <f t="shared" ca="1" si="50"/>
        <v>0</v>
      </c>
      <c r="R58" s="46">
        <f t="shared" ca="1" si="50"/>
        <v>-1</v>
      </c>
      <c r="S58" s="21"/>
      <c r="T58" s="47">
        <f ca="1">J58*O58</f>
        <v>-8.1427143256565309</v>
      </c>
      <c r="U58" s="42">
        <f ca="1">K58*P58</f>
        <v>-8.1427143256565309</v>
      </c>
      <c r="V58" s="42">
        <f t="shared" ca="1" si="46"/>
        <v>0</v>
      </c>
      <c r="W58" s="42">
        <f t="shared" ca="1" si="46"/>
        <v>-8.1427143256565309</v>
      </c>
      <c r="X58" s="32">
        <f ca="1">SUMIF(T58:W58,"&gt;0")</f>
        <v>0</v>
      </c>
      <c r="Y58" s="48"/>
      <c r="Z58" s="47">
        <f t="shared" ca="1" si="51"/>
        <v>0</v>
      </c>
      <c r="AA58" s="42">
        <f t="shared" ca="1" si="47"/>
        <v>0</v>
      </c>
      <c r="AB58" s="42">
        <f t="shared" ca="1" si="47"/>
        <v>0</v>
      </c>
      <c r="AC58" s="49">
        <f t="shared" ca="1" si="47"/>
        <v>0</v>
      </c>
      <c r="AD58" s="32">
        <f t="shared" ca="1" si="52"/>
        <v>0</v>
      </c>
      <c r="AF58" s="61"/>
      <c r="AG58" s="62"/>
      <c r="AH58" s="62"/>
      <c r="AI58" s="62"/>
      <c r="AJ58" s="52"/>
      <c r="AK58" s="113"/>
      <c r="AL58" s="57"/>
      <c r="AM58" s="58"/>
      <c r="AN58" s="58"/>
      <c r="AO58" s="58"/>
      <c r="AP58" s="52"/>
      <c r="AQ58" s="98"/>
      <c r="AR58" s="57"/>
      <c r="AS58" s="58"/>
      <c r="AT58" s="58"/>
      <c r="AU58" s="58"/>
      <c r="AV58" s="52"/>
      <c r="AW58" s="19" t="s">
        <v>30</v>
      </c>
    </row>
    <row r="59" spans="1:49" ht="26.4" x14ac:dyDescent="0.25">
      <c r="A59" s="107" t="s">
        <v>58</v>
      </c>
      <c r="B59" s="38">
        <v>0</v>
      </c>
      <c r="C59" s="38">
        <v>1</v>
      </c>
      <c r="D59" s="38">
        <v>0</v>
      </c>
      <c r="E59" s="38">
        <v>0</v>
      </c>
      <c r="F59" s="38">
        <v>0</v>
      </c>
      <c r="G59" s="39">
        <v>0</v>
      </c>
      <c r="H59" s="21"/>
      <c r="I59" s="40">
        <f t="shared" ca="1" si="48"/>
        <v>32.570857302626123</v>
      </c>
      <c r="J59" s="41">
        <f t="shared" ca="1" si="49"/>
        <v>8.1427143256565309</v>
      </c>
      <c r="K59" s="41">
        <f t="shared" ca="1" si="45"/>
        <v>8.1427143256565309</v>
      </c>
      <c r="L59" s="41">
        <f t="shared" ca="1" si="45"/>
        <v>8.1427143256565309</v>
      </c>
      <c r="M59" s="111">
        <f t="shared" ca="1" si="45"/>
        <v>8.1427143256565309</v>
      </c>
      <c r="N59" s="21"/>
      <c r="O59" s="44">
        <f t="shared" ca="1" si="50"/>
        <v>-1</v>
      </c>
      <c r="P59" s="45">
        <f t="shared" ca="1" si="50"/>
        <v>-1</v>
      </c>
      <c r="Q59" s="45">
        <f t="shared" ca="1" si="50"/>
        <v>-1</v>
      </c>
      <c r="R59" s="46">
        <f t="shared" ca="1" si="50"/>
        <v>-1</v>
      </c>
      <c r="S59" s="21"/>
      <c r="T59" s="47">
        <f t="shared" ref="T59:U60" ca="1" si="53">J59*O59</f>
        <v>-8.1427143256565309</v>
      </c>
      <c r="U59" s="42">
        <f t="shared" ca="1" si="53"/>
        <v>-8.1427143256565309</v>
      </c>
      <c r="V59" s="42">
        <f t="shared" ca="1" si="46"/>
        <v>-8.1427143256565309</v>
      </c>
      <c r="W59" s="42">
        <f t="shared" ca="1" si="46"/>
        <v>-8.1427143256565309</v>
      </c>
      <c r="X59" s="32">
        <f ca="1">SUMIF(T59:W59,"&gt;0")</f>
        <v>0</v>
      </c>
      <c r="Y59" s="48"/>
      <c r="Z59" s="47">
        <f t="shared" ca="1" si="51"/>
        <v>0</v>
      </c>
      <c r="AA59" s="42">
        <f t="shared" ca="1" si="47"/>
        <v>0</v>
      </c>
      <c r="AB59" s="42">
        <f t="shared" ca="1" si="47"/>
        <v>0</v>
      </c>
      <c r="AC59" s="49">
        <f t="shared" ca="1" si="47"/>
        <v>0</v>
      </c>
      <c r="AD59" s="32">
        <f t="shared" ca="1" si="52"/>
        <v>0</v>
      </c>
      <c r="AF59" s="61"/>
      <c r="AG59" s="62"/>
      <c r="AH59" s="62"/>
      <c r="AI59" s="62"/>
      <c r="AJ59" s="52"/>
      <c r="AK59" s="113"/>
      <c r="AL59" s="57"/>
      <c r="AM59" s="58"/>
      <c r="AN59" s="58"/>
      <c r="AO59" s="58"/>
      <c r="AP59" s="52"/>
      <c r="AQ59" s="98"/>
      <c r="AR59" s="57"/>
      <c r="AS59" s="58"/>
      <c r="AT59" s="58"/>
      <c r="AU59" s="58"/>
      <c r="AV59" s="52"/>
      <c r="AW59" s="19" t="s">
        <v>30</v>
      </c>
    </row>
    <row r="60" spans="1:49" ht="27" thickBot="1" x14ac:dyDescent="0.3">
      <c r="A60" s="114" t="s">
        <v>40</v>
      </c>
      <c r="B60" s="66">
        <v>21239</v>
      </c>
      <c r="C60" s="66">
        <v>25486.799999999999</v>
      </c>
      <c r="D60" s="66">
        <v>19486</v>
      </c>
      <c r="E60" s="66">
        <v>17009</v>
      </c>
      <c r="F60" s="66">
        <v>17507</v>
      </c>
      <c r="G60" s="115">
        <v>17546</v>
      </c>
      <c r="H60" s="21"/>
      <c r="I60" s="68">
        <f t="shared" ca="1" si="48"/>
        <v>32.570857302626123</v>
      </c>
      <c r="J60" s="69">
        <f t="shared" ca="1" si="49"/>
        <v>8.1427143256565309</v>
      </c>
      <c r="K60" s="69">
        <f t="shared" ca="1" si="45"/>
        <v>8.1427143256565309</v>
      </c>
      <c r="L60" s="69">
        <f t="shared" ca="1" si="45"/>
        <v>8.1427143256565309</v>
      </c>
      <c r="M60" s="116">
        <f t="shared" ca="1" si="45"/>
        <v>8.1427143256565309</v>
      </c>
      <c r="N60" s="21"/>
      <c r="O60" s="72">
        <f t="shared" ca="1" si="50"/>
        <v>-1.4126842130043789</v>
      </c>
      <c r="P60" s="73">
        <f t="shared" ca="1" si="50"/>
        <v>-1.9958095955553465</v>
      </c>
      <c r="Q60" s="73">
        <f t="shared" ca="1" si="50"/>
        <v>-1.8785724374970574</v>
      </c>
      <c r="R60" s="74">
        <f ca="1">((G60-$C60)/($C60-$B60))</f>
        <v>-1.8693912142756253</v>
      </c>
      <c r="S60" s="21"/>
      <c r="T60" s="78">
        <f t="shared" ca="1" si="53"/>
        <v>-11.503083978859578</v>
      </c>
      <c r="U60" s="70">
        <f t="shared" ca="1" si="53"/>
        <v>-16.251307385011287</v>
      </c>
      <c r="V60" s="70">
        <f t="shared" ca="1" si="46"/>
        <v>-15.296678698590798</v>
      </c>
      <c r="W60" s="70">
        <f t="shared" ca="1" si="46"/>
        <v>-15.221918620738592</v>
      </c>
      <c r="X60" s="32">
        <f ca="1">SUMIF(T60:W60,"&gt;0")</f>
        <v>0</v>
      </c>
      <c r="Y60" s="48"/>
      <c r="Z60" s="78">
        <f t="shared" ca="1" si="51"/>
        <v>0</v>
      </c>
      <c r="AA60" s="70">
        <f t="shared" ca="1" si="47"/>
        <v>0</v>
      </c>
      <c r="AB60" s="70">
        <f t="shared" ca="1" si="47"/>
        <v>0</v>
      </c>
      <c r="AC60" s="49">
        <f t="shared" ca="1" si="47"/>
        <v>0</v>
      </c>
      <c r="AD60" s="77">
        <f t="shared" ca="1" si="52"/>
        <v>0</v>
      </c>
      <c r="AF60" s="149"/>
      <c r="AG60" s="150"/>
      <c r="AH60" s="150"/>
      <c r="AI60" s="150"/>
      <c r="AJ60" s="82"/>
      <c r="AK60" s="113"/>
      <c r="AL60" s="138"/>
      <c r="AM60" s="139"/>
      <c r="AN60" s="139"/>
      <c r="AO60" s="139"/>
      <c r="AP60" s="82"/>
      <c r="AQ60" s="98"/>
      <c r="AR60" s="138"/>
      <c r="AS60" s="139"/>
      <c r="AT60" s="139"/>
      <c r="AU60" s="139"/>
      <c r="AV60" s="82"/>
      <c r="AW60" s="19" t="s">
        <v>30</v>
      </c>
    </row>
    <row r="61" spans="1:49" ht="13.8" thickBot="1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43">
        <f ca="1">SUMIF(T55:T60,"&gt;0")</f>
        <v>0</v>
      </c>
      <c r="U61" s="144">
        <f t="shared" ref="U61:W61" ca="1" si="54">SUMIF(U55:U60,"&gt;0")</f>
        <v>0</v>
      </c>
      <c r="V61" s="144">
        <f t="shared" ca="1" si="54"/>
        <v>0</v>
      </c>
      <c r="W61" s="144">
        <f t="shared" ca="1" si="54"/>
        <v>0</v>
      </c>
      <c r="X61" s="90">
        <f ca="1">SUMIF(X55:X60,"&gt;0")</f>
        <v>0</v>
      </c>
      <c r="Y61" s="19"/>
      <c r="Z61" s="143">
        <f ca="1">SUMIF(Z56:Z60,"&gt;0")</f>
        <v>0</v>
      </c>
      <c r="AA61" s="144">
        <f t="shared" ref="AA61:AD61" ca="1" si="55">SUMIF(AA56:AA60,"&gt;0")</f>
        <v>0</v>
      </c>
      <c r="AB61" s="144">
        <f t="shared" ca="1" si="55"/>
        <v>0</v>
      </c>
      <c r="AC61" s="144">
        <f t="shared" ca="1" si="55"/>
        <v>0</v>
      </c>
      <c r="AD61" s="90">
        <f t="shared" ca="1" si="55"/>
        <v>0</v>
      </c>
      <c r="AF61" s="91">
        <f ca="1">SUM(AF56:AF60)</f>
        <v>0</v>
      </c>
      <c r="AG61" s="92">
        <f t="shared" ref="AG61:AJ61" ca="1" si="56">SUM(AG56:AG60)</f>
        <v>0</v>
      </c>
      <c r="AH61" s="92">
        <f t="shared" ca="1" si="56"/>
        <v>0</v>
      </c>
      <c r="AI61" s="92">
        <f t="shared" ca="1" si="56"/>
        <v>0</v>
      </c>
      <c r="AJ61" s="93">
        <f t="shared" ca="1" si="56"/>
        <v>0</v>
      </c>
      <c r="AK61" s="113"/>
      <c r="AL61" s="151">
        <f ca="1">SUM(AL56:AL60)</f>
        <v>0</v>
      </c>
      <c r="AM61" s="152">
        <f t="shared" ref="AM61:AP61" ca="1" si="57">SUM(AM56:AM60)</f>
        <v>0</v>
      </c>
      <c r="AN61" s="152">
        <f t="shared" ca="1" si="57"/>
        <v>0</v>
      </c>
      <c r="AO61" s="152">
        <f t="shared" ca="1" si="57"/>
        <v>0</v>
      </c>
      <c r="AP61" s="93">
        <f t="shared" ca="1" si="57"/>
        <v>0</v>
      </c>
      <c r="AQ61" s="98"/>
      <c r="AR61" s="151">
        <f ca="1">SUM(AR56:AR60)</f>
        <v>0</v>
      </c>
      <c r="AS61" s="152">
        <f t="shared" ref="AS61:AV61" ca="1" si="58">SUM(AS56:AS60)</f>
        <v>0</v>
      </c>
      <c r="AT61" s="152">
        <f t="shared" ca="1" si="58"/>
        <v>0</v>
      </c>
      <c r="AU61" s="152">
        <f t="shared" ca="1" si="58"/>
        <v>0</v>
      </c>
      <c r="AV61" s="93">
        <f t="shared" ca="1" si="58"/>
        <v>0</v>
      </c>
    </row>
    <row r="62" spans="1:49" x14ac:dyDescent="0.25">
      <c r="A62" s="153" t="s">
        <v>59</v>
      </c>
      <c r="B62" s="154" t="s">
        <v>60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49" x14ac:dyDescent="0.25">
      <c r="A63" s="153" t="s">
        <v>61</v>
      </c>
      <c r="B63" s="155">
        <v>42475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49" x14ac:dyDescent="0.25">
      <c r="A64" s="153" t="s">
        <v>62</v>
      </c>
      <c r="B64" s="154" t="s">
        <v>60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L64" s="156"/>
      <c r="AM64" s="156"/>
      <c r="AN64" s="156"/>
      <c r="AO64" s="156"/>
    </row>
    <row r="65" spans="1:42" x14ac:dyDescent="0.25">
      <c r="A65" s="153" t="s">
        <v>63</v>
      </c>
      <c r="B65" s="155">
        <v>42485</v>
      </c>
    </row>
    <row r="66" spans="1:42" x14ac:dyDescent="0.25">
      <c r="A66" s="153" t="s">
        <v>64</v>
      </c>
      <c r="B66" s="154" t="s">
        <v>60</v>
      </c>
      <c r="AL66" s="100"/>
      <c r="AM66" s="100"/>
      <c r="AN66" s="100"/>
      <c r="AO66" s="100"/>
      <c r="AP66" s="100"/>
    </row>
    <row r="67" spans="1:42" x14ac:dyDescent="0.25">
      <c r="A67" s="153" t="s">
        <v>65</v>
      </c>
      <c r="B67" s="155">
        <v>42510</v>
      </c>
    </row>
  </sheetData>
  <mergeCells count="64">
    <mergeCell ref="AL53:AP54"/>
    <mergeCell ref="AR53:AV54"/>
    <mergeCell ref="A54:C54"/>
    <mergeCell ref="D54:G54"/>
    <mergeCell ref="A53:G53"/>
    <mergeCell ref="I53:M53"/>
    <mergeCell ref="O53:R54"/>
    <mergeCell ref="T53:X54"/>
    <mergeCell ref="Z53:AD54"/>
    <mergeCell ref="AF53:AJ54"/>
    <mergeCell ref="O52:R52"/>
    <mergeCell ref="T52:X52"/>
    <mergeCell ref="Z37:AD38"/>
    <mergeCell ref="AF37:AJ38"/>
    <mergeCell ref="AL37:AP38"/>
    <mergeCell ref="A48:AP48"/>
    <mergeCell ref="A49:D49"/>
    <mergeCell ref="E49:E50"/>
    <mergeCell ref="F49:G49"/>
    <mergeCell ref="J49:K49"/>
    <mergeCell ref="AR37:AV38"/>
    <mergeCell ref="A38:C38"/>
    <mergeCell ref="D38:G38"/>
    <mergeCell ref="O36:R36"/>
    <mergeCell ref="T36:X36"/>
    <mergeCell ref="A37:G37"/>
    <mergeCell ref="I37:M37"/>
    <mergeCell ref="O37:R38"/>
    <mergeCell ref="T37:X38"/>
    <mergeCell ref="AL24:AP25"/>
    <mergeCell ref="AR24:AV25"/>
    <mergeCell ref="A25:C25"/>
    <mergeCell ref="D25:G25"/>
    <mergeCell ref="A32:AP32"/>
    <mergeCell ref="A24:G24"/>
    <mergeCell ref="I24:M24"/>
    <mergeCell ref="O24:R25"/>
    <mergeCell ref="T24:X25"/>
    <mergeCell ref="Z24:AD25"/>
    <mergeCell ref="AF24:AJ25"/>
    <mergeCell ref="A33:D33"/>
    <mergeCell ref="E33:E34"/>
    <mergeCell ref="F33:G33"/>
    <mergeCell ref="AR33:AU33"/>
    <mergeCell ref="J34:K34"/>
    <mergeCell ref="A19:AP19"/>
    <mergeCell ref="A20:D20"/>
    <mergeCell ref="E20:E21"/>
    <mergeCell ref="F20:G20"/>
    <mergeCell ref="O20:P20"/>
    <mergeCell ref="AR8:AV9"/>
    <mergeCell ref="A1:I1"/>
    <mergeCell ref="A4:D4"/>
    <mergeCell ref="E4:E5"/>
    <mergeCell ref="F4:G4"/>
    <mergeCell ref="A8:G8"/>
    <mergeCell ref="I8:M8"/>
    <mergeCell ref="A9:C9"/>
    <mergeCell ref="D9:G9"/>
    <mergeCell ref="O8:R9"/>
    <mergeCell ref="T8:X9"/>
    <mergeCell ref="Z8:AD9"/>
    <mergeCell ref="AF8:AJ9"/>
    <mergeCell ref="AL8:AP9"/>
  </mergeCells>
  <conditionalFormatting sqref="AQ17:AQ19">
    <cfRule type="cellIs" dxfId="21" priority="22" operator="greaterThan">
      <formula>0</formula>
    </cfRule>
  </conditionalFormatting>
  <conditionalFormatting sqref="AK30:AK31 AQ30:AQ33 AK33">
    <cfRule type="cellIs" dxfId="20" priority="21" operator="greaterThan">
      <formula>0</formula>
    </cfRule>
  </conditionalFormatting>
  <conditionalFormatting sqref="AK46:AK47 AQ46:AQ48">
    <cfRule type="cellIs" dxfId="19" priority="20" operator="greaterThan">
      <formula>0</formula>
    </cfRule>
  </conditionalFormatting>
  <conditionalFormatting sqref="AK61 AQ61">
    <cfRule type="cellIs" dxfId="18" priority="19" operator="greaterThan">
      <formula>0</formula>
    </cfRule>
  </conditionalFormatting>
  <conditionalFormatting sqref="O11:R16">
    <cfRule type="cellIs" dxfId="17" priority="3" operator="greaterThan">
      <formula>1</formula>
    </cfRule>
    <cfRule type="cellIs" dxfId="16" priority="7" operator="greaterThan">
      <formula>2</formula>
    </cfRule>
    <cfRule type="cellIs" dxfId="15" priority="12" operator="greaterThan">
      <formula>2</formula>
    </cfRule>
    <cfRule type="cellIs" dxfId="14" priority="18" operator="greaterThan">
      <formula>2</formula>
    </cfRule>
  </conditionalFormatting>
  <conditionalFormatting sqref="O27:R29">
    <cfRule type="cellIs" dxfId="13" priority="4" operator="greaterThan">
      <formula>1</formula>
    </cfRule>
    <cfRule type="cellIs" dxfId="12" priority="11" operator="greaterThan">
      <formula>2</formula>
    </cfRule>
    <cfRule type="cellIs" dxfId="11" priority="17" operator="greaterThan">
      <formula>2</formula>
    </cfRule>
  </conditionalFormatting>
  <conditionalFormatting sqref="O56:R60 O40:R45">
    <cfRule type="cellIs" dxfId="10" priority="16" operator="greaterThan">
      <formula>2</formula>
    </cfRule>
  </conditionalFormatting>
  <conditionalFormatting sqref="O40:R45">
    <cfRule type="cellIs" dxfId="9" priority="2" operator="greaterThan">
      <formula>1</formula>
    </cfRule>
    <cfRule type="cellIs" dxfId="8" priority="6" operator="greaterThan">
      <formula>2</formula>
    </cfRule>
    <cfRule type="cellIs" dxfId="7" priority="10" operator="greaterThan">
      <formula>2</formula>
    </cfRule>
    <cfRule type="cellIs" dxfId="6" priority="13" operator="greaterThan">
      <formula>"&gt;2"</formula>
    </cfRule>
    <cfRule type="cellIs" dxfId="5" priority="15" operator="greaterThan">
      <formula>"&gt;2"</formula>
    </cfRule>
  </conditionalFormatting>
  <conditionalFormatting sqref="O56:R60">
    <cfRule type="cellIs" dxfId="4" priority="1" operator="greaterThan">
      <formula>1</formula>
    </cfRule>
    <cfRule type="cellIs" dxfId="3" priority="5" operator="greaterThan">
      <formula>2</formula>
    </cfRule>
    <cfRule type="cellIs" dxfId="2" priority="8" operator="greaterThan">
      <formula>2</formula>
    </cfRule>
    <cfRule type="cellIs" dxfId="1" priority="9" operator="greaterThan">
      <formula>2</formula>
    </cfRule>
    <cfRule type="cellIs" dxfId="0" priority="14" operator="greaterThan">
      <formula>"&gt;2"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ANH 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2016-09-30T11:04:54Z</dcterms:created>
  <dcterms:modified xsi:type="dcterms:W3CDTF">2016-09-30T11:33:42Z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