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3040" windowHeight="11652"/>
  </bookViews>
  <sheets>
    <sheet name="SEW BY" sheetId="1" r:id="rId1"/>
  </sheets>
  <definedNames>
    <definedName name="_xlnm.Print_Area" localSheetId="0">'SEW BY'!$A$1:$H$35</definedName>
  </definedNames>
  <calcPr calcId="152511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33" i="1" l="1"/>
  <c r="AU33" i="1"/>
  <c r="AT33" i="1"/>
  <c r="AS33" i="1"/>
  <c r="AR33" i="1"/>
  <c r="AP33" i="1"/>
  <c r="AO33" i="1"/>
  <c r="AN33" i="1"/>
  <c r="AM33" i="1"/>
  <c r="AL33" i="1"/>
  <c r="AJ33" i="1"/>
  <c r="AI33" i="1"/>
  <c r="AH33" i="1"/>
  <c r="AG33" i="1"/>
  <c r="AF33" i="1"/>
  <c r="R32" i="1"/>
  <c r="P32" i="1"/>
  <c r="O32" i="1"/>
  <c r="Q32" i="1"/>
  <c r="R31" i="1"/>
  <c r="Q31" i="1"/>
  <c r="P31" i="1"/>
  <c r="O31" i="1"/>
  <c r="O30" i="1"/>
  <c r="R30" i="1"/>
  <c r="Q30" i="1"/>
  <c r="P30" i="1"/>
  <c r="R29" i="1"/>
  <c r="Q29" i="1"/>
  <c r="O29" i="1"/>
  <c r="P29" i="1"/>
  <c r="R28" i="1"/>
  <c r="P28" i="1"/>
  <c r="O28" i="1"/>
  <c r="C23" i="1"/>
  <c r="D23" i="1" s="1"/>
  <c r="E23" i="1" s="1"/>
  <c r="R17" i="1"/>
  <c r="Q17" i="1"/>
  <c r="O17" i="1"/>
  <c r="P17" i="1"/>
  <c r="O16" i="1"/>
  <c r="R16" i="1"/>
  <c r="P16" i="1"/>
  <c r="Q16" i="1"/>
  <c r="Q15" i="1"/>
  <c r="R15" i="1"/>
  <c r="Q14" i="1"/>
  <c r="P14" i="1"/>
  <c r="O14" i="1"/>
  <c r="R13" i="1"/>
  <c r="O13" i="1"/>
  <c r="R12" i="1"/>
  <c r="Q12" i="1"/>
  <c r="O12" i="1"/>
  <c r="P12" i="1"/>
  <c r="C7" i="1"/>
  <c r="D7" i="1" s="1"/>
  <c r="E7" i="1" s="1"/>
  <c r="L11" i="1" s="1"/>
  <c r="L17" i="1" l="1"/>
  <c r="V17" i="1" s="1"/>
  <c r="AB17" i="1" s="1"/>
  <c r="L12" i="1"/>
  <c r="V12" i="1" s="1"/>
  <c r="L16" i="1"/>
  <c r="V16" i="1" s="1"/>
  <c r="AB16" i="1" s="1"/>
  <c r="L15" i="1"/>
  <c r="V15" i="1" s="1"/>
  <c r="AB15" i="1" s="1"/>
  <c r="L13" i="1"/>
  <c r="L14" i="1"/>
  <c r="V14" i="1" s="1"/>
  <c r="AB14" i="1" s="1"/>
  <c r="O15" i="1"/>
  <c r="I16" i="1"/>
  <c r="K11" i="1"/>
  <c r="J11" i="1"/>
  <c r="I15" i="1"/>
  <c r="I17" i="1"/>
  <c r="I14" i="1"/>
  <c r="I13" i="1"/>
  <c r="M11" i="1"/>
  <c r="I30" i="1"/>
  <c r="J27" i="1"/>
  <c r="K27" i="1"/>
  <c r="I29" i="1"/>
  <c r="M27" i="1"/>
  <c r="I31" i="1"/>
  <c r="I32" i="1"/>
  <c r="I28" i="1"/>
  <c r="L27" i="1"/>
  <c r="I12" i="1"/>
  <c r="P13" i="1"/>
  <c r="Q13" i="1"/>
  <c r="R14" i="1"/>
  <c r="P15" i="1"/>
  <c r="Q28" i="1"/>
  <c r="J29" i="1" l="1"/>
  <c r="T29" i="1" s="1"/>
  <c r="J32" i="1"/>
  <c r="T32" i="1" s="1"/>
  <c r="J28" i="1"/>
  <c r="T28" i="1" s="1"/>
  <c r="J30" i="1"/>
  <c r="T30" i="1" s="1"/>
  <c r="J31" i="1"/>
  <c r="T31" i="1" s="1"/>
  <c r="K14" i="1"/>
  <c r="U14" i="1" s="1"/>
  <c r="AA14" i="1" s="1"/>
  <c r="K13" i="1"/>
  <c r="K12" i="1"/>
  <c r="U12" i="1" s="1"/>
  <c r="K17" i="1"/>
  <c r="U17" i="1" s="1"/>
  <c r="AA17" i="1" s="1"/>
  <c r="K16" i="1"/>
  <c r="U16" i="1" s="1"/>
  <c r="AA16" i="1" s="1"/>
  <c r="K15" i="1"/>
  <c r="U15" i="1" s="1"/>
  <c r="AA15" i="1" s="1"/>
  <c r="AB13" i="1"/>
  <c r="AH13" i="1" s="1"/>
  <c r="V13" i="1"/>
  <c r="L31" i="1"/>
  <c r="V31" i="1" s="1"/>
  <c r="AB31" i="1" s="1"/>
  <c r="L28" i="1"/>
  <c r="V28" i="1" s="1"/>
  <c r="L30" i="1"/>
  <c r="V30" i="1" s="1"/>
  <c r="AB30" i="1" s="1"/>
  <c r="L29" i="1"/>
  <c r="V29" i="1" s="1"/>
  <c r="AB29" i="1" s="1"/>
  <c r="L32" i="1"/>
  <c r="M30" i="1"/>
  <c r="W30" i="1" s="1"/>
  <c r="AC30" i="1" s="1"/>
  <c r="M29" i="1"/>
  <c r="W29" i="1" s="1"/>
  <c r="AC29" i="1" s="1"/>
  <c r="M32" i="1"/>
  <c r="M28" i="1"/>
  <c r="W28" i="1" s="1"/>
  <c r="M31" i="1"/>
  <c r="W31" i="1" s="1"/>
  <c r="AC31" i="1" s="1"/>
  <c r="M16" i="1"/>
  <c r="M15" i="1"/>
  <c r="W15" i="1" s="1"/>
  <c r="AC15" i="1" s="1"/>
  <c r="M17" i="1"/>
  <c r="W17" i="1" s="1"/>
  <c r="AC17" i="1" s="1"/>
  <c r="M14" i="1"/>
  <c r="W14" i="1" s="1"/>
  <c r="AC14" i="1" s="1"/>
  <c r="M13" i="1"/>
  <c r="W13" i="1" s="1"/>
  <c r="AC13" i="1" s="1"/>
  <c r="AI13" i="1" s="1"/>
  <c r="M12" i="1"/>
  <c r="W12" i="1" s="1"/>
  <c r="K32" i="1"/>
  <c r="K28" i="1"/>
  <c r="U28" i="1" s="1"/>
  <c r="K29" i="1"/>
  <c r="U29" i="1" s="1"/>
  <c r="AA29" i="1" s="1"/>
  <c r="K31" i="1"/>
  <c r="U31" i="1" s="1"/>
  <c r="AA31" i="1" s="1"/>
  <c r="K30" i="1"/>
  <c r="U30" i="1" s="1"/>
  <c r="AA30" i="1" s="1"/>
  <c r="J15" i="1"/>
  <c r="T15" i="1" s="1"/>
  <c r="J16" i="1"/>
  <c r="T16" i="1" s="1"/>
  <c r="J14" i="1"/>
  <c r="T14" i="1" s="1"/>
  <c r="J13" i="1"/>
  <c r="J17" i="1"/>
  <c r="T17" i="1" s="1"/>
  <c r="X17" i="1" s="1"/>
  <c r="J12" i="1"/>
  <c r="T12" i="1" s="1"/>
  <c r="V18" i="1"/>
  <c r="AB12" i="1"/>
  <c r="Z12" i="1" l="1"/>
  <c r="X12" i="1"/>
  <c r="AI18" i="1"/>
  <c r="AO13" i="1"/>
  <c r="W16" i="1"/>
  <c r="AC16" i="1" s="1"/>
  <c r="Z17" i="1"/>
  <c r="AD17" i="1" s="1"/>
  <c r="X15" i="1"/>
  <c r="Z15" i="1"/>
  <c r="AD15" i="1" s="1"/>
  <c r="AA28" i="1"/>
  <c r="AB28" i="1"/>
  <c r="U13" i="1"/>
  <c r="AA13" i="1"/>
  <c r="AG13" i="1" s="1"/>
  <c r="Z28" i="1"/>
  <c r="T33" i="1"/>
  <c r="X28" i="1"/>
  <c r="AH18" i="1"/>
  <c r="AN13" i="1"/>
  <c r="AA12" i="1"/>
  <c r="AA18" i="1" s="1"/>
  <c r="U18" i="1"/>
  <c r="Z30" i="1"/>
  <c r="AD30" i="1" s="1"/>
  <c r="X30" i="1"/>
  <c r="AB18" i="1"/>
  <c r="Z13" i="1"/>
  <c r="T13" i="1"/>
  <c r="X13" i="1" s="1"/>
  <c r="U32" i="1"/>
  <c r="U33" i="1" s="1"/>
  <c r="AA32" i="1"/>
  <c r="AC28" i="1"/>
  <c r="V32" i="1"/>
  <c r="V33" i="1" s="1"/>
  <c r="AB32" i="1"/>
  <c r="Z32" i="1"/>
  <c r="X16" i="1"/>
  <c r="Z16" i="1"/>
  <c r="AD16" i="1" s="1"/>
  <c r="Z14" i="1"/>
  <c r="AD14" i="1" s="1"/>
  <c r="X14" i="1"/>
  <c r="W18" i="1"/>
  <c r="AC12" i="1"/>
  <c r="AC18" i="1" s="1"/>
  <c r="AC32" i="1"/>
  <c r="W32" i="1"/>
  <c r="W33" i="1" s="1"/>
  <c r="Z31" i="1"/>
  <c r="AD31" i="1" s="1"/>
  <c r="X31" i="1"/>
  <c r="X29" i="1"/>
  <c r="Z29" i="1"/>
  <c r="AD29" i="1" s="1"/>
  <c r="AN18" i="1" l="1"/>
  <c r="AT13" i="1"/>
  <c r="AT18" i="1" s="1"/>
  <c r="AD28" i="1"/>
  <c r="Z33" i="1"/>
  <c r="X32" i="1"/>
  <c r="AC33" i="1"/>
  <c r="AG18" i="1"/>
  <c r="AM13" i="1"/>
  <c r="X18" i="1"/>
  <c r="AD32" i="1"/>
  <c r="AD13" i="1"/>
  <c r="AF13" i="1"/>
  <c r="X33" i="1"/>
  <c r="AA33" i="1"/>
  <c r="Z18" i="1"/>
  <c r="AD12" i="1"/>
  <c r="AD18" i="1" s="1"/>
  <c r="AB33" i="1"/>
  <c r="AO18" i="1"/>
  <c r="AU13" i="1"/>
  <c r="AU18" i="1" s="1"/>
  <c r="T18" i="1"/>
  <c r="AM18" i="1" l="1"/>
  <c r="AS13" i="1"/>
  <c r="AS18" i="1" s="1"/>
  <c r="AD33" i="1"/>
  <c r="AF18" i="1"/>
  <c r="AJ18" i="1" s="1"/>
  <c r="AL13" i="1"/>
  <c r="AJ13" i="1"/>
  <c r="AL18" i="1" l="1"/>
  <c r="AR13" i="1"/>
  <c r="AP13" i="1"/>
  <c r="AP18" i="1" s="1"/>
  <c r="AR18" i="1" l="1"/>
  <c r="AV18" i="1" s="1"/>
  <c r="AV13" i="1"/>
</calcChain>
</file>

<file path=xl/comments1.xml><?xml version="1.0" encoding="utf-8"?>
<comments xmlns="http://schemas.openxmlformats.org/spreadsheetml/2006/main">
  <authors>
    <author>Author</author>
  </authors>
  <commentList>
    <comment ref="Q13" authorId="0" shapeId="0">
      <text>
        <r>
          <rPr>
            <sz val="12"/>
            <color indexed="81"/>
            <rFont val="Tahoma"/>
            <family val="2"/>
          </rPr>
          <t>Highlight values &gt;1</t>
        </r>
      </text>
    </comment>
    <comment ref="Z13" authorId="0" shapeId="0">
      <text>
        <r>
          <rPr>
            <sz val="12"/>
            <color indexed="81"/>
            <rFont val="Tahoma"/>
            <family val="2"/>
          </rPr>
          <t>Moderated the values</t>
        </r>
      </text>
    </comment>
  </commentList>
</comments>
</file>

<file path=xl/sharedStrings.xml><?xml version="1.0" encoding="utf-8"?>
<sst xmlns="http://schemas.openxmlformats.org/spreadsheetml/2006/main" count="149" uniqueCount="56">
  <si>
    <t>Serviceability - Shortfall Calculator - SEW Blind Year Reconciliation Draft Proposals</t>
  </si>
  <si>
    <t>Water infrastructure</t>
  </si>
  <si>
    <t>OFWAT FD09 BASELINE (£m)</t>
  </si>
  <si>
    <t>Maximum value for shortfall adjustment (50%) £(m)</t>
  </si>
  <si>
    <t>Indexation</t>
  </si>
  <si>
    <t>SEW FD09 efficiency - WI</t>
  </si>
  <si>
    <t>line 11 (OFWAT baseline before efficiency)</t>
  </si>
  <si>
    <t>line 16 (OFWAT view of Grants &amp; Contributions)</t>
  </si>
  <si>
    <t>2007-08 prices</t>
  </si>
  <si>
    <t>2012-13 prices</t>
  </si>
  <si>
    <t>COPI 2007-08</t>
  </si>
  <si>
    <t>COPI 2012-13</t>
  </si>
  <si>
    <t>2011-12</t>
  </si>
  <si>
    <t>2012-13</t>
  </si>
  <si>
    <t>2013-14</t>
  </si>
  <si>
    <t>2014-15</t>
  </si>
  <si>
    <t>Performance and measures</t>
  </si>
  <si>
    <t>Step I: Unscaled yearly shortfall value (£m)</t>
  </si>
  <si>
    <t>Step II: Scaling factor based on the distance of performance of the indicator above the upper control limit</t>
  </si>
  <si>
    <t>Step III: Calculate the value of the shortfall (£m)</t>
  </si>
  <si>
    <t>Step IV: Moderate the value of shortfall where actual serviceablity performance as represented by the scaling factor is above 1 standard deviation by capping the scaling factor at 1 standard deviation (£m)</t>
  </si>
  <si>
    <t xml:space="preserve">Step V: Shortfall values
pre-efficiency; where shortfall is applied
(£m) </t>
  </si>
  <si>
    <t>Step VI: Apply volatility factor where applicable
(£m)</t>
  </si>
  <si>
    <t>Step VII: Step VI in post efficiency; where shortfall is applied
(£m)</t>
  </si>
  <si>
    <t xml:space="preserve">Actual Performance </t>
  </si>
  <si>
    <t>2011/12</t>
  </si>
  <si>
    <t>2012/13</t>
  </si>
  <si>
    <t>2013/14</t>
  </si>
  <si>
    <t>2014/15</t>
  </si>
  <si>
    <t>Measure</t>
  </si>
  <si>
    <t>Ref level</t>
  </si>
  <si>
    <t>UCL</t>
  </si>
  <si>
    <t>Total Shortfall value (non scaled)</t>
  </si>
  <si>
    <t>Total</t>
  </si>
  <si>
    <t>Number of burst mains</t>
  </si>
  <si>
    <t>DG3 unplanned interruption to supply exceeding 12 hours</t>
  </si>
  <si>
    <t>shortfall applied</t>
  </si>
  <si>
    <t>Iron non-compliance (as 100-Mean Zonal Compliance) (%)</t>
  </si>
  <si>
    <t>DG2 Properties at risk of receiving low pressure</t>
  </si>
  <si>
    <t>Customer contacts per 1,000 population supplied – discolouration (orange/brown/black)</t>
  </si>
  <si>
    <t>Distribution index TIM</t>
  </si>
  <si>
    <t>No shortfall to be applied</t>
  </si>
  <si>
    <t>Water Non-infrastructure</t>
  </si>
  <si>
    <t>Water treatment works coliform non-compliance (% samples failing for coliforms leaving WTW)</t>
  </si>
  <si>
    <t>Service reservoir coliform non-compliance (% service reservoirs having more than 5% of coliform samples failing)</t>
  </si>
  <si>
    <t>Number of WTW where turbidity 95%ile greater than or equal to 0.5NTU</t>
  </si>
  <si>
    <t>Enforcement actions considered for microbiological standards</t>
  </si>
  <si>
    <t>Unplanned non-infrastructure maintenance</t>
  </si>
  <si>
    <t>No shortfall applied.</t>
  </si>
  <si>
    <t>Undertaken by:</t>
  </si>
  <si>
    <t>Date:</t>
  </si>
  <si>
    <t>Ambrat Virwani</t>
  </si>
  <si>
    <t>Checked by</t>
  </si>
  <si>
    <t>Salim Lorgat</t>
  </si>
  <si>
    <t>Signed off</t>
  </si>
  <si>
    <t>Jeremy Thomson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</si>
</sst>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6">
    <xf numFmtId="0" fontId="0" fillId="0" borderId="0" xfId="0"/>
    <xf numFmtId="0" fontId="1" fillId="0" borderId="0" xfId="1" applyFill="1"/>
    <xf numFmtId="0" fontId="1" fillId="0" borderId="0" xfId="1" applyFont="1" applyFill="1"/>
    <xf numFmtId="164" fontId="1" fillId="0" borderId="0" xfId="2" applyNumberFormat="1" applyFont="1" applyFill="1" applyBorder="1"/>
    <xf numFmtId="164" fontId="1" fillId="0" borderId="0" xfId="1" applyNumberFormat="1" applyFont="1" applyFill="1"/>
    <xf numFmtId="164" fontId="1" fillId="0" borderId="0" xfId="1" applyNumberFormat="1" applyFill="1"/>
    <xf numFmtId="164" fontId="1" fillId="0" borderId="0" xfId="1" applyNumberFormat="1" applyFont="1" applyFill="1" applyBorder="1"/>
    <xf numFmtId="0" fontId="1" fillId="0" borderId="0" xfId="1" applyFill="1" applyBorder="1"/>
    <xf numFmtId="0" fontId="2" fillId="2" borderId="1" xfId="1" applyFont="1" applyFill="1" applyBorder="1" applyAlignment="1">
      <alignment wrapText="1"/>
    </xf>
    <xf numFmtId="0" fontId="2" fillId="2" borderId="0" xfId="1" applyFont="1" applyFill="1" applyBorder="1" applyAlignment="1">
      <alignment wrapText="1"/>
    </xf>
    <xf numFmtId="0" fontId="1" fillId="2" borderId="0" xfId="1" applyFill="1" applyBorder="1"/>
    <xf numFmtId="0" fontId="1" fillId="2" borderId="0" xfId="1" applyFill="1"/>
    <xf numFmtId="0" fontId="1" fillId="0" borderId="7" xfId="1" applyFont="1" applyFill="1" applyBorder="1" applyAlignment="1">
      <alignment wrapText="1"/>
    </xf>
    <xf numFmtId="0" fontId="1" fillId="0" borderId="8" xfId="1" applyFont="1" applyFill="1" applyBorder="1" applyAlignment="1">
      <alignment wrapText="1"/>
    </xf>
    <xf numFmtId="0" fontId="1" fillId="0" borderId="9" xfId="1" applyFont="1" applyFill="1" applyBorder="1" applyAlignment="1">
      <alignment wrapText="1"/>
    </xf>
    <xf numFmtId="0" fontId="1" fillId="0" borderId="11" xfId="1" applyFont="1" applyFill="1" applyBorder="1" applyAlignment="1">
      <alignment wrapText="1"/>
    </xf>
    <xf numFmtId="0" fontId="1" fillId="0" borderId="12" xfId="1" applyFont="1" applyFill="1" applyBorder="1" applyAlignment="1">
      <alignment wrapText="1"/>
    </xf>
    <xf numFmtId="0" fontId="1" fillId="0" borderId="0" xfId="1" applyFont="1" applyFill="1" applyBorder="1"/>
    <xf numFmtId="0" fontId="1" fillId="0" borderId="0" xfId="1" applyFont="1" applyFill="1" applyBorder="1" applyAlignment="1">
      <alignment wrapText="1"/>
    </xf>
    <xf numFmtId="0" fontId="1" fillId="4" borderId="6" xfId="0" applyFont="1" applyFill="1" applyBorder="1" applyAlignment="1">
      <alignment horizontal="center"/>
    </xf>
    <xf numFmtId="164" fontId="1" fillId="0" borderId="13" xfId="1" applyNumberFormat="1" applyFont="1" applyFill="1" applyBorder="1"/>
    <xf numFmtId="164" fontId="1" fillId="0" borderId="14" xfId="1" applyNumberFormat="1" applyFont="1" applyFill="1" applyBorder="1"/>
    <xf numFmtId="164" fontId="1" fillId="0" borderId="15" xfId="1" applyNumberFormat="1" applyFont="1" applyFill="1" applyBorder="1"/>
    <xf numFmtId="0" fontId="1" fillId="0" borderId="14" xfId="1" applyFont="1" applyFill="1" applyBorder="1"/>
    <xf numFmtId="0" fontId="1" fillId="0" borderId="16" xfId="1" applyFont="1" applyFill="1" applyBorder="1"/>
    <xf numFmtId="0" fontId="3" fillId="0" borderId="0" xfId="1" applyFont="1" applyFill="1" applyBorder="1" applyAlignment="1">
      <alignment wrapText="1"/>
    </xf>
    <xf numFmtId="10" fontId="1" fillId="0" borderId="6" xfId="1" applyNumberFormat="1" applyFill="1" applyBorder="1"/>
    <xf numFmtId="0" fontId="4" fillId="0" borderId="0" xfId="1" applyFont="1" applyFill="1"/>
    <xf numFmtId="0" fontId="4" fillId="0" borderId="0" xfId="2" applyFont="1" applyFill="1"/>
    <xf numFmtId="0" fontId="4" fillId="0" borderId="0" xfId="2" applyFont="1" applyFill="1" applyBorder="1" applyAlignment="1">
      <alignment horizontal="left" vertical="top" wrapText="1"/>
    </xf>
    <xf numFmtId="0" fontId="4" fillId="0" borderId="0" xfId="2" applyFont="1" applyFill="1" applyBorder="1" applyAlignment="1">
      <alignment horizontal="center" vertical="top" wrapText="1"/>
    </xf>
    <xf numFmtId="0" fontId="1" fillId="0" borderId="7" xfId="1" applyFont="1" applyFill="1" applyBorder="1"/>
    <xf numFmtId="0" fontId="5" fillId="0" borderId="8" xfId="2" applyFont="1" applyFill="1" applyBorder="1" applyAlignment="1">
      <alignment wrapText="1"/>
    </xf>
    <xf numFmtId="0" fontId="5" fillId="0" borderId="8" xfId="2" applyFont="1" applyFill="1" applyBorder="1"/>
    <xf numFmtId="0" fontId="5" fillId="0" borderId="12" xfId="2" applyFont="1" applyFill="1" applyBorder="1"/>
    <xf numFmtId="0" fontId="5" fillId="0" borderId="0" xfId="2" applyFont="1" applyFill="1" applyBorder="1"/>
    <xf numFmtId="0" fontId="4" fillId="0" borderId="29" xfId="2" applyFont="1" applyFill="1" applyBorder="1"/>
    <xf numFmtId="0" fontId="4" fillId="0" borderId="6" xfId="2" applyFont="1" applyFill="1" applyBorder="1"/>
    <xf numFmtId="0" fontId="4" fillId="0" borderId="6" xfId="2" applyFont="1" applyFill="1" applyBorder="1" applyAlignment="1">
      <alignment wrapText="1"/>
    </xf>
    <xf numFmtId="0" fontId="4" fillId="0" borderId="30" xfId="2" applyFont="1" applyFill="1" applyBorder="1"/>
    <xf numFmtId="164" fontId="1" fillId="0" borderId="29" xfId="1" applyNumberFormat="1" applyFont="1" applyFill="1" applyBorder="1" applyAlignment="1">
      <alignment wrapText="1"/>
    </xf>
    <xf numFmtId="164" fontId="1" fillId="0" borderId="6" xfId="1" applyNumberFormat="1" applyFont="1" applyFill="1" applyBorder="1"/>
    <xf numFmtId="0" fontId="5" fillId="0" borderId="7" xfId="2" applyFont="1" applyFill="1" applyBorder="1" applyAlignment="1">
      <alignment wrapText="1"/>
    </xf>
    <xf numFmtId="0" fontId="6" fillId="0" borderId="29" xfId="1" applyFont="1" applyFill="1" applyBorder="1" applyAlignment="1">
      <alignment wrapText="1"/>
    </xf>
    <xf numFmtId="1" fontId="1" fillId="0" borderId="6" xfId="1" applyNumberFormat="1" applyFont="1" applyFill="1" applyBorder="1"/>
    <xf numFmtId="1" fontId="1" fillId="0" borderId="30" xfId="1" applyNumberFormat="1" applyFont="1" applyFill="1" applyBorder="1"/>
    <xf numFmtId="164" fontId="1" fillId="0" borderId="29" xfId="2" applyNumberFormat="1" applyFont="1" applyFill="1" applyBorder="1"/>
    <xf numFmtId="164" fontId="1" fillId="0" borderId="6" xfId="2" applyNumberFormat="1" applyFont="1" applyFill="1" applyBorder="1"/>
    <xf numFmtId="164" fontId="1" fillId="0" borderId="30" xfId="2" applyNumberFormat="1" applyFont="1" applyFill="1" applyBorder="1"/>
    <xf numFmtId="2" fontId="1" fillId="0" borderId="29" xfId="2" applyNumberFormat="1" applyFont="1" applyFill="1" applyBorder="1"/>
    <xf numFmtId="2" fontId="1" fillId="0" borderId="6" xfId="2" applyNumberFormat="1" applyFont="1" applyFill="1" applyBorder="1"/>
    <xf numFmtId="2" fontId="1" fillId="0" borderId="30" xfId="2" applyNumberFormat="1" applyFont="1" applyFill="1" applyBorder="1"/>
    <xf numFmtId="164" fontId="7" fillId="0" borderId="29" xfId="2" applyNumberFormat="1" applyFont="1" applyFill="1" applyBorder="1"/>
    <xf numFmtId="164" fontId="7" fillId="0" borderId="6" xfId="2" applyNumberFormat="1" applyFont="1" applyFill="1" applyBorder="1"/>
    <xf numFmtId="164" fontId="1" fillId="0" borderId="30" xfId="1" applyNumberFormat="1" applyFont="1" applyFill="1" applyBorder="1"/>
    <xf numFmtId="164" fontId="7" fillId="0" borderId="31" xfId="2" applyNumberFormat="1" applyFont="1" applyFill="1" applyBorder="1"/>
    <xf numFmtId="164" fontId="1" fillId="0" borderId="29" xfId="1" applyNumberFormat="1" applyFill="1" applyBorder="1"/>
    <xf numFmtId="164" fontId="1" fillId="0" borderId="6" xfId="1" applyNumberFormat="1" applyFill="1" applyBorder="1"/>
    <xf numFmtId="164" fontId="1" fillId="0" borderId="30" xfId="1" applyNumberFormat="1" applyFill="1" applyBorder="1"/>
    <xf numFmtId="2" fontId="1" fillId="5" borderId="29" xfId="2" applyNumberFormat="1" applyFont="1" applyFill="1" applyBorder="1"/>
    <xf numFmtId="2" fontId="1" fillId="5" borderId="6" xfId="2" applyNumberFormat="1" applyFont="1" applyFill="1" applyBorder="1"/>
    <xf numFmtId="164" fontId="8" fillId="0" borderId="31" xfId="2" applyNumberFormat="1" applyFont="1" applyFill="1" applyBorder="1"/>
    <xf numFmtId="164" fontId="8" fillId="0" borderId="6" xfId="2" applyNumberFormat="1" applyFont="1" applyFill="1" applyBorder="1"/>
    <xf numFmtId="164" fontId="4" fillId="0" borderId="0" xfId="1" applyNumberFormat="1" applyFont="1" applyFill="1" applyBorder="1"/>
    <xf numFmtId="164" fontId="1" fillId="0" borderId="31" xfId="1" applyNumberFormat="1" applyFill="1" applyBorder="1"/>
    <xf numFmtId="0" fontId="9" fillId="0" borderId="0" xfId="1" applyFont="1" applyFill="1"/>
    <xf numFmtId="2" fontId="1" fillId="0" borderId="6" xfId="1" applyNumberFormat="1" applyFont="1" applyFill="1" applyBorder="1"/>
    <xf numFmtId="2" fontId="1" fillId="0" borderId="30" xfId="1" applyNumberFormat="1" applyFont="1" applyFill="1" applyBorder="1"/>
    <xf numFmtId="2" fontId="1" fillId="3" borderId="29" xfId="2" applyNumberFormat="1" applyFont="1" applyFill="1" applyBorder="1"/>
    <xf numFmtId="165" fontId="1" fillId="0" borderId="29" xfId="1" applyNumberFormat="1" applyFill="1" applyBorder="1"/>
    <xf numFmtId="165" fontId="1" fillId="0" borderId="6" xfId="1" applyNumberFormat="1" applyFill="1" applyBorder="1"/>
    <xf numFmtId="165" fontId="1" fillId="0" borderId="30" xfId="1" applyNumberFormat="1" applyFont="1" applyFill="1" applyBorder="1"/>
    <xf numFmtId="165" fontId="1" fillId="0" borderId="0" xfId="1" applyNumberFormat="1" applyFill="1" applyBorder="1"/>
    <xf numFmtId="165" fontId="1" fillId="0" borderId="30" xfId="1" applyNumberFormat="1" applyFill="1" applyBorder="1"/>
    <xf numFmtId="165" fontId="1" fillId="0" borderId="31" xfId="1" applyNumberFormat="1" applyFill="1" applyBorder="1"/>
    <xf numFmtId="0" fontId="6" fillId="0" borderId="13" xfId="1" applyFont="1" applyFill="1" applyBorder="1" applyAlignment="1">
      <alignment wrapText="1"/>
    </xf>
    <xf numFmtId="2" fontId="1" fillId="0" borderId="14" xfId="1" applyNumberFormat="1" applyFont="1" applyFill="1" applyBorder="1"/>
    <xf numFmtId="2" fontId="1" fillId="0" borderId="16" xfId="1" applyNumberFormat="1" applyFont="1" applyFill="1" applyBorder="1"/>
    <xf numFmtId="164" fontId="1" fillId="0" borderId="13" xfId="2" applyNumberFormat="1" applyFont="1" applyFill="1" applyBorder="1"/>
    <xf numFmtId="164" fontId="1" fillId="0" borderId="14" xfId="2" applyNumberFormat="1" applyFont="1" applyFill="1" applyBorder="1"/>
    <xf numFmtId="164" fontId="1" fillId="0" borderId="16" xfId="2" applyNumberFormat="1" applyFont="1" applyFill="1" applyBorder="1"/>
    <xf numFmtId="2" fontId="1" fillId="5" borderId="13" xfId="2" applyNumberFormat="1" applyFont="1" applyFill="1" applyBorder="1"/>
    <xf numFmtId="2" fontId="1" fillId="0" borderId="14" xfId="2" applyNumberFormat="1" applyFont="1" applyFill="1" applyBorder="1"/>
    <xf numFmtId="2" fontId="1" fillId="0" borderId="16" xfId="2" applyNumberFormat="1" applyFont="1" applyFill="1" applyBorder="1"/>
    <xf numFmtId="164" fontId="7" fillId="0" borderId="32" xfId="2" applyNumberFormat="1" applyFont="1" applyFill="1" applyBorder="1"/>
    <xf numFmtId="164" fontId="7" fillId="0" borderId="33" xfId="2" applyNumberFormat="1" applyFont="1" applyFill="1" applyBorder="1"/>
    <xf numFmtId="164" fontId="1" fillId="0" borderId="34" xfId="1" applyNumberFormat="1" applyFont="1" applyFill="1" applyBorder="1"/>
    <xf numFmtId="164" fontId="8" fillId="0" borderId="35" xfId="2" applyNumberFormat="1" applyFont="1" applyFill="1" applyBorder="1"/>
    <xf numFmtId="165" fontId="1" fillId="0" borderId="13" xfId="1" applyNumberFormat="1" applyFill="1" applyBorder="1"/>
    <xf numFmtId="165" fontId="1" fillId="0" borderId="14" xfId="1" applyNumberFormat="1" applyFill="1" applyBorder="1"/>
    <xf numFmtId="165" fontId="1" fillId="0" borderId="16" xfId="1" applyNumberFormat="1" applyFill="1" applyBorder="1"/>
    <xf numFmtId="0" fontId="9" fillId="0" borderId="0" xfId="0" applyFont="1" applyFill="1"/>
    <xf numFmtId="164" fontId="1" fillId="0" borderId="36" xfId="1" applyNumberFormat="1" applyFont="1" applyFill="1" applyBorder="1"/>
    <xf numFmtId="164" fontId="1" fillId="0" borderId="37" xfId="1" applyNumberFormat="1" applyFont="1" applyFill="1" applyBorder="1"/>
    <xf numFmtId="164" fontId="1" fillId="0" borderId="38" xfId="1" applyNumberFormat="1" applyFont="1" applyFill="1" applyBorder="1"/>
    <xf numFmtId="164" fontId="1" fillId="0" borderId="36" xfId="1" applyNumberFormat="1" applyFill="1" applyBorder="1"/>
    <xf numFmtId="164" fontId="1" fillId="0" borderId="37" xfId="1" applyNumberFormat="1" applyFill="1" applyBorder="1"/>
    <xf numFmtId="164" fontId="1" fillId="0" borderId="38" xfId="1" applyNumberFormat="1" applyFill="1" applyBorder="1"/>
    <xf numFmtId="164" fontId="1" fillId="0" borderId="0" xfId="1" applyNumberFormat="1" applyFill="1" applyBorder="1"/>
    <xf numFmtId="0" fontId="5" fillId="0" borderId="19" xfId="2" applyFont="1" applyFill="1" applyBorder="1"/>
    <xf numFmtId="164" fontId="7" fillId="0" borderId="39" xfId="2" applyNumberFormat="1" applyFont="1" applyFill="1" applyBorder="1"/>
    <xf numFmtId="1" fontId="1" fillId="0" borderId="14" xfId="1" applyNumberFormat="1" applyFont="1" applyFill="1" applyBorder="1"/>
    <xf numFmtId="2" fontId="1" fillId="0" borderId="13" xfId="2" applyNumberFormat="1" applyFont="1" applyFill="1" applyBorder="1"/>
    <xf numFmtId="164" fontId="8" fillId="0" borderId="14" xfId="2" applyNumberFormat="1" applyFont="1" applyFill="1" applyBorder="1"/>
    <xf numFmtId="165" fontId="1" fillId="0" borderId="32" xfId="1" applyNumberFormat="1" applyFill="1" applyBorder="1"/>
    <xf numFmtId="165" fontId="1" fillId="0" borderId="33" xfId="1" applyNumberFormat="1" applyFill="1" applyBorder="1"/>
    <xf numFmtId="165" fontId="1" fillId="0" borderId="34" xfId="1" applyNumberFormat="1" applyFont="1" applyFill="1" applyBorder="1"/>
    <xf numFmtId="0" fontId="9" fillId="0" borderId="0" xfId="1" applyFont="1" applyFill="1" applyBorder="1"/>
    <xf numFmtId="165" fontId="1" fillId="0" borderId="36" xfId="1" applyNumberFormat="1" applyFill="1" applyBorder="1"/>
    <xf numFmtId="165" fontId="1" fillId="0" borderId="37" xfId="1" applyNumberFormat="1" applyFill="1" applyBorder="1"/>
    <xf numFmtId="165" fontId="1" fillId="0" borderId="38" xfId="1" applyNumberFormat="1" applyFill="1" applyBorder="1"/>
    <xf numFmtId="165" fontId="1" fillId="0" borderId="38" xfId="1" applyNumberFormat="1" applyFont="1" applyFill="1" applyBorder="1"/>
    <xf numFmtId="0" fontId="7" fillId="0" borderId="6" xfId="2" applyFont="1" applyFill="1" applyBorder="1"/>
    <xf numFmtId="0" fontId="1" fillId="0" borderId="6" xfId="0" applyFont="1" applyFill="1" applyBorder="1"/>
    <xf numFmtId="14" fontId="1" fillId="0" borderId="6" xfId="0" applyNumberFormat="1" applyFont="1" applyFill="1" applyBorder="1"/>
    <xf numFmtId="0" fontId="4" fillId="0" borderId="20" xfId="2" applyFont="1" applyFill="1" applyBorder="1" applyAlignment="1">
      <alignment horizontal="center" vertical="top" wrapText="1"/>
    </xf>
    <xf numFmtId="0" fontId="4" fillId="0" borderId="21" xfId="2" applyFont="1" applyFill="1" applyBorder="1" applyAlignment="1">
      <alignment horizontal="center" vertical="top" wrapText="1"/>
    </xf>
    <xf numFmtId="0" fontId="4" fillId="0" borderId="22" xfId="2" applyFont="1" applyFill="1" applyBorder="1" applyAlignment="1">
      <alignment horizontal="center" vertical="top" wrapText="1"/>
    </xf>
    <xf numFmtId="0" fontId="4" fillId="0" borderId="23" xfId="2" applyFont="1" applyFill="1" applyBorder="1" applyAlignment="1">
      <alignment horizontal="center" vertical="top" wrapText="1"/>
    </xf>
    <xf numFmtId="0" fontId="4" fillId="0" borderId="24" xfId="2" applyFont="1" applyFill="1" applyBorder="1" applyAlignment="1">
      <alignment horizontal="center" vertical="top" wrapText="1"/>
    </xf>
    <xf numFmtId="0" fontId="4" fillId="0" borderId="25" xfId="2" applyFont="1" applyFill="1" applyBorder="1" applyAlignment="1">
      <alignment horizontal="center" vertical="top" wrapText="1"/>
    </xf>
    <xf numFmtId="0" fontId="1" fillId="0" borderId="7" xfId="1" applyFont="1" applyFill="1" applyBorder="1" applyAlignment="1">
      <alignment horizontal="center"/>
    </xf>
    <xf numFmtId="0" fontId="1" fillId="0" borderId="8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/>
    </xf>
    <xf numFmtId="0" fontId="4" fillId="0" borderId="17" xfId="1" applyFont="1" applyFill="1" applyBorder="1" applyAlignment="1">
      <alignment horizontal="left"/>
    </xf>
    <xf numFmtId="0" fontId="4" fillId="0" borderId="18" xfId="1" applyFont="1" applyFill="1" applyBorder="1" applyAlignment="1">
      <alignment horizontal="left"/>
    </xf>
    <xf numFmtId="0" fontId="4" fillId="0" borderId="19" xfId="1" applyFont="1" applyFill="1" applyBorder="1" applyAlignment="1">
      <alignment horizontal="left"/>
    </xf>
    <xf numFmtId="0" fontId="4" fillId="0" borderId="17" xfId="2" applyFont="1" applyFill="1" applyBorder="1" applyAlignment="1">
      <alignment horizontal="center"/>
    </xf>
    <xf numFmtId="0" fontId="4" fillId="0" borderId="18" xfId="2" applyFont="1" applyFill="1" applyBorder="1" applyAlignment="1">
      <alignment horizontal="center"/>
    </xf>
    <xf numFmtId="0" fontId="4" fillId="0" borderId="19" xfId="2" applyFont="1" applyFill="1" applyBorder="1" applyAlignment="1">
      <alignment horizontal="center"/>
    </xf>
    <xf numFmtId="0" fontId="4" fillId="0" borderId="26" xfId="2" applyFont="1" applyFill="1" applyBorder="1" applyAlignment="1">
      <alignment horizontal="center" vertical="top" wrapText="1"/>
    </xf>
    <xf numFmtId="0" fontId="4" fillId="0" borderId="27" xfId="2" applyFont="1" applyFill="1" applyBorder="1" applyAlignment="1">
      <alignment horizontal="center" vertical="top" wrapText="1"/>
    </xf>
    <xf numFmtId="0" fontId="4" fillId="0" borderId="28" xfId="2" applyFont="1" applyFill="1" applyBorder="1" applyAlignment="1">
      <alignment horizontal="center" vertical="top" wrapText="1"/>
    </xf>
    <xf numFmtId="0" fontId="1" fillId="0" borderId="2" xfId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/>
    </xf>
    <xf numFmtId="0" fontId="1" fillId="0" borderId="4" xfId="1" applyFont="1" applyFill="1" applyBorder="1" applyAlignment="1">
      <alignment horizontal="center" wrapText="1"/>
    </xf>
    <xf numFmtId="0" fontId="1" fillId="0" borderId="10" xfId="1" applyFont="1" applyFill="1" applyBorder="1" applyAlignment="1">
      <alignment horizontal="center" wrapText="1"/>
    </xf>
    <xf numFmtId="0" fontId="1" fillId="0" borderId="3" xfId="1" applyFill="1" applyBorder="1" applyAlignment="1">
      <alignment horizontal="center"/>
    </xf>
    <xf numFmtId="0" fontId="1" fillId="0" borderId="5" xfId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4" fillId="0" borderId="0" xfId="2" applyFont="1" applyFill="1" applyBorder="1" applyAlignment="1">
      <alignment horizontal="center" vertical="top" wrapText="1"/>
    </xf>
    <xf numFmtId="0" fontId="4" fillId="0" borderId="0" xfId="2" applyFont="1" applyFill="1" applyBorder="1" applyAlignment="1">
      <alignment horizontal="left" vertical="top" wrapText="1"/>
    </xf>
    <xf numFmtId="0" fontId="2" fillId="0" borderId="0" xfId="1" applyFont="1" applyFill="1" applyAlignment="1">
      <alignment horizontal="left"/>
    </xf>
    <xf numFmtId="0" fontId="1" fillId="3" borderId="6" xfId="1" applyFill="1" applyBorder="1" applyAlignment="1">
      <alignment horizontal="center"/>
    </xf>
  </cellXfs>
  <cellStyles count="3">
    <cellStyle name="Bold text" xfId="2"/>
    <cellStyle name="Normal" xfId="0" builtinId="0"/>
    <cellStyle name="Normal 2" xfId="1"/>
  </cellStyles>
  <dxfs count="10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AW39"/>
  <sheetViews>
    <sheetView tabSelected="1" zoomScale="80" zoomScaleNormal="80" zoomScalePageLayoutView="150" workbookViewId="0">
      <selection sqref="A1:I1"/>
    </sheetView>
  </sheetViews>
  <sheetFormatPr defaultColWidth="8.88671875" defaultRowHeight="13.2" x14ac:dyDescent="0.25"/>
  <cols>
    <col min="1" max="1" width="29.5546875" style="1" bestFit="1" customWidth="1"/>
    <col min="2" max="2" width="19.109375" style="1" bestFit="1" customWidth="1"/>
    <col min="3" max="4" width="10.44140625" style="1" customWidth="1"/>
    <col min="5" max="5" width="20.44140625" style="1" customWidth="1"/>
    <col min="6" max="6" width="11.6640625" style="1" customWidth="1"/>
    <col min="7" max="7" width="11.5546875" style="1" customWidth="1"/>
    <col min="8" max="8" width="1.6640625" style="1" customWidth="1"/>
    <col min="9" max="9" width="17" style="1" customWidth="1"/>
    <col min="10" max="10" width="11" style="1" customWidth="1"/>
    <col min="11" max="11" width="10.33203125" style="1" customWidth="1"/>
    <col min="12" max="13" width="8.88671875" style="1"/>
    <col min="14" max="14" width="1.6640625" style="1" customWidth="1"/>
    <col min="15" max="15" width="8.88671875" style="1"/>
    <col min="16" max="17" width="12.5546875" style="1" bestFit="1" customWidth="1"/>
    <col min="18" max="18" width="12.88671875" style="1" customWidth="1"/>
    <col min="19" max="19" width="1.6640625" style="1" customWidth="1"/>
    <col min="20" max="23" width="8.88671875" style="1"/>
    <col min="24" max="24" width="10.109375" style="1" customWidth="1"/>
    <col min="25" max="25" width="1.5546875" style="1" customWidth="1"/>
    <col min="26" max="28" width="8.88671875" style="1"/>
    <col min="29" max="29" width="12.88671875" style="1" customWidth="1"/>
    <col min="30" max="30" width="15.88671875" style="1" customWidth="1"/>
    <col min="31" max="31" width="1.6640625" style="1" customWidth="1"/>
    <col min="32" max="36" width="8.88671875" style="1"/>
    <col min="37" max="37" width="1.5546875" style="1" customWidth="1"/>
    <col min="38" max="42" width="8.88671875" style="1"/>
    <col min="43" max="43" width="1.5546875" style="1" customWidth="1"/>
    <col min="44" max="16384" width="8.88671875" style="1"/>
  </cols>
  <sheetData>
    <row r="1" spans="1:49" ht="15.6" x14ac:dyDescent="0.3">
      <c r="A1" s="144" t="s">
        <v>0</v>
      </c>
      <c r="B1" s="144"/>
      <c r="C1" s="144"/>
      <c r="D1" s="144"/>
      <c r="E1" s="144"/>
      <c r="F1" s="144"/>
      <c r="G1" s="144"/>
      <c r="H1" s="144"/>
      <c r="I1" s="144"/>
    </row>
    <row r="3" spans="1:49" x14ac:dyDescent="0.25">
      <c r="A3" s="2"/>
      <c r="B3" s="2"/>
      <c r="C3" s="2"/>
      <c r="D3" s="2"/>
      <c r="E3" s="2"/>
      <c r="F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/>
      <c r="U3" s="3"/>
      <c r="V3" s="3"/>
      <c r="W3" s="3"/>
      <c r="X3" s="3"/>
      <c r="Y3" s="4"/>
      <c r="Z3" s="3"/>
      <c r="AA3" s="3"/>
      <c r="AB3" s="3"/>
      <c r="AC3" s="3"/>
      <c r="AD3" s="3"/>
      <c r="AE3" s="5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7"/>
    </row>
    <row r="4" spans="1:49" ht="16.2" thickBot="1" x14ac:dyDescent="0.35">
      <c r="A4" s="8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10"/>
      <c r="AR4" s="11"/>
      <c r="AS4" s="11"/>
      <c r="AT4" s="11"/>
      <c r="AU4" s="11"/>
      <c r="AV4" s="11"/>
    </row>
    <row r="5" spans="1:49" ht="13.5" customHeight="1" thickBot="1" x14ac:dyDescent="0.3">
      <c r="A5" s="134" t="s">
        <v>2</v>
      </c>
      <c r="B5" s="135"/>
      <c r="C5" s="135"/>
      <c r="D5" s="135"/>
      <c r="E5" s="136" t="s">
        <v>3</v>
      </c>
      <c r="F5" s="138" t="s">
        <v>4</v>
      </c>
      <c r="G5" s="13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3"/>
      <c r="U5" s="3"/>
      <c r="V5" s="3"/>
      <c r="W5" s="3"/>
      <c r="X5" s="3"/>
      <c r="Y5" s="4"/>
      <c r="Z5" s="3"/>
      <c r="AA5" s="3"/>
      <c r="AB5" s="3"/>
      <c r="AC5" s="3"/>
      <c r="AD5" s="3"/>
      <c r="AE5" s="5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7"/>
      <c r="AR5" s="145" t="s">
        <v>5</v>
      </c>
      <c r="AS5" s="145"/>
      <c r="AT5" s="145"/>
      <c r="AU5" s="145"/>
    </row>
    <row r="6" spans="1:49" ht="39" customHeight="1" thickBot="1" x14ac:dyDescent="0.3">
      <c r="A6" s="12" t="s">
        <v>6</v>
      </c>
      <c r="B6" s="13" t="s">
        <v>7</v>
      </c>
      <c r="C6" s="13" t="s">
        <v>8</v>
      </c>
      <c r="D6" s="14" t="s">
        <v>9</v>
      </c>
      <c r="E6" s="137"/>
      <c r="F6" s="15" t="s">
        <v>10</v>
      </c>
      <c r="G6" s="16" t="s">
        <v>11</v>
      </c>
      <c r="H6" s="2"/>
      <c r="I6" s="2"/>
      <c r="J6" s="140"/>
      <c r="K6" s="141"/>
      <c r="L6" s="17"/>
      <c r="M6" s="17"/>
      <c r="N6" s="17"/>
      <c r="O6" s="18"/>
      <c r="P6" s="18"/>
      <c r="Q6" s="17"/>
      <c r="R6" s="17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R6" s="19" t="s">
        <v>12</v>
      </c>
      <c r="AS6" s="19" t="s">
        <v>13</v>
      </c>
      <c r="AT6" s="19" t="s">
        <v>14</v>
      </c>
      <c r="AU6" s="19" t="s">
        <v>15</v>
      </c>
    </row>
    <row r="7" spans="1:49" ht="13.8" thickBot="1" x14ac:dyDescent="0.3">
      <c r="A7" s="20">
        <v>121.18731341217617</v>
      </c>
      <c r="B7" s="21">
        <v>2.6144099999999999</v>
      </c>
      <c r="C7" s="21">
        <f>A7-B7</f>
        <v>118.57290341217616</v>
      </c>
      <c r="D7" s="21">
        <f>C7*G7/F7</f>
        <v>121.02319701368562</v>
      </c>
      <c r="E7" s="22">
        <f>D7*0.5</f>
        <v>60.511598506842809</v>
      </c>
      <c r="F7" s="23">
        <v>111.30000000000001</v>
      </c>
      <c r="G7" s="24">
        <v>113.6</v>
      </c>
      <c r="H7" s="2"/>
      <c r="I7" s="2"/>
      <c r="J7" s="25"/>
      <c r="K7" s="25"/>
      <c r="L7" s="17"/>
      <c r="M7" s="17"/>
      <c r="N7" s="17"/>
      <c r="O7" s="7"/>
      <c r="P7" s="6"/>
      <c r="Q7" s="17"/>
      <c r="R7" s="17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R7" s="26">
        <v>0.13902931360000004</v>
      </c>
      <c r="AS7" s="26">
        <v>0.14247319634560007</v>
      </c>
      <c r="AT7" s="26">
        <v>0.14590330356021763</v>
      </c>
      <c r="AU7" s="26">
        <v>0.14931969034597681</v>
      </c>
    </row>
    <row r="8" spans="1:49" ht="13.8" thickBot="1" x14ac:dyDescent="0.3">
      <c r="A8" s="27"/>
      <c r="B8" s="2"/>
      <c r="C8" s="2"/>
      <c r="D8" s="2"/>
      <c r="E8" s="2"/>
      <c r="F8" s="2"/>
      <c r="G8" s="2"/>
      <c r="H8" s="2"/>
      <c r="I8" s="28"/>
      <c r="J8" s="2"/>
      <c r="K8" s="2"/>
      <c r="L8" s="2"/>
      <c r="M8" s="2"/>
      <c r="N8" s="2"/>
      <c r="O8" s="142"/>
      <c r="P8" s="142"/>
      <c r="Q8" s="142"/>
      <c r="R8" s="142"/>
      <c r="S8" s="2"/>
      <c r="T8" s="143"/>
      <c r="U8" s="143"/>
      <c r="V8" s="143"/>
      <c r="W8" s="143"/>
      <c r="X8" s="143"/>
      <c r="Y8" s="29"/>
      <c r="Z8" s="29"/>
      <c r="AA8" s="29"/>
      <c r="AB8" s="29"/>
      <c r="AC8" s="29"/>
      <c r="AD8" s="29"/>
    </row>
    <row r="9" spans="1:49" ht="55.5" customHeight="1" thickBot="1" x14ac:dyDescent="0.3">
      <c r="A9" s="125" t="s">
        <v>16</v>
      </c>
      <c r="B9" s="126"/>
      <c r="C9" s="126"/>
      <c r="D9" s="126"/>
      <c r="E9" s="126"/>
      <c r="F9" s="126"/>
      <c r="G9" s="127"/>
      <c r="H9" s="2"/>
      <c r="I9" s="128" t="s">
        <v>17</v>
      </c>
      <c r="J9" s="129"/>
      <c r="K9" s="129"/>
      <c r="L9" s="129"/>
      <c r="M9" s="130"/>
      <c r="N9" s="2"/>
      <c r="O9" s="115" t="s">
        <v>18</v>
      </c>
      <c r="P9" s="116"/>
      <c r="Q9" s="116"/>
      <c r="R9" s="117"/>
      <c r="S9" s="2"/>
      <c r="T9" s="115" t="s">
        <v>19</v>
      </c>
      <c r="U9" s="116"/>
      <c r="V9" s="116"/>
      <c r="W9" s="116"/>
      <c r="X9" s="117"/>
      <c r="Y9" s="2"/>
      <c r="Z9" s="115" t="s">
        <v>20</v>
      </c>
      <c r="AA9" s="116"/>
      <c r="AB9" s="116"/>
      <c r="AC9" s="116"/>
      <c r="AD9" s="117"/>
      <c r="AF9" s="115" t="s">
        <v>21</v>
      </c>
      <c r="AG9" s="116"/>
      <c r="AH9" s="116"/>
      <c r="AI9" s="116"/>
      <c r="AJ9" s="117"/>
      <c r="AK9" s="30"/>
      <c r="AL9" s="115" t="s">
        <v>22</v>
      </c>
      <c r="AM9" s="116"/>
      <c r="AN9" s="116"/>
      <c r="AO9" s="116"/>
      <c r="AP9" s="117"/>
      <c r="AQ9" s="30"/>
      <c r="AR9" s="115" t="s">
        <v>23</v>
      </c>
      <c r="AS9" s="116"/>
      <c r="AT9" s="116"/>
      <c r="AU9" s="116"/>
      <c r="AV9" s="117"/>
    </row>
    <row r="10" spans="1:49" ht="13.8" thickBot="1" x14ac:dyDescent="0.3">
      <c r="A10" s="121"/>
      <c r="B10" s="122"/>
      <c r="C10" s="122"/>
      <c r="D10" s="123" t="s">
        <v>24</v>
      </c>
      <c r="E10" s="123"/>
      <c r="F10" s="123"/>
      <c r="G10" s="124"/>
      <c r="H10" s="17"/>
      <c r="I10" s="31"/>
      <c r="J10" s="32" t="s">
        <v>25</v>
      </c>
      <c r="K10" s="33" t="s">
        <v>26</v>
      </c>
      <c r="L10" s="33" t="s">
        <v>27</v>
      </c>
      <c r="M10" s="34" t="s">
        <v>28</v>
      </c>
      <c r="N10" s="17"/>
      <c r="O10" s="118"/>
      <c r="P10" s="119"/>
      <c r="Q10" s="119"/>
      <c r="R10" s="120"/>
      <c r="S10" s="17"/>
      <c r="T10" s="118"/>
      <c r="U10" s="119"/>
      <c r="V10" s="119"/>
      <c r="W10" s="119"/>
      <c r="X10" s="120"/>
      <c r="Y10" s="35"/>
      <c r="Z10" s="131"/>
      <c r="AA10" s="132"/>
      <c r="AB10" s="132"/>
      <c r="AC10" s="132"/>
      <c r="AD10" s="133"/>
      <c r="AF10" s="131"/>
      <c r="AG10" s="132"/>
      <c r="AH10" s="132"/>
      <c r="AI10" s="132"/>
      <c r="AJ10" s="133"/>
      <c r="AK10" s="35"/>
      <c r="AL10" s="118"/>
      <c r="AM10" s="119"/>
      <c r="AN10" s="119"/>
      <c r="AO10" s="119"/>
      <c r="AP10" s="120"/>
      <c r="AQ10" s="35"/>
      <c r="AR10" s="118"/>
      <c r="AS10" s="119"/>
      <c r="AT10" s="119"/>
      <c r="AU10" s="119"/>
      <c r="AV10" s="120"/>
    </row>
    <row r="11" spans="1:49" ht="26.4" x14ac:dyDescent="0.25">
      <c r="A11" s="36" t="s">
        <v>29</v>
      </c>
      <c r="B11" s="37" t="s">
        <v>30</v>
      </c>
      <c r="C11" s="37" t="s">
        <v>31</v>
      </c>
      <c r="D11" s="38" t="s">
        <v>25</v>
      </c>
      <c r="E11" s="37" t="s">
        <v>26</v>
      </c>
      <c r="F11" s="37" t="s">
        <v>27</v>
      </c>
      <c r="G11" s="39" t="s">
        <v>28</v>
      </c>
      <c r="H11" s="17"/>
      <c r="I11" s="40" t="s">
        <v>32</v>
      </c>
      <c r="J11" s="41">
        <f>$E$7/4</f>
        <v>15.127899626710702</v>
      </c>
      <c r="K11" s="41">
        <f t="shared" ref="K11:M11" si="0">$E$7/4</f>
        <v>15.127899626710702</v>
      </c>
      <c r="L11" s="41">
        <f t="shared" si="0"/>
        <v>15.127899626710702</v>
      </c>
      <c r="M11" s="41">
        <f t="shared" si="0"/>
        <v>15.127899626710702</v>
      </c>
      <c r="N11" s="17"/>
      <c r="O11" s="42" t="s">
        <v>25</v>
      </c>
      <c r="P11" s="33" t="s">
        <v>26</v>
      </c>
      <c r="Q11" s="33" t="s">
        <v>27</v>
      </c>
      <c r="R11" s="34" t="s">
        <v>28</v>
      </c>
      <c r="S11" s="17"/>
      <c r="T11" s="42" t="s">
        <v>25</v>
      </c>
      <c r="U11" s="33" t="s">
        <v>26</v>
      </c>
      <c r="V11" s="33" t="s">
        <v>27</v>
      </c>
      <c r="W11" s="33" t="s">
        <v>28</v>
      </c>
      <c r="X11" s="34" t="s">
        <v>33</v>
      </c>
      <c r="Y11" s="17"/>
      <c r="Z11" s="42" t="s">
        <v>25</v>
      </c>
      <c r="AA11" s="33" t="s">
        <v>26</v>
      </c>
      <c r="AB11" s="33" t="s">
        <v>27</v>
      </c>
      <c r="AC11" s="33" t="s">
        <v>28</v>
      </c>
      <c r="AD11" s="34" t="s">
        <v>33</v>
      </c>
      <c r="AF11" s="42" t="s">
        <v>25</v>
      </c>
      <c r="AG11" s="33" t="s">
        <v>26</v>
      </c>
      <c r="AH11" s="33" t="s">
        <v>27</v>
      </c>
      <c r="AI11" s="33" t="s">
        <v>28</v>
      </c>
      <c r="AJ11" s="34" t="s">
        <v>33</v>
      </c>
      <c r="AK11" s="17"/>
      <c r="AL11" s="42" t="s">
        <v>25</v>
      </c>
      <c r="AM11" s="33" t="s">
        <v>26</v>
      </c>
      <c r="AN11" s="33" t="s">
        <v>27</v>
      </c>
      <c r="AO11" s="33" t="s">
        <v>28</v>
      </c>
      <c r="AP11" s="34" t="s">
        <v>33</v>
      </c>
      <c r="AQ11" s="17"/>
      <c r="AR11" s="42" t="s">
        <v>25</v>
      </c>
      <c r="AS11" s="33" t="s">
        <v>26</v>
      </c>
      <c r="AT11" s="33" t="s">
        <v>27</v>
      </c>
      <c r="AU11" s="33" t="s">
        <v>28</v>
      </c>
      <c r="AV11" s="34" t="s">
        <v>33</v>
      </c>
    </row>
    <row r="12" spans="1:49" x14ac:dyDescent="0.25">
      <c r="A12" s="43" t="s">
        <v>34</v>
      </c>
      <c r="B12" s="44">
        <v>2429</v>
      </c>
      <c r="C12" s="44">
        <v>2835.1008500300004</v>
      </c>
      <c r="D12" s="44">
        <v>2798</v>
      </c>
      <c r="E12" s="44">
        <v>2404</v>
      </c>
      <c r="F12" s="44">
        <v>2102</v>
      </c>
      <c r="G12" s="45">
        <v>2372</v>
      </c>
      <c r="H12" s="17"/>
      <c r="I12" s="46">
        <f>$E$7/6</f>
        <v>10.085266417807135</v>
      </c>
      <c r="J12" s="47">
        <f>J$11/6</f>
        <v>2.5213166044517838</v>
      </c>
      <c r="K12" s="47">
        <f t="shared" ref="K12:M17" si="1">K$11/6</f>
        <v>2.5213166044517838</v>
      </c>
      <c r="L12" s="47">
        <f t="shared" si="1"/>
        <v>2.5213166044517838</v>
      </c>
      <c r="M12" s="48">
        <f t="shared" si="1"/>
        <v>2.5213166044517838</v>
      </c>
      <c r="N12" s="17"/>
      <c r="O12" s="49">
        <f t="shared" ref="O12:R17" si="2">((D12-$C12)/($C12-$B12))</f>
        <v>-9.1358710594325529E-2</v>
      </c>
      <c r="P12" s="50">
        <f t="shared" si="2"/>
        <v>-1.0615610629678642</v>
      </c>
      <c r="Q12" s="50">
        <f t="shared" si="2"/>
        <v>-1.8052187036196627</v>
      </c>
      <c r="R12" s="51">
        <f t="shared" si="2"/>
        <v>-1.1403592235667301</v>
      </c>
      <c r="S12" s="17"/>
      <c r="T12" s="52">
        <f>J12*O12</f>
        <v>-0.23034423398277806</v>
      </c>
      <c r="U12" s="53">
        <f t="shared" ref="T12:W17" si="3">K12*P12</f>
        <v>-2.6765315347003615</v>
      </c>
      <c r="V12" s="53">
        <f t="shared" si="3"/>
        <v>-4.551527892103179</v>
      </c>
      <c r="W12" s="53">
        <f>M12*R12</f>
        <v>-2.8752066454185408</v>
      </c>
      <c r="X12" s="54">
        <f>SUMIF(T12:W12,"&gt;0")</f>
        <v>0</v>
      </c>
      <c r="Y12" s="6"/>
      <c r="Z12" s="55">
        <f>IF(T12&gt;0,T12,0)</f>
        <v>0</v>
      </c>
      <c r="AA12" s="53">
        <f t="shared" ref="AA12:AC17" si="4">IF(U12&gt;0,U12,0)</f>
        <v>0</v>
      </c>
      <c r="AB12" s="53">
        <f t="shared" si="4"/>
        <v>0</v>
      </c>
      <c r="AC12" s="53">
        <f t="shared" si="4"/>
        <v>0</v>
      </c>
      <c r="AD12" s="54">
        <f>SUMIF(Z12:AC12,"&gt;0")</f>
        <v>0</v>
      </c>
      <c r="AE12" s="5"/>
      <c r="AF12" s="56"/>
      <c r="AG12" s="57"/>
      <c r="AH12" s="57"/>
      <c r="AI12" s="57"/>
      <c r="AJ12" s="58"/>
      <c r="AK12" s="7"/>
      <c r="AL12" s="56"/>
      <c r="AM12" s="57"/>
      <c r="AN12" s="57"/>
      <c r="AO12" s="57"/>
      <c r="AP12" s="58"/>
      <c r="AQ12" s="7"/>
      <c r="AR12" s="56"/>
      <c r="AS12" s="57"/>
      <c r="AT12" s="57"/>
      <c r="AU12" s="57"/>
      <c r="AV12" s="58"/>
    </row>
    <row r="13" spans="1:49" ht="26.4" x14ac:dyDescent="0.25">
      <c r="A13" s="43" t="s">
        <v>35</v>
      </c>
      <c r="B13" s="44">
        <v>85</v>
      </c>
      <c r="C13" s="44">
        <v>210</v>
      </c>
      <c r="D13" s="44">
        <v>7906</v>
      </c>
      <c r="E13" s="44">
        <v>966</v>
      </c>
      <c r="F13" s="44">
        <v>2451</v>
      </c>
      <c r="G13" s="45">
        <v>85</v>
      </c>
      <c r="H13" s="17"/>
      <c r="I13" s="46">
        <f t="shared" ref="I13:I17" si="5">$E$7/6</f>
        <v>10.085266417807135</v>
      </c>
      <c r="J13" s="47">
        <f t="shared" ref="J13:J17" si="6">J$11/6</f>
        <v>2.5213166044517838</v>
      </c>
      <c r="K13" s="47">
        <f t="shared" si="1"/>
        <v>2.5213166044517838</v>
      </c>
      <c r="L13" s="47">
        <f t="shared" si="1"/>
        <v>2.5213166044517838</v>
      </c>
      <c r="M13" s="48">
        <f t="shared" si="1"/>
        <v>2.5213166044517838</v>
      </c>
      <c r="N13" s="17"/>
      <c r="O13" s="59">
        <f t="shared" si="2"/>
        <v>61.567999999999998</v>
      </c>
      <c r="P13" s="60">
        <f t="shared" si="2"/>
        <v>6.048</v>
      </c>
      <c r="Q13" s="60">
        <f t="shared" si="2"/>
        <v>17.928000000000001</v>
      </c>
      <c r="R13" s="51">
        <f t="shared" si="2"/>
        <v>-1</v>
      </c>
      <c r="S13" s="17"/>
      <c r="T13" s="52">
        <f t="shared" si="3"/>
        <v>155.23242070288742</v>
      </c>
      <c r="U13" s="53">
        <f t="shared" si="3"/>
        <v>15.248922823724389</v>
      </c>
      <c r="V13" s="53">
        <f t="shared" si="3"/>
        <v>45.202164084611582</v>
      </c>
      <c r="W13" s="53">
        <f t="shared" si="3"/>
        <v>-2.5213166044517838</v>
      </c>
      <c r="X13" s="54">
        <f t="shared" ref="X13:X17" si="7">SUMIF(T13:W13,"&gt;0")</f>
        <v>215.6835076112234</v>
      </c>
      <c r="Y13" s="6"/>
      <c r="Z13" s="61">
        <f>J13*1</f>
        <v>2.5213166044517838</v>
      </c>
      <c r="AA13" s="62">
        <f>K13*1</f>
        <v>2.5213166044517838</v>
      </c>
      <c r="AB13" s="62">
        <f>L13*1</f>
        <v>2.5213166044517838</v>
      </c>
      <c r="AC13" s="53">
        <f t="shared" si="4"/>
        <v>0</v>
      </c>
      <c r="AD13" s="54">
        <f t="shared" ref="AD13:AD16" si="8">SUMIF(Z13:AC13,"&gt;0")</f>
        <v>7.563949813355352</v>
      </c>
      <c r="AE13" s="5"/>
      <c r="AF13" s="56">
        <f>IF(Z13&gt;0,Z13,0)</f>
        <v>2.5213166044517838</v>
      </c>
      <c r="AG13" s="57">
        <f t="shared" ref="AG13:AI13" si="9">IF(AA13&gt;0,AA13,0)</f>
        <v>2.5213166044517838</v>
      </c>
      <c r="AH13" s="57">
        <f t="shared" si="9"/>
        <v>2.5213166044517838</v>
      </c>
      <c r="AI13" s="57">
        <f t="shared" si="9"/>
        <v>0</v>
      </c>
      <c r="AJ13" s="54">
        <f t="shared" ref="AJ13" si="10">SUM(AF13:AI13)</f>
        <v>7.563949813355352</v>
      </c>
      <c r="AK13" s="63"/>
      <c r="AL13" s="64">
        <f>AF13*0.75</f>
        <v>1.890987453338838</v>
      </c>
      <c r="AM13" s="57">
        <f t="shared" ref="AM13:AO13" si="11">AG13*0.75</f>
        <v>1.890987453338838</v>
      </c>
      <c r="AN13" s="57">
        <f t="shared" si="11"/>
        <v>1.890987453338838</v>
      </c>
      <c r="AO13" s="57">
        <f t="shared" si="11"/>
        <v>0</v>
      </c>
      <c r="AP13" s="54">
        <f>SUM(AL13:AO13)</f>
        <v>5.6729623600165144</v>
      </c>
      <c r="AQ13" s="5"/>
      <c r="AR13" s="64">
        <f>AL13*(1-AR7)</f>
        <v>1.6280847656749273</v>
      </c>
      <c r="AS13" s="57">
        <f t="shared" ref="AS13:AU13" si="12">AM13*(1-AS7)</f>
        <v>1.6215724266122276</v>
      </c>
      <c r="AT13" s="57">
        <f t="shared" si="12"/>
        <v>1.6150861369057787</v>
      </c>
      <c r="AU13" s="57">
        <f t="shared" si="12"/>
        <v>0</v>
      </c>
      <c r="AV13" s="54">
        <f>SUM(AR13:AU13)</f>
        <v>4.8647433291929341</v>
      </c>
      <c r="AW13" s="65" t="s">
        <v>36</v>
      </c>
    </row>
    <row r="14" spans="1:49" ht="26.4" x14ac:dyDescent="0.25">
      <c r="A14" s="43" t="s">
        <v>37</v>
      </c>
      <c r="B14" s="66">
        <v>0.34999999999999432</v>
      </c>
      <c r="C14" s="66">
        <v>0.74999999999999434</v>
      </c>
      <c r="D14" s="66">
        <v>0.68</v>
      </c>
      <c r="E14" s="66">
        <v>0.19</v>
      </c>
      <c r="F14" s="66">
        <v>0.43</v>
      </c>
      <c r="G14" s="67">
        <v>0.53000000000000114</v>
      </c>
      <c r="H14" s="17"/>
      <c r="I14" s="46">
        <f t="shared" si="5"/>
        <v>10.085266417807135</v>
      </c>
      <c r="J14" s="47">
        <f t="shared" si="6"/>
        <v>2.5213166044517838</v>
      </c>
      <c r="K14" s="47">
        <f t="shared" si="1"/>
        <v>2.5213166044517838</v>
      </c>
      <c r="L14" s="47">
        <f t="shared" si="1"/>
        <v>2.5213166044517838</v>
      </c>
      <c r="M14" s="48">
        <f t="shared" si="1"/>
        <v>2.5213166044517838</v>
      </c>
      <c r="N14" s="17"/>
      <c r="O14" s="68">
        <f t="shared" si="2"/>
        <v>-0.17499999999998572</v>
      </c>
      <c r="P14" s="50">
        <f t="shared" si="2"/>
        <v>-1.3999999999999857</v>
      </c>
      <c r="Q14" s="50">
        <f t="shared" si="2"/>
        <v>-0.79999999999998583</v>
      </c>
      <c r="R14" s="51">
        <f t="shared" si="2"/>
        <v>-0.54999999999998295</v>
      </c>
      <c r="S14" s="17"/>
      <c r="T14" s="52">
        <f>J14*O14</f>
        <v>-0.44123040577902617</v>
      </c>
      <c r="U14" s="53">
        <f>K14*P14</f>
        <v>-3.5298432462324612</v>
      </c>
      <c r="V14" s="53">
        <f t="shared" si="3"/>
        <v>-2.0170532835613915</v>
      </c>
      <c r="W14" s="53">
        <f t="shared" si="3"/>
        <v>-1.3867241324484381</v>
      </c>
      <c r="X14" s="54">
        <f t="shared" si="7"/>
        <v>0</v>
      </c>
      <c r="Y14" s="6"/>
      <c r="Z14" s="55">
        <f t="shared" ref="Z14:AB17" si="13">IF(T14&gt;0,T14,0)</f>
        <v>0</v>
      </c>
      <c r="AA14" s="53">
        <f t="shared" si="13"/>
        <v>0</v>
      </c>
      <c r="AB14" s="53">
        <f t="shared" si="13"/>
        <v>0</v>
      </c>
      <c r="AC14" s="53">
        <f t="shared" si="4"/>
        <v>0</v>
      </c>
      <c r="AD14" s="54">
        <f t="shared" si="8"/>
        <v>0</v>
      </c>
      <c r="AE14" s="5"/>
      <c r="AF14" s="69"/>
      <c r="AG14" s="70"/>
      <c r="AH14" s="70"/>
      <c r="AI14" s="70"/>
      <c r="AJ14" s="71"/>
      <c r="AK14" s="72"/>
      <c r="AL14" s="69"/>
      <c r="AM14" s="70"/>
      <c r="AN14" s="70"/>
      <c r="AO14" s="70"/>
      <c r="AP14" s="71"/>
      <c r="AQ14" s="65"/>
      <c r="AR14" s="69"/>
      <c r="AS14" s="70"/>
      <c r="AT14" s="70"/>
      <c r="AU14" s="70"/>
      <c r="AV14" s="73"/>
    </row>
    <row r="15" spans="1:49" ht="26.4" x14ac:dyDescent="0.25">
      <c r="A15" s="43" t="s">
        <v>38</v>
      </c>
      <c r="B15" s="44">
        <v>93</v>
      </c>
      <c r="C15" s="44">
        <v>194</v>
      </c>
      <c r="D15" s="44">
        <v>63</v>
      </c>
      <c r="E15" s="44">
        <v>69</v>
      </c>
      <c r="F15" s="44">
        <v>62</v>
      </c>
      <c r="G15" s="45">
        <v>60</v>
      </c>
      <c r="H15" s="17"/>
      <c r="I15" s="46">
        <f t="shared" si="5"/>
        <v>10.085266417807135</v>
      </c>
      <c r="J15" s="47">
        <f t="shared" si="6"/>
        <v>2.5213166044517838</v>
      </c>
      <c r="K15" s="47">
        <f t="shared" si="1"/>
        <v>2.5213166044517838</v>
      </c>
      <c r="L15" s="47">
        <f t="shared" si="1"/>
        <v>2.5213166044517838</v>
      </c>
      <c r="M15" s="48">
        <f t="shared" si="1"/>
        <v>2.5213166044517838</v>
      </c>
      <c r="N15" s="17"/>
      <c r="O15" s="49">
        <f t="shared" si="2"/>
        <v>-1.2970297029702971</v>
      </c>
      <c r="P15" s="50">
        <f t="shared" si="2"/>
        <v>-1.2376237623762376</v>
      </c>
      <c r="Q15" s="50">
        <f t="shared" si="2"/>
        <v>-1.306930693069307</v>
      </c>
      <c r="R15" s="51">
        <f t="shared" si="2"/>
        <v>-1.3267326732673268</v>
      </c>
      <c r="S15" s="17"/>
      <c r="T15" s="52">
        <f t="shared" ref="T15:U17" si="14">J15*O15</f>
        <v>-3.2702225265661751</v>
      </c>
      <c r="U15" s="53">
        <f t="shared" si="14"/>
        <v>-3.1204413421432968</v>
      </c>
      <c r="V15" s="53">
        <f t="shared" si="3"/>
        <v>-3.2951860573033218</v>
      </c>
      <c r="W15" s="53">
        <f t="shared" si="3"/>
        <v>-3.3451131187776144</v>
      </c>
      <c r="X15" s="54">
        <f t="shared" si="7"/>
        <v>0</v>
      </c>
      <c r="Y15" s="6"/>
      <c r="Z15" s="55">
        <f t="shared" si="13"/>
        <v>0</v>
      </c>
      <c r="AA15" s="53">
        <f t="shared" si="13"/>
        <v>0</v>
      </c>
      <c r="AB15" s="53">
        <f t="shared" si="13"/>
        <v>0</v>
      </c>
      <c r="AC15" s="53">
        <f t="shared" si="4"/>
        <v>0</v>
      </c>
      <c r="AD15" s="54">
        <f t="shared" si="8"/>
        <v>0</v>
      </c>
      <c r="AE15" s="5"/>
      <c r="AF15" s="69"/>
      <c r="AG15" s="70"/>
      <c r="AH15" s="70"/>
      <c r="AI15" s="70"/>
      <c r="AJ15" s="73"/>
      <c r="AK15" s="72"/>
      <c r="AL15" s="69"/>
      <c r="AM15" s="70"/>
      <c r="AN15" s="70"/>
      <c r="AO15" s="70"/>
      <c r="AP15" s="73"/>
      <c r="AQ15" s="7"/>
      <c r="AR15" s="74"/>
      <c r="AS15" s="70"/>
      <c r="AT15" s="70"/>
      <c r="AU15" s="70"/>
      <c r="AV15" s="73"/>
    </row>
    <row r="16" spans="1:49" ht="52.8" x14ac:dyDescent="0.25">
      <c r="A16" s="43" t="s">
        <v>39</v>
      </c>
      <c r="B16" s="66">
        <v>1.165</v>
      </c>
      <c r="C16" s="66">
        <v>1.635</v>
      </c>
      <c r="D16" s="66">
        <v>1.1399999999999999</v>
      </c>
      <c r="E16" s="66">
        <v>1.17</v>
      </c>
      <c r="F16" s="66">
        <v>1.03</v>
      </c>
      <c r="G16" s="67">
        <v>1.19</v>
      </c>
      <c r="H16" s="17"/>
      <c r="I16" s="46">
        <f t="shared" si="5"/>
        <v>10.085266417807135</v>
      </c>
      <c r="J16" s="47">
        <f t="shared" si="6"/>
        <v>2.5213166044517838</v>
      </c>
      <c r="K16" s="47">
        <f t="shared" si="1"/>
        <v>2.5213166044517838</v>
      </c>
      <c r="L16" s="47">
        <f t="shared" si="1"/>
        <v>2.5213166044517838</v>
      </c>
      <c r="M16" s="48">
        <f t="shared" si="1"/>
        <v>2.5213166044517838</v>
      </c>
      <c r="N16" s="17"/>
      <c r="O16" s="49">
        <f t="shared" si="2"/>
        <v>-1.0531914893617025</v>
      </c>
      <c r="P16" s="50">
        <f t="shared" si="2"/>
        <v>-0.98936170212765984</v>
      </c>
      <c r="Q16" s="50">
        <f t="shared" si="2"/>
        <v>-1.2872340425531916</v>
      </c>
      <c r="R16" s="51">
        <f t="shared" si="2"/>
        <v>-0.94680851063829807</v>
      </c>
      <c r="S16" s="17"/>
      <c r="T16" s="52">
        <f t="shared" si="14"/>
        <v>-2.6554291897949649</v>
      </c>
      <c r="U16" s="53">
        <f t="shared" si="14"/>
        <v>-2.4944940873831487</v>
      </c>
      <c r="V16" s="53">
        <f t="shared" si="3"/>
        <v>-3.2455245653049563</v>
      </c>
      <c r="W16" s="53">
        <f t="shared" si="3"/>
        <v>-2.3872040191086046</v>
      </c>
      <c r="X16" s="54">
        <f t="shared" si="7"/>
        <v>0</v>
      </c>
      <c r="Y16" s="6"/>
      <c r="Z16" s="55">
        <f t="shared" si="13"/>
        <v>0</v>
      </c>
      <c r="AA16" s="53">
        <f t="shared" si="13"/>
        <v>0</v>
      </c>
      <c r="AB16" s="53">
        <f t="shared" si="13"/>
        <v>0</v>
      </c>
      <c r="AC16" s="53">
        <f t="shared" si="4"/>
        <v>0</v>
      </c>
      <c r="AD16" s="54">
        <f t="shared" si="8"/>
        <v>0</v>
      </c>
      <c r="AE16" s="5"/>
      <c r="AF16" s="69"/>
      <c r="AG16" s="70"/>
      <c r="AH16" s="70"/>
      <c r="AI16" s="70"/>
      <c r="AJ16" s="73"/>
      <c r="AK16" s="72"/>
      <c r="AL16" s="69"/>
      <c r="AM16" s="70"/>
      <c r="AN16" s="70"/>
      <c r="AO16" s="70"/>
      <c r="AP16" s="73"/>
      <c r="AQ16" s="7"/>
      <c r="AR16" s="69"/>
      <c r="AS16" s="70"/>
      <c r="AT16" s="70"/>
      <c r="AU16" s="70"/>
      <c r="AV16" s="73"/>
    </row>
    <row r="17" spans="1:49" ht="13.8" thickBot="1" x14ac:dyDescent="0.3">
      <c r="A17" s="75" t="s">
        <v>40</v>
      </c>
      <c r="B17" s="76">
        <v>0.15</v>
      </c>
      <c r="C17" s="76">
        <v>0.21</v>
      </c>
      <c r="D17" s="76">
        <v>0.36</v>
      </c>
      <c r="E17" s="76">
        <v>0.1</v>
      </c>
      <c r="F17" s="76">
        <v>0.25</v>
      </c>
      <c r="G17" s="77">
        <v>0.25</v>
      </c>
      <c r="H17" s="17"/>
      <c r="I17" s="78">
        <f t="shared" si="5"/>
        <v>10.085266417807135</v>
      </c>
      <c r="J17" s="79">
        <f t="shared" si="6"/>
        <v>2.5213166044517838</v>
      </c>
      <c r="K17" s="79">
        <f t="shared" si="1"/>
        <v>2.5213166044517838</v>
      </c>
      <c r="L17" s="79">
        <f t="shared" si="1"/>
        <v>2.5213166044517838</v>
      </c>
      <c r="M17" s="80">
        <f t="shared" si="1"/>
        <v>2.5213166044517838</v>
      </c>
      <c r="N17" s="17"/>
      <c r="O17" s="81">
        <f t="shared" si="2"/>
        <v>2.5</v>
      </c>
      <c r="P17" s="82">
        <f t="shared" si="2"/>
        <v>-1.8333333333333333</v>
      </c>
      <c r="Q17" s="82">
        <f t="shared" si="2"/>
        <v>0.66666666666666685</v>
      </c>
      <c r="R17" s="83">
        <f t="shared" si="2"/>
        <v>0.66666666666666685</v>
      </c>
      <c r="S17" s="17"/>
      <c r="T17" s="84">
        <f>J17*O17</f>
        <v>6.3032915111294594</v>
      </c>
      <c r="U17" s="85">
        <f t="shared" si="14"/>
        <v>-4.6224137748282699</v>
      </c>
      <c r="V17" s="85">
        <f>L17*Q17</f>
        <v>1.6808777363011898</v>
      </c>
      <c r="W17" s="85">
        <f t="shared" si="3"/>
        <v>1.6808777363011898</v>
      </c>
      <c r="X17" s="86">
        <f t="shared" si="7"/>
        <v>9.6650469837318393</v>
      </c>
      <c r="Y17" s="6"/>
      <c r="Z17" s="87">
        <f>M16*1</f>
        <v>2.5213166044517838</v>
      </c>
      <c r="AA17" s="85">
        <f t="shared" si="13"/>
        <v>0</v>
      </c>
      <c r="AB17" s="85">
        <f t="shared" si="13"/>
        <v>1.6808777363011898</v>
      </c>
      <c r="AC17" s="85">
        <f t="shared" si="4"/>
        <v>1.6808777363011898</v>
      </c>
      <c r="AD17" s="54">
        <f>SUMIF(Z17:AC17,"&gt;0")</f>
        <v>5.8830720770541634</v>
      </c>
      <c r="AE17" s="5"/>
      <c r="AF17" s="88"/>
      <c r="AG17" s="89"/>
      <c r="AH17" s="89"/>
      <c r="AI17" s="89"/>
      <c r="AJ17" s="90"/>
      <c r="AK17" s="72"/>
      <c r="AL17" s="88"/>
      <c r="AM17" s="89"/>
      <c r="AN17" s="89"/>
      <c r="AO17" s="89"/>
      <c r="AP17" s="90"/>
      <c r="AR17" s="88"/>
      <c r="AS17" s="89"/>
      <c r="AT17" s="89"/>
      <c r="AU17" s="89"/>
      <c r="AV17" s="90"/>
      <c r="AW17" s="91" t="s">
        <v>41</v>
      </c>
    </row>
    <row r="18" spans="1:49" ht="13.8" thickBot="1" x14ac:dyDescent="0.3"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92">
        <f>SUMIF(T12:T17,"&gt;0")</f>
        <v>161.53571221401688</v>
      </c>
      <c r="U18" s="93">
        <f t="shared" ref="U18:W18" si="15">SUMIF(U12:U17,"&gt;0")</f>
        <v>15.248922823724389</v>
      </c>
      <c r="V18" s="93">
        <f t="shared" si="15"/>
        <v>46.883041820912773</v>
      </c>
      <c r="W18" s="93">
        <f t="shared" si="15"/>
        <v>1.6808777363011898</v>
      </c>
      <c r="X18" s="94">
        <f>SUM(X12:X17)</f>
        <v>225.34855459495523</v>
      </c>
      <c r="Y18" s="4"/>
      <c r="Z18" s="92">
        <f>SUMIF(Z12:Z17,"&gt;0")</f>
        <v>5.0426332089035677</v>
      </c>
      <c r="AA18" s="93">
        <f t="shared" ref="AA18:AC18" si="16">SUMIF(AA12:AA17,"&gt;0")</f>
        <v>2.5213166044517838</v>
      </c>
      <c r="AB18" s="93">
        <f t="shared" si="16"/>
        <v>4.2021943407529738</v>
      </c>
      <c r="AC18" s="93">
        <f t="shared" si="16"/>
        <v>1.6808777363011898</v>
      </c>
      <c r="AD18" s="94">
        <f>SUM(AD12:AD17)</f>
        <v>13.447021890409516</v>
      </c>
      <c r="AE18" s="5"/>
      <c r="AF18" s="95">
        <f>SUM(AF12:AF17)</f>
        <v>2.5213166044517838</v>
      </c>
      <c r="AG18" s="96">
        <f t="shared" ref="AG18:AI18" si="17">SUM(AG12:AG17)</f>
        <v>2.5213166044517838</v>
      </c>
      <c r="AH18" s="96">
        <f t="shared" si="17"/>
        <v>2.5213166044517838</v>
      </c>
      <c r="AI18" s="96">
        <f t="shared" si="17"/>
        <v>0</v>
      </c>
      <c r="AJ18" s="97">
        <f>SUM(AF18:AI18)</f>
        <v>7.563949813355352</v>
      </c>
      <c r="AK18" s="98"/>
      <c r="AL18" s="95">
        <f>SUM(AL12:AL17)</f>
        <v>1.890987453338838</v>
      </c>
      <c r="AM18" s="95">
        <f t="shared" ref="AM18:AO18" si="18">SUM(AM12:AM17)</f>
        <v>1.890987453338838</v>
      </c>
      <c r="AN18" s="95">
        <f t="shared" si="18"/>
        <v>1.890987453338838</v>
      </c>
      <c r="AO18" s="95">
        <f t="shared" si="18"/>
        <v>0</v>
      </c>
      <c r="AP18" s="97">
        <f>SUM(AP12:AP17)</f>
        <v>5.6729623600165144</v>
      </c>
      <c r="AQ18" s="98"/>
      <c r="AR18" s="95">
        <f>SUM(AR12:AR17)</f>
        <v>1.6280847656749273</v>
      </c>
      <c r="AS18" s="96">
        <f t="shared" ref="AS18:AU18" si="19">SUM(AS12:AS17)</f>
        <v>1.6215724266122276</v>
      </c>
      <c r="AT18" s="96">
        <f t="shared" si="19"/>
        <v>1.6150861369057787</v>
      </c>
      <c r="AU18" s="96">
        <f t="shared" si="19"/>
        <v>0</v>
      </c>
      <c r="AV18" s="97">
        <f>SUM(AR18:AU18)</f>
        <v>4.8647433291929341</v>
      </c>
    </row>
    <row r="19" spans="1:49" x14ac:dyDescent="0.25"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5"/>
      <c r="AF19" s="98"/>
      <c r="AG19" s="98"/>
      <c r="AH19" s="98"/>
      <c r="AI19" s="98"/>
      <c r="AJ19" s="98"/>
      <c r="AK19" s="7"/>
      <c r="AL19" s="98"/>
      <c r="AM19" s="98"/>
      <c r="AN19" s="98"/>
      <c r="AO19" s="98"/>
      <c r="AP19" s="98"/>
      <c r="AQ19" s="7"/>
    </row>
    <row r="20" spans="1:49" ht="16.2" thickBot="1" x14ac:dyDescent="0.35">
      <c r="A20" s="8" t="s">
        <v>42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10"/>
      <c r="AR20" s="11"/>
      <c r="AS20" s="11"/>
      <c r="AT20" s="11"/>
      <c r="AU20" s="11"/>
      <c r="AV20" s="11"/>
    </row>
    <row r="21" spans="1:49" ht="13.5" customHeight="1" thickBot="1" x14ac:dyDescent="0.3">
      <c r="A21" s="134" t="s">
        <v>2</v>
      </c>
      <c r="B21" s="135"/>
      <c r="C21" s="135"/>
      <c r="D21" s="135"/>
      <c r="E21" s="136" t="s">
        <v>3</v>
      </c>
      <c r="F21" s="138" t="s">
        <v>4</v>
      </c>
      <c r="G21" s="139"/>
      <c r="H21" s="2"/>
      <c r="I21" s="2"/>
      <c r="J21" s="140"/>
      <c r="K21" s="141"/>
      <c r="L21" s="18"/>
      <c r="M21" s="18"/>
      <c r="N21" s="17"/>
      <c r="O21" s="17"/>
      <c r="P21" s="17"/>
      <c r="Q21" s="17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49" ht="27.75" customHeight="1" thickBot="1" x14ac:dyDescent="0.3">
      <c r="A22" s="12" t="s">
        <v>6</v>
      </c>
      <c r="B22" s="13" t="s">
        <v>7</v>
      </c>
      <c r="C22" s="13" t="s">
        <v>8</v>
      </c>
      <c r="D22" s="14" t="s">
        <v>9</v>
      </c>
      <c r="E22" s="137"/>
      <c r="F22" s="15" t="s">
        <v>10</v>
      </c>
      <c r="G22" s="16" t="s">
        <v>11</v>
      </c>
      <c r="H22" s="2"/>
      <c r="I22" s="2"/>
      <c r="J22" s="25"/>
      <c r="K22" s="25"/>
      <c r="L22" s="7"/>
      <c r="M22" s="6"/>
      <c r="N22" s="17"/>
      <c r="O22" s="17"/>
      <c r="P22" s="17"/>
      <c r="Q22" s="17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49" ht="24" customHeight="1" thickBot="1" x14ac:dyDescent="0.3">
      <c r="A23" s="20">
        <v>108.58981390976058</v>
      </c>
      <c r="B23" s="21">
        <v>0</v>
      </c>
      <c r="C23" s="21">
        <f>A23-B23</f>
        <v>108.58981390976058</v>
      </c>
      <c r="D23" s="21">
        <f>C23*G23/F23</f>
        <v>110.83380826728481</v>
      </c>
      <c r="E23" s="22">
        <f>D23*0.5</f>
        <v>55.416904133642404</v>
      </c>
      <c r="F23" s="23">
        <v>111.30000000000001</v>
      </c>
      <c r="G23" s="24">
        <v>113.6</v>
      </c>
      <c r="H23" s="2"/>
      <c r="I23" s="2"/>
      <c r="J23" s="7"/>
      <c r="K23" s="7"/>
      <c r="L23" s="6"/>
      <c r="M23" s="17"/>
      <c r="N23" s="17"/>
      <c r="O23" s="17"/>
      <c r="P23" s="17"/>
      <c r="Q23" s="17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49" ht="13.8" thickBot="1" x14ac:dyDescent="0.3">
      <c r="A24" s="27"/>
      <c r="B24" s="2"/>
      <c r="C24" s="2"/>
      <c r="D24" s="2"/>
      <c r="E24" s="2"/>
      <c r="F24" s="2"/>
      <c r="G24" s="2"/>
      <c r="H24" s="2"/>
      <c r="I24" s="28"/>
      <c r="J24" s="2"/>
      <c r="K24" s="2"/>
      <c r="L24" s="2"/>
      <c r="M24" s="2"/>
      <c r="N24" s="2"/>
      <c r="O24" s="142"/>
      <c r="P24" s="142"/>
      <c r="Q24" s="142"/>
      <c r="R24" s="142"/>
      <c r="S24" s="2"/>
      <c r="T24" s="143"/>
      <c r="U24" s="143"/>
      <c r="V24" s="143"/>
      <c r="W24" s="143"/>
      <c r="X24" s="143"/>
      <c r="Y24" s="29"/>
      <c r="Z24" s="29"/>
      <c r="AA24" s="29"/>
      <c r="AB24" s="29"/>
      <c r="AC24" s="29"/>
      <c r="AD24" s="29"/>
    </row>
    <row r="25" spans="1:49" ht="78" customHeight="1" thickBot="1" x14ac:dyDescent="0.3">
      <c r="A25" s="125" t="s">
        <v>16</v>
      </c>
      <c r="B25" s="126"/>
      <c r="C25" s="126"/>
      <c r="D25" s="126"/>
      <c r="E25" s="126"/>
      <c r="F25" s="126"/>
      <c r="G25" s="127"/>
      <c r="H25" s="2"/>
      <c r="I25" s="128" t="s">
        <v>17</v>
      </c>
      <c r="J25" s="129"/>
      <c r="K25" s="129"/>
      <c r="L25" s="129"/>
      <c r="M25" s="130"/>
      <c r="N25" s="2"/>
      <c r="O25" s="115" t="s">
        <v>18</v>
      </c>
      <c r="P25" s="116"/>
      <c r="Q25" s="116"/>
      <c r="R25" s="117"/>
      <c r="S25" s="2"/>
      <c r="T25" s="115" t="s">
        <v>19</v>
      </c>
      <c r="U25" s="116"/>
      <c r="V25" s="116"/>
      <c r="W25" s="116"/>
      <c r="X25" s="117"/>
      <c r="Y25" s="2"/>
      <c r="Z25" s="115" t="s">
        <v>20</v>
      </c>
      <c r="AA25" s="116"/>
      <c r="AB25" s="116"/>
      <c r="AC25" s="116"/>
      <c r="AD25" s="117"/>
      <c r="AF25" s="115" t="s">
        <v>21</v>
      </c>
      <c r="AG25" s="116"/>
      <c r="AH25" s="116"/>
      <c r="AI25" s="116"/>
      <c r="AJ25" s="117"/>
      <c r="AK25" s="30"/>
      <c r="AL25" s="115" t="s">
        <v>22</v>
      </c>
      <c r="AM25" s="116"/>
      <c r="AN25" s="116"/>
      <c r="AO25" s="116"/>
      <c r="AP25" s="117"/>
      <c r="AQ25" s="30"/>
      <c r="AR25" s="115" t="s">
        <v>23</v>
      </c>
      <c r="AS25" s="116"/>
      <c r="AT25" s="116"/>
      <c r="AU25" s="116"/>
      <c r="AV25" s="117"/>
    </row>
    <row r="26" spans="1:49" ht="13.8" thickBot="1" x14ac:dyDescent="0.3">
      <c r="A26" s="121"/>
      <c r="B26" s="122"/>
      <c r="C26" s="122"/>
      <c r="D26" s="123" t="s">
        <v>24</v>
      </c>
      <c r="E26" s="123"/>
      <c r="F26" s="123"/>
      <c r="G26" s="124"/>
      <c r="H26" s="17"/>
      <c r="I26" s="31"/>
      <c r="J26" s="32" t="s">
        <v>25</v>
      </c>
      <c r="K26" s="33" t="s">
        <v>26</v>
      </c>
      <c r="L26" s="33" t="s">
        <v>27</v>
      </c>
      <c r="M26" s="34" t="s">
        <v>28</v>
      </c>
      <c r="N26" s="17"/>
      <c r="O26" s="118"/>
      <c r="P26" s="119"/>
      <c r="Q26" s="119"/>
      <c r="R26" s="120"/>
      <c r="S26" s="17"/>
      <c r="T26" s="118"/>
      <c r="U26" s="119"/>
      <c r="V26" s="119"/>
      <c r="W26" s="119"/>
      <c r="X26" s="120"/>
      <c r="Y26" s="35"/>
      <c r="Z26" s="131"/>
      <c r="AA26" s="132"/>
      <c r="AB26" s="132"/>
      <c r="AC26" s="132"/>
      <c r="AD26" s="133"/>
      <c r="AF26" s="118"/>
      <c r="AG26" s="119"/>
      <c r="AH26" s="119"/>
      <c r="AI26" s="119"/>
      <c r="AJ26" s="120"/>
      <c r="AK26" s="35"/>
      <c r="AL26" s="118"/>
      <c r="AM26" s="119"/>
      <c r="AN26" s="119"/>
      <c r="AO26" s="119"/>
      <c r="AP26" s="120"/>
      <c r="AQ26" s="35"/>
      <c r="AR26" s="118"/>
      <c r="AS26" s="119"/>
      <c r="AT26" s="119"/>
      <c r="AU26" s="119"/>
      <c r="AV26" s="120"/>
    </row>
    <row r="27" spans="1:49" ht="26.4" x14ac:dyDescent="0.25">
      <c r="A27" s="36" t="s">
        <v>29</v>
      </c>
      <c r="B27" s="37" t="s">
        <v>30</v>
      </c>
      <c r="C27" s="37" t="s">
        <v>31</v>
      </c>
      <c r="D27" s="38" t="s">
        <v>25</v>
      </c>
      <c r="E27" s="37" t="s">
        <v>26</v>
      </c>
      <c r="F27" s="37" t="s">
        <v>27</v>
      </c>
      <c r="G27" s="39" t="s">
        <v>28</v>
      </c>
      <c r="H27" s="17"/>
      <c r="I27" s="40" t="s">
        <v>32</v>
      </c>
      <c r="J27" s="41">
        <f>$E$23/4</f>
        <v>13.854226033410601</v>
      </c>
      <c r="K27" s="41">
        <f t="shared" ref="K27:M27" si="20">$E$23/4</f>
        <v>13.854226033410601</v>
      </c>
      <c r="L27" s="41">
        <f t="shared" si="20"/>
        <v>13.854226033410601</v>
      </c>
      <c r="M27" s="54">
        <f t="shared" si="20"/>
        <v>13.854226033410601</v>
      </c>
      <c r="N27" s="17"/>
      <c r="O27" s="42" t="s">
        <v>25</v>
      </c>
      <c r="P27" s="33" t="s">
        <v>26</v>
      </c>
      <c r="Q27" s="33" t="s">
        <v>27</v>
      </c>
      <c r="R27" s="34" t="s">
        <v>28</v>
      </c>
      <c r="S27" s="17"/>
      <c r="T27" s="42" t="s">
        <v>25</v>
      </c>
      <c r="U27" s="33" t="s">
        <v>26</v>
      </c>
      <c r="V27" s="33" t="s">
        <v>27</v>
      </c>
      <c r="W27" s="33" t="s">
        <v>28</v>
      </c>
      <c r="X27" s="99" t="s">
        <v>33</v>
      </c>
      <c r="Y27" s="17"/>
      <c r="Z27" s="42" t="s">
        <v>25</v>
      </c>
      <c r="AA27" s="33" t="s">
        <v>26</v>
      </c>
      <c r="AB27" s="33" t="s">
        <v>27</v>
      </c>
      <c r="AC27" s="33" t="s">
        <v>28</v>
      </c>
      <c r="AD27" s="34" t="s">
        <v>33</v>
      </c>
      <c r="AF27" s="42" t="s">
        <v>25</v>
      </c>
      <c r="AG27" s="33" t="s">
        <v>26</v>
      </c>
      <c r="AH27" s="33" t="s">
        <v>27</v>
      </c>
      <c r="AI27" s="33" t="s">
        <v>28</v>
      </c>
      <c r="AJ27" s="34" t="s">
        <v>33</v>
      </c>
      <c r="AK27" s="17"/>
      <c r="AL27" s="42" t="s">
        <v>25</v>
      </c>
      <c r="AM27" s="33" t="s">
        <v>26</v>
      </c>
      <c r="AN27" s="33" t="s">
        <v>27</v>
      </c>
      <c r="AO27" s="33" t="s">
        <v>28</v>
      </c>
      <c r="AP27" s="34" t="s">
        <v>33</v>
      </c>
      <c r="AQ27" s="17"/>
      <c r="AR27" s="42" t="s">
        <v>25</v>
      </c>
      <c r="AS27" s="33" t="s">
        <v>26</v>
      </c>
      <c r="AT27" s="33" t="s">
        <v>27</v>
      </c>
      <c r="AU27" s="33" t="s">
        <v>28</v>
      </c>
      <c r="AV27" s="34" t="s">
        <v>33</v>
      </c>
    </row>
    <row r="28" spans="1:49" ht="39.6" x14ac:dyDescent="0.25">
      <c r="A28" s="43" t="s">
        <v>43</v>
      </c>
      <c r="B28" s="66">
        <v>0.05</v>
      </c>
      <c r="C28" s="66">
        <v>0.08</v>
      </c>
      <c r="D28" s="66">
        <v>0.08</v>
      </c>
      <c r="E28" s="66">
        <v>0.08</v>
      </c>
      <c r="F28" s="66">
        <v>0.03</v>
      </c>
      <c r="G28" s="66">
        <v>0.02</v>
      </c>
      <c r="H28" s="17"/>
      <c r="I28" s="46">
        <f>$E$23/5</f>
        <v>11.083380826728481</v>
      </c>
      <c r="J28" s="47">
        <f>J$27/5</f>
        <v>2.7708452066821203</v>
      </c>
      <c r="K28" s="47">
        <f t="shared" ref="K28:M32" si="21">K$27/5</f>
        <v>2.7708452066821203</v>
      </c>
      <c r="L28" s="47">
        <f t="shared" si="21"/>
        <v>2.7708452066821203</v>
      </c>
      <c r="M28" s="48">
        <f t="shared" si="21"/>
        <v>2.7708452066821203</v>
      </c>
      <c r="N28" s="17"/>
      <c r="O28" s="49">
        <f t="shared" ref="O28:R32" si="22">((D28-$C28)/($C28-$B28))</f>
        <v>0</v>
      </c>
      <c r="P28" s="50">
        <f t="shared" si="22"/>
        <v>0</v>
      </c>
      <c r="Q28" s="50">
        <f t="shared" si="22"/>
        <v>-1.6666666666666667</v>
      </c>
      <c r="R28" s="51">
        <f t="shared" si="22"/>
        <v>-2</v>
      </c>
      <c r="S28" s="17"/>
      <c r="T28" s="52">
        <f t="shared" ref="T28:W32" si="23">J28*O28</f>
        <v>0</v>
      </c>
      <c r="U28" s="53">
        <f t="shared" si="23"/>
        <v>0</v>
      </c>
      <c r="V28" s="53">
        <f t="shared" si="23"/>
        <v>-4.618075344470201</v>
      </c>
      <c r="W28" s="53">
        <f t="shared" si="23"/>
        <v>-5.5416904133642406</v>
      </c>
      <c r="X28" s="54">
        <f>SUMIF(T28:W28,"&gt;0")</f>
        <v>0</v>
      </c>
      <c r="Y28" s="6"/>
      <c r="Z28" s="55">
        <f>IF(T28&gt;0,T28,0)</f>
        <v>0</v>
      </c>
      <c r="AA28" s="53">
        <f t="shared" ref="AA28:AC31" si="24">IF(U28&gt;0,U28,0)</f>
        <v>0</v>
      </c>
      <c r="AB28" s="53">
        <f t="shared" si="24"/>
        <v>0</v>
      </c>
      <c r="AC28" s="100">
        <f t="shared" si="24"/>
        <v>0</v>
      </c>
      <c r="AD28" s="54">
        <f>SUMIF(Z28:AC28,"&gt;0")</f>
        <v>0</v>
      </c>
      <c r="AF28" s="69"/>
      <c r="AG28" s="70"/>
      <c r="AH28" s="70"/>
      <c r="AI28" s="70"/>
      <c r="AJ28" s="71"/>
      <c r="AK28" s="72"/>
      <c r="AL28" s="69"/>
      <c r="AM28" s="70"/>
      <c r="AN28" s="70"/>
      <c r="AO28" s="70"/>
      <c r="AP28" s="71"/>
      <c r="AQ28" s="7"/>
      <c r="AR28" s="69"/>
      <c r="AS28" s="70"/>
      <c r="AT28" s="70"/>
      <c r="AU28" s="70"/>
      <c r="AV28" s="71"/>
    </row>
    <row r="29" spans="1:49" ht="52.8" x14ac:dyDescent="0.25">
      <c r="A29" s="43" t="s">
        <v>44</v>
      </c>
      <c r="B29" s="66">
        <v>0.21008403361344538</v>
      </c>
      <c r="C29" s="66">
        <v>0.84033613445378152</v>
      </c>
      <c r="D29" s="66">
        <v>0.45</v>
      </c>
      <c r="E29" s="66">
        <v>0</v>
      </c>
      <c r="F29" s="66">
        <v>0</v>
      </c>
      <c r="G29" s="66">
        <v>0</v>
      </c>
      <c r="H29" s="17"/>
      <c r="I29" s="46">
        <f t="shared" ref="I29:I32" si="25">$E$23/5</f>
        <v>11.083380826728481</v>
      </c>
      <c r="J29" s="47">
        <f t="shared" ref="J29:J32" si="26">J$27/5</f>
        <v>2.7708452066821203</v>
      </c>
      <c r="K29" s="47">
        <f t="shared" si="21"/>
        <v>2.7708452066821203</v>
      </c>
      <c r="L29" s="47">
        <f t="shared" si="21"/>
        <v>2.7708452066821203</v>
      </c>
      <c r="M29" s="48">
        <f t="shared" si="21"/>
        <v>2.7708452066821203</v>
      </c>
      <c r="N29" s="17"/>
      <c r="O29" s="49">
        <f t="shared" si="22"/>
        <v>-0.6193333333333334</v>
      </c>
      <c r="P29" s="50">
        <f t="shared" si="22"/>
        <v>-1.3333333333333335</v>
      </c>
      <c r="Q29" s="50">
        <f t="shared" si="22"/>
        <v>-1.3333333333333335</v>
      </c>
      <c r="R29" s="51">
        <f t="shared" si="22"/>
        <v>-1.3333333333333335</v>
      </c>
      <c r="S29" s="17"/>
      <c r="T29" s="52">
        <f t="shared" si="23"/>
        <v>-1.7160767980051268</v>
      </c>
      <c r="U29" s="53">
        <f t="shared" si="23"/>
        <v>-3.6944602755761609</v>
      </c>
      <c r="V29" s="53">
        <f t="shared" si="23"/>
        <v>-3.6944602755761609</v>
      </c>
      <c r="W29" s="53">
        <f t="shared" si="23"/>
        <v>-3.6944602755761609</v>
      </c>
      <c r="X29" s="54">
        <f t="shared" ref="X29:X32" si="27">SUMIF(T29:W29,"&gt;0")</f>
        <v>0</v>
      </c>
      <c r="Y29" s="6"/>
      <c r="Z29" s="55">
        <f t="shared" ref="Z29:Z32" si="28">IF(T29&gt;0,T29,0)</f>
        <v>0</v>
      </c>
      <c r="AA29" s="53">
        <f t="shared" si="24"/>
        <v>0</v>
      </c>
      <c r="AB29" s="53">
        <f t="shared" si="24"/>
        <v>0</v>
      </c>
      <c r="AC29" s="100">
        <f t="shared" si="24"/>
        <v>0</v>
      </c>
      <c r="AD29" s="54">
        <f t="shared" ref="AD29:AD32" si="29">SUMIF(Z29:AC29,"&gt;0")</f>
        <v>0</v>
      </c>
      <c r="AF29" s="69"/>
      <c r="AG29" s="70"/>
      <c r="AH29" s="70"/>
      <c r="AI29" s="70"/>
      <c r="AJ29" s="71"/>
      <c r="AK29" s="72"/>
      <c r="AL29" s="69"/>
      <c r="AM29" s="70"/>
      <c r="AN29" s="70"/>
      <c r="AO29" s="70"/>
      <c r="AP29" s="71"/>
      <c r="AQ29" s="7"/>
      <c r="AR29" s="69"/>
      <c r="AS29" s="70"/>
      <c r="AT29" s="70"/>
      <c r="AU29" s="70"/>
      <c r="AV29" s="71"/>
    </row>
    <row r="30" spans="1:49" ht="39.6" x14ac:dyDescent="0.25">
      <c r="A30" s="43" t="s">
        <v>45</v>
      </c>
      <c r="B30" s="44">
        <v>5</v>
      </c>
      <c r="C30" s="44">
        <v>10</v>
      </c>
      <c r="D30" s="44">
        <v>1</v>
      </c>
      <c r="E30" s="44">
        <v>0</v>
      </c>
      <c r="F30" s="44">
        <v>3</v>
      </c>
      <c r="G30" s="44">
        <v>3</v>
      </c>
      <c r="H30" s="17"/>
      <c r="I30" s="46">
        <f t="shared" si="25"/>
        <v>11.083380826728481</v>
      </c>
      <c r="J30" s="47">
        <f t="shared" si="26"/>
        <v>2.7708452066821203</v>
      </c>
      <c r="K30" s="47">
        <f t="shared" si="21"/>
        <v>2.7708452066821203</v>
      </c>
      <c r="L30" s="47">
        <f t="shared" si="21"/>
        <v>2.7708452066821203</v>
      </c>
      <c r="M30" s="48">
        <f t="shared" si="21"/>
        <v>2.7708452066821203</v>
      </c>
      <c r="N30" s="17"/>
      <c r="O30" s="49">
        <f t="shared" si="22"/>
        <v>-1.8</v>
      </c>
      <c r="P30" s="50">
        <f t="shared" si="22"/>
        <v>-2</v>
      </c>
      <c r="Q30" s="50">
        <f t="shared" si="22"/>
        <v>-1.4</v>
      </c>
      <c r="R30" s="51">
        <f t="shared" si="22"/>
        <v>-1.4</v>
      </c>
      <c r="S30" s="17"/>
      <c r="T30" s="52">
        <f>J30*O30</f>
        <v>-4.9875213720278166</v>
      </c>
      <c r="U30" s="53">
        <f>K30*P30</f>
        <v>-5.5416904133642406</v>
      </c>
      <c r="V30" s="53">
        <f t="shared" si="23"/>
        <v>-3.8791832893549683</v>
      </c>
      <c r="W30" s="53">
        <f t="shared" si="23"/>
        <v>-3.8791832893549683</v>
      </c>
      <c r="X30" s="54">
        <f t="shared" si="27"/>
        <v>0</v>
      </c>
      <c r="Y30" s="6"/>
      <c r="Z30" s="55">
        <f t="shared" si="28"/>
        <v>0</v>
      </c>
      <c r="AA30" s="53">
        <f t="shared" si="24"/>
        <v>0</v>
      </c>
      <c r="AB30" s="53">
        <f t="shared" si="24"/>
        <v>0</v>
      </c>
      <c r="AC30" s="100">
        <f t="shared" si="24"/>
        <v>0</v>
      </c>
      <c r="AD30" s="54">
        <f t="shared" si="29"/>
        <v>0</v>
      </c>
      <c r="AF30" s="69"/>
      <c r="AG30" s="70"/>
      <c r="AH30" s="70"/>
      <c r="AI30" s="70"/>
      <c r="AJ30" s="71"/>
      <c r="AK30" s="72"/>
      <c r="AL30" s="69"/>
      <c r="AM30" s="70"/>
      <c r="AN30" s="70"/>
      <c r="AO30" s="70"/>
      <c r="AP30" s="71"/>
      <c r="AQ30" s="7"/>
      <c r="AR30" s="69"/>
      <c r="AS30" s="70"/>
      <c r="AT30" s="70"/>
      <c r="AU30" s="70"/>
      <c r="AV30" s="71"/>
    </row>
    <row r="31" spans="1:49" ht="26.4" x14ac:dyDescent="0.25">
      <c r="A31" s="43" t="s">
        <v>46</v>
      </c>
      <c r="B31" s="44">
        <v>0</v>
      </c>
      <c r="C31" s="44">
        <v>1</v>
      </c>
      <c r="D31" s="44">
        <v>0</v>
      </c>
      <c r="E31" s="44">
        <v>0</v>
      </c>
      <c r="F31" s="44">
        <v>0</v>
      </c>
      <c r="G31" s="44">
        <v>0</v>
      </c>
      <c r="H31" s="17"/>
      <c r="I31" s="46">
        <f t="shared" si="25"/>
        <v>11.083380826728481</v>
      </c>
      <c r="J31" s="47">
        <f t="shared" si="26"/>
        <v>2.7708452066821203</v>
      </c>
      <c r="K31" s="47">
        <f t="shared" si="21"/>
        <v>2.7708452066821203</v>
      </c>
      <c r="L31" s="47">
        <f t="shared" si="21"/>
        <v>2.7708452066821203</v>
      </c>
      <c r="M31" s="48">
        <f t="shared" si="21"/>
        <v>2.7708452066821203</v>
      </c>
      <c r="N31" s="17"/>
      <c r="O31" s="49">
        <f t="shared" si="22"/>
        <v>-1</v>
      </c>
      <c r="P31" s="50">
        <f t="shared" si="22"/>
        <v>-1</v>
      </c>
      <c r="Q31" s="50">
        <f t="shared" si="22"/>
        <v>-1</v>
      </c>
      <c r="R31" s="51">
        <f t="shared" si="22"/>
        <v>-1</v>
      </c>
      <c r="S31" s="17"/>
      <c r="T31" s="52">
        <f t="shared" ref="T31:U32" si="30">J31*O31</f>
        <v>-2.7708452066821203</v>
      </c>
      <c r="U31" s="53">
        <f t="shared" si="30"/>
        <v>-2.7708452066821203</v>
      </c>
      <c r="V31" s="53">
        <f t="shared" si="23"/>
        <v>-2.7708452066821203</v>
      </c>
      <c r="W31" s="53">
        <f t="shared" si="23"/>
        <v>-2.7708452066821203</v>
      </c>
      <c r="X31" s="54">
        <f t="shared" si="27"/>
        <v>0</v>
      </c>
      <c r="Y31" s="6"/>
      <c r="Z31" s="55">
        <f t="shared" si="28"/>
        <v>0</v>
      </c>
      <c r="AA31" s="53">
        <f t="shared" si="24"/>
        <v>0</v>
      </c>
      <c r="AB31" s="53">
        <f t="shared" si="24"/>
        <v>0</v>
      </c>
      <c r="AC31" s="100">
        <f t="shared" si="24"/>
        <v>0</v>
      </c>
      <c r="AD31" s="54">
        <f t="shared" si="29"/>
        <v>0</v>
      </c>
      <c r="AF31" s="69"/>
      <c r="AG31" s="70"/>
      <c r="AH31" s="70"/>
      <c r="AI31" s="70"/>
      <c r="AJ31" s="71"/>
      <c r="AK31" s="72"/>
      <c r="AL31" s="69"/>
      <c r="AM31" s="70"/>
      <c r="AN31" s="70"/>
      <c r="AO31" s="70"/>
      <c r="AP31" s="71"/>
      <c r="AQ31" s="7"/>
      <c r="AR31" s="69"/>
      <c r="AS31" s="70"/>
      <c r="AT31" s="70"/>
      <c r="AU31" s="70"/>
      <c r="AV31" s="71"/>
    </row>
    <row r="32" spans="1:49" ht="27" thickBot="1" x14ac:dyDescent="0.3">
      <c r="A32" s="75" t="s">
        <v>47</v>
      </c>
      <c r="B32" s="101">
        <v>6000</v>
      </c>
      <c r="C32" s="101">
        <v>7200</v>
      </c>
      <c r="D32" s="101">
        <v>5816</v>
      </c>
      <c r="E32" s="101">
        <v>7863</v>
      </c>
      <c r="F32" s="101">
        <v>14634</v>
      </c>
      <c r="G32" s="101">
        <v>12764</v>
      </c>
      <c r="H32" s="17"/>
      <c r="I32" s="78">
        <f t="shared" si="25"/>
        <v>11.083380826728481</v>
      </c>
      <c r="J32" s="79">
        <f t="shared" si="26"/>
        <v>2.7708452066821203</v>
      </c>
      <c r="K32" s="79">
        <f t="shared" si="21"/>
        <v>2.7708452066821203</v>
      </c>
      <c r="L32" s="79">
        <f t="shared" si="21"/>
        <v>2.7708452066821203</v>
      </c>
      <c r="M32" s="80">
        <f t="shared" si="21"/>
        <v>2.7708452066821203</v>
      </c>
      <c r="N32" s="17"/>
      <c r="O32" s="102">
        <f t="shared" si="22"/>
        <v>-1.1533333333333333</v>
      </c>
      <c r="P32" s="82">
        <f t="shared" si="22"/>
        <v>0.55249999999999999</v>
      </c>
      <c r="Q32" s="82">
        <f t="shared" si="22"/>
        <v>6.1950000000000003</v>
      </c>
      <c r="R32" s="83">
        <f t="shared" si="22"/>
        <v>4.6366666666666667</v>
      </c>
      <c r="S32" s="17"/>
      <c r="T32" s="84">
        <f t="shared" si="30"/>
        <v>-3.1957081383733787</v>
      </c>
      <c r="U32" s="85">
        <f t="shared" si="30"/>
        <v>1.5308919766918714</v>
      </c>
      <c r="V32" s="85">
        <f t="shared" si="23"/>
        <v>17.165386055395736</v>
      </c>
      <c r="W32" s="85">
        <f t="shared" si="23"/>
        <v>12.847485608316099</v>
      </c>
      <c r="X32" s="86">
        <f t="shared" si="27"/>
        <v>31.543763640403707</v>
      </c>
      <c r="Y32" s="6"/>
      <c r="Z32" s="55">
        <f t="shared" si="28"/>
        <v>0</v>
      </c>
      <c r="AA32" s="103">
        <f>K32*1</f>
        <v>2.7708452066821203</v>
      </c>
      <c r="AB32" s="103">
        <f>L32*1</f>
        <v>2.7708452066821203</v>
      </c>
      <c r="AC32" s="103">
        <f>M32*1</f>
        <v>2.7708452066821203</v>
      </c>
      <c r="AD32" s="54">
        <f t="shared" si="29"/>
        <v>8.3125356200463614</v>
      </c>
      <c r="AF32" s="104"/>
      <c r="AG32" s="105"/>
      <c r="AH32" s="105"/>
      <c r="AI32" s="105"/>
      <c r="AJ32" s="106"/>
      <c r="AK32" s="72"/>
      <c r="AL32" s="104"/>
      <c r="AM32" s="105"/>
      <c r="AN32" s="105"/>
      <c r="AO32" s="105"/>
      <c r="AP32" s="106"/>
      <c r="AR32" s="104"/>
      <c r="AS32" s="105"/>
      <c r="AT32" s="105"/>
      <c r="AU32" s="105"/>
      <c r="AV32" s="106"/>
      <c r="AW32" s="107" t="s">
        <v>48</v>
      </c>
    </row>
    <row r="33" spans="1:48" ht="13.8" thickBo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92">
        <f>SUMIF(T28:T32,"&gt;0")</f>
        <v>0</v>
      </c>
      <c r="U33" s="93">
        <f t="shared" ref="U33:W33" si="31">SUMIF(U28:U32,"&gt;0")</f>
        <v>1.5308919766918714</v>
      </c>
      <c r="V33" s="93">
        <f t="shared" si="31"/>
        <v>17.165386055395736</v>
      </c>
      <c r="W33" s="93">
        <f t="shared" si="31"/>
        <v>12.847485608316099</v>
      </c>
      <c r="X33" s="94">
        <f>SUM(X27:X32)</f>
        <v>31.543763640403707</v>
      </c>
      <c r="Y33" s="2"/>
      <c r="Z33" s="92">
        <f>SUMIF(Z27:Z32,"&gt;0")</f>
        <v>0</v>
      </c>
      <c r="AA33" s="93">
        <f t="shared" ref="AA33:AC33" si="32">SUMIF(AA27:AA32,"&gt;0")</f>
        <v>2.7708452066821203</v>
      </c>
      <c r="AB33" s="93">
        <f t="shared" si="32"/>
        <v>2.7708452066821203</v>
      </c>
      <c r="AC33" s="93">
        <f t="shared" si="32"/>
        <v>2.7708452066821203</v>
      </c>
      <c r="AD33" s="94">
        <f>SUM(AD27:AD32)</f>
        <v>8.3125356200463614</v>
      </c>
      <c r="AF33" s="108">
        <f>SUM(AF28:AF32)</f>
        <v>0</v>
      </c>
      <c r="AG33" s="109">
        <f t="shared" ref="AG33:AJ33" si="33">SUM(AG28:AG32)</f>
        <v>0</v>
      </c>
      <c r="AH33" s="109">
        <f t="shared" si="33"/>
        <v>0</v>
      </c>
      <c r="AI33" s="109">
        <f t="shared" si="33"/>
        <v>0</v>
      </c>
      <c r="AJ33" s="110">
        <f t="shared" si="33"/>
        <v>0</v>
      </c>
      <c r="AK33" s="72"/>
      <c r="AL33" s="108">
        <f>SUM(AL28:AL32)</f>
        <v>0</v>
      </c>
      <c r="AM33" s="109">
        <f t="shared" ref="AM33:AP33" si="34">SUM(AM28:AM32)</f>
        <v>0</v>
      </c>
      <c r="AN33" s="109">
        <f t="shared" si="34"/>
        <v>0</v>
      </c>
      <c r="AO33" s="109">
        <f t="shared" si="34"/>
        <v>0</v>
      </c>
      <c r="AP33" s="110">
        <f t="shared" si="34"/>
        <v>0</v>
      </c>
      <c r="AQ33" s="7"/>
      <c r="AR33" s="108">
        <f>SUM(AR28:AR32)</f>
        <v>0</v>
      </c>
      <c r="AS33" s="109">
        <f t="shared" ref="AS33:AV33" si="35">SUM(AS28:AS32)</f>
        <v>0</v>
      </c>
      <c r="AT33" s="109">
        <f t="shared" si="35"/>
        <v>0</v>
      </c>
      <c r="AU33" s="109">
        <f t="shared" si="35"/>
        <v>0</v>
      </c>
      <c r="AV33" s="111">
        <f t="shared" si="35"/>
        <v>0</v>
      </c>
    </row>
    <row r="34" spans="1:48" x14ac:dyDescent="0.25">
      <c r="A34" s="112" t="s">
        <v>49</v>
      </c>
      <c r="B34" s="113" t="s">
        <v>50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48" x14ac:dyDescent="0.25">
      <c r="A35" s="112" t="s">
        <v>51</v>
      </c>
      <c r="B35" s="114">
        <v>42446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48" x14ac:dyDescent="0.25">
      <c r="A36" s="112" t="s">
        <v>52</v>
      </c>
      <c r="B36" s="113" t="s">
        <v>50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48" x14ac:dyDescent="0.25">
      <c r="A37" s="112" t="s">
        <v>53</v>
      </c>
      <c r="B37" s="114">
        <v>42485</v>
      </c>
    </row>
    <row r="38" spans="1:48" x14ac:dyDescent="0.25">
      <c r="A38" s="112" t="s">
        <v>54</v>
      </c>
      <c r="B38" s="113" t="s">
        <v>50</v>
      </c>
    </row>
    <row r="39" spans="1:48" x14ac:dyDescent="0.25">
      <c r="A39" s="112" t="s">
        <v>55</v>
      </c>
      <c r="B39" s="114">
        <v>42510</v>
      </c>
    </row>
  </sheetData>
  <mergeCells count="34">
    <mergeCell ref="A1:I1"/>
    <mergeCell ref="A5:D5"/>
    <mergeCell ref="E5:E6"/>
    <mergeCell ref="F5:G5"/>
    <mergeCell ref="AR5:AU5"/>
    <mergeCell ref="J6:K6"/>
    <mergeCell ref="A10:C10"/>
    <mergeCell ref="D10:G10"/>
    <mergeCell ref="O8:R8"/>
    <mergeCell ref="T8:X8"/>
    <mergeCell ref="A9:G9"/>
    <mergeCell ref="I9:M9"/>
    <mergeCell ref="O9:R10"/>
    <mergeCell ref="T9:X10"/>
    <mergeCell ref="T24:X24"/>
    <mergeCell ref="Z9:AD10"/>
    <mergeCell ref="AF9:AJ10"/>
    <mergeCell ref="AL9:AP10"/>
    <mergeCell ref="AR9:AV10"/>
    <mergeCell ref="A21:D21"/>
    <mergeCell ref="E21:E22"/>
    <mergeCell ref="F21:G21"/>
    <mergeCell ref="J21:K21"/>
    <mergeCell ref="O24:R24"/>
    <mergeCell ref="AL25:AP26"/>
    <mergeCell ref="AR25:AV26"/>
    <mergeCell ref="A26:C26"/>
    <mergeCell ref="D26:G26"/>
    <mergeCell ref="A25:G25"/>
    <mergeCell ref="I25:M25"/>
    <mergeCell ref="O25:R26"/>
    <mergeCell ref="T25:X26"/>
    <mergeCell ref="Z25:AD26"/>
    <mergeCell ref="AF25:AJ26"/>
  </mergeCells>
  <conditionalFormatting sqref="AK3 AQ3:AQ5">
    <cfRule type="cellIs" dxfId="9" priority="10" operator="greaterThan">
      <formula>0</formula>
    </cfRule>
  </conditionalFormatting>
  <conditionalFormatting sqref="AK5">
    <cfRule type="cellIs" dxfId="8" priority="9" operator="greaterThan">
      <formula>0</formula>
    </cfRule>
  </conditionalFormatting>
  <conditionalFormatting sqref="AK18:AK19 AQ18:AQ20">
    <cfRule type="cellIs" dxfId="7" priority="8" operator="greaterThan">
      <formula>0</formula>
    </cfRule>
  </conditionalFormatting>
  <conditionalFormatting sqref="AK33 AQ33">
    <cfRule type="cellIs" dxfId="6" priority="7" operator="greaterThan">
      <formula>0</formula>
    </cfRule>
  </conditionalFormatting>
  <conditionalFormatting sqref="O12:R17">
    <cfRule type="cellIs" dxfId="5" priority="2" operator="greaterThan">
      <formula>1</formula>
    </cfRule>
    <cfRule type="cellIs" dxfId="4" priority="4" operator="greaterThan">
      <formula>"&gt;2"</formula>
    </cfRule>
    <cfRule type="cellIs" dxfId="3" priority="5" operator="greaterThan">
      <formula>"&gt;2"</formula>
    </cfRule>
    <cfRule type="cellIs" dxfId="2" priority="6" operator="greaterThan">
      <formula>"&gt;2"</formula>
    </cfRule>
  </conditionalFormatting>
  <conditionalFormatting sqref="O28:R32">
    <cfRule type="cellIs" dxfId="1" priority="1" operator="greaterThan">
      <formula>1</formula>
    </cfRule>
    <cfRule type="cellIs" dxfId="0" priority="3" operator="greaterThan">
      <formula>2</formula>
    </cfRule>
  </conditionalFormatting>
  <pageMargins left="0.74803149606299213" right="0.74803149606299213" top="0.98425196850393704" bottom="0.98425196850393704" header="0.51181102362204722" footer="0.51181102362204722"/>
  <pageSetup paperSize="8" scale="40" orientation="landscape" r:id="rId1"/>
  <headerFooter>
    <oddHeader>&amp;A</oddHeader>
    <oddFooter>Page &amp;P&amp;R&amp;Z&amp;F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SEW BY</vt:lpstr>
      <vt:lpstr>'SEW BY'!Print_Area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2016-09-30T11:36:01Z</dcterms:created>
  <dcterms:modified xsi:type="dcterms:W3CDTF">2016-09-30T11:36:07Z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