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9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0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1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3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5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6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7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4.xml" ContentType="application/vnd.openxmlformats-officedocument.drawing+xml"/>
  <Override PartName="/xl/charts/chart1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2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96" windowWidth="24720" windowHeight="11820" activeTab="8"/>
  </bookViews>
  <sheets>
    <sheet name="SRN FD" sheetId="8" r:id="rId1"/>
    <sheet name="Water Graph data" sheetId="2" r:id="rId2"/>
    <sheet name="Sewerage Graph data" sheetId="7" r:id="rId3"/>
    <sheet name="WI" sheetId="3" r:id="rId4"/>
    <sheet name="WNI" sheetId="4" r:id="rId5"/>
    <sheet name="SI" sheetId="5" r:id="rId6"/>
    <sheet name="CLEAR_SHEET" sheetId="10" state="hidden" r:id="rId7"/>
    <sheet name="SNI" sheetId="6" r:id="rId8"/>
    <sheet name="SRN BY" sheetId="9" r:id="rId9"/>
    <sheet name="SRN Srvcblty asssmnt" sheetId="11" r:id="rId10"/>
  </sheets>
  <definedNames>
    <definedName name="_xlnm.Print_Area" localSheetId="8">'SRN BY'!$A$1:$H$63</definedName>
    <definedName name="_xlnm.Print_Area" localSheetId="0">'SRN FD'!$A$1:$H$63</definedName>
  </definedNames>
  <calcPr calcId="152511" calcMode="manual" calcCompleted="0" calcOnSave="0"/>
</workbook>
</file>

<file path=xl/calcChain.xml><?xml version="1.0" encoding="utf-8"?>
<calcChain xmlns="http://schemas.openxmlformats.org/spreadsheetml/2006/main">
  <c r="X30" i="9" l="1"/>
  <c r="W30" i="9"/>
  <c r="V30" i="9"/>
  <c r="U30" i="9"/>
  <c r="T30" i="9"/>
  <c r="X29" i="9"/>
  <c r="V61" i="9"/>
  <c r="X61" i="9"/>
  <c r="X60" i="9"/>
  <c r="X59" i="9"/>
  <c r="X58" i="9"/>
  <c r="X57" i="9"/>
  <c r="X56" i="9"/>
  <c r="W61" i="9"/>
  <c r="U61" i="9"/>
  <c r="T61" i="9"/>
  <c r="R60" i="9"/>
  <c r="Q60" i="9"/>
  <c r="O60" i="9"/>
  <c r="R56" i="9"/>
  <c r="O56" i="9"/>
  <c r="X45" i="9"/>
  <c r="X44" i="9"/>
  <c r="X43" i="9"/>
  <c r="X42" i="9"/>
  <c r="X41" i="9"/>
  <c r="X40" i="9"/>
  <c r="X46" i="9"/>
  <c r="W46" i="9"/>
  <c r="V46" i="9"/>
  <c r="U46" i="9"/>
  <c r="T46" i="9"/>
  <c r="T45" i="9"/>
  <c r="T44" i="9"/>
  <c r="T43" i="9"/>
  <c r="T42" i="9"/>
  <c r="T41" i="9"/>
  <c r="T40" i="9"/>
  <c r="R45" i="9"/>
  <c r="Q45" i="9"/>
  <c r="P45" i="9"/>
  <c r="O45" i="9"/>
  <c r="R44" i="9"/>
  <c r="Q44" i="9"/>
  <c r="P44" i="9"/>
  <c r="O44" i="9"/>
  <c r="R43" i="9"/>
  <c r="Q43" i="9"/>
  <c r="P43" i="9"/>
  <c r="O43" i="9"/>
  <c r="R42" i="9"/>
  <c r="Q42" i="9"/>
  <c r="P42" i="9"/>
  <c r="O42" i="9"/>
  <c r="R41" i="9"/>
  <c r="Q41" i="9"/>
  <c r="P41" i="9"/>
  <c r="O41" i="9"/>
  <c r="R40" i="9"/>
  <c r="Q40" i="9"/>
  <c r="P40" i="9"/>
  <c r="O40" i="9"/>
  <c r="AV28" i="9"/>
  <c r="AT28" i="9"/>
  <c r="AS28" i="9"/>
  <c r="AR28" i="9"/>
  <c r="AP28" i="9"/>
  <c r="AO28" i="9"/>
  <c r="AN28" i="9"/>
  <c r="AM28" i="9"/>
  <c r="AL28" i="9"/>
  <c r="AB28" i="9"/>
  <c r="AA28" i="9"/>
  <c r="Z28" i="9"/>
  <c r="Z27" i="9"/>
  <c r="X28" i="9"/>
  <c r="X27" i="9"/>
  <c r="W27" i="9"/>
  <c r="W28" i="9"/>
  <c r="W29" i="9"/>
  <c r="T29" i="9"/>
  <c r="T28" i="9"/>
  <c r="T27" i="9"/>
  <c r="AD17" i="9"/>
  <c r="AC17" i="9"/>
  <c r="AB17" i="9"/>
  <c r="AA17" i="9"/>
  <c r="Z17" i="9"/>
  <c r="AV13" i="9"/>
  <c r="AU13" i="9"/>
  <c r="AT13" i="9"/>
  <c r="AS13" i="9"/>
  <c r="AR13" i="9"/>
  <c r="Z16" i="9"/>
  <c r="T12" i="9"/>
  <c r="R16" i="9"/>
  <c r="R15" i="9"/>
  <c r="R14" i="9"/>
  <c r="R13" i="9"/>
  <c r="R12" i="9"/>
  <c r="R11" i="9"/>
  <c r="Q16" i="9"/>
  <c r="Q15" i="9"/>
  <c r="Q14" i="9"/>
  <c r="Q13" i="9"/>
  <c r="Q12" i="9"/>
  <c r="Q11" i="9"/>
  <c r="P16" i="9"/>
  <c r="P15" i="9"/>
  <c r="P14" i="9"/>
  <c r="P13" i="9"/>
  <c r="P12" i="9"/>
  <c r="P11" i="9"/>
  <c r="O16" i="9"/>
  <c r="O15" i="9"/>
  <c r="O14" i="9"/>
  <c r="O13" i="9"/>
  <c r="O12" i="9"/>
  <c r="O11" i="9"/>
  <c r="E6" i="9"/>
  <c r="D6" i="9"/>
  <c r="T60" i="9" l="1"/>
  <c r="T59" i="9"/>
  <c r="T58" i="9"/>
  <c r="T57" i="9"/>
  <c r="Q56" i="9"/>
  <c r="P56" i="9"/>
  <c r="T56" i="9"/>
  <c r="U41" i="9"/>
  <c r="AD28" i="9"/>
  <c r="AD29" i="9"/>
  <c r="AC30" i="9"/>
  <c r="AB30" i="9"/>
  <c r="AA30" i="9"/>
  <c r="Z30" i="9"/>
  <c r="AD27" i="9"/>
  <c r="AD30" i="9" s="1"/>
  <c r="U27" i="9"/>
  <c r="Q29" i="9"/>
  <c r="Q28" i="9"/>
  <c r="Q27" i="9"/>
  <c r="V27" i="9" s="1"/>
  <c r="O29" i="9"/>
  <c r="O28" i="9"/>
  <c r="O27" i="9"/>
  <c r="AD57" i="9" l="1"/>
  <c r="AD58" i="9"/>
  <c r="AD59" i="9"/>
  <c r="AD60" i="9"/>
  <c r="AD56" i="9"/>
  <c r="AC57" i="9"/>
  <c r="AC58" i="9"/>
  <c r="AC59" i="9"/>
  <c r="AC60" i="9"/>
  <c r="AB57" i="9"/>
  <c r="AB58" i="9"/>
  <c r="AB59" i="9"/>
  <c r="AB60" i="9"/>
  <c r="AA57" i="9"/>
  <c r="AA58" i="9"/>
  <c r="AA59" i="9"/>
  <c r="AA60" i="9"/>
  <c r="Z57" i="9"/>
  <c r="Z58" i="9"/>
  <c r="Z59" i="9"/>
  <c r="Z60" i="9"/>
  <c r="AA56" i="9"/>
  <c r="AB56" i="9"/>
  <c r="AC56" i="9"/>
  <c r="AB41" i="9"/>
  <c r="AC41" i="9"/>
  <c r="AC43" i="9"/>
  <c r="AC44" i="9"/>
  <c r="AC45" i="9"/>
  <c r="AB43" i="9"/>
  <c r="AB44" i="9"/>
  <c r="AB45" i="9"/>
  <c r="AA43" i="9"/>
  <c r="AA44" i="9"/>
  <c r="AA45" i="9"/>
  <c r="AA42" i="9"/>
  <c r="AB42" i="9"/>
  <c r="AC42" i="9"/>
  <c r="AA41" i="9"/>
  <c r="Z41" i="9"/>
  <c r="Z42" i="9"/>
  <c r="Z43" i="9"/>
  <c r="Z44" i="9"/>
  <c r="Z45" i="9"/>
  <c r="AA40" i="9"/>
  <c r="AB40" i="9"/>
  <c r="AC40" i="9"/>
  <c r="Z56" i="9"/>
  <c r="Z40" i="9"/>
  <c r="Z29" i="9"/>
  <c r="AA29" i="9"/>
  <c r="AB29" i="9"/>
  <c r="AC28" i="9"/>
  <c r="AC29" i="9"/>
  <c r="AB27" i="9"/>
  <c r="AC27" i="9"/>
  <c r="AA27" i="9"/>
  <c r="S17" i="2" l="1"/>
  <c r="T17" i="2"/>
  <c r="T16" i="2"/>
  <c r="S15" i="2"/>
  <c r="S16" i="2"/>
  <c r="S14" i="2"/>
  <c r="D51" i="9" l="1"/>
  <c r="D35" i="9"/>
  <c r="D22" i="9"/>
  <c r="G60" i="9"/>
  <c r="G59" i="9"/>
  <c r="G58" i="9"/>
  <c r="G57" i="9"/>
  <c r="G56" i="9"/>
  <c r="G45" i="9"/>
  <c r="G44" i="9"/>
  <c r="G43" i="9"/>
  <c r="G42" i="9"/>
  <c r="G41" i="9"/>
  <c r="G40" i="9"/>
  <c r="G29" i="9"/>
  <c r="G28" i="9"/>
  <c r="G27" i="9"/>
  <c r="G16" i="9"/>
  <c r="G15" i="9"/>
  <c r="G14" i="9"/>
  <c r="G13" i="9"/>
  <c r="G12" i="9"/>
  <c r="G11" i="9"/>
  <c r="B56" i="9"/>
  <c r="C56" i="9"/>
  <c r="D56" i="9"/>
  <c r="E56" i="9"/>
  <c r="F56" i="9"/>
  <c r="B57" i="9"/>
  <c r="C57" i="9"/>
  <c r="D57" i="9"/>
  <c r="E57" i="9"/>
  <c r="F57" i="9"/>
  <c r="B58" i="9"/>
  <c r="C58" i="9"/>
  <c r="D58" i="9"/>
  <c r="E58" i="9"/>
  <c r="F58" i="9"/>
  <c r="B59" i="9"/>
  <c r="C59" i="9"/>
  <c r="D59" i="9"/>
  <c r="E59" i="9"/>
  <c r="F59" i="9"/>
  <c r="B60" i="9"/>
  <c r="C60" i="9"/>
  <c r="D60" i="9"/>
  <c r="E60" i="9"/>
  <c r="F60" i="9"/>
  <c r="F51" i="9"/>
  <c r="G51" i="9"/>
  <c r="A51" i="9"/>
  <c r="B51" i="9"/>
  <c r="B40" i="9"/>
  <c r="C40" i="9"/>
  <c r="D40" i="9"/>
  <c r="E40" i="9"/>
  <c r="F40" i="9"/>
  <c r="B41" i="9"/>
  <c r="C41" i="9"/>
  <c r="D41" i="9"/>
  <c r="E41" i="9"/>
  <c r="F41" i="9"/>
  <c r="B42" i="9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F35" i="9"/>
  <c r="G35" i="9"/>
  <c r="A35" i="9"/>
  <c r="B35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F22" i="9"/>
  <c r="G22" i="9"/>
  <c r="A22" i="9"/>
  <c r="B22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F6" i="9"/>
  <c r="G6" i="9"/>
  <c r="A6" i="9"/>
  <c r="B6" i="9"/>
  <c r="M33" i="7" l="1"/>
  <c r="M32" i="7"/>
  <c r="AV61" i="9" l="1"/>
  <c r="AU61" i="9"/>
  <c r="AT61" i="9"/>
  <c r="AS61" i="9"/>
  <c r="AR61" i="9"/>
  <c r="AP61" i="9"/>
  <c r="AO61" i="9"/>
  <c r="AN61" i="9"/>
  <c r="AM61" i="9"/>
  <c r="AL61" i="9"/>
  <c r="AJ61" i="9"/>
  <c r="AI61" i="9"/>
  <c r="AH61" i="9"/>
  <c r="AG61" i="9"/>
  <c r="AF61" i="9"/>
  <c r="AD61" i="9"/>
  <c r="AC61" i="9"/>
  <c r="AB61" i="9"/>
  <c r="AA61" i="9"/>
  <c r="Z61" i="9"/>
  <c r="P60" i="9"/>
  <c r="R59" i="9"/>
  <c r="Q59" i="9"/>
  <c r="P59" i="9"/>
  <c r="O59" i="9"/>
  <c r="R58" i="9"/>
  <c r="Q58" i="9"/>
  <c r="P58" i="9"/>
  <c r="O58" i="9"/>
  <c r="R57" i="9"/>
  <c r="Q57" i="9"/>
  <c r="P57" i="9"/>
  <c r="O57" i="9"/>
  <c r="E51" i="9"/>
  <c r="I59" i="9" s="1"/>
  <c r="C51" i="9"/>
  <c r="AU46" i="9"/>
  <c r="AT46" i="9"/>
  <c r="AS46" i="9"/>
  <c r="AR46" i="9"/>
  <c r="AV46" i="9" s="1"/>
  <c r="AO46" i="9"/>
  <c r="AN46" i="9"/>
  <c r="AM46" i="9"/>
  <c r="AL46" i="9"/>
  <c r="AP46" i="9" s="1"/>
  <c r="AI46" i="9"/>
  <c r="AH46" i="9"/>
  <c r="AG46" i="9"/>
  <c r="AF46" i="9"/>
  <c r="AJ46" i="9" s="1"/>
  <c r="AC46" i="9"/>
  <c r="AB46" i="9"/>
  <c r="Z46" i="9"/>
  <c r="AD45" i="9"/>
  <c r="AD44" i="9"/>
  <c r="AD43" i="9"/>
  <c r="AD42" i="9"/>
  <c r="AD40" i="9"/>
  <c r="L39" i="9"/>
  <c r="L44" i="9" s="1"/>
  <c r="V44" i="9" s="1"/>
  <c r="E35" i="9"/>
  <c r="I45" i="9" s="1"/>
  <c r="C35" i="9"/>
  <c r="AU30" i="9"/>
  <c r="AT30" i="9"/>
  <c r="AS30" i="9"/>
  <c r="AR30" i="9"/>
  <c r="R29" i="9"/>
  <c r="P29" i="9"/>
  <c r="AV30" i="9"/>
  <c r="AI28" i="9"/>
  <c r="AO30" i="9" s="1"/>
  <c r="R28" i="9"/>
  <c r="P28" i="9"/>
  <c r="R27" i="9"/>
  <c r="P27" i="9"/>
  <c r="I27" i="9"/>
  <c r="E22" i="9"/>
  <c r="M26" i="9" s="1"/>
  <c r="M29" i="9" s="1"/>
  <c r="C22" i="9"/>
  <c r="C6" i="9"/>
  <c r="AV61" i="8"/>
  <c r="AU61" i="8"/>
  <c r="AT61" i="8"/>
  <c r="AS61" i="8"/>
  <c r="AR61" i="8"/>
  <c r="AP61" i="8"/>
  <c r="AO61" i="8"/>
  <c r="AN61" i="8"/>
  <c r="AM61" i="8"/>
  <c r="AL61" i="8"/>
  <c r="AJ61" i="8"/>
  <c r="AI61" i="8"/>
  <c r="AH61" i="8"/>
  <c r="AG61" i="8"/>
  <c r="AF61" i="8"/>
  <c r="AD61" i="8"/>
  <c r="AC61" i="8"/>
  <c r="AB61" i="8"/>
  <c r="AA61" i="8"/>
  <c r="Z61" i="8"/>
  <c r="R60" i="8"/>
  <c r="Q60" i="8"/>
  <c r="P60" i="8"/>
  <c r="U60" i="8" s="1"/>
  <c r="O60" i="8"/>
  <c r="K60" i="8"/>
  <c r="R59" i="8"/>
  <c r="Q59" i="8"/>
  <c r="P59" i="8"/>
  <c r="O59" i="8"/>
  <c r="I59" i="8"/>
  <c r="R58" i="8"/>
  <c r="Q58" i="8"/>
  <c r="P58" i="8"/>
  <c r="O58" i="8"/>
  <c r="K58" i="8"/>
  <c r="U58" i="8" s="1"/>
  <c r="R57" i="8"/>
  <c r="Q57" i="8"/>
  <c r="P57" i="8"/>
  <c r="O57" i="8"/>
  <c r="I57" i="8"/>
  <c r="R56" i="8"/>
  <c r="Q56" i="8"/>
  <c r="P56" i="8"/>
  <c r="O56" i="8"/>
  <c r="K56" i="8"/>
  <c r="U56" i="8" s="1"/>
  <c r="L55" i="8"/>
  <c r="L59" i="8" s="1"/>
  <c r="V59" i="8" s="1"/>
  <c r="K55" i="8"/>
  <c r="K59" i="8" s="1"/>
  <c r="U59" i="8" s="1"/>
  <c r="E51" i="8"/>
  <c r="I60" i="8" s="1"/>
  <c r="C51" i="8"/>
  <c r="AU46" i="8"/>
  <c r="AT46" i="8"/>
  <c r="AS46" i="8"/>
  <c r="AR46" i="8"/>
  <c r="AV46" i="8" s="1"/>
  <c r="AO46" i="8"/>
  <c r="AN46" i="8"/>
  <c r="AM46" i="8"/>
  <c r="AL46" i="8"/>
  <c r="AP46" i="8" s="1"/>
  <c r="AI46" i="8"/>
  <c r="AH46" i="8"/>
  <c r="AG46" i="8"/>
  <c r="AF46" i="8"/>
  <c r="AJ46" i="8" s="1"/>
  <c r="AC46" i="8"/>
  <c r="AB46" i="8"/>
  <c r="Z46" i="8"/>
  <c r="AD45" i="8"/>
  <c r="R45" i="8"/>
  <c r="Q45" i="8"/>
  <c r="P45" i="8"/>
  <c r="O45" i="8"/>
  <c r="I45" i="8"/>
  <c r="AD44" i="8"/>
  <c r="V44" i="8"/>
  <c r="R44" i="8"/>
  <c r="Q44" i="8"/>
  <c r="P44" i="8"/>
  <c r="O44" i="8"/>
  <c r="L44" i="8"/>
  <c r="AD43" i="8"/>
  <c r="R43" i="8"/>
  <c r="Q43" i="8"/>
  <c r="P43" i="8"/>
  <c r="O43" i="8"/>
  <c r="AD42" i="8"/>
  <c r="R42" i="8"/>
  <c r="Q42" i="8"/>
  <c r="P42" i="8"/>
  <c r="O42" i="8"/>
  <c r="R41" i="8"/>
  <c r="Q41" i="8"/>
  <c r="P41" i="8"/>
  <c r="O41" i="8"/>
  <c r="J41" i="8"/>
  <c r="T41" i="8" s="1"/>
  <c r="AD40" i="8"/>
  <c r="R40" i="8"/>
  <c r="Q40" i="8"/>
  <c r="P40" i="8"/>
  <c r="O40" i="8"/>
  <c r="I40" i="8"/>
  <c r="L39" i="8"/>
  <c r="L45" i="8" s="1"/>
  <c r="V45" i="8" s="1"/>
  <c r="J39" i="8"/>
  <c r="E35" i="8"/>
  <c r="I42" i="8" s="1"/>
  <c r="C35" i="8"/>
  <c r="AU30" i="8"/>
  <c r="AT30" i="8"/>
  <c r="AS30" i="8"/>
  <c r="AR30" i="8"/>
  <c r="AC30" i="8"/>
  <c r="AD29" i="8"/>
  <c r="R29" i="8"/>
  <c r="Q29" i="8"/>
  <c r="P29" i="8"/>
  <c r="O29" i="8"/>
  <c r="AV28" i="8"/>
  <c r="AV30" i="8" s="1"/>
  <c r="AI28" i="8"/>
  <c r="AO28" i="8" s="1"/>
  <c r="AO30" i="8" s="1"/>
  <c r="R28" i="8"/>
  <c r="Q28" i="8"/>
  <c r="P28" i="8"/>
  <c r="O28" i="8"/>
  <c r="R27" i="8"/>
  <c r="Q27" i="8"/>
  <c r="P27" i="8"/>
  <c r="O27" i="8"/>
  <c r="E22" i="8"/>
  <c r="C22" i="8"/>
  <c r="AU17" i="8"/>
  <c r="AT17" i="8"/>
  <c r="AS17" i="8"/>
  <c r="AR17" i="8"/>
  <c r="AO17" i="8"/>
  <c r="AC17" i="8"/>
  <c r="AA17" i="8"/>
  <c r="R16" i="8"/>
  <c r="Q16" i="8"/>
  <c r="P16" i="8"/>
  <c r="O16" i="8"/>
  <c r="K16" i="8"/>
  <c r="U16" i="8" s="1"/>
  <c r="AD15" i="8"/>
  <c r="R15" i="8"/>
  <c r="Q15" i="8"/>
  <c r="P15" i="8"/>
  <c r="O15" i="8"/>
  <c r="J15" i="8"/>
  <c r="T15" i="8" s="1"/>
  <c r="R14" i="8"/>
  <c r="Q14" i="8"/>
  <c r="P14" i="8"/>
  <c r="O14" i="8"/>
  <c r="T14" i="8" s="1"/>
  <c r="J14" i="8"/>
  <c r="AV13" i="8"/>
  <c r="AV17" i="8" s="1"/>
  <c r="AO13" i="8"/>
  <c r="AM13" i="8"/>
  <c r="AM17" i="8" s="1"/>
  <c r="AI13" i="8"/>
  <c r="AI17" i="8" s="1"/>
  <c r="AH13" i="8"/>
  <c r="AN13" i="8" s="1"/>
  <c r="AN17" i="8" s="1"/>
  <c r="AG13" i="8"/>
  <c r="AG17" i="8" s="1"/>
  <c r="AF13" i="8"/>
  <c r="AL13" i="8" s="1"/>
  <c r="AD13" i="8"/>
  <c r="R13" i="8"/>
  <c r="Q13" i="8"/>
  <c r="P13" i="8"/>
  <c r="O13" i="8"/>
  <c r="R12" i="8"/>
  <c r="Q12" i="8"/>
  <c r="P12" i="8"/>
  <c r="O12" i="8"/>
  <c r="AD11" i="8"/>
  <c r="R11" i="8"/>
  <c r="Q11" i="8"/>
  <c r="P11" i="8"/>
  <c r="O11" i="8"/>
  <c r="K11" i="8"/>
  <c r="U11" i="8" s="1"/>
  <c r="I11" i="8"/>
  <c r="L10" i="8"/>
  <c r="K10" i="8"/>
  <c r="K13" i="8" s="1"/>
  <c r="U13" i="8" s="1"/>
  <c r="J10" i="8"/>
  <c r="J16" i="8" s="1"/>
  <c r="T16" i="8" s="1"/>
  <c r="E6" i="8"/>
  <c r="I15" i="8" s="1"/>
  <c r="C6" i="8"/>
  <c r="L31" i="7"/>
  <c r="L32" i="7"/>
  <c r="L33" i="7"/>
  <c r="L30" i="7"/>
  <c r="I40" i="9" l="1"/>
  <c r="L43" i="9"/>
  <c r="V43" i="9" s="1"/>
  <c r="J39" i="9"/>
  <c r="K39" i="9"/>
  <c r="K43" i="9" s="1"/>
  <c r="U43" i="9" s="1"/>
  <c r="I44" i="9"/>
  <c r="M27" i="9"/>
  <c r="I28" i="9"/>
  <c r="J26" i="9"/>
  <c r="J29" i="9" s="1"/>
  <c r="M28" i="9"/>
  <c r="L10" i="9"/>
  <c r="I15" i="9"/>
  <c r="I14" i="9"/>
  <c r="K10" i="9"/>
  <c r="I16" i="9"/>
  <c r="I11" i="9"/>
  <c r="J10" i="9"/>
  <c r="I13" i="9"/>
  <c r="J28" i="9"/>
  <c r="J27" i="9"/>
  <c r="M10" i="9"/>
  <c r="I12" i="9"/>
  <c r="K26" i="9"/>
  <c r="I29" i="9"/>
  <c r="AI30" i="9"/>
  <c r="K40" i="9"/>
  <c r="U40" i="9" s="1"/>
  <c r="L41" i="9"/>
  <c r="V41" i="9" s="1"/>
  <c r="L42" i="9"/>
  <c r="V42" i="9" s="1"/>
  <c r="I43" i="9"/>
  <c r="J44" i="9"/>
  <c r="J55" i="9"/>
  <c r="I56" i="9"/>
  <c r="I58" i="9"/>
  <c r="I60" i="9"/>
  <c r="L26" i="9"/>
  <c r="M39" i="9"/>
  <c r="L40" i="9"/>
  <c r="V40" i="9" s="1"/>
  <c r="I41" i="9"/>
  <c r="I42" i="9"/>
  <c r="J43" i="9"/>
  <c r="L45" i="9"/>
  <c r="V45" i="9" s="1"/>
  <c r="K55" i="9"/>
  <c r="M55" i="9"/>
  <c r="J41" i="9"/>
  <c r="L55" i="9"/>
  <c r="I57" i="9"/>
  <c r="U17" i="8"/>
  <c r="AL17" i="8"/>
  <c r="AP17" i="8" s="1"/>
  <c r="AP13" i="8"/>
  <c r="AJ13" i="8"/>
  <c r="L15" i="8"/>
  <c r="V15" i="8" s="1"/>
  <c r="L14" i="8"/>
  <c r="L16" i="8"/>
  <c r="L11" i="8"/>
  <c r="V11" i="8" s="1"/>
  <c r="L13" i="8"/>
  <c r="V13" i="8" s="1"/>
  <c r="AF17" i="8"/>
  <c r="L26" i="8"/>
  <c r="I29" i="8"/>
  <c r="K26" i="8"/>
  <c r="I28" i="8"/>
  <c r="I27" i="8"/>
  <c r="J26" i="8"/>
  <c r="J43" i="8"/>
  <c r="T43" i="8" s="1"/>
  <c r="J44" i="8"/>
  <c r="T44" i="8" s="1"/>
  <c r="J45" i="8"/>
  <c r="T45" i="8" s="1"/>
  <c r="J40" i="8"/>
  <c r="T40" i="8" s="1"/>
  <c r="L12" i="8"/>
  <c r="V12" i="8" s="1"/>
  <c r="M26" i="8"/>
  <c r="J42" i="8"/>
  <c r="T42" i="8" s="1"/>
  <c r="M10" i="8"/>
  <c r="I12" i="8"/>
  <c r="I13" i="8"/>
  <c r="K14" i="8"/>
  <c r="U14" i="8" s="1"/>
  <c r="K15" i="8"/>
  <c r="U15" i="8" s="1"/>
  <c r="K39" i="8"/>
  <c r="L43" i="8"/>
  <c r="V43" i="8" s="1"/>
  <c r="I44" i="8"/>
  <c r="M55" i="8"/>
  <c r="L56" i="8"/>
  <c r="V56" i="8" s="1"/>
  <c r="L58" i="8"/>
  <c r="V58" i="8" s="1"/>
  <c r="L60" i="8"/>
  <c r="V60" i="8" s="1"/>
  <c r="J13" i="8"/>
  <c r="T13" i="8" s="1"/>
  <c r="I16" i="8"/>
  <c r="AH17" i="8"/>
  <c r="AI30" i="8"/>
  <c r="L41" i="8"/>
  <c r="V41" i="8" s="1"/>
  <c r="L42" i="8"/>
  <c r="V42" i="8" s="1"/>
  <c r="I43" i="8"/>
  <c r="J55" i="8"/>
  <c r="I56" i="8"/>
  <c r="K57" i="8"/>
  <c r="U57" i="8" s="1"/>
  <c r="U61" i="8" s="1"/>
  <c r="I58" i="8"/>
  <c r="J12" i="8"/>
  <c r="J11" i="8"/>
  <c r="T11" i="8" s="1"/>
  <c r="K12" i="8"/>
  <c r="U12" i="8" s="1"/>
  <c r="I14" i="8"/>
  <c r="M39" i="8"/>
  <c r="L40" i="8"/>
  <c r="V40" i="8" s="1"/>
  <c r="I41" i="8"/>
  <c r="L57" i="8"/>
  <c r="V57" i="8" s="1"/>
  <c r="N24" i="7"/>
  <c r="K42" i="9" l="1"/>
  <c r="U42" i="9" s="1"/>
  <c r="J42" i="9"/>
  <c r="J40" i="9"/>
  <c r="J45" i="9"/>
  <c r="K41" i="9"/>
  <c r="K44" i="9"/>
  <c r="U44" i="9" s="1"/>
  <c r="K45" i="9"/>
  <c r="U45" i="9" s="1"/>
  <c r="M59" i="9"/>
  <c r="W59" i="9" s="1"/>
  <c r="M57" i="9"/>
  <c r="W57" i="9" s="1"/>
  <c r="M60" i="9"/>
  <c r="W60" i="9" s="1"/>
  <c r="M58" i="9"/>
  <c r="W58" i="9" s="1"/>
  <c r="M56" i="9"/>
  <c r="W56" i="9" s="1"/>
  <c r="M45" i="9"/>
  <c r="W45" i="9" s="1"/>
  <c r="M40" i="9"/>
  <c r="W40" i="9" s="1"/>
  <c r="M44" i="9"/>
  <c r="W44" i="9" s="1"/>
  <c r="M42" i="9"/>
  <c r="W42" i="9" s="1"/>
  <c r="M41" i="9"/>
  <c r="W41" i="9" s="1"/>
  <c r="M43" i="9"/>
  <c r="W43" i="9" s="1"/>
  <c r="L59" i="9"/>
  <c r="V59" i="9" s="1"/>
  <c r="L57" i="9"/>
  <c r="V57" i="9" s="1"/>
  <c r="L56" i="9"/>
  <c r="V56" i="9" s="1"/>
  <c r="L60" i="9"/>
  <c r="V60" i="9" s="1"/>
  <c r="L58" i="9"/>
  <c r="V58" i="9" s="1"/>
  <c r="K60" i="9"/>
  <c r="U60" i="9" s="1"/>
  <c r="K58" i="9"/>
  <c r="U58" i="9" s="1"/>
  <c r="K56" i="9"/>
  <c r="U56" i="9" s="1"/>
  <c r="K59" i="9"/>
  <c r="U59" i="9" s="1"/>
  <c r="K57" i="9"/>
  <c r="U57" i="9" s="1"/>
  <c r="L28" i="9"/>
  <c r="L27" i="9"/>
  <c r="L29" i="9"/>
  <c r="V29" i="9" s="1"/>
  <c r="M15" i="9"/>
  <c r="W15" i="9" s="1"/>
  <c r="AC15" i="9" s="1"/>
  <c r="M14" i="9"/>
  <c r="W14" i="9" s="1"/>
  <c r="AC14" i="9" s="1"/>
  <c r="M16" i="9"/>
  <c r="W16" i="9" s="1"/>
  <c r="AC16" i="9" s="1"/>
  <c r="M11" i="9"/>
  <c r="W11" i="9" s="1"/>
  <c r="AC11" i="9" s="1"/>
  <c r="M13" i="9"/>
  <c r="W13" i="9" s="1"/>
  <c r="AC13" i="9" s="1"/>
  <c r="AI13" i="9" s="1"/>
  <c r="M12" i="9"/>
  <c r="W12" i="9" s="1"/>
  <c r="AC12" i="9" s="1"/>
  <c r="L13" i="9"/>
  <c r="V13" i="9" s="1"/>
  <c r="AB13" i="9" s="1"/>
  <c r="AH13" i="9" s="1"/>
  <c r="L12" i="9"/>
  <c r="V12" i="9" s="1"/>
  <c r="AB12" i="9" s="1"/>
  <c r="L15" i="9"/>
  <c r="V15" i="9" s="1"/>
  <c r="AB15" i="9" s="1"/>
  <c r="L14" i="9"/>
  <c r="AB14" i="9" s="1"/>
  <c r="L16" i="9"/>
  <c r="L11" i="9"/>
  <c r="V11" i="9" s="1"/>
  <c r="AB11" i="9" s="1"/>
  <c r="J57" i="9"/>
  <c r="J60" i="9"/>
  <c r="J58" i="9"/>
  <c r="J56" i="9"/>
  <c r="J59" i="9"/>
  <c r="K16" i="9"/>
  <c r="U16" i="9" s="1"/>
  <c r="AA16" i="9" s="1"/>
  <c r="K11" i="9"/>
  <c r="U11" i="9" s="1"/>
  <c r="AA11" i="9" s="1"/>
  <c r="K13" i="9"/>
  <c r="U13" i="9" s="1"/>
  <c r="AA13" i="9" s="1"/>
  <c r="AG13" i="9" s="1"/>
  <c r="K12" i="9"/>
  <c r="U12" i="9" s="1"/>
  <c r="AA12" i="9" s="1"/>
  <c r="K14" i="9"/>
  <c r="U14" i="9" s="1"/>
  <c r="AA14" i="9" s="1"/>
  <c r="K15" i="9"/>
  <c r="U15" i="9" s="1"/>
  <c r="AA15" i="9" s="1"/>
  <c r="K29" i="9"/>
  <c r="U29" i="9" s="1"/>
  <c r="K28" i="9"/>
  <c r="K27" i="9"/>
  <c r="J15" i="9"/>
  <c r="T15" i="9" s="1"/>
  <c r="Z15" i="9" s="1"/>
  <c r="J14" i="9"/>
  <c r="T14" i="9" s="1"/>
  <c r="Z14" i="9" s="1"/>
  <c r="J16" i="9"/>
  <c r="T16" i="9" s="1"/>
  <c r="J11" i="9"/>
  <c r="T11" i="9" s="1"/>
  <c r="Z11" i="9" s="1"/>
  <c r="J13" i="9"/>
  <c r="T13" i="9" s="1"/>
  <c r="Z13" i="9" s="1"/>
  <c r="J12" i="9"/>
  <c r="Z12" i="9" s="1"/>
  <c r="K28" i="8"/>
  <c r="K27" i="8"/>
  <c r="U27" i="8" s="1"/>
  <c r="K29" i="8"/>
  <c r="U29" i="8" s="1"/>
  <c r="V61" i="8"/>
  <c r="K44" i="8"/>
  <c r="U44" i="8" s="1"/>
  <c r="K45" i="8"/>
  <c r="U45" i="8" s="1"/>
  <c r="K40" i="8"/>
  <c r="U40" i="8" s="1"/>
  <c r="K42" i="8"/>
  <c r="U42" i="8" s="1"/>
  <c r="K41" i="8"/>
  <c r="K43" i="8"/>
  <c r="U43" i="8" s="1"/>
  <c r="X43" i="8" s="1"/>
  <c r="M29" i="8"/>
  <c r="W29" i="8" s="1"/>
  <c r="M28" i="8"/>
  <c r="W28" i="8" s="1"/>
  <c r="M27" i="8"/>
  <c r="W27" i="8" s="1"/>
  <c r="T46" i="8"/>
  <c r="J29" i="8"/>
  <c r="T29" i="8" s="1"/>
  <c r="J28" i="8"/>
  <c r="J27" i="8"/>
  <c r="V46" i="8"/>
  <c r="X13" i="8"/>
  <c r="M60" i="8"/>
  <c r="W60" i="8" s="1"/>
  <c r="M58" i="8"/>
  <c r="W58" i="8" s="1"/>
  <c r="M56" i="8"/>
  <c r="W56" i="8" s="1"/>
  <c r="M59" i="8"/>
  <c r="W59" i="8" s="1"/>
  <c r="M57" i="8"/>
  <c r="W57" i="8" s="1"/>
  <c r="M15" i="8"/>
  <c r="W15" i="8" s="1"/>
  <c r="X15" i="8" s="1"/>
  <c r="M14" i="8"/>
  <c r="W14" i="8" s="1"/>
  <c r="M16" i="8"/>
  <c r="W16" i="8" s="1"/>
  <c r="M11" i="8"/>
  <c r="W11" i="8" s="1"/>
  <c r="X11" i="8" s="1"/>
  <c r="M13" i="8"/>
  <c r="W13" i="8" s="1"/>
  <c r="M12" i="8"/>
  <c r="W12" i="8" s="1"/>
  <c r="X45" i="8"/>
  <c r="L29" i="8"/>
  <c r="V29" i="8" s="1"/>
  <c r="L28" i="8"/>
  <c r="L27" i="8"/>
  <c r="V27" i="8" s="1"/>
  <c r="V16" i="8"/>
  <c r="X16" i="8" s="1"/>
  <c r="AB16" i="8"/>
  <c r="AD16" i="8" s="1"/>
  <c r="M42" i="8"/>
  <c r="W42" i="8" s="1"/>
  <c r="X42" i="8" s="1"/>
  <c r="M41" i="8"/>
  <c r="W41" i="8" s="1"/>
  <c r="M43" i="8"/>
  <c r="W43" i="8" s="1"/>
  <c r="M44" i="8"/>
  <c r="W44" i="8" s="1"/>
  <c r="X44" i="8" s="1"/>
  <c r="M45" i="8"/>
  <c r="W45" i="8" s="1"/>
  <c r="M40" i="8"/>
  <c r="W40" i="8" s="1"/>
  <c r="Z12" i="8"/>
  <c r="T12" i="8"/>
  <c r="X12" i="8" s="1"/>
  <c r="J60" i="8"/>
  <c r="T60" i="8" s="1"/>
  <c r="X60" i="8" s="1"/>
  <c r="J58" i="8"/>
  <c r="T58" i="8" s="1"/>
  <c r="X58" i="8" s="1"/>
  <c r="J56" i="8"/>
  <c r="T56" i="8" s="1"/>
  <c r="J59" i="8"/>
  <c r="T59" i="8" s="1"/>
  <c r="X59" i="8" s="1"/>
  <c r="J57" i="8"/>
  <c r="T57" i="8" s="1"/>
  <c r="X57" i="8" s="1"/>
  <c r="AJ17" i="8"/>
  <c r="V14" i="8"/>
  <c r="V17" i="8" s="1"/>
  <c r="AB14" i="8"/>
  <c r="AN13" i="9" l="1"/>
  <c r="AH17" i="9"/>
  <c r="AF13" i="9"/>
  <c r="AD13" i="9"/>
  <c r="AD11" i="9"/>
  <c r="AD15" i="9"/>
  <c r="AM13" i="9"/>
  <c r="AG17" i="9"/>
  <c r="AI17" i="9"/>
  <c r="AO13" i="9"/>
  <c r="AF28" i="9"/>
  <c r="W17" i="9"/>
  <c r="X11" i="9"/>
  <c r="X12" i="9"/>
  <c r="AD41" i="9"/>
  <c r="AD46" i="9" s="1"/>
  <c r="AA46" i="9"/>
  <c r="AB16" i="9"/>
  <c r="AD16" i="9" s="1"/>
  <c r="V16" i="9"/>
  <c r="X16" i="9" s="1"/>
  <c r="U17" i="9"/>
  <c r="X13" i="9"/>
  <c r="X15" i="9"/>
  <c r="U28" i="9"/>
  <c r="V14" i="9"/>
  <c r="V28" i="9"/>
  <c r="Z27" i="8"/>
  <c r="T27" i="8"/>
  <c r="X56" i="8"/>
  <c r="X61" i="8" s="1"/>
  <c r="T61" i="8"/>
  <c r="Z17" i="8"/>
  <c r="AD12" i="8"/>
  <c r="AD17" i="8" s="1"/>
  <c r="W61" i="8"/>
  <c r="Z28" i="8"/>
  <c r="T28" i="8"/>
  <c r="W30" i="8"/>
  <c r="AA41" i="8"/>
  <c r="U41" i="8"/>
  <c r="X41" i="8" s="1"/>
  <c r="U28" i="8"/>
  <c r="U30" i="8" s="1"/>
  <c r="AA28" i="8"/>
  <c r="W46" i="8"/>
  <c r="AB28" i="8"/>
  <c r="V28" i="8"/>
  <c r="V30" i="8" s="1"/>
  <c r="X14" i="8"/>
  <c r="X17" i="8" s="1"/>
  <c r="T17" i="8"/>
  <c r="AD14" i="8"/>
  <c r="AB17" i="8"/>
  <c r="W17" i="8"/>
  <c r="X40" i="8"/>
  <c r="X46" i="8" s="1"/>
  <c r="U46" i="8"/>
  <c r="V17" i="9" l="1"/>
  <c r="AS17" i="9"/>
  <c r="AM17" i="9"/>
  <c r="AF17" i="9"/>
  <c r="AJ17" i="9" s="1"/>
  <c r="AJ13" i="9"/>
  <c r="AL13" i="9"/>
  <c r="AP13" i="9" s="1"/>
  <c r="AU17" i="9"/>
  <c r="AO17" i="9"/>
  <c r="AT17" i="9"/>
  <c r="AN17" i="9"/>
  <c r="X14" i="9"/>
  <c r="X17" i="9" s="1"/>
  <c r="AD14" i="9"/>
  <c r="AD12" i="9"/>
  <c r="AF30" i="9"/>
  <c r="AH28" i="9"/>
  <c r="AG28" i="9"/>
  <c r="AJ28" i="9" s="1"/>
  <c r="AJ30" i="9" s="1"/>
  <c r="T17" i="9"/>
  <c r="AH28" i="8"/>
  <c r="AB30" i="8"/>
  <c r="AF28" i="8"/>
  <c r="AD28" i="8"/>
  <c r="X27" i="8"/>
  <c r="T30" i="8"/>
  <c r="X28" i="8"/>
  <c r="AD41" i="8"/>
  <c r="AD46" i="8" s="1"/>
  <c r="AA46" i="8"/>
  <c r="Z30" i="8"/>
  <c r="AD27" i="8"/>
  <c r="AA30" i="8"/>
  <c r="AG28" i="8"/>
  <c r="AL17" i="9" l="1"/>
  <c r="AP17" i="9" s="1"/>
  <c r="AG30" i="9"/>
  <c r="AM30" i="9"/>
  <c r="AN30" i="9"/>
  <c r="AH30" i="9"/>
  <c r="AL30" i="9"/>
  <c r="AP30" i="9"/>
  <c r="AD30" i="8"/>
  <c r="AF30" i="8"/>
  <c r="AJ28" i="8"/>
  <c r="AJ30" i="8" s="1"/>
  <c r="AL28" i="8"/>
  <c r="AM28" i="8"/>
  <c r="AM30" i="8" s="1"/>
  <c r="AG30" i="8"/>
  <c r="X29" i="8"/>
  <c r="X30" i="8"/>
  <c r="AN28" i="8"/>
  <c r="AN30" i="8" s="1"/>
  <c r="AH30" i="8"/>
  <c r="AV17" i="9" l="1"/>
  <c r="AR17" i="9"/>
  <c r="AL30" i="8"/>
  <c r="AP28" i="8"/>
  <c r="AP30" i="8" s="1"/>
  <c r="T8" i="2" l="1"/>
  <c r="S8" i="2"/>
  <c r="M40" i="7"/>
  <c r="L40" i="7"/>
  <c r="L41" i="7"/>
  <c r="L15" i="2"/>
  <c r="R39" i="2" l="1"/>
  <c r="R40" i="2" s="1"/>
  <c r="R41" i="2" s="1"/>
  <c r="R42" i="2" s="1"/>
  <c r="Q39" i="2"/>
  <c r="Q40" i="2" s="1"/>
  <c r="Q41" i="2" s="1"/>
  <c r="Q42" i="2" s="1"/>
  <c r="P39" i="2"/>
  <c r="P40" i="2" s="1"/>
  <c r="P41" i="2" s="1"/>
  <c r="P42" i="2" s="1"/>
  <c r="R30" i="2"/>
  <c r="R31" i="2" s="1"/>
  <c r="R32" i="2" s="1"/>
  <c r="R33" i="2" s="1"/>
  <c r="Q30" i="2"/>
  <c r="Q31" i="2" s="1"/>
  <c r="Q32" i="2" s="1"/>
  <c r="Q33" i="2" s="1"/>
  <c r="P30" i="2"/>
  <c r="P31" i="2" s="1"/>
  <c r="P32" i="2" s="1"/>
  <c r="P33" i="2" s="1"/>
  <c r="R22" i="2"/>
  <c r="R23" i="2" s="1"/>
  <c r="R24" i="2" s="1"/>
  <c r="R25" i="2" s="1"/>
  <c r="Q22" i="2"/>
  <c r="Q23" i="2" s="1"/>
  <c r="Q24" i="2" s="1"/>
  <c r="Q25" i="2" s="1"/>
  <c r="P22" i="2"/>
  <c r="P23" i="2" s="1"/>
  <c r="P24" i="2" s="1"/>
  <c r="P25" i="2" s="1"/>
  <c r="R14" i="2"/>
  <c r="R15" i="2" s="1"/>
  <c r="R16" i="2" s="1"/>
  <c r="R17" i="2" s="1"/>
  <c r="Q14" i="2"/>
  <c r="Q15" i="2" s="1"/>
  <c r="Q16" i="2" s="1"/>
  <c r="Q17" i="2" s="1"/>
  <c r="P14" i="2"/>
  <c r="P15" i="2" s="1"/>
  <c r="P16" i="2" s="1"/>
  <c r="P17" i="2" s="1"/>
  <c r="I6" i="7" l="1"/>
  <c r="J6" i="7"/>
  <c r="K6" i="7"/>
  <c r="K7" i="7" s="1"/>
  <c r="K8" i="7" s="1"/>
  <c r="K9" i="7" s="1"/>
  <c r="L6" i="7"/>
  <c r="P6" i="7"/>
  <c r="P7" i="7" s="1"/>
  <c r="P8" i="7" s="1"/>
  <c r="P9" i="7" s="1"/>
  <c r="Q6" i="7"/>
  <c r="Q7" i="7" s="1"/>
  <c r="Q8" i="7" s="1"/>
  <c r="Q9" i="7" s="1"/>
  <c r="R6" i="7"/>
  <c r="R7" i="7" s="1"/>
  <c r="R8" i="7" s="1"/>
  <c r="R9" i="7" s="1"/>
  <c r="S6" i="7"/>
  <c r="I7" i="7"/>
  <c r="J7" i="7"/>
  <c r="J8" i="7" s="1"/>
  <c r="J9" i="7" s="1"/>
  <c r="L7" i="7"/>
  <c r="S7" i="7"/>
  <c r="I8" i="7"/>
  <c r="I9" i="7" s="1"/>
  <c r="L8" i="7"/>
  <c r="M8" i="7"/>
  <c r="S8" i="7"/>
  <c r="T8" i="7"/>
  <c r="L9" i="7"/>
  <c r="M9" i="7"/>
  <c r="S9" i="7"/>
  <c r="T9" i="7"/>
  <c r="I14" i="7"/>
  <c r="J14" i="7"/>
  <c r="J15" i="7" s="1"/>
  <c r="J16" i="7" s="1"/>
  <c r="J17" i="7" s="1"/>
  <c r="K14" i="7"/>
  <c r="K15" i="7" s="1"/>
  <c r="K16" i="7" s="1"/>
  <c r="K17" i="7" s="1"/>
  <c r="L14" i="7"/>
  <c r="P14" i="7"/>
  <c r="P15" i="7" s="1"/>
  <c r="P16" i="7" s="1"/>
  <c r="P17" i="7" s="1"/>
  <c r="Q14" i="7"/>
  <c r="Q15" i="7" s="1"/>
  <c r="Q16" i="7" s="1"/>
  <c r="Q17" i="7" s="1"/>
  <c r="R14" i="7"/>
  <c r="R15" i="7" s="1"/>
  <c r="R16" i="7" s="1"/>
  <c r="R17" i="7" s="1"/>
  <c r="S14" i="7"/>
  <c r="I15" i="7"/>
  <c r="I16" i="7" s="1"/>
  <c r="I17" i="7" s="1"/>
  <c r="L15" i="7"/>
  <c r="S15" i="7"/>
  <c r="L16" i="7"/>
  <c r="M16" i="7"/>
  <c r="S16" i="7"/>
  <c r="T16" i="7"/>
  <c r="L17" i="7"/>
  <c r="M17" i="7"/>
  <c r="S17" i="7"/>
  <c r="T17" i="7"/>
  <c r="I22" i="7"/>
  <c r="I23" i="7" s="1"/>
  <c r="I24" i="7" s="1"/>
  <c r="I25" i="7" s="1"/>
  <c r="J22" i="7"/>
  <c r="J23" i="7" s="1"/>
  <c r="J24" i="7" s="1"/>
  <c r="J25" i="7" s="1"/>
  <c r="K22" i="7"/>
  <c r="K23" i="7" s="1"/>
  <c r="K24" i="7" s="1"/>
  <c r="K25" i="7" s="1"/>
  <c r="L22" i="7"/>
  <c r="P22" i="7"/>
  <c r="P23" i="7" s="1"/>
  <c r="P24" i="7" s="1"/>
  <c r="P25" i="7" s="1"/>
  <c r="Q22" i="7"/>
  <c r="Q23" i="7" s="1"/>
  <c r="Q24" i="7" s="1"/>
  <c r="Q25" i="7" s="1"/>
  <c r="R22" i="7"/>
  <c r="R23" i="7" s="1"/>
  <c r="R24" i="7" s="1"/>
  <c r="R25" i="7" s="1"/>
  <c r="S22" i="7"/>
  <c r="L23" i="7"/>
  <c r="S23" i="7"/>
  <c r="L24" i="7"/>
  <c r="M24" i="7"/>
  <c r="S24" i="7"/>
  <c r="T24" i="7"/>
  <c r="L25" i="7"/>
  <c r="M25" i="7"/>
  <c r="S25" i="7"/>
  <c r="T25" i="7"/>
  <c r="I30" i="7"/>
  <c r="I31" i="7" s="1"/>
  <c r="I32" i="7" s="1"/>
  <c r="I33" i="7" s="1"/>
  <c r="J30" i="7"/>
  <c r="J31" i="7" s="1"/>
  <c r="J32" i="7" s="1"/>
  <c r="J33" i="7" s="1"/>
  <c r="K30" i="7"/>
  <c r="K31" i="7" s="1"/>
  <c r="K32" i="7" s="1"/>
  <c r="K33" i="7" s="1"/>
  <c r="I38" i="7"/>
  <c r="I39" i="7" s="1"/>
  <c r="I40" i="7" s="1"/>
  <c r="I41" i="7" s="1"/>
  <c r="J38" i="7"/>
  <c r="J39" i="7" s="1"/>
  <c r="J40" i="7" s="1"/>
  <c r="J41" i="7" s="1"/>
  <c r="K38" i="7"/>
  <c r="K39" i="7" s="1"/>
  <c r="K40" i="7" s="1"/>
  <c r="K41" i="7" s="1"/>
  <c r="M41" i="7"/>
  <c r="I46" i="7"/>
  <c r="I47" i="7" s="1"/>
  <c r="I48" i="7" s="1"/>
  <c r="I49" i="7" s="1"/>
  <c r="J46" i="7"/>
  <c r="J47" i="7" s="1"/>
  <c r="J48" i="7" s="1"/>
  <c r="J49" i="7" s="1"/>
  <c r="K46" i="7"/>
  <c r="K47" i="7" s="1"/>
  <c r="K48" i="7" s="1"/>
  <c r="K49" i="7" s="1"/>
  <c r="L46" i="7"/>
  <c r="L47" i="7"/>
  <c r="L48" i="7"/>
  <c r="M48" i="7"/>
  <c r="L49" i="7"/>
  <c r="M49" i="7"/>
  <c r="I6" i="2" l="1"/>
  <c r="J6" i="2"/>
  <c r="J7" i="2" s="1"/>
  <c r="J8" i="2" s="1"/>
  <c r="J9" i="2" s="1"/>
  <c r="K6" i="2"/>
  <c r="K7" i="2" s="1"/>
  <c r="K8" i="2" s="1"/>
  <c r="K9" i="2" s="1"/>
  <c r="L6" i="2"/>
  <c r="P6" i="2"/>
  <c r="Q6" i="2"/>
  <c r="Q7" i="2" s="1"/>
  <c r="Q8" i="2" s="1"/>
  <c r="Q9" i="2" s="1"/>
  <c r="R6" i="2"/>
  <c r="R7" i="2" s="1"/>
  <c r="R8" i="2" s="1"/>
  <c r="R9" i="2" s="1"/>
  <c r="S6" i="2"/>
  <c r="I7" i="2"/>
  <c r="I8" i="2" s="1"/>
  <c r="I9" i="2" s="1"/>
  <c r="L7" i="2"/>
  <c r="P7" i="2"/>
  <c r="P8" i="2" s="1"/>
  <c r="P9" i="2" s="1"/>
  <c r="S7" i="2"/>
  <c r="L8" i="2"/>
  <c r="M8" i="2"/>
  <c r="L9" i="2"/>
  <c r="M9" i="2"/>
  <c r="S9" i="2"/>
  <c r="T9" i="2"/>
  <c r="I14" i="2"/>
  <c r="I15" i="2" s="1"/>
  <c r="I16" i="2" s="1"/>
  <c r="I17" i="2" s="1"/>
  <c r="J14" i="2"/>
  <c r="J15" i="2" s="1"/>
  <c r="J16" i="2" s="1"/>
  <c r="J17" i="2" s="1"/>
  <c r="K14" i="2"/>
  <c r="K15" i="2" s="1"/>
  <c r="K16" i="2" s="1"/>
  <c r="K17" i="2" s="1"/>
  <c r="L14" i="2"/>
  <c r="M14" i="2"/>
  <c r="M15" i="2"/>
  <c r="M16" i="2"/>
  <c r="L17" i="2"/>
  <c r="M17" i="2"/>
  <c r="I22" i="2"/>
  <c r="I23" i="2" s="1"/>
  <c r="I24" i="2" s="1"/>
  <c r="I25" i="2" s="1"/>
  <c r="J22" i="2"/>
  <c r="J23" i="2" s="1"/>
  <c r="J24" i="2" s="1"/>
  <c r="J25" i="2" s="1"/>
  <c r="K22" i="2"/>
  <c r="K23" i="2" s="1"/>
  <c r="K24" i="2" s="1"/>
  <c r="K25" i="2" s="1"/>
  <c r="L22" i="2"/>
  <c r="S22" i="2"/>
  <c r="L23" i="2"/>
  <c r="S23" i="2"/>
  <c r="L24" i="2"/>
  <c r="M24" i="2"/>
  <c r="S24" i="2"/>
  <c r="T24" i="2"/>
  <c r="L25" i="2"/>
  <c r="M25" i="2"/>
  <c r="S25" i="2"/>
  <c r="T25" i="2"/>
  <c r="I30" i="2"/>
  <c r="J30" i="2"/>
  <c r="J31" i="2" s="1"/>
  <c r="J32" i="2" s="1"/>
  <c r="J33" i="2" s="1"/>
  <c r="K30" i="2"/>
  <c r="K31" i="2" s="1"/>
  <c r="K32" i="2" s="1"/>
  <c r="K33" i="2" s="1"/>
  <c r="S30" i="2"/>
  <c r="I31" i="2"/>
  <c r="I32" i="2" s="1"/>
  <c r="I33" i="2" s="1"/>
  <c r="S31" i="2"/>
  <c r="L32" i="2"/>
  <c r="M32" i="2"/>
  <c r="S32" i="2"/>
  <c r="T32" i="2"/>
  <c r="L33" i="2"/>
  <c r="M33" i="2"/>
  <c r="S33" i="2"/>
  <c r="T33" i="2"/>
  <c r="I39" i="2"/>
  <c r="I40" i="2" s="1"/>
  <c r="I41" i="2" s="1"/>
  <c r="I42" i="2" s="1"/>
  <c r="J39" i="2"/>
  <c r="J40" i="2" s="1"/>
  <c r="J41" i="2" s="1"/>
  <c r="J42" i="2" s="1"/>
  <c r="K39" i="2"/>
  <c r="K40" i="2" s="1"/>
  <c r="K41" i="2" s="1"/>
  <c r="K42" i="2" s="1"/>
  <c r="L39" i="2"/>
  <c r="S39" i="2"/>
  <c r="L40" i="2"/>
  <c r="S40" i="2"/>
  <c r="L41" i="2"/>
  <c r="M41" i="2"/>
  <c r="S41" i="2"/>
  <c r="T41" i="2"/>
  <c r="L42" i="2"/>
  <c r="M42" i="2"/>
  <c r="S42" i="2"/>
  <c r="T42" i="2"/>
  <c r="I47" i="2"/>
  <c r="I48" i="2" s="1"/>
  <c r="I49" i="2" s="1"/>
  <c r="I50" i="2" s="1"/>
  <c r="J47" i="2"/>
  <c r="J48" i="2" s="1"/>
  <c r="J49" i="2" s="1"/>
  <c r="J50" i="2" s="1"/>
  <c r="K47" i="2"/>
  <c r="K48" i="2" s="1"/>
  <c r="K49" i="2" s="1"/>
  <c r="K50" i="2" s="1"/>
  <c r="L47" i="2"/>
  <c r="L48" i="2"/>
  <c r="L49" i="2"/>
  <c r="M49" i="2"/>
  <c r="L50" i="2"/>
  <c r="M50" i="2"/>
</calcChain>
</file>

<file path=xl/comments1.xml><?xml version="1.0" encoding="utf-8"?>
<comments xmlns="http://schemas.openxmlformats.org/spreadsheetml/2006/main">
  <authors>
    <author>Author</author>
  </authors>
  <commentList>
    <comment ref="Q16" authorId="0" shapeId="0">
      <text>
        <r>
          <rPr>
            <sz val="12"/>
            <color indexed="81"/>
            <rFont val="Tahoma"/>
            <family val="2"/>
          </rPr>
          <t>Highlight values &gt;1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 xml:space="preserve">Performance data in red fonts is after accepting some exceptions presented for p.e. LUT non-compliance.  </t>
        </r>
      </text>
    </comment>
    <comment ref="E28" authorId="0" shapeId="0">
      <text>
        <r>
          <rPr>
            <sz val="12"/>
            <color indexed="81"/>
            <rFont val="Tahoma"/>
            <family val="2"/>
          </rPr>
          <t xml:space="preserve">Performance data in red fonts is after accepting some exceptions presented for p.e. LUT non-compliance.  </t>
        </r>
      </text>
    </comment>
    <comment ref="O28" authorId="0" shapeId="0">
      <text>
        <r>
          <rPr>
            <sz val="12"/>
            <color indexed="81"/>
            <rFont val="Tahoma"/>
            <family val="2"/>
          </rPr>
          <t xml:space="preserve">Highlight values &gt;1 </t>
        </r>
      </text>
    </comment>
    <comment ref="AA28" authorId="0" shapeId="0">
      <text>
        <r>
          <rPr>
            <sz val="12"/>
            <color indexed="81"/>
            <rFont val="Tahoma"/>
            <family val="2"/>
          </rPr>
          <t>Moderated the values</t>
        </r>
      </text>
    </comment>
    <comment ref="P41" authorId="0" shapeId="0">
      <text>
        <r>
          <rPr>
            <sz val="12"/>
            <color indexed="81"/>
            <rFont val="Tahoma"/>
            <family val="2"/>
          </rPr>
          <t>Hilght values &gt;1</t>
        </r>
      </text>
    </comment>
    <comment ref="AB41" authorId="0" shapeId="0">
      <text>
        <r>
          <rPr>
            <sz val="12"/>
            <color indexed="81"/>
            <rFont val="Tahoma"/>
            <family val="2"/>
          </rPr>
          <t>Moderated the values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Q16" authorId="0" shapeId="0">
      <text>
        <r>
          <rPr>
            <sz val="12"/>
            <color indexed="81"/>
            <rFont val="Tahoma"/>
            <family val="2"/>
          </rPr>
          <t>Highlight values &gt;1</t>
        </r>
      </text>
    </comment>
    <comment ref="D27" authorId="0" shapeId="0">
      <text>
        <r>
          <rPr>
            <b/>
            <sz val="9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E27" authorId="0" shapeId="0">
      <text>
        <r>
          <rPr>
            <b/>
            <sz val="9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F27" authorId="0" shapeId="0">
      <text>
        <r>
          <rPr>
            <sz val="12"/>
            <color indexed="81"/>
            <rFont val="Tahoma"/>
            <family val="2"/>
          </rPr>
          <t xml:space="preserve">Performance data in red fonts is after accepting some exceptions presented for numeric consent non-compliance.  </t>
        </r>
      </text>
    </comment>
    <comment ref="D28" authorId="0" shapeId="0">
      <text>
        <r>
          <rPr>
            <sz val="9"/>
            <color indexed="81"/>
            <rFont val="Tahoma"/>
            <family val="2"/>
          </rPr>
          <t xml:space="preserve">Performance data in red fonts is after accepting some exceptions presented for p.e. LUT non-compliance.  </t>
        </r>
      </text>
    </comment>
    <comment ref="E28" authorId="0" shapeId="0">
      <text>
        <r>
          <rPr>
            <sz val="12"/>
            <color indexed="81"/>
            <rFont val="Tahoma"/>
            <family val="2"/>
          </rPr>
          <t xml:space="preserve">Performance data in red fonts is after accepting some exceptions presented for p.e. LUT non-compliance.  </t>
        </r>
      </text>
    </comment>
    <comment ref="O28" authorId="0" shapeId="0">
      <text>
        <r>
          <rPr>
            <sz val="12"/>
            <color indexed="81"/>
            <rFont val="Tahoma"/>
            <family val="2"/>
          </rPr>
          <t xml:space="preserve">Highlight values &gt;1 </t>
        </r>
      </text>
    </comment>
    <comment ref="AA28" authorId="0" shapeId="0">
      <text>
        <r>
          <rPr>
            <sz val="12"/>
            <color indexed="81"/>
            <rFont val="Tahoma"/>
            <family val="2"/>
          </rPr>
          <t>Moderated the values</t>
        </r>
      </text>
    </comment>
    <comment ref="P41" authorId="0" shapeId="0">
      <text>
        <r>
          <rPr>
            <sz val="12"/>
            <color indexed="81"/>
            <rFont val="Tahoma"/>
            <family val="2"/>
          </rPr>
          <t>Hilght values &gt;1</t>
        </r>
      </text>
    </comment>
    <comment ref="AB41" authorId="0" shapeId="0">
      <text>
        <r>
          <rPr>
            <sz val="12"/>
            <color indexed="81"/>
            <rFont val="Tahoma"/>
            <family val="2"/>
          </rPr>
          <t>Moderated the values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H8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 font means Ofwat's different view on serviceability assessment for 2014-15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Red font means Ofwat's different view on serviceability assessment for 2014-15</t>
        </r>
      </text>
    </comment>
  </commentList>
</comments>
</file>

<file path=xl/sharedStrings.xml><?xml version="1.0" encoding="utf-8"?>
<sst xmlns="http://schemas.openxmlformats.org/spreadsheetml/2006/main" count="1030" uniqueCount="212">
  <si>
    <t>% of total p.e. served by sewage treatment works in breach of WRA or UWWTD consent (LUT)</t>
  </si>
  <si>
    <t>Number of burst mains</t>
  </si>
  <si>
    <t>Distribution index TIM</t>
  </si>
  <si>
    <t>Enforcement actions considered for microbiological standards</t>
  </si>
  <si>
    <t>Manually adjusted data</t>
  </si>
  <si>
    <t>Manually input data</t>
  </si>
  <si>
    <t>W21003</t>
  </si>
  <si>
    <t>2014-15</t>
  </si>
  <si>
    <t>2013-14</t>
  </si>
  <si>
    <t>2012-13</t>
  </si>
  <si>
    <t>2011-12</t>
  </si>
  <si>
    <t>Customer contacts per 1,000 population supplied €“ discolouration (orange/brown/black)</t>
  </si>
  <si>
    <t>W21001</t>
  </si>
  <si>
    <t>Reference Level</t>
  </si>
  <si>
    <t>Upper Limit</t>
  </si>
  <si>
    <t>Lower Limit</t>
  </si>
  <si>
    <t>Water treatment work coliform non compliance</t>
  </si>
  <si>
    <t>QEBW0182</t>
  </si>
  <si>
    <t>Percentage mean zonal compliance with  PCV for iron at the tap</t>
  </si>
  <si>
    <t>QEBW0181</t>
  </si>
  <si>
    <t>Reference</t>
  </si>
  <si>
    <t>Upper-Limit</t>
  </si>
  <si>
    <t>Lower-Limit</t>
  </si>
  <si>
    <t>BP3121</t>
  </si>
  <si>
    <t>WHERE DOES THE MISSING DATA COME FROM?</t>
  </si>
  <si>
    <t>BP1245</t>
  </si>
  <si>
    <t>% Bacteriological samples from SRs failing standard</t>
  </si>
  <si>
    <t>BP1205</t>
  </si>
  <si>
    <t>Unplanned maintenance (company specific measure)</t>
  </si>
  <si>
    <t>BN13106</t>
  </si>
  <si>
    <t>The number of water treatment works where the 95%ile is greater than or equal to 0.5NTU</t>
  </si>
  <si>
    <t>BN13000</t>
  </si>
  <si>
    <t>DG3: Properties affected by unplanned, unwarned water supply interruptions of more than twelve hours' duration (excluding overruns of planned interruptions).</t>
  </si>
  <si>
    <t>BN1008</t>
  </si>
  <si>
    <t>DG3&gt;12hr interruptions Graphs</t>
  </si>
  <si>
    <t>Properties below reference level at end of year</t>
  </si>
  <si>
    <t>BN1004</t>
  </si>
  <si>
    <t/>
  </si>
  <si>
    <t>Latest</t>
  </si>
  <si>
    <t>Pre Blind year submission position</t>
  </si>
  <si>
    <t xml:space="preserve">PR14 Blind year reconciliation </t>
  </si>
  <si>
    <t>Price Review 2014</t>
  </si>
  <si>
    <t>Water non-infra</t>
  </si>
  <si>
    <t>Water infra</t>
  </si>
  <si>
    <t>Report from table: W21</t>
  </si>
  <si>
    <t>Equipement failure - forecast</t>
  </si>
  <si>
    <t>Equipement failure - actual</t>
  </si>
  <si>
    <t>Percentage of sewage treatment works not compliant with numerical discharge consents (calendar year).</t>
  </si>
  <si>
    <t>QSEW007</t>
  </si>
  <si>
    <t>BP3224</t>
  </si>
  <si>
    <t>blockages - forecast</t>
  </si>
  <si>
    <t>blockages - actual</t>
  </si>
  <si>
    <t>Number of sewer collapses</t>
  </si>
  <si>
    <t>BP3222</t>
  </si>
  <si>
    <t>Number of pollution incidents (category 1, 2 and 3) from infrastructure assets</t>
  </si>
  <si>
    <t>BP3216</t>
  </si>
  <si>
    <t>Flooding net of severe weather - forecast</t>
  </si>
  <si>
    <t>Flooding net of severe weather - actual</t>
  </si>
  <si>
    <t>DG5: Number of properties affected by flooding incidents due to causes other than overloaded sewers</t>
  </si>
  <si>
    <t>BN1360</t>
  </si>
  <si>
    <t>Properties internally flooded in year due to overloaded sewers, excluding severe weather.</t>
  </si>
  <si>
    <t>BN13533</t>
  </si>
  <si>
    <t>unplanned maintenance - forecast</t>
  </si>
  <si>
    <t>unplanned maintenance - actual</t>
  </si>
  <si>
    <t>Flooding other causes - forecast</t>
  </si>
  <si>
    <t>Flooding other causes - actual</t>
  </si>
  <si>
    <t>Total number of sewer blockages</t>
  </si>
  <si>
    <t>BN13522</t>
  </si>
  <si>
    <t>BN13509</t>
  </si>
  <si>
    <t>PE LUT non-compliance - forecast</t>
  </si>
  <si>
    <t>PE LUT non-compliance - actual</t>
  </si>
  <si>
    <t>Pollution - forecast</t>
  </si>
  <si>
    <t>Pollution - actual</t>
  </si>
  <si>
    <t>Total number of sewerage equipment failures.</t>
  </si>
  <si>
    <t>BN13508</t>
  </si>
  <si>
    <t>Numeric discharge non-compliance - forecast</t>
  </si>
  <si>
    <t>Numeric discharge non-compliance - actual</t>
  </si>
  <si>
    <t>collapses - forecast</t>
  </si>
  <si>
    <t>collapses - actual</t>
  </si>
  <si>
    <t>Sewerage non-infra</t>
  </si>
  <si>
    <t>Sewerage infra</t>
  </si>
  <si>
    <t>Report from table: S21</t>
  </si>
  <si>
    <t>SRN</t>
  </si>
  <si>
    <t>SRN Collapses</t>
  </si>
  <si>
    <t xml:space="preserve">SRN - STW numeric consent non-compliance
</t>
  </si>
  <si>
    <t>SRN Pollution</t>
  </si>
  <si>
    <t>SRN - PE LUT non-compliance</t>
  </si>
  <si>
    <t>SRN - Flooding other causes</t>
  </si>
  <si>
    <t xml:space="preserve">SRN - unplanned maintenance
</t>
  </si>
  <si>
    <t>SRN - Flooding net of severe weather</t>
  </si>
  <si>
    <t>SRN - blockages</t>
  </si>
  <si>
    <t xml:space="preserve">SRN - Equipement failures </t>
  </si>
  <si>
    <t xml:space="preserve">SRN - Coliforms at WTW non-compliance
</t>
  </si>
  <si>
    <t xml:space="preserve">SRN - Coliforms at SR
</t>
  </si>
  <si>
    <t xml:space="preserve">SRN - Trubidity failure at WTW (nr) 
</t>
  </si>
  <si>
    <t xml:space="preserve">SRN - Enforcement actions 
</t>
  </si>
  <si>
    <t xml:space="preserve">SRN - Unplanned maintenance
</t>
  </si>
  <si>
    <t xml:space="preserve">SRN - Bursts
</t>
  </si>
  <si>
    <t>SRN Burst - actual</t>
  </si>
  <si>
    <t>SRN Burst - forecast</t>
  </si>
  <si>
    <t>SRN Coliforms at WTW - actual</t>
  </si>
  <si>
    <t>SRN Coliforms at WTW - forecast</t>
  </si>
  <si>
    <t>SRN DG3 interruptions&gt;12hr after exlusions - actual</t>
  </si>
  <si>
    <t>SRN DG3 interruptions&gt;12hr no exlusions - forecast</t>
  </si>
  <si>
    <t>SRN Coliforms at SR - actual</t>
  </si>
  <si>
    <t>SRN Coliforms at SR - forecast</t>
  </si>
  <si>
    <t xml:space="preserve">SRN - iron mean zonal non-compliance
</t>
  </si>
  <si>
    <t>SRN iron MZ non-comp - actual</t>
  </si>
  <si>
    <t>SRN iron MZ non-comp - forecast</t>
  </si>
  <si>
    <t>SRN Turbidity - actual</t>
  </si>
  <si>
    <t>SRN Turbidity - forecast</t>
  </si>
  <si>
    <t>SRN - DG2 - properties at risk of low pressure</t>
  </si>
  <si>
    <t>SRN DG2 - low pressure prop - actual</t>
  </si>
  <si>
    <t>SRNDG2 - low pressure prop - forecast</t>
  </si>
  <si>
    <t>SRN - Enforcement actions - actual</t>
  </si>
  <si>
    <t>SRN - Enforcement actions - forecast</t>
  </si>
  <si>
    <t>SRN - Discolouration contacts per 1,000 population</t>
  </si>
  <si>
    <t>SRN Discolouration contacts - actual</t>
  </si>
  <si>
    <t>SRN Discolouration contacts - forecast</t>
  </si>
  <si>
    <t>SRN - Unplanned maintenance - actual</t>
  </si>
  <si>
    <t>SRN - Unplanned maintenance - forecast</t>
  </si>
  <si>
    <t>SRN - TIM % Non-compliance</t>
  </si>
  <si>
    <t>SRN TIM % non-comp - actual</t>
  </si>
  <si>
    <t>SRN TIM % non-comp - forecast</t>
  </si>
  <si>
    <t>Numeric discharge non-compliance - after exclusions</t>
  </si>
  <si>
    <t>PE LUT non-compliance- after exclusions</t>
  </si>
  <si>
    <t>FOC - shortfall calc Ofwat assumption</t>
  </si>
  <si>
    <t>Serviceability - Shortfall Calculator - SRN Final Determination</t>
  </si>
  <si>
    <t>Sewerage infrastructure</t>
  </si>
  <si>
    <t>OFWAT FD09 BASELINE (£m)</t>
  </si>
  <si>
    <t>Maximum value for shortfall adjustment (50%) £(m)</t>
  </si>
  <si>
    <t>Indexation</t>
  </si>
  <si>
    <t>line 11 (OFWAT baseline before efficiency)</t>
  </si>
  <si>
    <t>line 16 (OFWAT view of Grants &amp; Contributions)</t>
  </si>
  <si>
    <t>2007-08 prices</t>
  </si>
  <si>
    <t>2012-13 prices</t>
  </si>
  <si>
    <t>COPI 2007-08</t>
  </si>
  <si>
    <t>COPI 2012-13</t>
  </si>
  <si>
    <t>Performance and measures</t>
  </si>
  <si>
    <t>Step I: Unscaled yearly shortfall value (£m)</t>
  </si>
  <si>
    <t>Step II: Scaling factor based on the distance of performance of the indicator above the upper control limit</t>
  </si>
  <si>
    <t>Step III: Calculate the value of the shortfall (£m)</t>
  </si>
  <si>
    <t>Step IV: Moderate the value of shortfall where actual serviceablity performance as represented by the scaling factor is above 1 standard deviation by capping the scaling factor at 1 standard deviation (£m)</t>
  </si>
  <si>
    <t>Step V: Shortfall values (£m) 
pre-efficiency; where shortfall is applied</t>
  </si>
  <si>
    <t>Step VI: Apply volatility factor where applicable
(£m)</t>
  </si>
  <si>
    <t>Step VII: Step VI in post efficiency; where shortfall is applied
(£m)</t>
  </si>
  <si>
    <t xml:space="preserve">Actual Performance </t>
  </si>
  <si>
    <t>2011/12</t>
  </si>
  <si>
    <t>2012/13</t>
  </si>
  <si>
    <t>2013/14</t>
  </si>
  <si>
    <t>2014/15</t>
  </si>
  <si>
    <t>Measure</t>
  </si>
  <si>
    <t>Ref level</t>
  </si>
  <si>
    <t>UCL</t>
  </si>
  <si>
    <t>Total Shortfall value (non scaled)</t>
  </si>
  <si>
    <t>Total</t>
  </si>
  <si>
    <t>Sewer collapses</t>
  </si>
  <si>
    <t>Pollution Incidents</t>
  </si>
  <si>
    <t>No shortfall to be applied</t>
  </si>
  <si>
    <t>Flooding other causes</t>
  </si>
  <si>
    <t>Shortfall applied</t>
  </si>
  <si>
    <t>Flooding overloaded sewers</t>
  </si>
  <si>
    <t>Sewer Blockages</t>
  </si>
  <si>
    <t>Equipment failures</t>
  </si>
  <si>
    <t>Sewerage Non-infrastructure</t>
  </si>
  <si>
    <t xml:space="preserve">Step V: Shortfall values
pre-efficiency; where shortfall is applied
(£m) </t>
  </si>
  <si>
    <t>% of sewage treatment works discharges failing numeric consents</t>
  </si>
  <si>
    <t>No shortfall to be applied; taking into account iron consents.</t>
  </si>
  <si>
    <t>Unplanned non-infrastructure maintenance</t>
  </si>
  <si>
    <t>Water infrastructure</t>
  </si>
  <si>
    <t>DG3 unplanned interruption to supply exceeding 12 hours</t>
  </si>
  <si>
    <t>No shortfall applied</t>
  </si>
  <si>
    <t>Iron non-compliance (as 100-Mean Zonal Compliance) (%)</t>
  </si>
  <si>
    <t>DG2 Properties at risk of receiving low pressure</t>
  </si>
  <si>
    <t>Customer contacts per 1,000 population supplied – discolouration (orange/brown/black)</t>
  </si>
  <si>
    <t>Water Non-infrastructure</t>
  </si>
  <si>
    <t>Water treatment works coliform non-compliance (% samples failing for coliforms leaving WTW)</t>
  </si>
  <si>
    <t>Service reservoir coliform non-compliance (% service reservoirs having more than 5% of coliform samples failing)</t>
  </si>
  <si>
    <t>Number of WTW where turbidity 95%ile greater than or equal to 0.5NTU</t>
  </si>
  <si>
    <t>Undertaken by:</t>
  </si>
  <si>
    <t>Date:</t>
  </si>
  <si>
    <t>Ambrat Virwani</t>
  </si>
  <si>
    <t>Checked by</t>
  </si>
  <si>
    <t>Paul Fox</t>
  </si>
  <si>
    <t>Signed off</t>
  </si>
  <si>
    <t>Mark Worsfold</t>
  </si>
  <si>
    <t>FOUNTAIN_INSTANCE_URL</t>
  </si>
  <si>
    <t>http://fnttest202:8082/Fountain/rest-services_XLSPF</t>
  </si>
  <si>
    <t>SRN FD09 efficiency - SI</t>
  </si>
  <si>
    <t>SRN FD09 efficiency - SNI</t>
  </si>
  <si>
    <t>Salim Lorgat</t>
  </si>
  <si>
    <t>Table AA3.11 Serviceability assessments for 2010-15</t>
  </si>
  <si>
    <t xml:space="preserve">2010-11 </t>
  </si>
  <si>
    <t xml:space="preserve"> 2011-12</t>
  </si>
  <si>
    <t xml:space="preserve"> 2012-13</t>
  </si>
  <si>
    <t xml:space="preserve">2013-14 </t>
  </si>
  <si>
    <t xml:space="preserve"> 2014-15</t>
  </si>
  <si>
    <t>Actual 2014-15</t>
  </si>
  <si>
    <t xml:space="preserve">Water infrastructure </t>
  </si>
  <si>
    <t xml:space="preserve">Company view </t>
  </si>
  <si>
    <t xml:space="preserve">Ofwat view </t>
  </si>
  <si>
    <t>Water non-infrastructure</t>
  </si>
  <si>
    <t>Wastewater infrastructure</t>
  </si>
  <si>
    <t>Wastewater noninfrastructure</t>
  </si>
  <si>
    <t xml:space="preserve">Stable </t>
  </si>
  <si>
    <t>Marginal</t>
  </si>
  <si>
    <t xml:space="preserve">Deteriorating </t>
  </si>
  <si>
    <t>Stable</t>
  </si>
  <si>
    <t>Deteriorating</t>
  </si>
  <si>
    <t>Red font means Ofwat's view differs than that of company view on serviceability assessment for 2014-15</t>
  </si>
  <si>
    <t xml:space="preserve">Serviceability - Shortfall Calculator - SRN Blind Year Reconciliation draft proposals </t>
  </si>
  <si>
    <t>Jeremy Thomson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</si>
</sst>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"/>
    <numFmt numFmtId="166" formatCode="&quot;£&quot;#,##0.00"/>
    <numFmt numFmtId="167" formatCode="0.000%"/>
  </numFmts>
  <fonts count="27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5"/>
      <color theme="0"/>
      <name val="Franklin Gothic Demi"/>
      <family val="2"/>
    </font>
    <font>
      <sz val="10"/>
      <color rgb="FF0078C9"/>
      <name val="Franklin Gothic Demi"/>
      <family val="2"/>
    </font>
    <font>
      <sz val="9"/>
      <color theme="1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Arial"/>
      <family val="2"/>
    </font>
    <font>
      <sz val="11"/>
      <name val="Arial"/>
      <family val="2"/>
    </font>
    <font>
      <sz val="10"/>
      <color indexed="62"/>
      <name val="Arial"/>
      <family val="2"/>
    </font>
    <font>
      <sz val="9"/>
      <name val="Arial"/>
      <family val="2"/>
    </font>
    <font>
      <b/>
      <sz val="11"/>
      <name val="Calibri"/>
      <family val="2"/>
    </font>
    <font>
      <b/>
      <u/>
      <sz val="11"/>
      <color theme="1"/>
      <name val="Arial"/>
      <family val="2"/>
    </font>
    <font>
      <b/>
      <u/>
      <sz val="1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8"/>
      <name val="Arial"/>
      <family val="2"/>
    </font>
    <font>
      <sz val="12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6">
    <fill>
      <patternFill patternType="none"/>
    </fill>
    <fill>
      <patternFill patternType="gray125"/>
    </fill>
    <fill>
      <patternFill patternType="solid">
        <fgColor rgb="FF003479"/>
        <bgColor indexed="64"/>
      </patternFill>
    </fill>
    <fill>
      <patternFill patternType="solid">
        <fgColor rgb="FFBFDDF1"/>
        <bgColor indexed="64"/>
      </patternFill>
    </fill>
    <fill>
      <patternFill patternType="solid">
        <fgColor rgb="FFE0DCD8"/>
        <bgColor indexed="64"/>
      </patternFill>
    </fill>
    <fill>
      <patternFill patternType="solid">
        <fgColor rgb="FFFCEABF"/>
        <bgColor indexed="64"/>
      </patternFill>
    </fill>
    <fill>
      <patternFill patternType="solid">
        <fgColor rgb="FFF2BFE0"/>
        <bgColor indexed="64"/>
      </patternFill>
    </fill>
    <fill>
      <patternFill patternType="solid">
        <fgColor rgb="FFFE481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E0"/>
      </patternFill>
    </fill>
    <fill>
      <patternFill patternType="solid">
        <fgColor rgb="FFFFFF00"/>
        <bgColor indexed="44"/>
      </patternFill>
    </fill>
    <fill>
      <patternFill patternType="solid">
        <fgColor rgb="FFFFFF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58">
    <border>
      <left/>
      <right/>
      <top/>
      <bottom/>
      <diagonal/>
    </border>
    <border>
      <left style="thin">
        <color rgb="FF857362"/>
      </left>
      <right style="thin">
        <color rgb="FF857362"/>
      </right>
      <top style="thin">
        <color rgb="FF857362"/>
      </top>
      <bottom style="thin">
        <color rgb="FF8573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6" fontId="4" fillId="2" borderId="0" applyNumberFormat="0">
      <alignment horizontal="left"/>
    </xf>
    <xf numFmtId="0" fontId="5" fillId="4" borderId="0" applyNumberFormat="0"/>
    <xf numFmtId="0" fontId="6" fillId="6" borderId="0"/>
    <xf numFmtId="0" fontId="2" fillId="3" borderId="0" applyAlignment="0" applyProtection="0"/>
    <xf numFmtId="0" fontId="6" fillId="7" borderId="0" applyBorder="0"/>
    <xf numFmtId="0" fontId="6" fillId="0" borderId="1" applyFont="0" applyFill="0" applyAlignment="0">
      <alignment horizontal="center"/>
    </xf>
    <xf numFmtId="0" fontId="3" fillId="5" borderId="1">
      <alignment vertical="center"/>
    </xf>
    <xf numFmtId="0" fontId="2" fillId="0" borderId="0"/>
    <xf numFmtId="0" fontId="7" fillId="0" borderId="0"/>
    <xf numFmtId="0" fontId="2" fillId="0" borderId="0"/>
    <xf numFmtId="0" fontId="8" fillId="0" borderId="0" applyNumberFormat="0" applyFill="0" applyBorder="0" applyAlignment="0" applyProtection="0"/>
    <xf numFmtId="0" fontId="16" fillId="0" borderId="0"/>
    <xf numFmtId="9" fontId="2" fillId="0" borderId="0" applyFont="0" applyFill="0" applyBorder="0" applyAlignment="0" applyProtection="0"/>
  </cellStyleXfs>
  <cellXfs count="323">
    <xf numFmtId="0" fontId="0" fillId="0" borderId="0" xfId="0"/>
    <xf numFmtId="0" fontId="0" fillId="8" borderId="0" xfId="0" applyFill="1"/>
    <xf numFmtId="0" fontId="0" fillId="9" borderId="0" xfId="0" applyFill="1"/>
    <xf numFmtId="10" fontId="0" fillId="10" borderId="0" xfId="0" applyNumberFormat="1" applyFill="1"/>
    <xf numFmtId="2" fontId="3" fillId="0" borderId="0" xfId="0" applyNumberFormat="1" applyFont="1"/>
    <xf numFmtId="0" fontId="3" fillId="0" borderId="0" xfId="0" applyFont="1"/>
    <xf numFmtId="4" fontId="0" fillId="10" borderId="0" xfId="0" applyNumberFormat="1" applyFill="1"/>
    <xf numFmtId="2" fontId="11" fillId="9" borderId="0" xfId="0" applyNumberFormat="1" applyFont="1" applyFill="1" applyBorder="1" applyAlignment="1" applyProtection="1">
      <alignment horizontal="right"/>
    </xf>
    <xf numFmtId="0" fontId="3" fillId="9" borderId="0" xfId="0" applyFont="1" applyFill="1"/>
    <xf numFmtId="0" fontId="2" fillId="0" borderId="0" xfId="0" applyFont="1" applyAlignment="1">
      <alignment wrapText="1"/>
    </xf>
    <xf numFmtId="0" fontId="2" fillId="0" borderId="0" xfId="0" applyFont="1"/>
    <xf numFmtId="0" fontId="3" fillId="0" borderId="0" xfId="0" applyNumberFormat="1" applyFont="1"/>
    <xf numFmtId="1" fontId="2" fillId="0" borderId="0" xfId="0" applyNumberFormat="1" applyFont="1" applyFill="1" applyBorder="1" applyProtection="1"/>
    <xf numFmtId="0" fontId="12" fillId="0" borderId="0" xfId="0" applyFont="1"/>
    <xf numFmtId="2" fontId="11" fillId="0" borderId="0" xfId="0" applyNumberFormat="1" applyFont="1" applyFill="1" applyBorder="1" applyAlignment="1" applyProtection="1">
      <alignment horizontal="right"/>
    </xf>
    <xf numFmtId="1" fontId="2" fillId="11" borderId="0" xfId="0" applyNumberFormat="1" applyFont="1" applyFill="1" applyBorder="1" applyProtection="1"/>
    <xf numFmtId="0" fontId="12" fillId="9" borderId="0" xfId="0" applyFont="1" applyFill="1"/>
    <xf numFmtId="0" fontId="12" fillId="0" borderId="0" xfId="0" applyFont="1" applyAlignment="1">
      <alignment wrapText="1"/>
    </xf>
    <xf numFmtId="0" fontId="0" fillId="0" borderId="0" xfId="0" applyAlignment="1"/>
    <xf numFmtId="3" fontId="0" fillId="10" borderId="0" xfId="0" applyNumberFormat="1" applyFill="1"/>
    <xf numFmtId="3" fontId="12" fillId="0" borderId="0" xfId="0" applyNumberFormat="1" applyFont="1"/>
    <xf numFmtId="2" fontId="11" fillId="8" borderId="0" xfId="0" applyNumberFormat="1" applyFont="1" applyFill="1" applyBorder="1" applyAlignment="1" applyProtection="1">
      <alignment horizontal="right"/>
    </xf>
    <xf numFmtId="2" fontId="3" fillId="9" borderId="0" xfId="0" applyNumberFormat="1" applyFont="1" applyFill="1"/>
    <xf numFmtId="1" fontId="2" fillId="9" borderId="0" xfId="0" applyNumberFormat="1" applyFont="1" applyFill="1" applyBorder="1" applyProtection="1"/>
    <xf numFmtId="0" fontId="10" fillId="0" borderId="0" xfId="0" applyFont="1" applyAlignment="1">
      <alignment wrapText="1"/>
    </xf>
    <xf numFmtId="3" fontId="2" fillId="0" borderId="0" xfId="0" applyNumberFormat="1" applyFont="1"/>
    <xf numFmtId="0" fontId="2" fillId="9" borderId="0" xfId="0" applyFont="1" applyFill="1"/>
    <xf numFmtId="0" fontId="0" fillId="0" borderId="0" xfId="0" applyAlignment="1">
      <alignment wrapText="1"/>
    </xf>
    <xf numFmtId="0" fontId="2" fillId="0" borderId="0" xfId="0" applyNumberFormat="1" applyFont="1"/>
    <xf numFmtId="1" fontId="3" fillId="9" borderId="0" xfId="0" applyNumberFormat="1" applyFont="1" applyFill="1"/>
    <xf numFmtId="0" fontId="6" fillId="0" borderId="0" xfId="0" applyFont="1" applyAlignment="1">
      <alignment wrapText="1"/>
    </xf>
    <xf numFmtId="2" fontId="3" fillId="0" borderId="0" xfId="1" applyNumberFormat="1" applyFont="1"/>
    <xf numFmtId="0" fontId="0" fillId="10" borderId="0" xfId="0" applyFill="1"/>
    <xf numFmtId="0" fontId="13" fillId="12" borderId="0" xfId="0" applyFont="1" applyFill="1"/>
    <xf numFmtId="0" fontId="14" fillId="0" borderId="0" xfId="0" applyFont="1"/>
    <xf numFmtId="0" fontId="15" fillId="0" borderId="0" xfId="0" applyFont="1"/>
    <xf numFmtId="1" fontId="2" fillId="0" borderId="0" xfId="0" applyNumberFormat="1" applyFont="1"/>
    <xf numFmtId="1" fontId="2" fillId="9" borderId="0" xfId="0" applyNumberFormat="1" applyFont="1" applyFill="1"/>
    <xf numFmtId="2" fontId="2" fillId="0" borderId="0" xfId="0" applyNumberFormat="1" applyFont="1"/>
    <xf numFmtId="2" fontId="2" fillId="9" borderId="0" xfId="0" applyNumberFormat="1" applyFont="1" applyFill="1"/>
    <xf numFmtId="165" fontId="2" fillId="9" borderId="0" xfId="0" applyNumberFormat="1" applyFont="1" applyFill="1"/>
    <xf numFmtId="164" fontId="2" fillId="9" borderId="0" xfId="0" applyNumberFormat="1" applyFont="1" applyFill="1"/>
    <xf numFmtId="1" fontId="3" fillId="9" borderId="0" xfId="0" applyNumberFormat="1" applyFont="1" applyFill="1" applyAlignment="1"/>
    <xf numFmtId="0" fontId="3" fillId="0" borderId="0" xfId="0" applyFont="1" applyAlignment="1"/>
    <xf numFmtId="0" fontId="9" fillId="0" borderId="0" xfId="0" applyFont="1" applyAlignment="1"/>
    <xf numFmtId="0" fontId="2" fillId="0" borderId="0" xfId="0" applyFont="1" applyAlignment="1"/>
    <xf numFmtId="2" fontId="3" fillId="9" borderId="0" xfId="0" applyNumberFormat="1" applyFont="1" applyFill="1" applyAlignment="1"/>
    <xf numFmtId="0" fontId="12" fillId="0" borderId="0" xfId="0" applyFont="1" applyAlignment="1"/>
    <xf numFmtId="164" fontId="2" fillId="9" borderId="0" xfId="0" applyNumberFormat="1" applyFont="1" applyFill="1" applyAlignment="1"/>
    <xf numFmtId="2" fontId="2" fillId="9" borderId="0" xfId="0" applyNumberFormat="1" applyFont="1" applyFill="1" applyAlignment="1"/>
    <xf numFmtId="165" fontId="2" fillId="9" borderId="0" xfId="0" applyNumberFormat="1" applyFont="1" applyFill="1" applyAlignment="1"/>
    <xf numFmtId="0" fontId="16" fillId="0" borderId="0" xfId="23" applyFill="1"/>
    <xf numFmtId="0" fontId="17" fillId="13" borderId="2" xfId="23" applyFont="1" applyFill="1" applyBorder="1" applyAlignment="1">
      <alignment wrapText="1"/>
    </xf>
    <xf numFmtId="0" fontId="17" fillId="13" borderId="0" xfId="23" applyFont="1" applyFill="1" applyBorder="1" applyAlignment="1">
      <alignment wrapText="1"/>
    </xf>
    <xf numFmtId="0" fontId="16" fillId="13" borderId="0" xfId="23" applyFill="1"/>
    <xf numFmtId="0" fontId="2" fillId="0" borderId="7" xfId="23" applyFont="1" applyFill="1" applyBorder="1" applyAlignment="1">
      <alignment wrapText="1"/>
    </xf>
    <xf numFmtId="0" fontId="2" fillId="0" borderId="8" xfId="23" applyFont="1" applyFill="1" applyBorder="1" applyAlignment="1">
      <alignment wrapText="1"/>
    </xf>
    <xf numFmtId="0" fontId="2" fillId="0" borderId="9" xfId="23" applyFont="1" applyFill="1" applyBorder="1" applyAlignment="1">
      <alignment wrapText="1"/>
    </xf>
    <xf numFmtId="0" fontId="2" fillId="0" borderId="11" xfId="23" applyFont="1" applyFill="1" applyBorder="1" applyAlignment="1">
      <alignment wrapText="1"/>
    </xf>
    <xf numFmtId="0" fontId="2" fillId="0" borderId="12" xfId="23" applyFont="1" applyFill="1" applyBorder="1" applyAlignment="1">
      <alignment wrapText="1"/>
    </xf>
    <xf numFmtId="0" fontId="17" fillId="0" borderId="0" xfId="23" applyFont="1" applyFill="1" applyAlignment="1">
      <alignment horizontal="left"/>
    </xf>
    <xf numFmtId="164" fontId="2" fillId="0" borderId="13" xfId="23" applyNumberFormat="1" applyFont="1" applyFill="1" applyBorder="1"/>
    <xf numFmtId="164" fontId="2" fillId="0" borderId="14" xfId="23" applyNumberFormat="1" applyFont="1" applyFill="1" applyBorder="1"/>
    <xf numFmtId="164" fontId="2" fillId="0" borderId="15" xfId="23" applyNumberFormat="1" applyFont="1" applyFill="1" applyBorder="1"/>
    <xf numFmtId="0" fontId="2" fillId="0" borderId="14" xfId="23" applyFont="1" applyFill="1" applyBorder="1"/>
    <xf numFmtId="0" fontId="2" fillId="0" borderId="16" xfId="23" applyFont="1" applyFill="1" applyBorder="1"/>
    <xf numFmtId="0" fontId="2" fillId="0" borderId="0" xfId="23" applyFont="1" applyFill="1"/>
    <xf numFmtId="0" fontId="18" fillId="0" borderId="0" xfId="3" applyFont="1" applyFill="1" applyBorder="1" applyAlignment="1">
      <alignment horizontal="center" vertical="top" wrapText="1"/>
    </xf>
    <xf numFmtId="0" fontId="2" fillId="0" borderId="0" xfId="23" applyFont="1" applyFill="1" applyBorder="1"/>
    <xf numFmtId="0" fontId="2" fillId="0" borderId="28" xfId="23" applyFont="1" applyFill="1" applyBorder="1"/>
    <xf numFmtId="0" fontId="19" fillId="0" borderId="29" xfId="3" applyFont="1" applyFill="1" applyBorder="1" applyAlignment="1">
      <alignment wrapText="1"/>
    </xf>
    <xf numFmtId="0" fontId="19" fillId="0" borderId="29" xfId="3" applyFont="1" applyFill="1" applyBorder="1"/>
    <xf numFmtId="0" fontId="19" fillId="0" borderId="30" xfId="3" applyFont="1" applyFill="1" applyBorder="1"/>
    <xf numFmtId="0" fontId="18" fillId="0" borderId="28" xfId="3" applyFont="1" applyFill="1" applyBorder="1"/>
    <xf numFmtId="0" fontId="18" fillId="0" borderId="29" xfId="3" applyFont="1" applyFill="1" applyBorder="1"/>
    <xf numFmtId="0" fontId="18" fillId="0" borderId="29" xfId="3" applyFont="1" applyFill="1" applyBorder="1" applyAlignment="1">
      <alignment wrapText="1"/>
    </xf>
    <xf numFmtId="0" fontId="18" fillId="0" borderId="30" xfId="3" applyFont="1" applyFill="1" applyBorder="1"/>
    <xf numFmtId="164" fontId="2" fillId="0" borderId="28" xfId="23" applyNumberFormat="1" applyFont="1" applyFill="1" applyBorder="1" applyAlignment="1">
      <alignment wrapText="1"/>
    </xf>
    <xf numFmtId="164" fontId="2" fillId="0" borderId="29" xfId="23" applyNumberFormat="1" applyFont="1" applyFill="1" applyBorder="1"/>
    <xf numFmtId="164" fontId="2" fillId="0" borderId="30" xfId="23" applyNumberFormat="1" applyFont="1" applyFill="1" applyBorder="1"/>
    <xf numFmtId="0" fontId="19" fillId="0" borderId="28" xfId="3" applyFont="1" applyFill="1" applyBorder="1" applyAlignment="1">
      <alignment wrapText="1"/>
    </xf>
    <xf numFmtId="0" fontId="19" fillId="0" borderId="0" xfId="3" applyFont="1" applyFill="1" applyBorder="1"/>
    <xf numFmtId="0" fontId="19" fillId="0" borderId="37" xfId="3" applyFont="1" applyFill="1" applyBorder="1" applyAlignment="1">
      <alignment wrapText="1"/>
    </xf>
    <xf numFmtId="0" fontId="19" fillId="0" borderId="38" xfId="3" applyFont="1" applyFill="1" applyBorder="1"/>
    <xf numFmtId="0" fontId="19" fillId="0" borderId="39" xfId="3" applyFont="1" applyFill="1" applyBorder="1"/>
    <xf numFmtId="1" fontId="2" fillId="0" borderId="29" xfId="23" applyNumberFormat="1" applyFont="1" applyFill="1" applyBorder="1"/>
    <xf numFmtId="1" fontId="2" fillId="0" borderId="30" xfId="23" applyNumberFormat="1" applyFont="1" applyFill="1" applyBorder="1"/>
    <xf numFmtId="164" fontId="2" fillId="0" borderId="28" xfId="3" applyNumberFormat="1" applyFont="1" applyFill="1" applyBorder="1"/>
    <xf numFmtId="164" fontId="2" fillId="0" borderId="29" xfId="3" applyNumberFormat="1" applyFont="1" applyFill="1" applyBorder="1"/>
    <xf numFmtId="164" fontId="20" fillId="0" borderId="29" xfId="3" applyNumberFormat="1" applyFont="1" applyFill="1" applyBorder="1"/>
    <xf numFmtId="164" fontId="20" fillId="0" borderId="30" xfId="3" applyNumberFormat="1" applyFont="1" applyFill="1" applyBorder="1"/>
    <xf numFmtId="2" fontId="2" fillId="0" borderId="28" xfId="3" applyNumberFormat="1" applyFont="1" applyFill="1" applyBorder="1"/>
    <xf numFmtId="2" fontId="2" fillId="0" borderId="29" xfId="3" applyNumberFormat="1" applyFont="1" applyFill="1" applyBorder="1"/>
    <xf numFmtId="2" fontId="2" fillId="0" borderId="30" xfId="3" applyNumberFormat="1" applyFont="1" applyFill="1" applyBorder="1"/>
    <xf numFmtId="164" fontId="20" fillId="0" borderId="28" xfId="3" applyNumberFormat="1" applyFont="1" applyFill="1" applyBorder="1"/>
    <xf numFmtId="164" fontId="2" fillId="0" borderId="0" xfId="23" applyNumberFormat="1" applyFont="1" applyFill="1" applyBorder="1"/>
    <xf numFmtId="164" fontId="16" fillId="0" borderId="7" xfId="23" applyNumberFormat="1" applyFill="1" applyBorder="1"/>
    <xf numFmtId="164" fontId="16" fillId="0" borderId="8" xfId="23" applyNumberFormat="1" applyFill="1" applyBorder="1"/>
    <xf numFmtId="164" fontId="16" fillId="0" borderId="12" xfId="23" applyNumberFormat="1" applyFill="1" applyBorder="1"/>
    <xf numFmtId="164" fontId="16" fillId="0" borderId="0" xfId="23" applyNumberFormat="1" applyFill="1" applyBorder="1"/>
    <xf numFmtId="0" fontId="16" fillId="0" borderId="7" xfId="23" applyFill="1" applyBorder="1"/>
    <xf numFmtId="0" fontId="16" fillId="0" borderId="8" xfId="23" applyFill="1" applyBorder="1"/>
    <xf numFmtId="0" fontId="2" fillId="0" borderId="7" xfId="2" applyFill="1" applyBorder="1"/>
    <xf numFmtId="0" fontId="2" fillId="0" borderId="8" xfId="2" applyFill="1" applyBorder="1"/>
    <xf numFmtId="164" fontId="2" fillId="0" borderId="12" xfId="2" applyNumberFormat="1" applyFill="1" applyBorder="1"/>
    <xf numFmtId="164" fontId="21" fillId="0" borderId="28" xfId="3" applyNumberFormat="1" applyFont="1" applyFill="1" applyBorder="1"/>
    <xf numFmtId="164" fontId="16" fillId="0" borderId="28" xfId="23" applyNumberFormat="1" applyFill="1" applyBorder="1"/>
    <xf numFmtId="164" fontId="16" fillId="0" borderId="29" xfId="23" applyNumberFormat="1" applyFill="1" applyBorder="1"/>
    <xf numFmtId="164" fontId="16" fillId="0" borderId="30" xfId="23" applyNumberFormat="1" applyFill="1" applyBorder="1"/>
    <xf numFmtId="0" fontId="16" fillId="0" borderId="28" xfId="23" applyFill="1" applyBorder="1"/>
    <xf numFmtId="0" fontId="16" fillId="0" borderId="29" xfId="23" applyFill="1" applyBorder="1"/>
    <xf numFmtId="165" fontId="2" fillId="0" borderId="28" xfId="2" applyNumberFormat="1" applyFill="1" applyBorder="1"/>
    <xf numFmtId="165" fontId="2" fillId="0" borderId="29" xfId="2" applyNumberFormat="1" applyFill="1" applyBorder="1"/>
    <xf numFmtId="165" fontId="2" fillId="0" borderId="30" xfId="2" applyNumberFormat="1" applyFill="1" applyBorder="1"/>
    <xf numFmtId="0" fontId="22" fillId="0" borderId="0" xfId="23" applyFont="1" applyFill="1"/>
    <xf numFmtId="165" fontId="2" fillId="0" borderId="28" xfId="23" applyNumberFormat="1" applyFont="1" applyFill="1" applyBorder="1"/>
    <xf numFmtId="165" fontId="2" fillId="0" borderId="29" xfId="23" applyNumberFormat="1" applyFont="1" applyFill="1" applyBorder="1"/>
    <xf numFmtId="165" fontId="2" fillId="0" borderId="30" xfId="23" applyNumberFormat="1" applyFont="1" applyFill="1" applyBorder="1"/>
    <xf numFmtId="165" fontId="2" fillId="0" borderId="23" xfId="23" applyNumberFormat="1" applyFont="1" applyFill="1" applyBorder="1"/>
    <xf numFmtId="164" fontId="2" fillId="0" borderId="29" xfId="2" applyNumberFormat="1" applyFill="1" applyBorder="1"/>
    <xf numFmtId="164" fontId="2" fillId="0" borderId="30" xfId="2" applyNumberFormat="1" applyFill="1" applyBorder="1"/>
    <xf numFmtId="164" fontId="21" fillId="0" borderId="29" xfId="3" applyNumberFormat="1" applyFont="1" applyFill="1" applyBorder="1"/>
    <xf numFmtId="165" fontId="2" fillId="0" borderId="28" xfId="2" applyNumberFormat="1" applyFont="1" applyFill="1" applyBorder="1"/>
    <xf numFmtId="165" fontId="2" fillId="0" borderId="29" xfId="2" applyNumberFormat="1" applyFont="1" applyFill="1" applyBorder="1"/>
    <xf numFmtId="165" fontId="2" fillId="0" borderId="30" xfId="2" applyNumberFormat="1" applyFont="1" applyFill="1" applyBorder="1"/>
    <xf numFmtId="0" fontId="2" fillId="0" borderId="29" xfId="23" applyFont="1" applyFill="1" applyBorder="1"/>
    <xf numFmtId="0" fontId="2" fillId="0" borderId="30" xfId="23" applyFont="1" applyFill="1" applyBorder="1"/>
    <xf numFmtId="0" fontId="2" fillId="0" borderId="13" xfId="23" applyFont="1" applyFill="1" applyBorder="1"/>
    <xf numFmtId="1" fontId="2" fillId="0" borderId="14" xfId="23" applyNumberFormat="1" applyFont="1" applyFill="1" applyBorder="1"/>
    <xf numFmtId="164" fontId="2" fillId="0" borderId="13" xfId="3" applyNumberFormat="1" applyFont="1" applyFill="1" applyBorder="1"/>
    <xf numFmtId="164" fontId="2" fillId="0" borderId="14" xfId="3" applyNumberFormat="1" applyFont="1" applyFill="1" applyBorder="1"/>
    <xf numFmtId="164" fontId="20" fillId="0" borderId="14" xfId="3" applyNumberFormat="1" applyFont="1" applyFill="1" applyBorder="1"/>
    <xf numFmtId="164" fontId="20" fillId="0" borderId="16" xfId="3" applyNumberFormat="1" applyFont="1" applyFill="1" applyBorder="1"/>
    <xf numFmtId="2" fontId="2" fillId="0" borderId="13" xfId="3" applyNumberFormat="1" applyFont="1" applyFill="1" applyBorder="1"/>
    <xf numFmtId="2" fontId="2" fillId="0" borderId="14" xfId="3" applyNumberFormat="1" applyFont="1" applyFill="1" applyBorder="1"/>
    <xf numFmtId="2" fontId="2" fillId="0" borderId="16" xfId="3" applyNumberFormat="1" applyFont="1" applyFill="1" applyBorder="1"/>
    <xf numFmtId="164" fontId="20" fillId="0" borderId="37" xfId="3" applyNumberFormat="1" applyFont="1" applyFill="1" applyBorder="1"/>
    <xf numFmtId="164" fontId="20" fillId="0" borderId="38" xfId="3" applyNumberFormat="1" applyFont="1" applyFill="1" applyBorder="1"/>
    <xf numFmtId="164" fontId="2" fillId="0" borderId="39" xfId="23" applyNumberFormat="1" applyFont="1" applyFill="1" applyBorder="1"/>
    <xf numFmtId="164" fontId="21" fillId="0" borderId="38" xfId="3" applyNumberFormat="1" applyFont="1" applyFill="1" applyBorder="1"/>
    <xf numFmtId="165" fontId="2" fillId="0" borderId="13" xfId="23" applyNumberFormat="1" applyFont="1" applyFill="1" applyBorder="1"/>
    <xf numFmtId="165" fontId="2" fillId="0" borderId="14" xfId="23" applyNumberFormat="1" applyFont="1" applyFill="1" applyBorder="1"/>
    <xf numFmtId="165" fontId="2" fillId="0" borderId="16" xfId="23" applyNumberFormat="1" applyFont="1" applyFill="1" applyBorder="1"/>
    <xf numFmtId="165" fontId="2" fillId="0" borderId="13" xfId="2" applyNumberFormat="1" applyFont="1" applyFill="1" applyBorder="1"/>
    <xf numFmtId="165" fontId="2" fillId="0" borderId="14" xfId="2" applyNumberFormat="1" applyFont="1" applyFill="1" applyBorder="1"/>
    <xf numFmtId="165" fontId="2" fillId="0" borderId="16" xfId="2" applyNumberFormat="1" applyFont="1" applyFill="1" applyBorder="1"/>
    <xf numFmtId="164" fontId="2" fillId="0" borderId="40" xfId="3" applyNumberFormat="1" applyFont="1" applyFill="1" applyBorder="1"/>
    <xf numFmtId="164" fontId="2" fillId="0" borderId="41" xfId="3" applyNumberFormat="1" applyFont="1" applyFill="1" applyBorder="1"/>
    <xf numFmtId="164" fontId="2" fillId="0" borderId="42" xfId="3" applyNumberFormat="1" applyFont="1" applyFill="1" applyBorder="1"/>
    <xf numFmtId="164" fontId="2" fillId="0" borderId="0" xfId="3" applyNumberFormat="1" applyFont="1" applyFill="1" applyBorder="1"/>
    <xf numFmtId="165" fontId="2" fillId="0" borderId="40" xfId="23" applyNumberFormat="1" applyFont="1" applyFill="1" applyBorder="1"/>
    <xf numFmtId="165" fontId="2" fillId="0" borderId="41" xfId="23" applyNumberFormat="1" applyFont="1" applyFill="1" applyBorder="1"/>
    <xf numFmtId="165" fontId="2" fillId="0" borderId="42" xfId="23" applyNumberFormat="1" applyFont="1" applyFill="1" applyBorder="1"/>
    <xf numFmtId="165" fontId="2" fillId="0" borderId="40" xfId="2" applyNumberFormat="1" applyFont="1" applyFill="1" applyBorder="1"/>
    <xf numFmtId="165" fontId="2" fillId="0" borderId="41" xfId="2" applyNumberFormat="1" applyFont="1" applyFill="1" applyBorder="1"/>
    <xf numFmtId="165" fontId="2" fillId="0" borderId="42" xfId="2" applyNumberFormat="1" applyFont="1" applyFill="1" applyBorder="1"/>
    <xf numFmtId="164" fontId="16" fillId="13" borderId="0" xfId="23" applyNumberFormat="1" applyFill="1" applyBorder="1"/>
    <xf numFmtId="0" fontId="2" fillId="0" borderId="0" xfId="23" applyFont="1" applyFill="1" applyBorder="1" applyAlignment="1">
      <alignment wrapText="1"/>
    </xf>
    <xf numFmtId="167" fontId="0" fillId="0" borderId="0" xfId="24" applyNumberFormat="1" applyFont="1"/>
    <xf numFmtId="0" fontId="16" fillId="0" borderId="0" xfId="23" applyFill="1" applyBorder="1"/>
    <xf numFmtId="0" fontId="23" fillId="0" borderId="0" xfId="23" applyFont="1" applyFill="1" applyBorder="1" applyAlignment="1">
      <alignment wrapText="1"/>
    </xf>
    <xf numFmtId="165" fontId="16" fillId="0" borderId="0" xfId="23" applyNumberFormat="1" applyFill="1"/>
    <xf numFmtId="0" fontId="2" fillId="0" borderId="7" xfId="23" applyFont="1" applyFill="1" applyBorder="1"/>
    <xf numFmtId="0" fontId="19" fillId="0" borderId="8" xfId="3" applyFont="1" applyFill="1" applyBorder="1" applyAlignment="1">
      <alignment wrapText="1"/>
    </xf>
    <xf numFmtId="0" fontId="19" fillId="0" borderId="8" xfId="3" applyFont="1" applyFill="1" applyBorder="1"/>
    <xf numFmtId="0" fontId="19" fillId="0" borderId="12" xfId="3" applyFont="1" applyFill="1" applyBorder="1"/>
    <xf numFmtId="0" fontId="19" fillId="0" borderId="7" xfId="3" applyFont="1" applyFill="1" applyBorder="1" applyAlignment="1">
      <alignment wrapText="1"/>
    </xf>
    <xf numFmtId="0" fontId="19" fillId="0" borderId="7" xfId="3" applyFont="1" applyFill="1" applyBorder="1"/>
    <xf numFmtId="0" fontId="3" fillId="0" borderId="28" xfId="23" applyFont="1" applyFill="1" applyBorder="1" applyAlignment="1">
      <alignment wrapText="1"/>
    </xf>
    <xf numFmtId="2" fontId="2" fillId="0" borderId="29" xfId="23" applyNumberFormat="1" applyFont="1" applyFill="1" applyBorder="1"/>
    <xf numFmtId="2" fontId="21" fillId="0" borderId="29" xfId="23" applyNumberFormat="1" applyFont="1" applyBorder="1"/>
    <xf numFmtId="2" fontId="16" fillId="0" borderId="30" xfId="23" applyNumberFormat="1" applyBorder="1"/>
    <xf numFmtId="164" fontId="2" fillId="0" borderId="30" xfId="3" applyNumberFormat="1" applyFont="1" applyFill="1" applyBorder="1"/>
    <xf numFmtId="164" fontId="21" fillId="0" borderId="28" xfId="23" applyNumberFormat="1" applyFont="1" applyFill="1" applyBorder="1"/>
    <xf numFmtId="164" fontId="16" fillId="0" borderId="0" xfId="23" applyNumberFormat="1" applyFill="1"/>
    <xf numFmtId="165" fontId="16" fillId="0" borderId="28" xfId="23" applyNumberFormat="1" applyFill="1" applyBorder="1"/>
    <xf numFmtId="165" fontId="16" fillId="0" borderId="29" xfId="23" applyNumberFormat="1" applyFill="1" applyBorder="1"/>
    <xf numFmtId="165" fontId="16" fillId="0" borderId="30" xfId="23" applyNumberFormat="1" applyFill="1" applyBorder="1"/>
    <xf numFmtId="165" fontId="16" fillId="0" borderId="0" xfId="23" applyNumberFormat="1" applyFill="1" applyBorder="1"/>
    <xf numFmtId="164" fontId="21" fillId="0" borderId="43" xfId="23" applyNumberFormat="1" applyFont="1" applyFill="1" applyBorder="1"/>
    <xf numFmtId="164" fontId="21" fillId="0" borderId="29" xfId="23" applyNumberFormat="1" applyFont="1" applyFill="1" applyBorder="1"/>
    <xf numFmtId="165" fontId="2" fillId="0" borderId="0" xfId="23" applyNumberFormat="1" applyFont="1" applyFill="1" applyBorder="1"/>
    <xf numFmtId="0" fontId="3" fillId="0" borderId="13" xfId="23" applyFont="1" applyFill="1" applyBorder="1" applyAlignment="1">
      <alignment wrapText="1"/>
    </xf>
    <xf numFmtId="1" fontId="2" fillId="0" borderId="16" xfId="23" applyNumberFormat="1" applyFont="1" applyFill="1" applyBorder="1"/>
    <xf numFmtId="164" fontId="2" fillId="0" borderId="16" xfId="3" applyNumberFormat="1" applyFont="1" applyFill="1" applyBorder="1"/>
    <xf numFmtId="164" fontId="20" fillId="0" borderId="26" xfId="3" applyNumberFormat="1" applyFont="1" applyFill="1" applyBorder="1"/>
    <xf numFmtId="164" fontId="2" fillId="0" borderId="44" xfId="3" applyNumberFormat="1" applyFont="1" applyFill="1" applyBorder="1"/>
    <xf numFmtId="164" fontId="2" fillId="0" borderId="45" xfId="3" applyNumberFormat="1" applyFont="1" applyFill="1" applyBorder="1"/>
    <xf numFmtId="164" fontId="2" fillId="0" borderId="3" xfId="3" applyNumberFormat="1" applyFont="1" applyFill="1" applyBorder="1"/>
    <xf numFmtId="164" fontId="2" fillId="0" borderId="46" xfId="3" applyNumberFormat="1" applyFont="1" applyFill="1" applyBorder="1"/>
    <xf numFmtId="164" fontId="2" fillId="0" borderId="0" xfId="23" applyNumberFormat="1" applyFont="1" applyFill="1"/>
    <xf numFmtId="0" fontId="16" fillId="13" borderId="0" xfId="23" applyFill="1" applyBorder="1"/>
    <xf numFmtId="0" fontId="18" fillId="0" borderId="0" xfId="23" applyFont="1" applyFill="1"/>
    <xf numFmtId="0" fontId="18" fillId="0" borderId="0" xfId="3" applyFont="1" applyFill="1"/>
    <xf numFmtId="0" fontId="18" fillId="0" borderId="0" xfId="3" applyFont="1" applyFill="1" applyBorder="1" applyAlignment="1">
      <alignment horizontal="left" vertical="top" wrapText="1"/>
    </xf>
    <xf numFmtId="164" fontId="2" fillId="0" borderId="28" xfId="2" applyNumberFormat="1" applyFill="1" applyBorder="1"/>
    <xf numFmtId="165" fontId="16" fillId="0" borderId="23" xfId="23" applyNumberFormat="1" applyFill="1" applyBorder="1"/>
    <xf numFmtId="165" fontId="18" fillId="0" borderId="30" xfId="23" applyNumberFormat="1" applyFont="1" applyFill="1" applyBorder="1"/>
    <xf numFmtId="165" fontId="18" fillId="0" borderId="0" xfId="23" applyNumberFormat="1" applyFont="1" applyFill="1" applyBorder="1"/>
    <xf numFmtId="165" fontId="2" fillId="0" borderId="23" xfId="2" applyNumberFormat="1" applyFill="1" applyBorder="1"/>
    <xf numFmtId="2" fontId="2" fillId="0" borderId="30" xfId="23" applyNumberFormat="1" applyFont="1" applyFill="1" applyBorder="1"/>
    <xf numFmtId="2" fontId="2" fillId="0" borderId="14" xfId="23" applyNumberFormat="1" applyFont="1" applyFill="1" applyBorder="1"/>
    <xf numFmtId="2" fontId="2" fillId="0" borderId="16" xfId="23" applyNumberFormat="1" applyFont="1" applyFill="1" applyBorder="1"/>
    <xf numFmtId="165" fontId="16" fillId="0" borderId="13" xfId="23" applyNumberFormat="1" applyFill="1" applyBorder="1"/>
    <xf numFmtId="165" fontId="16" fillId="0" borderId="14" xfId="23" applyNumberFormat="1" applyFill="1" applyBorder="1"/>
    <xf numFmtId="165" fontId="16" fillId="0" borderId="16" xfId="23" applyNumberFormat="1" applyFill="1" applyBorder="1"/>
    <xf numFmtId="165" fontId="2" fillId="0" borderId="13" xfId="2" applyNumberFormat="1" applyFill="1" applyBorder="1"/>
    <xf numFmtId="165" fontId="2" fillId="0" borderId="14" xfId="2" applyNumberFormat="1" applyFill="1" applyBorder="1"/>
    <xf numFmtId="165" fontId="2" fillId="0" borderId="16" xfId="2" applyNumberFormat="1" applyFill="1" applyBorder="1"/>
    <xf numFmtId="164" fontId="2" fillId="0" borderId="40" xfId="23" applyNumberFormat="1" applyFont="1" applyFill="1" applyBorder="1"/>
    <xf numFmtId="164" fontId="2" fillId="0" borderId="41" xfId="23" applyNumberFormat="1" applyFont="1" applyFill="1" applyBorder="1"/>
    <xf numFmtId="164" fontId="2" fillId="0" borderId="42" xfId="23" applyNumberFormat="1" applyFont="1" applyFill="1" applyBorder="1"/>
    <xf numFmtId="165" fontId="16" fillId="0" borderId="40" xfId="23" applyNumberFormat="1" applyFill="1" applyBorder="1"/>
    <xf numFmtId="165" fontId="16" fillId="0" borderId="41" xfId="23" applyNumberFormat="1" applyFill="1" applyBorder="1"/>
    <xf numFmtId="165" fontId="16" fillId="0" borderId="42" xfId="23" applyNumberFormat="1" applyFill="1" applyBorder="1"/>
    <xf numFmtId="165" fontId="2" fillId="0" borderId="40" xfId="2" applyNumberFormat="1" applyFill="1" applyBorder="1"/>
    <xf numFmtId="165" fontId="2" fillId="0" borderId="41" xfId="2" applyNumberFormat="1" applyFill="1" applyBorder="1"/>
    <xf numFmtId="165" fontId="2" fillId="0" borderId="42" xfId="2" applyNumberFormat="1" applyFill="1" applyBorder="1"/>
    <xf numFmtId="0" fontId="19" fillId="0" borderId="47" xfId="3" applyFont="1" applyFill="1" applyBorder="1" applyAlignment="1">
      <alignment wrapText="1"/>
    </xf>
    <xf numFmtId="0" fontId="19" fillId="0" borderId="48" xfId="3" applyFont="1" applyFill="1" applyBorder="1"/>
    <xf numFmtId="0" fontId="19" fillId="0" borderId="49" xfId="3" applyFont="1" applyFill="1" applyBorder="1"/>
    <xf numFmtId="165" fontId="16" fillId="0" borderId="7" xfId="23" applyNumberFormat="1" applyFill="1" applyBorder="1"/>
    <xf numFmtId="165" fontId="16" fillId="0" borderId="8" xfId="23" applyNumberFormat="1" applyFill="1" applyBorder="1"/>
    <xf numFmtId="165" fontId="2" fillId="0" borderId="12" xfId="23" applyNumberFormat="1" applyFont="1" applyFill="1" applyBorder="1"/>
    <xf numFmtId="165" fontId="2" fillId="0" borderId="37" xfId="2" applyNumberFormat="1" applyFill="1" applyBorder="1"/>
    <xf numFmtId="165" fontId="2" fillId="0" borderId="38" xfId="2" applyNumberFormat="1" applyFill="1" applyBorder="1"/>
    <xf numFmtId="165" fontId="2" fillId="0" borderId="39" xfId="2" applyNumberFormat="1" applyFont="1" applyFill="1" applyBorder="1"/>
    <xf numFmtId="0" fontId="2" fillId="0" borderId="40" xfId="23" applyFont="1" applyFill="1" applyBorder="1"/>
    <xf numFmtId="0" fontId="2" fillId="0" borderId="41" xfId="23" applyFont="1" applyFill="1" applyBorder="1"/>
    <xf numFmtId="0" fontId="20" fillId="0" borderId="29" xfId="3" applyFont="1" applyFill="1" applyBorder="1"/>
    <xf numFmtId="14" fontId="2" fillId="0" borderId="29" xfId="23" applyNumberFormat="1" applyFont="1" applyFill="1" applyBorder="1"/>
    <xf numFmtId="3" fontId="2" fillId="0" borderId="16" xfId="23" applyNumberFormat="1" applyFont="1" applyFill="1" applyBorder="1"/>
    <xf numFmtId="0" fontId="2" fillId="15" borderId="29" xfId="0" applyFont="1" applyFill="1" applyBorder="1" applyAlignment="1">
      <alignment horizontal="center"/>
    </xf>
    <xf numFmtId="10" fontId="2" fillId="14" borderId="29" xfId="2" applyNumberFormat="1" applyFill="1" applyBorder="1"/>
    <xf numFmtId="164" fontId="20" fillId="0" borderId="23" xfId="3" applyNumberFormat="1" applyFont="1" applyFill="1" applyBorder="1"/>
    <xf numFmtId="164" fontId="21" fillId="0" borderId="23" xfId="3" applyNumberFormat="1" applyFont="1" applyFill="1" applyBorder="1"/>
    <xf numFmtId="164" fontId="21" fillId="0" borderId="44" xfId="3" applyNumberFormat="1" applyFont="1" applyFill="1" applyBorder="1"/>
    <xf numFmtId="164" fontId="2" fillId="0" borderId="15" xfId="3" applyNumberFormat="1" applyFont="1" applyFill="1" applyBorder="1"/>
    <xf numFmtId="164" fontId="21" fillId="0" borderId="23" xfId="23" applyNumberFormat="1" applyFont="1" applyFill="1" applyBorder="1"/>
    <xf numFmtId="164" fontId="20" fillId="0" borderId="13" xfId="3" applyNumberFormat="1" applyFont="1" applyFill="1" applyBorder="1"/>
    <xf numFmtId="0" fontId="0" fillId="0" borderId="29" xfId="0" applyBorder="1"/>
    <xf numFmtId="0" fontId="0" fillId="0" borderId="26" xfId="0" applyBorder="1"/>
    <xf numFmtId="0" fontId="0" fillId="14" borderId="50" xfId="0" applyFill="1" applyBorder="1"/>
    <xf numFmtId="0" fontId="0" fillId="0" borderId="29" xfId="0" applyBorder="1" applyAlignment="1">
      <alignment horizontal="left"/>
    </xf>
    <xf numFmtId="0" fontId="0" fillId="14" borderId="51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14" borderId="52" xfId="0" applyFill="1" applyBorder="1" applyAlignment="1">
      <alignment horizontal="left"/>
    </xf>
    <xf numFmtId="0" fontId="0" fillId="14" borderId="45" xfId="0" applyFill="1" applyBorder="1" applyAlignment="1">
      <alignment horizontal="left"/>
    </xf>
    <xf numFmtId="0" fontId="9" fillId="0" borderId="0" xfId="0" applyFont="1"/>
    <xf numFmtId="0" fontId="10" fillId="14" borderId="45" xfId="0" applyFont="1" applyFill="1" applyBorder="1" applyAlignment="1">
      <alignment horizontal="left"/>
    </xf>
    <xf numFmtId="0" fontId="9" fillId="14" borderId="52" xfId="0" applyFont="1" applyFill="1" applyBorder="1" applyAlignment="1">
      <alignment horizontal="left"/>
    </xf>
    <xf numFmtId="0" fontId="9" fillId="14" borderId="53" xfId="0" applyFont="1" applyFill="1" applyBorder="1" applyAlignment="1">
      <alignment horizontal="left"/>
    </xf>
    <xf numFmtId="164" fontId="2" fillId="0" borderId="28" xfId="23" applyNumberFormat="1" applyFont="1" applyFill="1" applyBorder="1"/>
    <xf numFmtId="164" fontId="2" fillId="0" borderId="23" xfId="23" applyNumberFormat="1" applyFont="1" applyFill="1" applyBorder="1"/>
    <xf numFmtId="164" fontId="2" fillId="0" borderId="23" xfId="2" applyNumberFormat="1" applyFill="1" applyBorder="1"/>
    <xf numFmtId="164" fontId="2" fillId="0" borderId="40" xfId="2" applyNumberFormat="1" applyFont="1" applyFill="1" applyBorder="1"/>
    <xf numFmtId="164" fontId="2" fillId="0" borderId="41" xfId="2" applyNumberFormat="1" applyFont="1" applyFill="1" applyBorder="1"/>
    <xf numFmtId="164" fontId="2" fillId="0" borderId="42" xfId="2" applyNumberFormat="1" applyFont="1" applyFill="1" applyBorder="1"/>
    <xf numFmtId="164" fontId="2" fillId="0" borderId="54" xfId="3" applyNumberFormat="1" applyFont="1" applyFill="1" applyBorder="1"/>
    <xf numFmtId="164" fontId="2" fillId="0" borderId="23" xfId="2" applyNumberFormat="1" applyFont="1" applyFill="1" applyBorder="1"/>
    <xf numFmtId="164" fontId="2" fillId="0" borderId="29" xfId="2" applyNumberFormat="1" applyFont="1" applyFill="1" applyBorder="1"/>
    <xf numFmtId="164" fontId="2" fillId="0" borderId="30" xfId="2" applyNumberFormat="1" applyFont="1" applyFill="1" applyBorder="1"/>
    <xf numFmtId="164" fontId="20" fillId="0" borderId="25" xfId="3" applyNumberFormat="1" applyFont="1" applyFill="1" applyBorder="1"/>
    <xf numFmtId="164" fontId="16" fillId="0" borderId="40" xfId="23" applyNumberFormat="1" applyFill="1" applyBorder="1"/>
    <xf numFmtId="164" fontId="16" fillId="0" borderId="41" xfId="23" applyNumberFormat="1" applyFill="1" applyBorder="1"/>
    <xf numFmtId="164" fontId="16" fillId="0" borderId="42" xfId="23" applyNumberFormat="1" applyFill="1" applyBorder="1"/>
    <xf numFmtId="164" fontId="2" fillId="0" borderId="40" xfId="2" applyNumberFormat="1" applyFill="1" applyBorder="1"/>
    <xf numFmtId="164" fontId="2" fillId="0" borderId="41" xfId="2" applyNumberFormat="1" applyFill="1" applyBorder="1"/>
    <xf numFmtId="164" fontId="2" fillId="0" borderId="42" xfId="2" applyNumberFormat="1" applyFill="1" applyBorder="1"/>
    <xf numFmtId="0" fontId="21" fillId="0" borderId="0" xfId="23" applyFont="1" applyFill="1"/>
    <xf numFmtId="15" fontId="21" fillId="0" borderId="0" xfId="23" applyNumberFormat="1" applyFont="1" applyFill="1"/>
    <xf numFmtId="164" fontId="2" fillId="0" borderId="6" xfId="3" applyNumberFormat="1" applyFont="1" applyFill="1" applyBorder="1"/>
    <xf numFmtId="15" fontId="2" fillId="0" borderId="0" xfId="23" applyNumberFormat="1" applyFont="1" applyFill="1"/>
    <xf numFmtId="0" fontId="19" fillId="0" borderId="19" xfId="3" applyFont="1" applyFill="1" applyBorder="1"/>
    <xf numFmtId="165" fontId="16" fillId="0" borderId="55" xfId="23" applyNumberFormat="1" applyFill="1" applyBorder="1"/>
    <xf numFmtId="165" fontId="16" fillId="0" borderId="56" xfId="23" applyNumberFormat="1" applyFill="1" applyBorder="1"/>
    <xf numFmtId="165" fontId="2" fillId="0" borderId="57" xfId="23" applyNumberFormat="1" applyFont="1" applyFill="1" applyBorder="1"/>
    <xf numFmtId="0" fontId="18" fillId="0" borderId="20" xfId="3" applyFont="1" applyFill="1" applyBorder="1" applyAlignment="1">
      <alignment horizontal="center" vertical="top" wrapText="1"/>
    </xf>
    <xf numFmtId="0" fontId="18" fillId="0" borderId="21" xfId="3" applyFont="1" applyFill="1" applyBorder="1" applyAlignment="1">
      <alignment horizontal="center" vertical="top" wrapText="1"/>
    </xf>
    <xf numFmtId="0" fontId="18" fillId="0" borderId="22" xfId="3" applyFont="1" applyFill="1" applyBorder="1" applyAlignment="1">
      <alignment horizontal="center" vertical="top" wrapText="1"/>
    </xf>
    <xf numFmtId="0" fontId="18" fillId="0" borderId="34" xfId="3" applyFont="1" applyFill="1" applyBorder="1" applyAlignment="1">
      <alignment horizontal="center" vertical="top" wrapText="1"/>
    </xf>
    <xf numFmtId="0" fontId="18" fillId="0" borderId="35" xfId="3" applyFont="1" applyFill="1" applyBorder="1" applyAlignment="1">
      <alignment horizontal="center" vertical="top" wrapText="1"/>
    </xf>
    <xf numFmtId="0" fontId="18" fillId="0" borderId="36" xfId="3" applyFont="1" applyFill="1" applyBorder="1" applyAlignment="1">
      <alignment horizontal="center" vertical="top" wrapText="1"/>
    </xf>
    <xf numFmtId="0" fontId="2" fillId="0" borderId="7" xfId="23" applyFont="1" applyFill="1" applyBorder="1" applyAlignment="1">
      <alignment horizontal="center"/>
    </xf>
    <xf numFmtId="0" fontId="2" fillId="0" borderId="8" xfId="23" applyFont="1" applyFill="1" applyBorder="1" applyAlignment="1">
      <alignment horizontal="center"/>
    </xf>
    <xf numFmtId="0" fontId="18" fillId="0" borderId="8" xfId="23" applyFont="1" applyFill="1" applyBorder="1" applyAlignment="1">
      <alignment horizontal="center"/>
    </xf>
    <xf numFmtId="0" fontId="18" fillId="0" borderId="12" xfId="23" applyFont="1" applyFill="1" applyBorder="1" applyAlignment="1">
      <alignment horizontal="center"/>
    </xf>
    <xf numFmtId="0" fontId="18" fillId="0" borderId="17" xfId="23" applyFont="1" applyFill="1" applyBorder="1" applyAlignment="1">
      <alignment horizontal="left"/>
    </xf>
    <xf numFmtId="0" fontId="18" fillId="0" borderId="18" xfId="23" applyFont="1" applyFill="1" applyBorder="1" applyAlignment="1">
      <alignment horizontal="left"/>
    </xf>
    <xf numFmtId="0" fontId="18" fillId="0" borderId="19" xfId="23" applyFont="1" applyFill="1" applyBorder="1" applyAlignment="1">
      <alignment horizontal="left"/>
    </xf>
    <xf numFmtId="0" fontId="18" fillId="0" borderId="17" xfId="3" applyFont="1" applyFill="1" applyBorder="1" applyAlignment="1">
      <alignment horizontal="center"/>
    </xf>
    <xf numFmtId="0" fontId="18" fillId="0" borderId="18" xfId="3" applyFont="1" applyFill="1" applyBorder="1" applyAlignment="1">
      <alignment horizontal="center"/>
    </xf>
    <xf numFmtId="0" fontId="18" fillId="0" borderId="19" xfId="3" applyFont="1" applyFill="1" applyBorder="1" applyAlignment="1">
      <alignment horizontal="center"/>
    </xf>
    <xf numFmtId="0" fontId="18" fillId="0" borderId="31" xfId="3" applyFont="1" applyFill="1" applyBorder="1" applyAlignment="1">
      <alignment horizontal="center" vertical="top" wrapText="1"/>
    </xf>
    <xf numFmtId="0" fontId="18" fillId="0" borderId="32" xfId="3" applyFont="1" applyFill="1" applyBorder="1" applyAlignment="1">
      <alignment horizontal="center" vertical="top" wrapText="1"/>
    </xf>
    <xf numFmtId="0" fontId="18" fillId="0" borderId="33" xfId="3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center" vertical="top" wrapText="1"/>
    </xf>
    <xf numFmtId="0" fontId="18" fillId="0" borderId="0" xfId="3" applyFont="1" applyFill="1" applyBorder="1" applyAlignment="1">
      <alignment horizontal="left" vertical="top" wrapText="1"/>
    </xf>
    <xf numFmtId="0" fontId="17" fillId="13" borderId="2" xfId="23" applyFont="1" applyFill="1" applyBorder="1" applyAlignment="1">
      <alignment horizontal="left" wrapText="1"/>
    </xf>
    <xf numFmtId="0" fontId="17" fillId="13" borderId="0" xfId="23" applyFont="1" applyFill="1" applyBorder="1" applyAlignment="1">
      <alignment horizontal="left" wrapText="1"/>
    </xf>
    <xf numFmtId="0" fontId="2" fillId="0" borderId="20" xfId="23" applyFont="1" applyFill="1" applyBorder="1" applyAlignment="1">
      <alignment horizontal="center"/>
    </xf>
    <xf numFmtId="0" fontId="2" fillId="0" borderId="21" xfId="23" applyFont="1" applyFill="1" applyBorder="1" applyAlignment="1">
      <alignment horizontal="center"/>
    </xf>
    <xf numFmtId="0" fontId="2" fillId="0" borderId="22" xfId="23" applyFont="1" applyFill="1" applyBorder="1" applyAlignment="1">
      <alignment horizontal="center"/>
    </xf>
    <xf numFmtId="0" fontId="2" fillId="0" borderId="5" xfId="23" applyFont="1" applyFill="1" applyBorder="1" applyAlignment="1">
      <alignment horizontal="center" wrapText="1"/>
    </xf>
    <xf numFmtId="0" fontId="2" fillId="0" borderId="10" xfId="23" applyFont="1" applyFill="1" applyBorder="1" applyAlignment="1">
      <alignment horizontal="center" wrapText="1"/>
    </xf>
    <xf numFmtId="0" fontId="16" fillId="0" borderId="3" xfId="23" applyFill="1" applyBorder="1" applyAlignment="1">
      <alignment horizontal="center"/>
    </xf>
    <xf numFmtId="0" fontId="16" fillId="0" borderId="6" xfId="23" applyFill="1" applyBorder="1" applyAlignment="1">
      <alignment horizontal="center"/>
    </xf>
    <xf numFmtId="0" fontId="2" fillId="0" borderId="0" xfId="23" applyFont="1" applyFill="1" applyBorder="1" applyAlignment="1">
      <alignment horizontal="center"/>
    </xf>
    <xf numFmtId="0" fontId="16" fillId="0" borderId="0" xfId="23" applyFill="1" applyBorder="1" applyAlignment="1">
      <alignment horizontal="center"/>
    </xf>
    <xf numFmtId="0" fontId="17" fillId="0" borderId="0" xfId="23" applyFont="1" applyFill="1" applyAlignment="1">
      <alignment horizontal="left"/>
    </xf>
    <xf numFmtId="0" fontId="2" fillId="0" borderId="3" xfId="23" applyFont="1" applyFill="1" applyBorder="1" applyAlignment="1">
      <alignment horizontal="center"/>
    </xf>
    <xf numFmtId="0" fontId="2" fillId="0" borderId="4" xfId="23" applyFont="1" applyFill="1" applyBorder="1" applyAlignment="1">
      <alignment horizontal="center"/>
    </xf>
    <xf numFmtId="0" fontId="16" fillId="0" borderId="4" xfId="23" applyFill="1" applyBorder="1" applyAlignment="1">
      <alignment horizontal="center"/>
    </xf>
    <xf numFmtId="0" fontId="2" fillId="0" borderId="23" xfId="23" applyFont="1" applyFill="1" applyBorder="1" applyAlignment="1">
      <alignment horizontal="center"/>
    </xf>
    <xf numFmtId="0" fontId="2" fillId="0" borderId="24" xfId="23" applyFont="1" applyFill="1" applyBorder="1" applyAlignment="1">
      <alignment horizontal="center"/>
    </xf>
    <xf numFmtId="0" fontId="2" fillId="0" borderId="25" xfId="23" applyFont="1" applyFill="1" applyBorder="1" applyAlignment="1">
      <alignment horizontal="center"/>
    </xf>
    <xf numFmtId="0" fontId="18" fillId="0" borderId="26" xfId="23" applyFont="1" applyFill="1" applyBorder="1" applyAlignment="1">
      <alignment horizontal="center"/>
    </xf>
    <xf numFmtId="0" fontId="18" fillId="0" borderId="24" xfId="23" applyFont="1" applyFill="1" applyBorder="1" applyAlignment="1">
      <alignment horizontal="center"/>
    </xf>
    <xf numFmtId="0" fontId="18" fillId="0" borderId="27" xfId="23" applyFont="1" applyFill="1" applyBorder="1" applyAlignment="1">
      <alignment horizontal="center"/>
    </xf>
    <xf numFmtId="0" fontId="2" fillId="14" borderId="26" xfId="2" applyFill="1" applyBorder="1" applyAlignment="1">
      <alignment horizontal="center"/>
    </xf>
    <xf numFmtId="0" fontId="2" fillId="14" borderId="24" xfId="2" applyFill="1" applyBorder="1" applyAlignment="1">
      <alignment horizontal="center"/>
    </xf>
    <xf numFmtId="0" fontId="2" fillId="14" borderId="25" xfId="2" applyFill="1" applyBorder="1" applyAlignment="1">
      <alignment horizontal="center"/>
    </xf>
    <xf numFmtId="0" fontId="0" fillId="0" borderId="0" xfId="0" applyAlignment="1">
      <alignment horizontal="left"/>
    </xf>
  </cellXfs>
  <cellStyles count="25">
    <cellStyle name="Bold text" xfId="3"/>
    <cellStyle name="Calculation 2" xfId="15"/>
    <cellStyle name="Col header" xfId="4"/>
    <cellStyle name="Copy cell" xfId="14"/>
    <cellStyle name="Date" xfId="5"/>
    <cellStyle name="Date &amp; time" xfId="6"/>
    <cellStyle name="Descriptor text" xfId="13"/>
    <cellStyle name="Heading" xfId="12"/>
    <cellStyle name="Hyperlink 2" xfId="22"/>
    <cellStyle name="Input cell" xfId="18"/>
    <cellStyle name="Money" xfId="7"/>
    <cellStyle name="Normal" xfId="0" builtinId="0"/>
    <cellStyle name="Normal 2" xfId="2"/>
    <cellStyle name="Normal 2 2" xfId="21"/>
    <cellStyle name="Normal 3" xfId="20"/>
    <cellStyle name="Normal 4" xfId="19"/>
    <cellStyle name="Normal 5" xfId="23"/>
    <cellStyle name="Number" xfId="8"/>
    <cellStyle name="Percent" xfId="1" builtinId="5"/>
    <cellStyle name="Percent 3" xfId="24"/>
    <cellStyle name="Percentage" xfId="9"/>
    <cellStyle name="Table lines" xfId="17"/>
    <cellStyle name="Text" xfId="10"/>
    <cellStyle name="Time" xfId="11"/>
    <cellStyle name="Validation error" xfId="16"/>
  </cellStyles>
  <dxfs count="44"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Bursts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'Water Graph data'!$I$4</c:f>
              <c:strCache>
                <c:ptCount val="1"/>
                <c:pt idx="0">
                  <c:v>Lower Limit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data'!$I$5:$I$9</c:f>
              <c:numCache>
                <c:formatCode>General</c:formatCode>
                <c:ptCount val="5"/>
                <c:pt idx="0" formatCode="0">
                  <c:v>1419</c:v>
                </c:pt>
                <c:pt idx="1">
                  <c:v>1419</c:v>
                </c:pt>
                <c:pt idx="2">
                  <c:v>1419</c:v>
                </c:pt>
                <c:pt idx="3">
                  <c:v>1419</c:v>
                </c:pt>
                <c:pt idx="4">
                  <c:v>1419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data'!$J$4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data'!$J$5:$J$9</c:f>
              <c:numCache>
                <c:formatCode>General</c:formatCode>
                <c:ptCount val="5"/>
                <c:pt idx="0" formatCode="0">
                  <c:v>2383</c:v>
                </c:pt>
                <c:pt idx="1">
                  <c:v>2383</c:v>
                </c:pt>
                <c:pt idx="2">
                  <c:v>2383</c:v>
                </c:pt>
                <c:pt idx="3">
                  <c:v>2383</c:v>
                </c:pt>
                <c:pt idx="4">
                  <c:v>2383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data'!$K$4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data'!$K$5:$K$9</c:f>
              <c:numCache>
                <c:formatCode>General</c:formatCode>
                <c:ptCount val="5"/>
                <c:pt idx="0" formatCode="0">
                  <c:v>1901</c:v>
                </c:pt>
                <c:pt idx="1">
                  <c:v>1901</c:v>
                </c:pt>
                <c:pt idx="2">
                  <c:v>1901</c:v>
                </c:pt>
                <c:pt idx="3">
                  <c:v>1901</c:v>
                </c:pt>
                <c:pt idx="4">
                  <c:v>1901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data'!$L$4</c:f>
              <c:strCache>
                <c:ptCount val="1"/>
                <c:pt idx="0">
                  <c:v>SRN Burst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data'!$L$5:$L$9</c:f>
              <c:numCache>
                <c:formatCode>0</c:formatCode>
                <c:ptCount val="5"/>
                <c:pt idx="0">
                  <c:v>2641.7917200000002</c:v>
                </c:pt>
                <c:pt idx="1">
                  <c:v>1906</c:v>
                </c:pt>
                <c:pt idx="2">
                  <c:v>1510</c:v>
                </c:pt>
                <c:pt idx="3">
                  <c:v>1499</c:v>
                </c:pt>
                <c:pt idx="4">
                  <c:v>1770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data'!$M$4</c:f>
              <c:strCache>
                <c:ptCount val="1"/>
                <c:pt idx="0">
                  <c:v>SRN Burst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data'!$M$5:$M$9</c:f>
              <c:numCache>
                <c:formatCode>General</c:formatCode>
                <c:ptCount val="5"/>
                <c:pt idx="3" formatCode="0">
                  <c:v>1499</c:v>
                </c:pt>
                <c:pt idx="4" formatCode="0">
                  <c:v>1645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8016"/>
        <c:axId val="578720960"/>
      </c:scatterChart>
      <c:valAx>
        <c:axId val="578728016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0960"/>
        <c:crosses val="autoZero"/>
        <c:crossBetween val="midCat"/>
        <c:majorUnit val="1"/>
      </c:valAx>
      <c:valAx>
        <c:axId val="578720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80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3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Enforcement actions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1"/>
          <c:tx>
            <c:strRef>
              <c:f>'Water Graph data'!$Q$28</c:f>
              <c:strCache>
                <c:ptCount val="1"/>
                <c:pt idx="0">
                  <c:v>Upper-Limit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data'!$O$29:$O$33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data'!$Q$29:$Q$33</c:f>
              <c:numCache>
                <c:formatCode>General</c:formatCode>
                <c:ptCount val="5"/>
                <c:pt idx="0" formatCode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data'!$R$28</c:f>
              <c:strCache>
                <c:ptCount val="1"/>
                <c:pt idx="0">
                  <c:v>Reference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data'!$O$29:$O$33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data'!$R$29:$R$33</c:f>
              <c:numCache>
                <c:formatCode>General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data'!$S$28</c:f>
              <c:strCache>
                <c:ptCount val="1"/>
                <c:pt idx="0">
                  <c:v>SRN - Enforcement actions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Graph data'!$O$29:$O$33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data'!$S$29:$S$33</c:f>
              <c:numCache>
                <c:formatCode>#,##0</c:formatCode>
                <c:ptCount val="5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0"/>
          <c:order val="0"/>
          <c:tx>
            <c:strRef>
              <c:f>'Water Graph data'!$P$28</c:f>
              <c:strCache>
                <c:ptCount val="1"/>
                <c:pt idx="0">
                  <c:v>Lower-Limit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data'!$O$29:$O$33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data'!$P$29:$P$33</c:f>
              <c:numCache>
                <c:formatCode>General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data'!$T$28</c:f>
              <c:strCache>
                <c:ptCount val="1"/>
                <c:pt idx="0">
                  <c:v>SRN - Enforcement actions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data'!$O$29:$O$33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data'!$T$29:$T$33</c:f>
              <c:numCache>
                <c:formatCode>General</c:formatCode>
                <c:ptCount val="5"/>
                <c:pt idx="3" formatCode="#,##0">
                  <c:v>0</c:v>
                </c:pt>
                <c:pt idx="4" formatCode="#,##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46816"/>
        <c:axId val="576550736"/>
      </c:scatterChart>
      <c:valAx>
        <c:axId val="576546816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0736"/>
        <c:crosses val="autoZero"/>
        <c:crossBetween val="midCat"/>
        <c:majorUnit val="1"/>
      </c:valAx>
      <c:valAx>
        <c:axId val="576550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681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Unplanned maintenance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2881779251277802E-2"/>
          <c:y val="0.1685909090909091"/>
          <c:w val="0.85064102776626604"/>
          <c:h val="0.53107337151037937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Graph data'!$P$37</c:f>
              <c:strCache>
                <c:ptCount val="1"/>
                <c:pt idx="0">
                  <c:v>Lower-Limit</c:v>
                </c:pt>
              </c:strCache>
            </c:strRef>
          </c:tx>
          <c:spPr>
            <a:ln w="952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data'!$O$38:$O$42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data'!$P$38:$P$42</c:f>
              <c:numCache>
                <c:formatCode>General</c:formatCode>
                <c:ptCount val="5"/>
                <c:pt idx="0" formatCode="0">
                  <c:v>9355</c:v>
                </c:pt>
                <c:pt idx="1">
                  <c:v>9355</c:v>
                </c:pt>
                <c:pt idx="2">
                  <c:v>9355</c:v>
                </c:pt>
                <c:pt idx="3">
                  <c:v>9355</c:v>
                </c:pt>
                <c:pt idx="4">
                  <c:v>9355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data'!$Q$37</c:f>
              <c:strCache>
                <c:ptCount val="1"/>
                <c:pt idx="0">
                  <c:v>Upper-Limit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data'!$O$38:$O$42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data'!$Q$38:$Q$42</c:f>
              <c:numCache>
                <c:formatCode>General</c:formatCode>
                <c:ptCount val="5"/>
                <c:pt idx="0" formatCode="0">
                  <c:v>12217</c:v>
                </c:pt>
                <c:pt idx="1">
                  <c:v>12217</c:v>
                </c:pt>
                <c:pt idx="2">
                  <c:v>12217</c:v>
                </c:pt>
                <c:pt idx="3">
                  <c:v>12217</c:v>
                </c:pt>
                <c:pt idx="4">
                  <c:v>12217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data'!$R$37</c:f>
              <c:strCache>
                <c:ptCount val="1"/>
                <c:pt idx="0">
                  <c:v>Reference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data'!$O$38:$O$42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data'!$R$38:$R$42</c:f>
              <c:numCache>
                <c:formatCode>General</c:formatCode>
                <c:ptCount val="5"/>
                <c:pt idx="0" formatCode="0">
                  <c:v>10786</c:v>
                </c:pt>
                <c:pt idx="1">
                  <c:v>10786</c:v>
                </c:pt>
                <c:pt idx="2">
                  <c:v>10786</c:v>
                </c:pt>
                <c:pt idx="3">
                  <c:v>10786</c:v>
                </c:pt>
                <c:pt idx="4">
                  <c:v>10786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data'!$S$37</c:f>
              <c:strCache>
                <c:ptCount val="1"/>
                <c:pt idx="0">
                  <c:v>SRN - Unplanned maintenance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Graph data'!$O$38:$O$42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data'!$S$38:$S$42</c:f>
              <c:numCache>
                <c:formatCode>0</c:formatCode>
                <c:ptCount val="5"/>
                <c:pt idx="0">
                  <c:v>11270</c:v>
                </c:pt>
                <c:pt idx="1">
                  <c:v>9705</c:v>
                </c:pt>
                <c:pt idx="2">
                  <c:v>10766</c:v>
                </c:pt>
                <c:pt idx="3">
                  <c:v>9959</c:v>
                </c:pt>
                <c:pt idx="4">
                  <c:v>9150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data'!$T$37</c:f>
              <c:strCache>
                <c:ptCount val="1"/>
                <c:pt idx="0">
                  <c:v>SRN - Unplanned maintenance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data'!$O$38:$O$42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data'!$T$38:$T$42</c:f>
              <c:numCache>
                <c:formatCode>0</c:formatCode>
                <c:ptCount val="5"/>
                <c:pt idx="3">
                  <c:v>9959</c:v>
                </c:pt>
                <c:pt idx="4">
                  <c:v>10193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7400"/>
        <c:axId val="576554656"/>
      </c:scatterChart>
      <c:valAx>
        <c:axId val="576557400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4656"/>
        <c:crosses val="autoZero"/>
        <c:crossBetween val="midCat"/>
        <c:majorUnit val="1"/>
      </c:valAx>
      <c:valAx>
        <c:axId val="576554656"/>
        <c:scaling>
          <c:orientation val="minMax"/>
          <c:min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7400"/>
        <c:crosses val="autoZero"/>
        <c:crossBetween val="midCat"/>
        <c:majorUnit val="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08202099737534"/>
          <c:y val="0.82291557305336838"/>
          <c:w val="0.54617798038403098"/>
          <c:h val="0.1770844667143879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Collapses 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data'!$I$4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data'!$I$5:$I$9</c:f>
              <c:numCache>
                <c:formatCode>General</c:formatCode>
                <c:ptCount val="5"/>
                <c:pt idx="0" formatCode="0">
                  <c:v>152</c:v>
                </c:pt>
                <c:pt idx="1">
                  <c:v>152</c:v>
                </c:pt>
                <c:pt idx="2">
                  <c:v>152</c:v>
                </c:pt>
                <c:pt idx="3">
                  <c:v>152</c:v>
                </c:pt>
                <c:pt idx="4">
                  <c:v>152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data'!$J$4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data'!$J$5:$J$9</c:f>
              <c:numCache>
                <c:formatCode>General</c:formatCode>
                <c:ptCount val="5"/>
                <c:pt idx="0" formatCode="0">
                  <c:v>254</c:v>
                </c:pt>
                <c:pt idx="1">
                  <c:v>254</c:v>
                </c:pt>
                <c:pt idx="2">
                  <c:v>254</c:v>
                </c:pt>
                <c:pt idx="3">
                  <c:v>254</c:v>
                </c:pt>
                <c:pt idx="4">
                  <c:v>254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data'!$K$4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data'!$K$5:$K$9</c:f>
              <c:numCache>
                <c:formatCode>General</c:formatCode>
                <c:ptCount val="5"/>
                <c:pt idx="0" formatCode="0">
                  <c:v>203</c:v>
                </c:pt>
                <c:pt idx="1">
                  <c:v>203</c:v>
                </c:pt>
                <c:pt idx="2">
                  <c:v>203</c:v>
                </c:pt>
                <c:pt idx="3">
                  <c:v>203</c:v>
                </c:pt>
                <c:pt idx="4">
                  <c:v>203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data'!$L$4</c:f>
              <c:strCache>
                <c:ptCount val="1"/>
                <c:pt idx="0">
                  <c:v>collapses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data'!$L$5:$L$9</c:f>
              <c:numCache>
                <c:formatCode>0</c:formatCode>
                <c:ptCount val="5"/>
                <c:pt idx="0">
                  <c:v>166</c:v>
                </c:pt>
                <c:pt idx="1">
                  <c:v>178</c:v>
                </c:pt>
                <c:pt idx="2">
                  <c:v>189</c:v>
                </c:pt>
                <c:pt idx="3">
                  <c:v>223</c:v>
                </c:pt>
                <c:pt idx="4">
                  <c:v>219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data'!$M$4</c:f>
              <c:strCache>
                <c:ptCount val="1"/>
                <c:pt idx="0">
                  <c:v>collapses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'Sewerage Graph data'!$H$5:$H$9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data'!$M$5:$M$9</c:f>
              <c:numCache>
                <c:formatCode>0</c:formatCode>
                <c:ptCount val="5"/>
                <c:pt idx="3">
                  <c:v>223</c:v>
                </c:pt>
                <c:pt idx="4">
                  <c:v>234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2696"/>
        <c:axId val="576551128"/>
      </c:scatterChart>
      <c:valAx>
        <c:axId val="576552696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1128"/>
        <c:crosses val="autoZero"/>
        <c:crossBetween val="midCat"/>
        <c:majorUnit val="1"/>
      </c:valAx>
      <c:valAx>
        <c:axId val="576551128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2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9929571303587036E-2"/>
          <c:y val="0.75764545056867894"/>
          <c:w val="0.90291863517060378"/>
          <c:h val="0.2145767716535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Pollution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data'!$I$12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data'!$I$13:$I$17</c:f>
              <c:numCache>
                <c:formatCode>General</c:formatCode>
                <c:ptCount val="5"/>
                <c:pt idx="0" formatCode="0">
                  <c:v>90</c:v>
                </c:pt>
                <c:pt idx="1">
                  <c:v>90</c:v>
                </c:pt>
                <c:pt idx="2">
                  <c:v>90</c:v>
                </c:pt>
                <c:pt idx="3">
                  <c:v>90</c:v>
                </c:pt>
                <c:pt idx="4">
                  <c:v>90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data'!$J$12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data'!$J$13:$J$17</c:f>
              <c:numCache>
                <c:formatCode>General</c:formatCode>
                <c:ptCount val="5"/>
                <c:pt idx="0" formatCode="0">
                  <c:v>160</c:v>
                </c:pt>
                <c:pt idx="1">
                  <c:v>160</c:v>
                </c:pt>
                <c:pt idx="2">
                  <c:v>160</c:v>
                </c:pt>
                <c:pt idx="3">
                  <c:v>160</c:v>
                </c:pt>
                <c:pt idx="4">
                  <c:v>160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data'!$K$12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data'!$K$13:$K$17</c:f>
              <c:numCache>
                <c:formatCode>General</c:formatCode>
                <c:ptCount val="5"/>
                <c:pt idx="0" formatCode="0">
                  <c:v>125</c:v>
                </c:pt>
                <c:pt idx="1">
                  <c:v>125</c:v>
                </c:pt>
                <c:pt idx="2">
                  <c:v>125</c:v>
                </c:pt>
                <c:pt idx="3">
                  <c:v>125</c:v>
                </c:pt>
                <c:pt idx="4">
                  <c:v>125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data'!$L$12</c:f>
              <c:strCache>
                <c:ptCount val="1"/>
                <c:pt idx="0">
                  <c:v>Pollution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data'!$L$13:$L$17</c:f>
              <c:numCache>
                <c:formatCode>0</c:formatCode>
                <c:ptCount val="5"/>
                <c:pt idx="0">
                  <c:v>183</c:v>
                </c:pt>
                <c:pt idx="1">
                  <c:v>200</c:v>
                </c:pt>
                <c:pt idx="2">
                  <c:v>144</c:v>
                </c:pt>
                <c:pt idx="3">
                  <c:v>138</c:v>
                </c:pt>
                <c:pt idx="4">
                  <c:v>141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data'!$M$12</c:f>
              <c:strCache>
                <c:ptCount val="1"/>
                <c:pt idx="0">
                  <c:v>Pollution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data'!$M$13:$M$17</c:f>
              <c:numCache>
                <c:formatCode>0</c:formatCode>
                <c:ptCount val="5"/>
                <c:pt idx="3">
                  <c:v>138</c:v>
                </c:pt>
                <c:pt idx="4">
                  <c:v>150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1520"/>
        <c:axId val="576547992"/>
      </c:scatterChart>
      <c:valAx>
        <c:axId val="576551520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7992"/>
        <c:crosses val="autoZero"/>
        <c:crossBetween val="midCat"/>
        <c:majorUnit val="1"/>
      </c:valAx>
      <c:valAx>
        <c:axId val="576547992"/>
        <c:scaling>
          <c:orientation val="minMax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152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Flooding other causes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data'!$I$20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data'!$I$21:$I$25</c:f>
              <c:numCache>
                <c:formatCode>General</c:formatCode>
                <c:ptCount val="5"/>
                <c:pt idx="0" formatCode="0">
                  <c:v>130</c:v>
                </c:pt>
                <c:pt idx="1">
                  <c:v>130</c:v>
                </c:pt>
                <c:pt idx="2">
                  <c:v>130</c:v>
                </c:pt>
                <c:pt idx="3">
                  <c:v>130</c:v>
                </c:pt>
                <c:pt idx="4">
                  <c:v>130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data'!$J$20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data'!$J$21:$J$25</c:f>
              <c:numCache>
                <c:formatCode>General</c:formatCode>
                <c:ptCount val="5"/>
                <c:pt idx="0" formatCode="0">
                  <c:v>290</c:v>
                </c:pt>
                <c:pt idx="1">
                  <c:v>290</c:v>
                </c:pt>
                <c:pt idx="2">
                  <c:v>290</c:v>
                </c:pt>
                <c:pt idx="3">
                  <c:v>290</c:v>
                </c:pt>
                <c:pt idx="4">
                  <c:v>290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data'!$K$20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data'!$K$21:$K$25</c:f>
              <c:numCache>
                <c:formatCode>General</c:formatCode>
                <c:ptCount val="5"/>
                <c:pt idx="0" formatCode="0">
                  <c:v>210</c:v>
                </c:pt>
                <c:pt idx="1">
                  <c:v>210</c:v>
                </c:pt>
                <c:pt idx="2">
                  <c:v>210</c:v>
                </c:pt>
                <c:pt idx="3">
                  <c:v>210</c:v>
                </c:pt>
                <c:pt idx="4">
                  <c:v>210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data'!$L$20</c:f>
              <c:strCache>
                <c:ptCount val="1"/>
                <c:pt idx="0">
                  <c:v>Flooding other causes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data'!$L$21:$L$25</c:f>
              <c:numCache>
                <c:formatCode>0</c:formatCode>
                <c:ptCount val="5"/>
                <c:pt idx="0">
                  <c:v>415</c:v>
                </c:pt>
                <c:pt idx="1">
                  <c:v>288</c:v>
                </c:pt>
                <c:pt idx="2">
                  <c:v>354</c:v>
                </c:pt>
                <c:pt idx="3">
                  <c:v>315</c:v>
                </c:pt>
                <c:pt idx="4">
                  <c:v>253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data'!$M$20</c:f>
              <c:strCache>
                <c:ptCount val="1"/>
                <c:pt idx="0">
                  <c:v>Flooding other causes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data'!$M$21:$M$25</c:f>
              <c:numCache>
                <c:formatCode>0</c:formatCode>
                <c:ptCount val="5"/>
                <c:pt idx="3">
                  <c:v>315</c:v>
                </c:pt>
                <c:pt idx="4">
                  <c:v>260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'Sewerage Graph data'!$N$20</c:f>
              <c:strCache>
                <c:ptCount val="1"/>
                <c:pt idx="0">
                  <c:v>FOC - shortfall calc Ofwat assumption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'Sewerage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data'!$N$21:$N$25</c:f>
              <c:numCache>
                <c:formatCode>General</c:formatCode>
                <c:ptCount val="5"/>
                <c:pt idx="3" formatCode="0">
                  <c:v>315</c:v>
                </c:pt>
                <c:pt idx="4" formatCode="0">
                  <c:v>315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5048"/>
        <c:axId val="576555440"/>
      </c:scatterChart>
      <c:valAx>
        <c:axId val="576555048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5440"/>
        <c:crosses val="autoZero"/>
        <c:crossBetween val="midCat"/>
        <c:majorUnit val="1"/>
      </c:valAx>
      <c:valAx>
        <c:axId val="576555440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50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9630796150481191E-2"/>
          <c:y val="0.69559857101195688"/>
          <c:w val="0.86851618547681542"/>
          <c:h val="0.3044014289880431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Flooding net of severe weather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data'!$I$28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data'!$I$29:$I$33</c:f>
              <c:numCache>
                <c:formatCode>General</c:formatCode>
                <c:ptCount val="5"/>
                <c:pt idx="0" formatCode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data'!$J$28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data'!$J$29:$J$33</c:f>
              <c:numCache>
                <c:formatCode>General</c:formatCode>
                <c:ptCount val="5"/>
                <c:pt idx="0" formatCode="0">
                  <c:v>47</c:v>
                </c:pt>
                <c:pt idx="1">
                  <c:v>47</c:v>
                </c:pt>
                <c:pt idx="2">
                  <c:v>47</c:v>
                </c:pt>
                <c:pt idx="3">
                  <c:v>47</c:v>
                </c:pt>
                <c:pt idx="4">
                  <c:v>47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data'!$K$28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data'!$K$29:$K$33</c:f>
              <c:numCache>
                <c:formatCode>General</c:formatCode>
                <c:ptCount val="5"/>
                <c:pt idx="0" formatCode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25</c:v>
                </c:pt>
                <c:pt idx="4">
                  <c:v>25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data'!$L$28</c:f>
              <c:strCache>
                <c:ptCount val="1"/>
                <c:pt idx="0">
                  <c:v>Flooding net of severe weather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data'!$L$29:$L$33</c:f>
              <c:numCache>
                <c:formatCode>0</c:formatCode>
                <c:ptCount val="5"/>
                <c:pt idx="0">
                  <c:v>38</c:v>
                </c:pt>
                <c:pt idx="1">
                  <c:v>15</c:v>
                </c:pt>
                <c:pt idx="2">
                  <c:v>36</c:v>
                </c:pt>
                <c:pt idx="3">
                  <c:v>74</c:v>
                </c:pt>
                <c:pt idx="4">
                  <c:v>33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data'!$M$28</c:f>
              <c:strCache>
                <c:ptCount val="1"/>
                <c:pt idx="0">
                  <c:v>Flooding net of severe weather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data'!$M$29:$M$33</c:f>
              <c:numCache>
                <c:formatCode>0</c:formatCode>
                <c:ptCount val="5"/>
                <c:pt idx="3">
                  <c:v>74</c:v>
                </c:pt>
                <c:pt idx="4">
                  <c:v>22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49168"/>
        <c:axId val="576556224"/>
      </c:scatterChart>
      <c:valAx>
        <c:axId val="576549168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6224"/>
        <c:crosses val="autoZero"/>
        <c:crossBetween val="midCat"/>
        <c:majorUnit val="1"/>
      </c:valAx>
      <c:valAx>
        <c:axId val="57655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91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blockages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data'!$I$36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data'!$H$37:$H$41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data'!$I$37:$I$41</c:f>
              <c:numCache>
                <c:formatCode>General</c:formatCode>
                <c:ptCount val="5"/>
                <c:pt idx="0" formatCode="0">
                  <c:v>9977</c:v>
                </c:pt>
                <c:pt idx="1">
                  <c:v>9977</c:v>
                </c:pt>
                <c:pt idx="2">
                  <c:v>9977</c:v>
                </c:pt>
                <c:pt idx="3">
                  <c:v>9977</c:v>
                </c:pt>
                <c:pt idx="4">
                  <c:v>9977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data'!$J$36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data'!$H$37:$H$41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data'!$J$37:$J$41</c:f>
              <c:numCache>
                <c:formatCode>General</c:formatCode>
                <c:ptCount val="5"/>
                <c:pt idx="0" formatCode="0">
                  <c:v>12193</c:v>
                </c:pt>
                <c:pt idx="1">
                  <c:v>12193</c:v>
                </c:pt>
                <c:pt idx="2">
                  <c:v>12193</c:v>
                </c:pt>
                <c:pt idx="3">
                  <c:v>12193</c:v>
                </c:pt>
                <c:pt idx="4">
                  <c:v>12193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data'!$K$36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data'!$H$37:$H$41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data'!$K$37:$K$41</c:f>
              <c:numCache>
                <c:formatCode>General</c:formatCode>
                <c:ptCount val="5"/>
                <c:pt idx="0" formatCode="0">
                  <c:v>11085</c:v>
                </c:pt>
                <c:pt idx="1">
                  <c:v>11085</c:v>
                </c:pt>
                <c:pt idx="2">
                  <c:v>11085</c:v>
                </c:pt>
                <c:pt idx="3">
                  <c:v>11085</c:v>
                </c:pt>
                <c:pt idx="4">
                  <c:v>11085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data'!$L$36</c:f>
              <c:strCache>
                <c:ptCount val="1"/>
                <c:pt idx="0">
                  <c:v>blockages - actual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Pt>
            <c:idx val="4"/>
            <c:marker>
              <c:symbol val="circle"/>
              <c:size val="5"/>
              <c:spPr>
                <a:solidFill>
                  <a:schemeClr val="accent4"/>
                </a:solidFill>
                <a:ln w="9525">
                  <a:solidFill>
                    <a:schemeClr val="accent4"/>
                  </a:solidFill>
                  <a:prstDash val="dash"/>
                </a:ln>
                <a:effectLst/>
              </c:spPr>
            </c:marker>
            <c:bubble3D val="0"/>
            <c:spPr>
              <a:ln w="19050" cap="rnd">
                <a:solidFill>
                  <a:schemeClr val="accent4"/>
                </a:solidFill>
                <a:prstDash val="dash"/>
                <a:round/>
              </a:ln>
              <a:effectLst/>
            </c:spPr>
          </c:dPt>
          <c:xVal>
            <c:numRef>
              <c:f>'Sewerage Graph data'!$H$37:$H$41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data'!$L$37:$L$41</c:f>
              <c:numCache>
                <c:formatCode>0</c:formatCode>
                <c:ptCount val="5"/>
                <c:pt idx="0">
                  <c:v>11860</c:v>
                </c:pt>
                <c:pt idx="1">
                  <c:v>11813</c:v>
                </c:pt>
                <c:pt idx="2">
                  <c:v>12130</c:v>
                </c:pt>
                <c:pt idx="3">
                  <c:v>10858</c:v>
                </c:pt>
                <c:pt idx="4">
                  <c:v>10043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data'!$M$36</c:f>
              <c:strCache>
                <c:ptCount val="1"/>
                <c:pt idx="0">
                  <c:v>blockages - forecast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data'!$H$37:$H$41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data'!$M$37:$M$41</c:f>
              <c:numCache>
                <c:formatCode>General</c:formatCode>
                <c:ptCount val="5"/>
                <c:pt idx="3" formatCode="0">
                  <c:v>10858</c:v>
                </c:pt>
                <c:pt idx="4" formatCode="0">
                  <c:v>9841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49560"/>
        <c:axId val="576549952"/>
      </c:scatterChart>
      <c:valAx>
        <c:axId val="576549560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9952"/>
        <c:crosses val="autoZero"/>
        <c:crossBetween val="midCat"/>
        <c:majorUnit val="1"/>
      </c:valAx>
      <c:valAx>
        <c:axId val="576549952"/>
        <c:scaling>
          <c:orientation val="minMax"/>
          <c:min val="9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956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Equipment failures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'Sewerage Graph data'!$I$44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data'!$H$45:$H$49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data'!$I$45:$I$49</c:f>
              <c:numCache>
                <c:formatCode>General</c:formatCode>
                <c:ptCount val="5"/>
                <c:pt idx="0" formatCode="0">
                  <c:v>176</c:v>
                </c:pt>
                <c:pt idx="1">
                  <c:v>176</c:v>
                </c:pt>
                <c:pt idx="2">
                  <c:v>176</c:v>
                </c:pt>
                <c:pt idx="3">
                  <c:v>176</c:v>
                </c:pt>
                <c:pt idx="4">
                  <c:v>176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data'!$J$44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data'!$H$45:$H$49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data'!$J$45:$J$49</c:f>
              <c:numCache>
                <c:formatCode>General</c:formatCode>
                <c:ptCount val="5"/>
                <c:pt idx="0" formatCode="0">
                  <c:v>306</c:v>
                </c:pt>
                <c:pt idx="1">
                  <c:v>306</c:v>
                </c:pt>
                <c:pt idx="2">
                  <c:v>306</c:v>
                </c:pt>
                <c:pt idx="3">
                  <c:v>306</c:v>
                </c:pt>
                <c:pt idx="4">
                  <c:v>306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data'!$K$44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data'!$H$45:$H$49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data'!$K$45:$K$49</c:f>
              <c:numCache>
                <c:formatCode>General</c:formatCode>
                <c:ptCount val="5"/>
                <c:pt idx="0" formatCode="0">
                  <c:v>241</c:v>
                </c:pt>
                <c:pt idx="1">
                  <c:v>241</c:v>
                </c:pt>
                <c:pt idx="2">
                  <c:v>241</c:v>
                </c:pt>
                <c:pt idx="3">
                  <c:v>241</c:v>
                </c:pt>
                <c:pt idx="4">
                  <c:v>241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data'!$L$44</c:f>
              <c:strCache>
                <c:ptCount val="1"/>
                <c:pt idx="0">
                  <c:v>Equipement failure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data'!$H$45:$H$49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data'!$L$45:$L$49</c:f>
              <c:numCache>
                <c:formatCode>#,##0</c:formatCode>
                <c:ptCount val="5"/>
                <c:pt idx="0" formatCode="General">
                  <c:v>277</c:v>
                </c:pt>
                <c:pt idx="1">
                  <c:v>262</c:v>
                </c:pt>
                <c:pt idx="2">
                  <c:v>337</c:v>
                </c:pt>
                <c:pt idx="3">
                  <c:v>566</c:v>
                </c:pt>
                <c:pt idx="4">
                  <c:v>299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data'!$M$44</c:f>
              <c:strCache>
                <c:ptCount val="1"/>
                <c:pt idx="0">
                  <c:v>Equipement failure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data'!$H$45:$H$49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data'!$M$45:$M$49</c:f>
              <c:numCache>
                <c:formatCode>General</c:formatCode>
                <c:ptCount val="5"/>
                <c:pt idx="3" formatCode="#,##0">
                  <c:v>566</c:v>
                </c:pt>
                <c:pt idx="4" formatCode="#,##0">
                  <c:v>277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2304"/>
        <c:axId val="576553088"/>
      </c:scatterChart>
      <c:valAx>
        <c:axId val="576552304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3088"/>
        <c:crosses val="autoZero"/>
        <c:crossBetween val="midCat"/>
        <c:majorUnit val="1"/>
      </c:valAx>
      <c:valAx>
        <c:axId val="576553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23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STW numeric consent non-compliance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082328044601519E-2"/>
          <c:y val="0.16712962962962963"/>
          <c:w val="0.89140500513834131"/>
          <c:h val="0.54014982502187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'Sewerage Graph data'!$P$4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data'!$P$5:$P$9</c:f>
              <c:numCache>
                <c:formatCode>General</c:formatCode>
                <c:ptCount val="5"/>
                <c:pt idx="0" formatCode="0.00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data'!$Q$4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data'!$Q$5:$Q$9</c:f>
              <c:numCache>
                <c:formatCode>General</c:formatCode>
                <c:ptCount val="5"/>
                <c:pt idx="0" formatCode="0.000">
                  <c:v>2.2999999999999998</c:v>
                </c:pt>
                <c:pt idx="1">
                  <c:v>2.2999999999999998</c:v>
                </c:pt>
                <c:pt idx="2">
                  <c:v>2.2999999999999998</c:v>
                </c:pt>
                <c:pt idx="3">
                  <c:v>2.2999999999999998</c:v>
                </c:pt>
                <c:pt idx="4">
                  <c:v>2.2999999999999998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data'!$R$4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data'!$R$5:$R$9</c:f>
              <c:numCache>
                <c:formatCode>General</c:formatCode>
                <c:ptCount val="5"/>
                <c:pt idx="0" formatCode="0.0">
                  <c:v>1.4</c:v>
                </c:pt>
                <c:pt idx="1">
                  <c:v>1.4</c:v>
                </c:pt>
                <c:pt idx="2">
                  <c:v>1.4</c:v>
                </c:pt>
                <c:pt idx="3">
                  <c:v>1.4</c:v>
                </c:pt>
                <c:pt idx="4">
                  <c:v>1.4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data'!$S$4</c:f>
              <c:strCache>
                <c:ptCount val="1"/>
                <c:pt idx="0">
                  <c:v>Numeric discharge non-compliance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data'!$S$5:$S$9</c:f>
              <c:numCache>
                <c:formatCode>0.00</c:formatCode>
                <c:ptCount val="5"/>
                <c:pt idx="0">
                  <c:v>1.43</c:v>
                </c:pt>
                <c:pt idx="1">
                  <c:v>3.9699999999999998</c:v>
                </c:pt>
                <c:pt idx="2">
                  <c:v>3.25</c:v>
                </c:pt>
                <c:pt idx="3">
                  <c:v>4.03</c:v>
                </c:pt>
                <c:pt idx="4">
                  <c:v>1.0169491525423699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data'!$T$4</c:f>
              <c:strCache>
                <c:ptCount val="1"/>
                <c:pt idx="0">
                  <c:v>Numeric discharge non-compliance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data'!$T$5:$T$9</c:f>
              <c:numCache>
                <c:formatCode>General</c:formatCode>
                <c:ptCount val="5"/>
                <c:pt idx="3" formatCode="0.00">
                  <c:v>4.03</c:v>
                </c:pt>
                <c:pt idx="4" formatCode="0.00">
                  <c:v>0.33999999999999997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'Sewerage Graph data'!$U$4</c:f>
              <c:strCache>
                <c:ptCount val="1"/>
                <c:pt idx="0">
                  <c:v>Numeric discharge non-compliance - after exclusions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'Sewerage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data'!$U$5:$U$9</c:f>
              <c:numCache>
                <c:formatCode>General</c:formatCode>
                <c:ptCount val="5"/>
                <c:pt idx="0">
                  <c:v>1.43</c:v>
                </c:pt>
                <c:pt idx="1">
                  <c:v>3.61</c:v>
                </c:pt>
                <c:pt idx="2">
                  <c:v>2.5299999999999998</c:v>
                </c:pt>
                <c:pt idx="3">
                  <c:v>1.68</c:v>
                </c:pt>
                <c:pt idx="4">
                  <c:v>1.02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61712"/>
        <c:axId val="576564456"/>
      </c:scatterChart>
      <c:valAx>
        <c:axId val="576561712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64456"/>
        <c:crosses val="autoZero"/>
        <c:crossBetween val="midCat"/>
        <c:majorUnit val="1"/>
      </c:valAx>
      <c:valAx>
        <c:axId val="576564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6171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2274476945497778E-2"/>
          <c:y val="0.74885352872557609"/>
          <c:w val="0.85448145721211866"/>
          <c:h val="0.2511464712744240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PE LUT non-compliance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208661417322837E-2"/>
          <c:y val="0.16712962962962963"/>
          <c:w val="0.85343022747156605"/>
          <c:h val="0.512372047244094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'Sewerage Graph data'!$P$12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data'!$P$13:$P$17</c:f>
              <c:numCache>
                <c:formatCode>General</c:formatCode>
                <c:ptCount val="5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data'!$Q$12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data'!$Q$13:$Q$17</c:f>
              <c:numCache>
                <c:formatCode>General</c:formatCode>
                <c:ptCount val="5"/>
                <c:pt idx="0" formatCode="0.0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data'!$R$12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data'!$R$13:$R$17</c:f>
              <c:numCache>
                <c:formatCode>General</c:formatCode>
                <c:ptCount val="5"/>
                <c:pt idx="0" formatCode="0.0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data'!$S$12</c:f>
              <c:strCache>
                <c:ptCount val="1"/>
                <c:pt idx="0">
                  <c:v>PE LUT non-compliance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data'!$S$13:$S$17</c:f>
              <c:numCache>
                <c:formatCode>0.00</c:formatCode>
                <c:ptCount val="5"/>
                <c:pt idx="0">
                  <c:v>2.73</c:v>
                </c:pt>
                <c:pt idx="1">
                  <c:v>1.6099999999999999</c:v>
                </c:pt>
                <c:pt idx="2">
                  <c:v>0.98</c:v>
                </c:pt>
                <c:pt idx="3">
                  <c:v>0.77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data'!$T$12</c:f>
              <c:strCache>
                <c:ptCount val="1"/>
                <c:pt idx="0">
                  <c:v>PE LUT non-compliance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data'!$T$13:$T$17</c:f>
              <c:numCache>
                <c:formatCode>General</c:formatCode>
                <c:ptCount val="5"/>
                <c:pt idx="3" formatCode="0.00">
                  <c:v>0.77</c:v>
                </c:pt>
                <c:pt idx="4" formatCode="0.00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'Sewerage Graph data'!$U$12</c:f>
              <c:strCache>
                <c:ptCount val="1"/>
                <c:pt idx="0">
                  <c:v>PE LUT non-compliance- after exclusions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'Sewerage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data'!$U$13:$U$17</c:f>
              <c:numCache>
                <c:formatCode>General</c:formatCode>
                <c:ptCount val="5"/>
                <c:pt idx="0">
                  <c:v>2.73</c:v>
                </c:pt>
                <c:pt idx="1">
                  <c:v>1.34</c:v>
                </c:pt>
                <c:pt idx="2">
                  <c:v>0.46</c:v>
                </c:pt>
                <c:pt idx="3">
                  <c:v>0.64</c:v>
                </c:pt>
                <c:pt idx="4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9752"/>
        <c:axId val="576562104"/>
      </c:scatterChart>
      <c:valAx>
        <c:axId val="576559752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62104"/>
        <c:crosses val="autoZero"/>
        <c:crossBetween val="midCat"/>
        <c:majorUnit val="1"/>
      </c:valAx>
      <c:valAx>
        <c:axId val="576562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97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20734908136483E-2"/>
          <c:y val="0.76274241761446482"/>
          <c:w val="0.96533573928258964"/>
          <c:h val="0.2372575823855351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iron mean zonal non-compliance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139942860814344E-2"/>
          <c:y val="0.17931238940512698"/>
          <c:w val="0.89264003321938656"/>
          <c:h val="0.6233520784887760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Graph data'!$I$20</c:f>
              <c:strCache>
                <c:ptCount val="1"/>
                <c:pt idx="0">
                  <c:v>Lower Limit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data'!$I$21:$I$25</c:f>
              <c:numCache>
                <c:formatCode>General</c:formatCode>
                <c:ptCount val="5"/>
                <c:pt idx="0" formatCode="0">
                  <c:v>3.400000000000003E-2</c:v>
                </c:pt>
                <c:pt idx="1">
                  <c:v>3.400000000000003E-2</c:v>
                </c:pt>
                <c:pt idx="2">
                  <c:v>3.400000000000003E-2</c:v>
                </c:pt>
                <c:pt idx="3">
                  <c:v>3.400000000000003E-2</c:v>
                </c:pt>
                <c:pt idx="4">
                  <c:v>3.400000000000003E-2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data'!$J$20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data'!$J$21:$J$25</c:f>
              <c:numCache>
                <c:formatCode>General</c:formatCode>
                <c:ptCount val="5"/>
                <c:pt idx="0" formatCode="0">
                  <c:v>0.43599999999999994</c:v>
                </c:pt>
                <c:pt idx="1">
                  <c:v>0.43599999999999994</c:v>
                </c:pt>
                <c:pt idx="2">
                  <c:v>0.43599999999999994</c:v>
                </c:pt>
                <c:pt idx="3">
                  <c:v>0.43599999999999994</c:v>
                </c:pt>
                <c:pt idx="4">
                  <c:v>0.43599999999999994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data'!$K$20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data'!$K$21:$K$25</c:f>
              <c:numCache>
                <c:formatCode>General</c:formatCode>
                <c:ptCount val="5"/>
                <c:pt idx="0" formatCode="0">
                  <c:v>0.23499999999999999</c:v>
                </c:pt>
                <c:pt idx="1">
                  <c:v>0.23499999999999999</c:v>
                </c:pt>
                <c:pt idx="2">
                  <c:v>0.23499999999999999</c:v>
                </c:pt>
                <c:pt idx="3">
                  <c:v>0.23499999999999999</c:v>
                </c:pt>
                <c:pt idx="4">
                  <c:v>0.23499999999999999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data'!$L$20</c:f>
              <c:strCache>
                <c:ptCount val="1"/>
                <c:pt idx="0">
                  <c:v>SRN iron MZ non-comp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data'!$L$21:$L$25</c:f>
              <c:numCache>
                <c:formatCode>0.00</c:formatCode>
                <c:ptCount val="5"/>
                <c:pt idx="0" formatCode="General">
                  <c:v>0.31999999999999318</c:v>
                </c:pt>
                <c:pt idx="1">
                  <c:v>0.40999999999999659</c:v>
                </c:pt>
                <c:pt idx="2" formatCode="General">
                  <c:v>0.18000000000000682</c:v>
                </c:pt>
                <c:pt idx="3" formatCode="General">
                  <c:v>0.12999999999999545</c:v>
                </c:pt>
                <c:pt idx="4" formatCode="General">
                  <c:v>0.10999999999999943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data'!$M$20</c:f>
              <c:strCache>
                <c:ptCount val="1"/>
                <c:pt idx="0">
                  <c:v>SRN iron MZ non-comp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data'!$H$21:$H$25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data'!$M$21:$M$25</c:f>
              <c:numCache>
                <c:formatCode>0.00</c:formatCode>
                <c:ptCount val="5"/>
                <c:pt idx="3">
                  <c:v>0.12999999999999545</c:v>
                </c:pt>
                <c:pt idx="4">
                  <c:v>6.0000000000002274E-2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8800"/>
        <c:axId val="578719784"/>
      </c:scatterChart>
      <c:valAx>
        <c:axId val="578728800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19784"/>
        <c:crosses val="autoZero"/>
        <c:crossBetween val="midCat"/>
        <c:majorUnit val="1"/>
      </c:valAx>
      <c:valAx>
        <c:axId val="57871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88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Unplanned maintenance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06999125109361"/>
          <c:y val="0.16712962962962963"/>
          <c:w val="0.83256889763779529"/>
          <c:h val="0.49385352872557597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'Sewerage Graph data'!$P$20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data'!$P$21:$P$25</c:f>
              <c:numCache>
                <c:formatCode>General</c:formatCode>
                <c:ptCount val="5"/>
                <c:pt idx="0" formatCode="0.0">
                  <c:v>37004</c:v>
                </c:pt>
                <c:pt idx="1">
                  <c:v>37004</c:v>
                </c:pt>
                <c:pt idx="2">
                  <c:v>37004</c:v>
                </c:pt>
                <c:pt idx="3">
                  <c:v>37004</c:v>
                </c:pt>
                <c:pt idx="4">
                  <c:v>37004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'Sewerage Graph data'!$Q$20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data'!$Q$21:$Q$25</c:f>
              <c:numCache>
                <c:formatCode>General</c:formatCode>
                <c:ptCount val="5"/>
                <c:pt idx="0" formatCode="0.0">
                  <c:v>62678</c:v>
                </c:pt>
                <c:pt idx="1">
                  <c:v>62678</c:v>
                </c:pt>
                <c:pt idx="2">
                  <c:v>62678</c:v>
                </c:pt>
                <c:pt idx="3">
                  <c:v>62678</c:v>
                </c:pt>
                <c:pt idx="4">
                  <c:v>62678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'Sewerage Graph data'!$R$20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'Sewerage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data'!$R$21:$R$25</c:f>
              <c:numCache>
                <c:formatCode>General</c:formatCode>
                <c:ptCount val="5"/>
                <c:pt idx="0" formatCode="0">
                  <c:v>49841</c:v>
                </c:pt>
                <c:pt idx="1">
                  <c:v>49841</c:v>
                </c:pt>
                <c:pt idx="2">
                  <c:v>49841</c:v>
                </c:pt>
                <c:pt idx="3">
                  <c:v>49841</c:v>
                </c:pt>
                <c:pt idx="4">
                  <c:v>49841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'Sewerage Graph data'!$S$20</c:f>
              <c:strCache>
                <c:ptCount val="1"/>
                <c:pt idx="0">
                  <c:v>unplanned maintenance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'Sewerage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data'!$S$21:$S$25</c:f>
              <c:numCache>
                <c:formatCode>0</c:formatCode>
                <c:ptCount val="5"/>
                <c:pt idx="0">
                  <c:v>55637</c:v>
                </c:pt>
                <c:pt idx="1">
                  <c:v>56066</c:v>
                </c:pt>
                <c:pt idx="2">
                  <c:v>62928</c:v>
                </c:pt>
                <c:pt idx="3">
                  <c:v>62765</c:v>
                </c:pt>
                <c:pt idx="4">
                  <c:v>45405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'Sewerage Graph data'!$T$20</c:f>
              <c:strCache>
                <c:ptCount val="1"/>
                <c:pt idx="0">
                  <c:v>unplanned maintenance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'Sewerage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'Sewerage Graph data'!$T$21:$T$25</c:f>
              <c:numCache>
                <c:formatCode>General</c:formatCode>
                <c:ptCount val="5"/>
                <c:pt idx="3" formatCode="0">
                  <c:v>62765</c:v>
                </c:pt>
                <c:pt idx="4" formatCode="0">
                  <c:v>50656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60144"/>
        <c:axId val="576563280"/>
      </c:scatterChart>
      <c:valAx>
        <c:axId val="576560144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63280"/>
        <c:crosses val="autoZero"/>
        <c:crossBetween val="midCat"/>
        <c:majorUnit val="1"/>
      </c:valAx>
      <c:valAx>
        <c:axId val="576563280"/>
        <c:scaling>
          <c:orientation val="minMax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60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558902012248469E-2"/>
          <c:y val="0.74885352872557609"/>
          <c:w val="0.94882174103237071"/>
          <c:h val="0.2233686934966462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GB" sz="1200" b="0" baseline="0"/>
              <a:t>DG3 supply interrupations&gt;12 hours</a:t>
            </a:r>
            <a:endParaRPr lang="en-GB" sz="1200" b="0"/>
          </a:p>
        </c:rich>
      </c:tx>
      <c:layout>
        <c:manualLayout>
          <c:xMode val="edge"/>
          <c:yMode val="edge"/>
          <c:x val="0.27501930493684668"/>
          <c:y val="4.757546661994607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09797571638702E-2"/>
          <c:y val="4.0854212750725552E-2"/>
          <c:w val="0.87434624757940616"/>
          <c:h val="0.614381442958269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Graph data'!$I$12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/>
          </c:spPr>
          <c:marker>
            <c:symbol val="none"/>
          </c:marker>
          <c:dPt>
            <c:idx val="3"/>
            <c:bubble3D val="0"/>
            <c:spPr>
              <a:ln w="9525"/>
            </c:spPr>
          </c:dPt>
          <c:xVal>
            <c:numRef>
              <c:f>'Water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data'!$I$13:$I$17</c:f>
              <c:numCache>
                <c:formatCode>General</c:formatCode>
                <c:ptCount val="5"/>
                <c:pt idx="0" formatCode="0">
                  <c:v>165</c:v>
                </c:pt>
                <c:pt idx="1">
                  <c:v>165</c:v>
                </c:pt>
                <c:pt idx="2">
                  <c:v>165</c:v>
                </c:pt>
                <c:pt idx="3">
                  <c:v>165</c:v>
                </c:pt>
                <c:pt idx="4">
                  <c:v>165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data'!$J$12</c:f>
              <c:strCache>
                <c:ptCount val="1"/>
                <c:pt idx="0">
                  <c:v>Upper Limit</c:v>
                </c:pt>
              </c:strCache>
            </c:strRef>
          </c:tx>
          <c:spPr>
            <a:ln w="9525">
              <a:solidFill>
                <a:schemeClr val="accent2">
                  <a:shade val="95000"/>
                  <a:satMod val="105000"/>
                  <a:alpha val="99000"/>
                </a:schemeClr>
              </a:solidFill>
            </a:ln>
          </c:spPr>
          <c:marker>
            <c:symbol val="none"/>
          </c:marker>
          <c:xVal>
            <c:numRef>
              <c:f>'Water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data'!$J$13:$J$17</c:f>
              <c:numCache>
                <c:formatCode>General</c:formatCode>
                <c:ptCount val="5"/>
                <c:pt idx="0" formatCode="0">
                  <c:v>419</c:v>
                </c:pt>
                <c:pt idx="1">
                  <c:v>419</c:v>
                </c:pt>
                <c:pt idx="2">
                  <c:v>419</c:v>
                </c:pt>
                <c:pt idx="3">
                  <c:v>419</c:v>
                </c:pt>
                <c:pt idx="4">
                  <c:v>419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data'!$K$12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9525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'Water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data'!$K$13:$K$17</c:f>
              <c:numCache>
                <c:formatCode>General</c:formatCode>
                <c:ptCount val="5"/>
                <c:pt idx="0" formatCode="0">
                  <c:v>292</c:v>
                </c:pt>
                <c:pt idx="1">
                  <c:v>292</c:v>
                </c:pt>
                <c:pt idx="2">
                  <c:v>292</c:v>
                </c:pt>
                <c:pt idx="3">
                  <c:v>292</c:v>
                </c:pt>
                <c:pt idx="4">
                  <c:v>292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data'!$L$12</c:f>
              <c:strCache>
                <c:ptCount val="1"/>
                <c:pt idx="0">
                  <c:v>SRN DG3 interruptions&gt;12hr after exlusions - actual</c:v>
                </c:pt>
              </c:strCache>
            </c:strRef>
          </c:tx>
          <c:spPr>
            <a:ln w="28575">
              <a:solidFill>
                <a:srgbClr val="92D050"/>
              </a:solidFill>
            </a:ln>
          </c:spPr>
          <c:marker>
            <c:spPr>
              <a:ln w="28575"/>
            </c:spPr>
          </c:marker>
          <c:xVal>
            <c:numRef>
              <c:f>'Water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data'!$L$13:$L$17</c:f>
              <c:numCache>
                <c:formatCode>0</c:formatCode>
                <c:ptCount val="5"/>
                <c:pt idx="0" formatCode="General">
                  <c:v>636</c:v>
                </c:pt>
                <c:pt idx="1">
                  <c:v>326</c:v>
                </c:pt>
                <c:pt idx="2">
                  <c:v>1954</c:v>
                </c:pt>
                <c:pt idx="3">
                  <c:v>127</c:v>
                </c:pt>
                <c:pt idx="4">
                  <c:v>210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data'!$M$12</c:f>
              <c:strCache>
                <c:ptCount val="1"/>
                <c:pt idx="0">
                  <c:v>SRN DG3 interruptions&gt;12hr no exlusions - forecast</c:v>
                </c:pt>
              </c:strCache>
            </c:strRef>
          </c:tx>
          <c:spPr>
            <a:ln w="19050">
              <a:solidFill>
                <a:schemeClr val="accent2"/>
              </a:solidFill>
              <a:prstDash val="dash"/>
            </a:ln>
          </c:spPr>
          <c:marker>
            <c:spPr>
              <a:ln w="19050">
                <a:solidFill>
                  <a:schemeClr val="accent2"/>
                </a:solidFill>
                <a:prstDash val="dash"/>
              </a:ln>
            </c:spPr>
          </c:marker>
          <c:xVal>
            <c:numRef>
              <c:f>'Water Graph data'!$H$13:$H$17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data'!$M$13:$M$17</c:f>
              <c:numCache>
                <c:formatCode>0</c:formatCode>
                <c:ptCount val="5"/>
                <c:pt idx="0" formatCode="General">
                  <c:v>636</c:v>
                </c:pt>
                <c:pt idx="1">
                  <c:v>326</c:v>
                </c:pt>
                <c:pt idx="2">
                  <c:v>1954</c:v>
                </c:pt>
                <c:pt idx="3">
                  <c:v>1670</c:v>
                </c:pt>
                <c:pt idx="4">
                  <c:v>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19000"/>
        <c:axId val="578718608"/>
      </c:scatterChart>
      <c:valAx>
        <c:axId val="578719000"/>
        <c:scaling>
          <c:orientation val="minMax"/>
          <c:max val="2015"/>
          <c:min val="2011"/>
        </c:scaling>
        <c:delete val="0"/>
        <c:axPos val="b"/>
        <c:numFmt formatCode="General" sourceLinked="1"/>
        <c:majorTickMark val="out"/>
        <c:minorTickMark val="none"/>
        <c:tickLblPos val="nextTo"/>
        <c:crossAx val="578718608"/>
        <c:crosses val="autoZero"/>
        <c:crossBetween val="midCat"/>
        <c:majorUnit val="1"/>
      </c:valAx>
      <c:valAx>
        <c:axId val="578718608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578719000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1.5295763796044713E-2"/>
          <c:y val="0.76450333453040076"/>
          <c:w val="0.97578252055661119"/>
          <c:h val="0.19087223014982749"/>
        </c:manualLayout>
      </c:layout>
      <c:overlay val="0"/>
      <c:txPr>
        <a:bodyPr/>
        <a:lstStyle/>
        <a:p>
          <a:pPr>
            <a:defRPr sz="10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TIM % Non-compliance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'Water Graph data'!$I$45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data'!$H$46:$H$50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data'!$I$46:$I$50</c:f>
              <c:numCache>
                <c:formatCode>General</c:formatCode>
                <c:ptCount val="5"/>
                <c:pt idx="0" formatCode="0.0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data'!$J$45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data'!$H$46:$H$50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data'!$J$46:$J$50</c:f>
              <c:numCache>
                <c:formatCode>General</c:formatCode>
                <c:ptCount val="5"/>
                <c:pt idx="0" formatCode="0.00">
                  <c:v>0.18</c:v>
                </c:pt>
                <c:pt idx="1">
                  <c:v>0.18</c:v>
                </c:pt>
                <c:pt idx="2">
                  <c:v>0.18</c:v>
                </c:pt>
                <c:pt idx="3">
                  <c:v>0.18</c:v>
                </c:pt>
                <c:pt idx="4">
                  <c:v>0.18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data'!$K$45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data'!$H$46:$H$50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data'!$K$46:$K$50</c:f>
              <c:numCache>
                <c:formatCode>General</c:formatCode>
                <c:ptCount val="5"/>
                <c:pt idx="0" formatCode="0.0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0.1</c:v>
                </c:pt>
                <c:pt idx="4">
                  <c:v>0.1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data'!$L$45</c:f>
              <c:strCache>
                <c:ptCount val="1"/>
                <c:pt idx="0">
                  <c:v>SRN TIM % non-comp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'Water Graph data'!$H$46:$H$50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data'!$L$46:$L$50</c:f>
              <c:numCache>
                <c:formatCode>0.00</c:formatCode>
                <c:ptCount val="5"/>
                <c:pt idx="0">
                  <c:v>0.20999999999999375</c:v>
                </c:pt>
                <c:pt idx="1">
                  <c:v>0.12000000000010402</c:v>
                </c:pt>
                <c:pt idx="2">
                  <c:v>6.0000000000002274E-2</c:v>
                </c:pt>
                <c:pt idx="3">
                  <c:v>6.0000000000002274E-2</c:v>
                </c:pt>
                <c:pt idx="4">
                  <c:v>3.9999999999992042E-2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data'!$M$45</c:f>
              <c:strCache>
                <c:ptCount val="1"/>
                <c:pt idx="0">
                  <c:v>SRN TIM % non-comp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data'!$H$46:$H$50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data'!$M$46:$M$50</c:f>
              <c:numCache>
                <c:formatCode>General</c:formatCode>
                <c:ptCount val="5"/>
                <c:pt idx="3" formatCode="0.00">
                  <c:v>6.0000000000002274E-2</c:v>
                </c:pt>
                <c:pt idx="4" formatCode="0.00">
                  <c:v>1.9999999999996021E-2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6056"/>
        <c:axId val="578724880"/>
      </c:scatterChart>
      <c:valAx>
        <c:axId val="578726056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4880"/>
        <c:crosses val="autoZero"/>
        <c:crossBetween val="midCat"/>
        <c:majorUnit val="1"/>
      </c:valAx>
      <c:valAx>
        <c:axId val="57872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605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DG2 - properties</a:t>
            </a:r>
            <a:r>
              <a:rPr lang="en-GB" baseline="0"/>
              <a:t> at risk of low pressure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'Water Graph data'!$I$28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>
                  <a:lumMod val="25000"/>
                  <a:lumOff val="75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data'!$I$29:$I$33</c:f>
              <c:numCache>
                <c:formatCode>General</c:formatCode>
                <c:ptCount val="5"/>
                <c:pt idx="0" formatCode="0">
                  <c:v>170</c:v>
                </c:pt>
                <c:pt idx="1">
                  <c:v>170</c:v>
                </c:pt>
                <c:pt idx="2">
                  <c:v>170</c:v>
                </c:pt>
                <c:pt idx="3">
                  <c:v>170</c:v>
                </c:pt>
                <c:pt idx="4">
                  <c:v>170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'Water Graph data'!$J$28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data'!$J$29:$J$33</c:f>
              <c:numCache>
                <c:formatCode>General</c:formatCode>
                <c:ptCount val="5"/>
                <c:pt idx="0" formatCode="0">
                  <c:v>510</c:v>
                </c:pt>
                <c:pt idx="1">
                  <c:v>510</c:v>
                </c:pt>
                <c:pt idx="2">
                  <c:v>510</c:v>
                </c:pt>
                <c:pt idx="3">
                  <c:v>510</c:v>
                </c:pt>
                <c:pt idx="4">
                  <c:v>510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'Water Graph data'!$K$28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data'!$K$29:$K$33</c:f>
              <c:numCache>
                <c:formatCode>General</c:formatCode>
                <c:ptCount val="5"/>
                <c:pt idx="0" formatCode="0">
                  <c:v>340</c:v>
                </c:pt>
                <c:pt idx="1">
                  <c:v>340</c:v>
                </c:pt>
                <c:pt idx="2">
                  <c:v>340</c:v>
                </c:pt>
                <c:pt idx="3">
                  <c:v>340</c:v>
                </c:pt>
                <c:pt idx="4">
                  <c:v>340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17432"/>
        <c:axId val="578717824"/>
      </c:scatterChart>
      <c:scatterChart>
        <c:scatterStyle val="lineMarker"/>
        <c:varyColors val="0"/>
        <c:ser>
          <c:idx val="3"/>
          <c:order val="3"/>
          <c:tx>
            <c:strRef>
              <c:f>'Water Graph data'!$L$28</c:f>
              <c:strCache>
                <c:ptCount val="1"/>
                <c:pt idx="0">
                  <c:v>SRN DG2 - low pressure prop - actual</c:v>
                </c:pt>
              </c:strCache>
            </c:strRef>
          </c:tx>
          <c:spPr>
            <a:ln w="1270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12700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'Water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data'!$L$29:$L$33</c:f>
              <c:numCache>
                <c:formatCode>0.00</c:formatCode>
                <c:ptCount val="5"/>
                <c:pt idx="0">
                  <c:v>235</c:v>
                </c:pt>
                <c:pt idx="1">
                  <c:v>246</c:v>
                </c:pt>
                <c:pt idx="2">
                  <c:v>253</c:v>
                </c:pt>
                <c:pt idx="3">
                  <c:v>258</c:v>
                </c:pt>
                <c:pt idx="4">
                  <c:v>254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data'!$M$28</c:f>
              <c:strCache>
                <c:ptCount val="1"/>
                <c:pt idx="0">
                  <c:v>SRNDG2 - low pressure prop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data'!$H$29:$H$33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data'!$M$29:$M$33</c:f>
              <c:numCache>
                <c:formatCode>General</c:formatCode>
                <c:ptCount val="5"/>
                <c:pt idx="3" formatCode="0.00">
                  <c:v>258</c:v>
                </c:pt>
                <c:pt idx="4" formatCode="0.00">
                  <c:v>257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17432"/>
        <c:axId val="578717824"/>
      </c:scatterChart>
      <c:valAx>
        <c:axId val="578717432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17824"/>
        <c:crosses val="autoZero"/>
        <c:crossBetween val="midCat"/>
        <c:majorUnit val="1"/>
      </c:valAx>
      <c:valAx>
        <c:axId val="578717824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1743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3659224635629096E-2"/>
          <c:y val="0.5802100065717708"/>
          <c:w val="0.90370495748418322"/>
          <c:h val="0.39144992901966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200"/>
              <a:t>Discolouration contacts per 1,000 population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'Water Graph data'!$I$37</c:f>
              <c:strCache>
                <c:ptCount val="1"/>
                <c:pt idx="0">
                  <c:v>Lower Limit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data'!$H$38:$H$42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data'!$I$38:$I$42</c:f>
              <c:numCache>
                <c:formatCode>General</c:formatCode>
                <c:ptCount val="5"/>
                <c:pt idx="0" formatCode="0.00">
                  <c:v>0.57999999999999996</c:v>
                </c:pt>
                <c:pt idx="1">
                  <c:v>0.57999999999999996</c:v>
                </c:pt>
                <c:pt idx="2">
                  <c:v>0.57999999999999996</c:v>
                </c:pt>
                <c:pt idx="3">
                  <c:v>0.57999999999999996</c:v>
                </c:pt>
                <c:pt idx="4">
                  <c:v>0.57999999999999996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data'!$J$37</c:f>
              <c:strCache>
                <c:ptCount val="1"/>
                <c:pt idx="0">
                  <c:v>Upper 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data'!$H$38:$H$42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data'!$J$38:$J$42</c:f>
              <c:numCache>
                <c:formatCode>General</c:formatCode>
                <c:ptCount val="5"/>
                <c:pt idx="0" formatCode="0.00">
                  <c:v>1.22</c:v>
                </c:pt>
                <c:pt idx="1">
                  <c:v>1.22</c:v>
                </c:pt>
                <c:pt idx="2">
                  <c:v>1.22</c:v>
                </c:pt>
                <c:pt idx="3">
                  <c:v>1.22</c:v>
                </c:pt>
                <c:pt idx="4">
                  <c:v>1.22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data'!$K$37</c:f>
              <c:strCache>
                <c:ptCount val="1"/>
                <c:pt idx="0">
                  <c:v>Reference Level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data'!$H$38:$H$42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data'!$K$38:$K$42</c:f>
              <c:numCache>
                <c:formatCode>General</c:formatCode>
                <c:ptCount val="5"/>
                <c:pt idx="0" formatCode="0.00">
                  <c:v>0.9</c:v>
                </c:pt>
                <c:pt idx="1">
                  <c:v>0.9</c:v>
                </c:pt>
                <c:pt idx="2">
                  <c:v>0.9</c:v>
                </c:pt>
                <c:pt idx="3">
                  <c:v>0.9</c:v>
                </c:pt>
                <c:pt idx="4">
                  <c:v>0.9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data'!$L$37</c:f>
              <c:strCache>
                <c:ptCount val="1"/>
                <c:pt idx="0">
                  <c:v>SRN Discolouration contacts - actual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ysClr val="windowText" lastClr="000000"/>
                </a:solidFill>
              </a:ln>
              <a:effectLst/>
            </c:spPr>
          </c:marker>
          <c:xVal>
            <c:numRef>
              <c:f>'Water Graph data'!$H$38:$H$42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data'!$L$38:$L$42</c:f>
              <c:numCache>
                <c:formatCode>0.00</c:formatCode>
                <c:ptCount val="5"/>
                <c:pt idx="0">
                  <c:v>0.91</c:v>
                </c:pt>
                <c:pt idx="1">
                  <c:v>1.22</c:v>
                </c:pt>
                <c:pt idx="2">
                  <c:v>0.7</c:v>
                </c:pt>
                <c:pt idx="3">
                  <c:v>0.55000000000000004</c:v>
                </c:pt>
                <c:pt idx="4">
                  <c:v>0.57999999999999996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data'!$M$37</c:f>
              <c:strCache>
                <c:ptCount val="1"/>
                <c:pt idx="0">
                  <c:v>SRN Discolouration contacts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prstDash val="dash"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  <a:prstDash val="dash"/>
              </a:ln>
              <a:effectLst/>
            </c:spPr>
          </c:marker>
          <c:xVal>
            <c:numRef>
              <c:f>'Water Graph data'!$H$38:$H$42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data'!$M$38:$M$42</c:f>
              <c:numCache>
                <c:formatCode>General</c:formatCode>
                <c:ptCount val="5"/>
                <c:pt idx="3" formatCode="0.00">
                  <c:v>0.55000000000000004</c:v>
                </c:pt>
                <c:pt idx="4" formatCode="0.00">
                  <c:v>0.62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1352"/>
        <c:axId val="578721744"/>
      </c:scatterChart>
      <c:valAx>
        <c:axId val="578721352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1744"/>
        <c:crosses val="autoZero"/>
        <c:crossBetween val="midCat"/>
        <c:majorUnit val="1"/>
      </c:valAx>
      <c:valAx>
        <c:axId val="578721744"/>
        <c:scaling>
          <c:orientation val="minMax"/>
          <c:min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872135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GB" sz="1100" b="0"/>
              <a:t>Coliforms</a:t>
            </a:r>
            <a:r>
              <a:rPr lang="en-GB" sz="1100" b="0" baseline="0"/>
              <a:t> at WTW non-compliance</a:t>
            </a:r>
            <a:endParaRPr lang="en-GB" sz="1100" b="0"/>
          </a:p>
        </c:rich>
      </c:tx>
      <c:layout>
        <c:manualLayout>
          <c:xMode val="edge"/>
          <c:yMode val="edge"/>
          <c:x val="0.29089767838340025"/>
          <c:y val="3.718907521497050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5830540413217578E-2"/>
          <c:y val="5.4910553060662816E-2"/>
          <c:w val="0.90657971599703879"/>
          <c:h val="0.876712111753294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'Water Graph data'!$P$4</c:f>
              <c:strCache>
                <c:ptCount val="1"/>
                <c:pt idx="0">
                  <c:v>Lower-Limit</c:v>
                </c:pt>
              </c:strCache>
            </c:strRef>
          </c:tx>
          <c:spPr>
            <a:ln w="9525">
              <a:solidFill>
                <a:schemeClr val="tx2"/>
              </a:solidFill>
            </a:ln>
          </c:spPr>
          <c:marker>
            <c:symbol val="none"/>
          </c:marker>
          <c:xVal>
            <c:numRef>
              <c:f>'Water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data'!$P$5:$P$9</c:f>
              <c:numCache>
                <c:formatCode>General</c:formatCode>
                <c:ptCount val="5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data'!$Q$4</c:f>
              <c:strCache>
                <c:ptCount val="1"/>
                <c:pt idx="0">
                  <c:v>Upper-Limit</c:v>
                </c:pt>
              </c:strCache>
            </c:strRef>
          </c:tx>
          <c:spPr>
            <a:ln w="12700"/>
          </c:spPr>
          <c:marker>
            <c:symbol val="none"/>
          </c:marker>
          <c:xVal>
            <c:numRef>
              <c:f>'Water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data'!$Q$5:$Q$9</c:f>
              <c:numCache>
                <c:formatCode>General</c:formatCode>
                <c:ptCount val="5"/>
                <c:pt idx="0" formatCode="0.00">
                  <c:v>0.08</c:v>
                </c:pt>
                <c:pt idx="1">
                  <c:v>0.08</c:v>
                </c:pt>
                <c:pt idx="2">
                  <c:v>0.08</c:v>
                </c:pt>
                <c:pt idx="3">
                  <c:v>0.08</c:v>
                </c:pt>
                <c:pt idx="4">
                  <c:v>0.08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data'!$R$4</c:f>
              <c:strCache>
                <c:ptCount val="1"/>
                <c:pt idx="0">
                  <c:v>Reference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marker>
            <c:symbol val="none"/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'Water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data'!$R$5:$R$9</c:f>
              <c:numCache>
                <c:formatCode>General</c:formatCode>
                <c:ptCount val="5"/>
                <c:pt idx="0" formatCode="0.0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data'!$S$4</c:f>
              <c:strCache>
                <c:ptCount val="1"/>
                <c:pt idx="0">
                  <c:v>SRN Coliforms at WTW - actual</c:v>
                </c:pt>
              </c:strCache>
            </c:strRef>
          </c:tx>
          <c:spPr>
            <a:ln w="12700">
              <a:solidFill>
                <a:srgbClr val="92D050"/>
              </a:solidFill>
            </a:ln>
          </c:spPr>
          <c:marker>
            <c:spPr>
              <a:ln w="12700"/>
            </c:spPr>
          </c:marker>
          <c:dLbls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'Water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data'!$S$5:$S$9</c:f>
              <c:numCache>
                <c:formatCode>0.00</c:formatCode>
                <c:ptCount val="5"/>
                <c:pt idx="0">
                  <c:v>3.7570444583594244E-2</c:v>
                </c:pt>
                <c:pt idx="1">
                  <c:v>5.8295441296490599E-2</c:v>
                </c:pt>
                <c:pt idx="2">
                  <c:v>2.4464831804281297E-2</c:v>
                </c:pt>
                <c:pt idx="3">
                  <c:v>0</c:v>
                </c:pt>
                <c:pt idx="4">
                  <c:v>0.04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data'!$T$4</c:f>
              <c:strCache>
                <c:ptCount val="1"/>
                <c:pt idx="0">
                  <c:v>SRN Coliforms at WTW - forecast</c:v>
                </c:pt>
              </c:strCache>
            </c:strRef>
          </c:tx>
          <c:spPr>
            <a:ln>
              <a:prstDash val="dash"/>
            </a:ln>
          </c:spPr>
          <c:marker>
            <c:spPr>
              <a:ln>
                <a:prstDash val="dash"/>
              </a:ln>
            </c:spPr>
          </c:marker>
          <c:xVal>
            <c:numRef>
              <c:f>'Water Graph data'!$O$5:$O$9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data'!$T$5:$T$9</c:f>
              <c:numCache>
                <c:formatCode>0.00</c:formatCode>
                <c:ptCount val="5"/>
                <c:pt idx="3">
                  <c:v>0</c:v>
                </c:pt>
                <c:pt idx="4">
                  <c:v>0.04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723312"/>
        <c:axId val="576554264"/>
      </c:scatterChart>
      <c:valAx>
        <c:axId val="578723312"/>
        <c:scaling>
          <c:orientation val="minMax"/>
          <c:max val="2015"/>
          <c:min val="2011"/>
        </c:scaling>
        <c:delete val="0"/>
        <c:axPos val="b"/>
        <c:numFmt formatCode="General" sourceLinked="1"/>
        <c:majorTickMark val="out"/>
        <c:minorTickMark val="none"/>
        <c:tickLblPos val="nextTo"/>
        <c:crossAx val="576554264"/>
        <c:crosses val="autoZero"/>
        <c:crossBetween val="midCat"/>
        <c:majorUnit val="1"/>
      </c:valAx>
      <c:valAx>
        <c:axId val="576554264"/>
        <c:scaling>
          <c:orientation val="minMax"/>
        </c:scaling>
        <c:delete val="0"/>
        <c:axPos val="l"/>
        <c:majorGridlines/>
        <c:numFmt formatCode="0.00" sourceLinked="1"/>
        <c:majorTickMark val="out"/>
        <c:minorTickMark val="none"/>
        <c:tickLblPos val="nextTo"/>
        <c:crossAx val="578723312"/>
        <c:crosses val="autoZero"/>
        <c:crossBetween val="midCat"/>
      </c:valAx>
    </c:plotArea>
    <c:legend>
      <c:legendPos val="b"/>
      <c:layout>
        <c:manualLayout>
          <c:xMode val="edge"/>
          <c:yMode val="edge"/>
          <c:x val="0.10253689989780665"/>
          <c:y val="0.12358580700425"/>
          <c:w val="0.87202861126673936"/>
          <c:h val="0.2270490520419012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baseline="0"/>
              <a:t>Coliforms at SR</a:t>
            </a:r>
            <a:endParaRPr lang="en-GB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'Water Graph data'!$P$12</c:f>
              <c:strCache>
                <c:ptCount val="1"/>
                <c:pt idx="0">
                  <c:v>Lower-Limit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'Water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data'!$P$13:$P$17</c:f>
              <c:numCache>
                <c:formatCode>General</c:formatCode>
                <c:ptCount val="5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'Water Graph data'!$Q$12</c:f>
              <c:strCache>
                <c:ptCount val="1"/>
                <c:pt idx="0">
                  <c:v>Upper-Limit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data'!$Q$13:$Q$17</c:f>
              <c:numCache>
                <c:formatCode>General</c:formatCode>
                <c:ptCount val="5"/>
                <c:pt idx="0" formatCode="0.0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'Water Graph data'!$R$12</c:f>
              <c:strCache>
                <c:ptCount val="1"/>
                <c:pt idx="0">
                  <c:v>Reference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data'!$R$13:$R$17</c:f>
              <c:numCache>
                <c:formatCode>General</c:formatCode>
                <c:ptCount val="5"/>
                <c:pt idx="0" formatCode="0.0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'Water Graph data'!$S$12</c:f>
              <c:strCache>
                <c:ptCount val="1"/>
                <c:pt idx="0">
                  <c:v>SRN Coliforms at SR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data'!$S$13:$S$17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0.49</c:v>
                </c:pt>
                <c:pt idx="4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'Water Graph data'!$T$12</c:f>
              <c:strCache>
                <c:ptCount val="1"/>
                <c:pt idx="0">
                  <c:v>SRN Coliforms at SR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'Water Graph data'!$O$13:$O$17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data'!$T$13:$T$17</c:f>
              <c:numCache>
                <c:formatCode>General</c:formatCode>
                <c:ptCount val="5"/>
                <c:pt idx="3">
                  <c:v>0.49</c:v>
                </c:pt>
                <c:pt idx="4">
                  <c:v>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58184"/>
        <c:axId val="576555832"/>
      </c:scatterChart>
      <c:valAx>
        <c:axId val="576558184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5832"/>
        <c:crosses val="autoZero"/>
        <c:crossBetween val="midCat"/>
        <c:majorUnit val="1"/>
      </c:valAx>
      <c:valAx>
        <c:axId val="576555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581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Turbidity failure</a:t>
            </a:r>
            <a:r>
              <a:rPr lang="en-GB" baseline="0"/>
              <a:t> at WTW</a:t>
            </a:r>
            <a:r>
              <a:rPr lang="en-GB"/>
              <a:t> (nr)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'Water Graph data'!$P$20</c:f>
              <c:strCache>
                <c:ptCount val="1"/>
                <c:pt idx="0">
                  <c:v>Lower-Limit</c:v>
                </c:pt>
              </c:strCache>
            </c:strRef>
          </c:tx>
          <c:spPr>
            <a:ln w="19050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data'!$P$21:$P$25</c:f>
              <c:numCache>
                <c:formatCode>General</c:formatCode>
                <c:ptCount val="5"/>
                <c:pt idx="0" formatCode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'Water Graph data'!$Q$20</c:f>
              <c:strCache>
                <c:ptCount val="1"/>
                <c:pt idx="0">
                  <c:v>Upper-Limit</c:v>
                </c:pt>
              </c:strCache>
            </c:strRef>
          </c:tx>
          <c:spPr>
            <a:ln w="95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data'!$Q$21:$Q$25</c:f>
              <c:numCache>
                <c:formatCode>General</c:formatCode>
                <c:ptCount val="5"/>
                <c:pt idx="0" formatCode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'Water Graph data'!$R$20</c:f>
              <c:strCache>
                <c:ptCount val="1"/>
                <c:pt idx="0">
                  <c:v>Reference</c:v>
                </c:pt>
              </c:strCache>
            </c:strRef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'Water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data'!$R$21:$R$25</c:f>
              <c:numCache>
                <c:formatCode>General</c:formatCode>
                <c:ptCount val="5"/>
                <c:pt idx="0" formatCode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'Water Graph data'!$S$20</c:f>
              <c:strCache>
                <c:ptCount val="1"/>
                <c:pt idx="0">
                  <c:v>SRN Turbidity - actual</c:v>
                </c:pt>
              </c:strCache>
            </c:strRef>
          </c:tx>
          <c:spPr>
            <a:ln w="1270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'Water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data'!$S$21:$S$25</c:f>
              <c:numCache>
                <c:formatCode>#,##0</c:formatCode>
                <c:ptCount val="5"/>
                <c:pt idx="0" formatCode="General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'Water Graph data'!$T$20</c:f>
              <c:strCache>
                <c:ptCount val="1"/>
                <c:pt idx="0">
                  <c:v>SRN Turbidity - forecast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'Water Graph data'!$O$21:$O$25</c:f>
              <c:numCache>
                <c:formatCode>General</c:formatCode>
                <c:ptCount val="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</c:numCache>
            </c:numRef>
          </c:xVal>
          <c:yVal>
            <c:numRef>
              <c:f>'Water Graph data'!$T$21:$T$25</c:f>
              <c:numCache>
                <c:formatCode>General</c:formatCode>
                <c:ptCount val="5"/>
                <c:pt idx="3" formatCode="#,##0">
                  <c:v>0</c:v>
                </c:pt>
                <c:pt idx="4" formatCode="#,##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6547600"/>
        <c:axId val="576548776"/>
      </c:scatterChart>
      <c:valAx>
        <c:axId val="576547600"/>
        <c:scaling>
          <c:orientation val="minMax"/>
          <c:max val="2015"/>
          <c:min val="201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8776"/>
        <c:crosses val="autoZero"/>
        <c:crossBetween val="midCat"/>
        <c:majorUnit val="1"/>
      </c:valAx>
      <c:valAx>
        <c:axId val="576548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65476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Relationship Id="rId6" Type="http://schemas.openxmlformats.org/officeDocument/2006/relationships/chart" Target="../charts/chart17.xml"/><Relationship Id="rId5" Type="http://schemas.openxmlformats.org/officeDocument/2006/relationships/chart" Target="../charts/chart16.xml"/><Relationship Id="rId4" Type="http://schemas.openxmlformats.org/officeDocument/2006/relationships/chart" Target="../charts/chart1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65442</xdr:colOff>
      <xdr:row>0</xdr:row>
      <xdr:rowOff>96819</xdr:rowOff>
    </xdr:from>
    <xdr:to>
      <xdr:col>8</xdr:col>
      <xdr:colOff>60960</xdr:colOff>
      <xdr:row>15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17928</xdr:rowOff>
    </xdr:from>
    <xdr:to>
      <xdr:col>8</xdr:col>
      <xdr:colOff>295835</xdr:colOff>
      <xdr:row>33</xdr:row>
      <xdr:rowOff>132230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84268</xdr:colOff>
      <xdr:row>0</xdr:row>
      <xdr:rowOff>95623</xdr:rowOff>
    </xdr:from>
    <xdr:to>
      <xdr:col>19</xdr:col>
      <xdr:colOff>441960</xdr:colOff>
      <xdr:row>17</xdr:row>
      <xdr:rowOff>167640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47802</xdr:colOff>
      <xdr:row>34</xdr:row>
      <xdr:rowOff>10886</xdr:rowOff>
    </xdr:from>
    <xdr:to>
      <xdr:col>8</xdr:col>
      <xdr:colOff>235216</xdr:colOff>
      <xdr:row>49</xdr:row>
      <xdr:rowOff>87086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8</xdr:col>
      <xdr:colOff>332550</xdr:colOff>
      <xdr:row>18</xdr:row>
      <xdr:rowOff>130627</xdr:rowOff>
    </xdr:from>
    <xdr:to>
      <xdr:col>15</xdr:col>
      <xdr:colOff>216435</xdr:colOff>
      <xdr:row>34</xdr:row>
      <xdr:rowOff>32657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245890</xdr:colOff>
      <xdr:row>18</xdr:row>
      <xdr:rowOff>102025</xdr:rowOff>
    </xdr:from>
    <xdr:to>
      <xdr:col>22</xdr:col>
      <xdr:colOff>661603</xdr:colOff>
      <xdr:row>34</xdr:row>
      <xdr:rowOff>15485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55563</xdr:colOff>
      <xdr:row>1</xdr:row>
      <xdr:rowOff>0</xdr:rowOff>
    </xdr:from>
    <xdr:to>
      <xdr:col>8</xdr:col>
      <xdr:colOff>7621</xdr:colOff>
      <xdr:row>16</xdr:row>
      <xdr:rowOff>160020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</xdr:row>
      <xdr:rowOff>0</xdr:rowOff>
    </xdr:from>
    <xdr:to>
      <xdr:col>15</xdr:col>
      <xdr:colOff>548640</xdr:colOff>
      <xdr:row>16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23</xdr:col>
      <xdr:colOff>548640</xdr:colOff>
      <xdr:row>16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8</xdr:col>
      <xdr:colOff>357188</xdr:colOff>
      <xdr:row>35</xdr:row>
      <xdr:rowOff>38100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571500</xdr:colOff>
      <xdr:row>35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160020</xdr:rowOff>
    </xdr:from>
    <xdr:to>
      <xdr:col>6</xdr:col>
      <xdr:colOff>548640</xdr:colOff>
      <xdr:row>16</xdr:row>
      <xdr:rowOff>99060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1</xdr:row>
      <xdr:rowOff>0</xdr:rowOff>
    </xdr:from>
    <xdr:to>
      <xdr:col>13</xdr:col>
      <xdr:colOff>548640</xdr:colOff>
      <xdr:row>16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20</xdr:col>
      <xdr:colOff>548640</xdr:colOff>
      <xdr:row>16</xdr:row>
      <xdr:rowOff>114300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19</xdr:row>
      <xdr:rowOff>0</xdr:rowOff>
    </xdr:from>
    <xdr:to>
      <xdr:col>6</xdr:col>
      <xdr:colOff>548640</xdr:colOff>
      <xdr:row>35</xdr:row>
      <xdr:rowOff>160020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19</xdr:row>
      <xdr:rowOff>0</xdr:rowOff>
    </xdr:from>
    <xdr:to>
      <xdr:col>14</xdr:col>
      <xdr:colOff>7620</xdr:colOff>
      <xdr:row>34</xdr:row>
      <xdr:rowOff>144780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14</xdr:col>
      <xdr:colOff>76200</xdr:colOff>
      <xdr:row>18</xdr:row>
      <xdr:rowOff>144780</xdr:rowOff>
    </xdr:from>
    <xdr:to>
      <xdr:col>20</xdr:col>
      <xdr:colOff>624840</xdr:colOff>
      <xdr:row>34</xdr:row>
      <xdr:rowOff>83820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8</xdr:col>
      <xdr:colOff>220980</xdr:colOff>
      <xdr:row>16</xdr:row>
      <xdr:rowOff>114300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1</xdr:row>
      <xdr:rowOff>30480</xdr:rowOff>
    </xdr:from>
    <xdr:to>
      <xdr:col>15</xdr:col>
      <xdr:colOff>609600</xdr:colOff>
      <xdr:row>16</xdr:row>
      <xdr:rowOff>144780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91440</xdr:colOff>
      <xdr:row>1</xdr:row>
      <xdr:rowOff>22860</xdr:rowOff>
    </xdr:from>
    <xdr:to>
      <xdr:col>22</xdr:col>
      <xdr:colOff>640080</xdr:colOff>
      <xdr:row>16</xdr:row>
      <xdr:rowOff>137160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W67"/>
  <sheetViews>
    <sheetView topLeftCell="A31" zoomScale="70" zoomScaleNormal="70" zoomScalePageLayoutView="150" workbookViewId="0">
      <selection activeCell="AV28" sqref="AV28"/>
    </sheetView>
  </sheetViews>
  <sheetFormatPr defaultColWidth="8" defaultRowHeight="13.2" x14ac:dyDescent="0.25"/>
  <cols>
    <col min="1" max="1" width="26.59765625" style="51" bestFit="1" customWidth="1"/>
    <col min="2" max="2" width="17.19921875" style="51" bestFit="1" customWidth="1"/>
    <col min="3" max="4" width="9.3984375" style="51" customWidth="1"/>
    <col min="5" max="5" width="18.3984375" style="51" customWidth="1"/>
    <col min="6" max="6" width="10.5" style="51" customWidth="1"/>
    <col min="7" max="7" width="10.3984375" style="51" customWidth="1"/>
    <col min="8" max="8" width="1.5" style="51" customWidth="1"/>
    <col min="9" max="9" width="15.296875" style="51" customWidth="1"/>
    <col min="10" max="10" width="9.8984375" style="51" customWidth="1"/>
    <col min="11" max="11" width="9.296875" style="51" customWidth="1"/>
    <col min="12" max="13" width="8" style="51"/>
    <col min="14" max="14" width="1.5" style="51" customWidth="1"/>
    <col min="15" max="15" width="8" style="51"/>
    <col min="16" max="17" width="11.296875" style="51" bestFit="1" customWidth="1"/>
    <col min="18" max="18" width="11.59765625" style="51" customWidth="1"/>
    <col min="19" max="19" width="1.5" style="51" customWidth="1"/>
    <col min="20" max="23" width="8" style="51"/>
    <col min="24" max="24" width="9.09765625" style="51" customWidth="1"/>
    <col min="25" max="25" width="1.3984375" style="51" customWidth="1"/>
    <col min="26" max="28" width="8" style="51"/>
    <col min="29" max="29" width="11.59765625" style="51" customWidth="1"/>
    <col min="30" max="30" width="14.296875" style="51" customWidth="1"/>
    <col min="31" max="31" width="1.5" style="51" customWidth="1"/>
    <col min="32" max="36" width="8" style="51"/>
    <col min="37" max="37" width="1.3984375" style="51" customWidth="1"/>
    <col min="38" max="42" width="8" style="51"/>
    <col min="43" max="43" width="1.3984375" style="51" customWidth="1"/>
    <col min="44" max="16384" width="8" style="51"/>
  </cols>
  <sheetData>
    <row r="1" spans="1:49" ht="15.45" x14ac:dyDescent="0.35">
      <c r="A1" s="309" t="s">
        <v>127</v>
      </c>
      <c r="B1" s="309"/>
      <c r="C1" s="309"/>
      <c r="D1" s="309"/>
      <c r="E1" s="309"/>
      <c r="F1" s="309"/>
      <c r="G1" s="309"/>
      <c r="H1" s="309"/>
      <c r="I1" s="309"/>
    </row>
    <row r="3" spans="1:49" ht="16.05" thickBot="1" x14ac:dyDescent="0.4">
      <c r="A3" s="52" t="s">
        <v>128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4"/>
      <c r="AS3" s="54"/>
      <c r="AT3" s="54"/>
      <c r="AU3" s="54"/>
      <c r="AV3" s="54"/>
    </row>
    <row r="4" spans="1:49" ht="13.8" thickBot="1" x14ac:dyDescent="0.3">
      <c r="A4" s="310" t="s">
        <v>129</v>
      </c>
      <c r="B4" s="311"/>
      <c r="C4" s="311"/>
      <c r="D4" s="311"/>
      <c r="E4" s="303" t="s">
        <v>130</v>
      </c>
      <c r="F4" s="312" t="s">
        <v>131</v>
      </c>
      <c r="G4" s="306"/>
    </row>
    <row r="5" spans="1:49" ht="28.5" customHeight="1" thickBot="1" x14ac:dyDescent="0.35">
      <c r="A5" s="55" t="s">
        <v>132</v>
      </c>
      <c r="B5" s="56" t="s">
        <v>133</v>
      </c>
      <c r="C5" s="56" t="s">
        <v>134</v>
      </c>
      <c r="D5" s="57" t="s">
        <v>135</v>
      </c>
      <c r="E5" s="304"/>
      <c r="F5" s="58" t="s">
        <v>136</v>
      </c>
      <c r="G5" s="59" t="s">
        <v>137</v>
      </c>
      <c r="H5" s="60"/>
    </row>
    <row r="6" spans="1:49" ht="16.05" thickBot="1" x14ac:dyDescent="0.4">
      <c r="A6" s="61">
        <v>128.7100427254438</v>
      </c>
      <c r="B6" s="62">
        <v>7.38</v>
      </c>
      <c r="C6" s="62">
        <f>A6-B6</f>
        <v>121.3300427254438</v>
      </c>
      <c r="D6" s="62">
        <v>123.83731225166589</v>
      </c>
      <c r="E6" s="63">
        <f>D6*0.5</f>
        <v>61.918656125832946</v>
      </c>
      <c r="F6" s="64">
        <v>111.30000000000001</v>
      </c>
      <c r="G6" s="65">
        <v>113.6</v>
      </c>
      <c r="H6" s="60"/>
    </row>
    <row r="7" spans="1:49" ht="13.05" thickBot="1" x14ac:dyDescent="0.3"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49" ht="12.75" customHeight="1" x14ac:dyDescent="0.25">
      <c r="A8" s="287" t="s">
        <v>138</v>
      </c>
      <c r="B8" s="288"/>
      <c r="C8" s="288"/>
      <c r="D8" s="288"/>
      <c r="E8" s="288"/>
      <c r="F8" s="288"/>
      <c r="G8" s="289"/>
      <c r="H8" s="66"/>
      <c r="I8" s="290" t="s">
        <v>139</v>
      </c>
      <c r="J8" s="291"/>
      <c r="K8" s="291"/>
      <c r="L8" s="291"/>
      <c r="M8" s="292"/>
      <c r="N8" s="66"/>
      <c r="O8" s="277" t="s">
        <v>140</v>
      </c>
      <c r="P8" s="278"/>
      <c r="Q8" s="278"/>
      <c r="R8" s="279"/>
      <c r="S8" s="66"/>
      <c r="T8" s="277" t="s">
        <v>141</v>
      </c>
      <c r="U8" s="278"/>
      <c r="V8" s="278"/>
      <c r="W8" s="278"/>
      <c r="X8" s="279"/>
      <c r="Y8" s="67"/>
      <c r="Z8" s="277" t="s">
        <v>142</v>
      </c>
      <c r="AA8" s="278"/>
      <c r="AB8" s="278"/>
      <c r="AC8" s="278"/>
      <c r="AD8" s="279"/>
      <c r="AF8" s="277" t="s">
        <v>143</v>
      </c>
      <c r="AG8" s="278"/>
      <c r="AH8" s="278"/>
      <c r="AI8" s="278"/>
      <c r="AJ8" s="279"/>
      <c r="AK8" s="67"/>
      <c r="AL8" s="277" t="s">
        <v>144</v>
      </c>
      <c r="AM8" s="278"/>
      <c r="AN8" s="278"/>
      <c r="AO8" s="278"/>
      <c r="AP8" s="279"/>
      <c r="AQ8" s="67"/>
      <c r="AR8" s="277" t="s">
        <v>145</v>
      </c>
      <c r="AS8" s="278"/>
      <c r="AT8" s="278"/>
      <c r="AU8" s="278"/>
      <c r="AV8" s="279"/>
    </row>
    <row r="9" spans="1:49" ht="36.75" customHeight="1" thickBot="1" x14ac:dyDescent="0.3">
      <c r="A9" s="313"/>
      <c r="B9" s="314"/>
      <c r="C9" s="315"/>
      <c r="D9" s="316" t="s">
        <v>146</v>
      </c>
      <c r="E9" s="317"/>
      <c r="F9" s="317"/>
      <c r="G9" s="318"/>
      <c r="H9" s="68"/>
      <c r="I9" s="69"/>
      <c r="J9" s="70" t="s">
        <v>147</v>
      </c>
      <c r="K9" s="71" t="s">
        <v>148</v>
      </c>
      <c r="L9" s="71" t="s">
        <v>149</v>
      </c>
      <c r="M9" s="72" t="s">
        <v>150</v>
      </c>
      <c r="N9" s="68"/>
      <c r="O9" s="293"/>
      <c r="P9" s="294"/>
      <c r="Q9" s="294"/>
      <c r="R9" s="295"/>
      <c r="S9" s="68"/>
      <c r="T9" s="293"/>
      <c r="U9" s="294"/>
      <c r="V9" s="294"/>
      <c r="W9" s="294"/>
      <c r="X9" s="295"/>
      <c r="Y9" s="68"/>
      <c r="Z9" s="293"/>
      <c r="AA9" s="294"/>
      <c r="AB9" s="294"/>
      <c r="AC9" s="294"/>
      <c r="AD9" s="295"/>
      <c r="AF9" s="293"/>
      <c r="AG9" s="294"/>
      <c r="AH9" s="294"/>
      <c r="AI9" s="294"/>
      <c r="AJ9" s="295"/>
      <c r="AK9" s="68"/>
      <c r="AL9" s="280"/>
      <c r="AM9" s="281"/>
      <c r="AN9" s="281"/>
      <c r="AO9" s="281"/>
      <c r="AP9" s="282"/>
      <c r="AQ9" s="68"/>
      <c r="AR9" s="280"/>
      <c r="AS9" s="281"/>
      <c r="AT9" s="281"/>
      <c r="AU9" s="281"/>
      <c r="AV9" s="282"/>
    </row>
    <row r="10" spans="1:49" ht="25.95" thickBot="1" x14ac:dyDescent="0.35">
      <c r="A10" s="73" t="s">
        <v>151</v>
      </c>
      <c r="B10" s="74" t="s">
        <v>152</v>
      </c>
      <c r="C10" s="74" t="s">
        <v>153</v>
      </c>
      <c r="D10" s="75" t="s">
        <v>147</v>
      </c>
      <c r="E10" s="74" t="s">
        <v>148</v>
      </c>
      <c r="F10" s="74" t="s">
        <v>149</v>
      </c>
      <c r="G10" s="76" t="s">
        <v>150</v>
      </c>
      <c r="H10" s="68"/>
      <c r="I10" s="77" t="s">
        <v>154</v>
      </c>
      <c r="J10" s="78">
        <f>$E$6/4</f>
        <v>15.479664031458237</v>
      </c>
      <c r="K10" s="78">
        <f>$E$6/4</f>
        <v>15.479664031458237</v>
      </c>
      <c r="L10" s="78">
        <f>$E$6/4</f>
        <v>15.479664031458237</v>
      </c>
      <c r="M10" s="79">
        <f>$E$6/4</f>
        <v>15.479664031458237</v>
      </c>
      <c r="N10" s="68"/>
      <c r="O10" s="80" t="s">
        <v>147</v>
      </c>
      <c r="P10" s="71" t="s">
        <v>148</v>
      </c>
      <c r="Q10" s="71" t="s">
        <v>149</v>
      </c>
      <c r="R10" s="72" t="s">
        <v>150</v>
      </c>
      <c r="S10" s="68"/>
      <c r="T10" s="80" t="s">
        <v>147</v>
      </c>
      <c r="U10" s="71" t="s">
        <v>148</v>
      </c>
      <c r="V10" s="71" t="s">
        <v>149</v>
      </c>
      <c r="W10" s="71" t="s">
        <v>150</v>
      </c>
      <c r="X10" s="72" t="s">
        <v>155</v>
      </c>
      <c r="Y10" s="81"/>
      <c r="Z10" s="80" t="s">
        <v>147</v>
      </c>
      <c r="AA10" s="71" t="s">
        <v>148</v>
      </c>
      <c r="AB10" s="71" t="s">
        <v>149</v>
      </c>
      <c r="AC10" s="71" t="s">
        <v>150</v>
      </c>
      <c r="AD10" s="72" t="s">
        <v>155</v>
      </c>
      <c r="AF10" s="82" t="s">
        <v>147</v>
      </c>
      <c r="AG10" s="83" t="s">
        <v>148</v>
      </c>
      <c r="AH10" s="83" t="s">
        <v>149</v>
      </c>
      <c r="AI10" s="83" t="s">
        <v>150</v>
      </c>
      <c r="AJ10" s="84" t="s">
        <v>155</v>
      </c>
      <c r="AK10" s="81"/>
      <c r="AL10" s="82" t="s">
        <v>147</v>
      </c>
      <c r="AM10" s="83" t="s">
        <v>148</v>
      </c>
      <c r="AN10" s="83" t="s">
        <v>149</v>
      </c>
      <c r="AO10" s="83" t="s">
        <v>150</v>
      </c>
      <c r="AP10" s="84" t="s">
        <v>155</v>
      </c>
      <c r="AQ10" s="81"/>
      <c r="AR10" s="82" t="s">
        <v>147</v>
      </c>
      <c r="AS10" s="83" t="s">
        <v>148</v>
      </c>
      <c r="AT10" s="83" t="s">
        <v>149</v>
      </c>
      <c r="AU10" s="83" t="s">
        <v>150</v>
      </c>
      <c r="AV10" s="84" t="s">
        <v>155</v>
      </c>
    </row>
    <row r="11" spans="1:49" ht="12.45" x14ac:dyDescent="0.25">
      <c r="A11" s="69" t="s">
        <v>156</v>
      </c>
      <c r="B11" s="85">
        <v>203</v>
      </c>
      <c r="C11" s="85">
        <v>254</v>
      </c>
      <c r="D11" s="85">
        <v>178</v>
      </c>
      <c r="E11" s="85">
        <v>189</v>
      </c>
      <c r="F11" s="85">
        <v>223</v>
      </c>
      <c r="G11" s="86">
        <v>234</v>
      </c>
      <c r="H11" s="68"/>
      <c r="I11" s="87">
        <f t="shared" ref="I11:I16" si="0">$E$6/6</f>
        <v>10.319776020972158</v>
      </c>
      <c r="J11" s="88">
        <f t="shared" ref="J11:M16" si="1">J$10/6</f>
        <v>2.5799440052430396</v>
      </c>
      <c r="K11" s="89">
        <f t="shared" si="1"/>
        <v>2.5799440052430396</v>
      </c>
      <c r="L11" s="89">
        <f t="shared" si="1"/>
        <v>2.5799440052430396</v>
      </c>
      <c r="M11" s="90">
        <f t="shared" si="1"/>
        <v>2.5799440052430396</v>
      </c>
      <c r="N11" s="68"/>
      <c r="O11" s="91">
        <f t="shared" ref="O11:R16" si="2">((D11-$C11)/($C11-$B11))</f>
        <v>-1.4901960784313726</v>
      </c>
      <c r="P11" s="92">
        <f t="shared" si="2"/>
        <v>-1.2745098039215685</v>
      </c>
      <c r="Q11" s="92">
        <f t="shared" si="2"/>
        <v>-0.60784313725490191</v>
      </c>
      <c r="R11" s="93">
        <f t="shared" si="2"/>
        <v>-0.39215686274509803</v>
      </c>
      <c r="S11" s="68"/>
      <c r="T11" s="94">
        <f t="shared" ref="T11:W16" si="3">J11*O11</f>
        <v>-3.8446224391857062</v>
      </c>
      <c r="U11" s="89">
        <f t="shared" si="3"/>
        <v>-3.2881639282509325</v>
      </c>
      <c r="V11" s="89">
        <f t="shared" si="3"/>
        <v>-1.5682012580889062</v>
      </c>
      <c r="W11" s="89">
        <f t="shared" si="3"/>
        <v>-1.0117427471541331</v>
      </c>
      <c r="X11" s="79">
        <f>SUMIF(T11:W11,"&gt;0")</f>
        <v>0</v>
      </c>
      <c r="Y11" s="95"/>
      <c r="Z11" s="94">
        <v>-3.8446224391857062</v>
      </c>
      <c r="AA11" s="89">
        <v>-3.2881639282509325</v>
      </c>
      <c r="AB11" s="89">
        <v>-1.5682012580889062</v>
      </c>
      <c r="AC11" s="89">
        <v>-2.5799440052430396</v>
      </c>
      <c r="AD11" s="79">
        <f>SUMIF(Z11:AC11,"&gt;0")</f>
        <v>0</v>
      </c>
      <c r="AF11" s="96"/>
      <c r="AG11" s="97"/>
      <c r="AH11" s="97"/>
      <c r="AI11" s="97"/>
      <c r="AJ11" s="98"/>
      <c r="AK11" s="99"/>
      <c r="AL11" s="100"/>
      <c r="AM11" s="101"/>
      <c r="AN11" s="101"/>
      <c r="AO11" s="101"/>
      <c r="AP11" s="98"/>
      <c r="AQ11" s="99"/>
      <c r="AR11" s="102"/>
      <c r="AS11" s="103"/>
      <c r="AT11" s="103"/>
      <c r="AU11" s="103"/>
      <c r="AV11" s="104"/>
    </row>
    <row r="12" spans="1:49" ht="13.05" x14ac:dyDescent="0.3">
      <c r="A12" s="69" t="s">
        <v>157</v>
      </c>
      <c r="B12" s="85">
        <v>125</v>
      </c>
      <c r="C12" s="85">
        <v>160</v>
      </c>
      <c r="D12" s="85">
        <v>200</v>
      </c>
      <c r="E12" s="85">
        <v>144</v>
      </c>
      <c r="F12" s="85">
        <v>138</v>
      </c>
      <c r="G12" s="86">
        <v>150</v>
      </c>
      <c r="H12" s="68"/>
      <c r="I12" s="87">
        <f t="shared" si="0"/>
        <v>10.319776020972158</v>
      </c>
      <c r="J12" s="88">
        <f t="shared" si="1"/>
        <v>2.5799440052430396</v>
      </c>
      <c r="K12" s="89">
        <f t="shared" si="1"/>
        <v>2.5799440052430396</v>
      </c>
      <c r="L12" s="89">
        <f t="shared" si="1"/>
        <v>2.5799440052430396</v>
      </c>
      <c r="M12" s="90">
        <f t="shared" si="1"/>
        <v>2.5799440052430396</v>
      </c>
      <c r="N12" s="68"/>
      <c r="O12" s="91">
        <f t="shared" si="2"/>
        <v>1.1428571428571428</v>
      </c>
      <c r="P12" s="92">
        <f t="shared" si="2"/>
        <v>-0.45714285714285713</v>
      </c>
      <c r="Q12" s="92">
        <f t="shared" si="2"/>
        <v>-0.62857142857142856</v>
      </c>
      <c r="R12" s="93">
        <f t="shared" si="2"/>
        <v>-0.2857142857142857</v>
      </c>
      <c r="S12" s="68"/>
      <c r="T12" s="94">
        <f t="shared" si="3"/>
        <v>2.9485074345634734</v>
      </c>
      <c r="U12" s="89">
        <f t="shared" si="3"/>
        <v>-1.1794029738253895</v>
      </c>
      <c r="V12" s="89">
        <f t="shared" si="3"/>
        <v>-1.6216790890099106</v>
      </c>
      <c r="W12" s="89">
        <f t="shared" si="3"/>
        <v>-0.73712685864086835</v>
      </c>
      <c r="X12" s="79">
        <f>SUMIF(T12:W12,"&gt;0")</f>
        <v>2.9485074345634734</v>
      </c>
      <c r="Y12" s="95"/>
      <c r="Z12" s="105">
        <f>J12*1</f>
        <v>2.5799440052430396</v>
      </c>
      <c r="AA12" s="89">
        <v>-1.1794029738253895</v>
      </c>
      <c r="AB12" s="89">
        <v>-1.6216790890099106</v>
      </c>
      <c r="AC12" s="89">
        <v>-2.5799440052430396</v>
      </c>
      <c r="AD12" s="79">
        <f>SUMIF(Z12:AC12,"&gt;0")</f>
        <v>2.5799440052430396</v>
      </c>
      <c r="AF12" s="106"/>
      <c r="AG12" s="107"/>
      <c r="AH12" s="107"/>
      <c r="AI12" s="107"/>
      <c r="AJ12" s="108"/>
      <c r="AK12" s="99"/>
      <c r="AL12" s="109"/>
      <c r="AM12" s="110"/>
      <c r="AN12" s="110"/>
      <c r="AO12" s="110"/>
      <c r="AP12" s="108"/>
      <c r="AR12" s="111"/>
      <c r="AS12" s="112"/>
      <c r="AT12" s="112"/>
      <c r="AU12" s="112"/>
      <c r="AV12" s="113"/>
      <c r="AW12" s="114" t="s">
        <v>158</v>
      </c>
    </row>
    <row r="13" spans="1:49" ht="13.05" x14ac:dyDescent="0.3">
      <c r="A13" s="69" t="s">
        <v>159</v>
      </c>
      <c r="B13" s="85">
        <v>210</v>
      </c>
      <c r="C13" s="85">
        <v>290</v>
      </c>
      <c r="D13" s="85">
        <v>288</v>
      </c>
      <c r="E13" s="85">
        <v>354</v>
      </c>
      <c r="F13" s="85">
        <v>315</v>
      </c>
      <c r="G13" s="86">
        <v>315</v>
      </c>
      <c r="H13" s="68"/>
      <c r="I13" s="87">
        <f t="shared" si="0"/>
        <v>10.319776020972158</v>
      </c>
      <c r="J13" s="88">
        <f t="shared" si="1"/>
        <v>2.5799440052430396</v>
      </c>
      <c r="K13" s="89">
        <f t="shared" si="1"/>
        <v>2.5799440052430396</v>
      </c>
      <c r="L13" s="89">
        <f t="shared" si="1"/>
        <v>2.5799440052430396</v>
      </c>
      <c r="M13" s="90">
        <f t="shared" si="1"/>
        <v>2.5799440052430396</v>
      </c>
      <c r="N13" s="68"/>
      <c r="O13" s="91">
        <f t="shared" si="2"/>
        <v>-2.5000000000000001E-2</v>
      </c>
      <c r="P13" s="92">
        <f t="shared" si="2"/>
        <v>0.8</v>
      </c>
      <c r="Q13" s="92">
        <f t="shared" si="2"/>
        <v>0.3125</v>
      </c>
      <c r="R13" s="93">
        <f t="shared" si="2"/>
        <v>0.3125</v>
      </c>
      <c r="S13" s="68"/>
      <c r="T13" s="94">
        <f t="shared" si="3"/>
        <v>-6.4498600131075987E-2</v>
      </c>
      <c r="U13" s="89">
        <f>K13*P13</f>
        <v>2.0639552041944316</v>
      </c>
      <c r="V13" s="89">
        <f t="shared" si="3"/>
        <v>0.80623250163844984</v>
      </c>
      <c r="W13" s="89">
        <f t="shared" si="3"/>
        <v>0.80623250163844984</v>
      </c>
      <c r="X13" s="79">
        <f t="shared" ref="X13:X16" si="4">SUMIF(T13:W13,"&gt;0")</f>
        <v>3.6764202074713315</v>
      </c>
      <c r="Y13" s="95"/>
      <c r="Z13" s="94">
        <v>-6.4498600131075987E-2</v>
      </c>
      <c r="AA13" s="89">
        <v>2.0639552041944316</v>
      </c>
      <c r="AB13" s="89">
        <v>0.80623250163844984</v>
      </c>
      <c r="AC13" s="89">
        <v>0.80623250163844984</v>
      </c>
      <c r="AD13" s="79">
        <f t="shared" ref="AD13:AD16" si="5">SUMIF(Z13:AC13,"&gt;0")</f>
        <v>3.6764202074713315</v>
      </c>
      <c r="AF13" s="115">
        <f>IF(Z13&gt;0,Z13,0)</f>
        <v>0</v>
      </c>
      <c r="AG13" s="116">
        <f t="shared" ref="AG13:AI13" si="6">IF(AA13&gt;0,AA13,0)</f>
        <v>2.0639552041944316</v>
      </c>
      <c r="AH13" s="116">
        <f t="shared" si="6"/>
        <v>0.80623250163844984</v>
      </c>
      <c r="AI13" s="116">
        <f t="shared" si="6"/>
        <v>0.80623250163844984</v>
      </c>
      <c r="AJ13" s="117">
        <f t="shared" ref="AJ13" si="7">SUM(AF13:AI13)</f>
        <v>3.6764202074713315</v>
      </c>
      <c r="AK13" s="95"/>
      <c r="AL13" s="118">
        <f>AF13</f>
        <v>0</v>
      </c>
      <c r="AM13" s="116">
        <f t="shared" ref="AM13:AO13" si="8">AG13</f>
        <v>2.0639552041944316</v>
      </c>
      <c r="AN13" s="116">
        <f t="shared" si="8"/>
        <v>0.80623250163844984</v>
      </c>
      <c r="AO13" s="116">
        <f t="shared" si="8"/>
        <v>0.80623250163844984</v>
      </c>
      <c r="AP13" s="117">
        <f>SUM(AL13:AO13)</f>
        <v>3.6764202074713315</v>
      </c>
      <c r="AR13" s="195">
        <v>0</v>
      </c>
      <c r="AS13" s="119">
        <v>1.8318912241955387</v>
      </c>
      <c r="AT13" s="119">
        <v>0.7127201794135769</v>
      </c>
      <c r="AU13" s="119">
        <v>0.7098692986959223</v>
      </c>
      <c r="AV13" s="120">
        <f>SUM(AR13:AU13)</f>
        <v>3.2544807023050382</v>
      </c>
      <c r="AW13" s="114" t="s">
        <v>160</v>
      </c>
    </row>
    <row r="14" spans="1:49" ht="13.05" x14ac:dyDescent="0.3">
      <c r="A14" s="69" t="s">
        <v>161</v>
      </c>
      <c r="B14" s="85">
        <v>25</v>
      </c>
      <c r="C14" s="85">
        <v>47</v>
      </c>
      <c r="D14" s="85">
        <v>15</v>
      </c>
      <c r="E14" s="85">
        <v>36</v>
      </c>
      <c r="F14" s="85">
        <v>74</v>
      </c>
      <c r="G14" s="86">
        <v>22</v>
      </c>
      <c r="H14" s="68"/>
      <c r="I14" s="87">
        <f t="shared" si="0"/>
        <v>10.319776020972158</v>
      </c>
      <c r="J14" s="88">
        <f t="shared" si="1"/>
        <v>2.5799440052430396</v>
      </c>
      <c r="K14" s="89">
        <f t="shared" si="1"/>
        <v>2.5799440052430396</v>
      </c>
      <c r="L14" s="89">
        <f t="shared" si="1"/>
        <v>2.5799440052430396</v>
      </c>
      <c r="M14" s="90">
        <f t="shared" si="1"/>
        <v>2.5799440052430396</v>
      </c>
      <c r="N14" s="68"/>
      <c r="O14" s="91">
        <f t="shared" si="2"/>
        <v>-1.4545454545454546</v>
      </c>
      <c r="P14" s="92">
        <f t="shared" si="2"/>
        <v>-0.5</v>
      </c>
      <c r="Q14" s="92">
        <f t="shared" si="2"/>
        <v>1.2272727272727273</v>
      </c>
      <c r="R14" s="93">
        <f t="shared" si="2"/>
        <v>-1.1363636363636365</v>
      </c>
      <c r="S14" s="68"/>
      <c r="T14" s="94">
        <f t="shared" si="3"/>
        <v>-3.7526458258080577</v>
      </c>
      <c r="U14" s="89">
        <f t="shared" si="3"/>
        <v>-1.2899720026215198</v>
      </c>
      <c r="V14" s="89">
        <f t="shared" si="3"/>
        <v>3.1662949155255484</v>
      </c>
      <c r="W14" s="89">
        <f t="shared" si="3"/>
        <v>-2.9317545514125452</v>
      </c>
      <c r="X14" s="79">
        <f t="shared" si="4"/>
        <v>3.1662949155255484</v>
      </c>
      <c r="Y14" s="95"/>
      <c r="Z14" s="94">
        <v>-3.7526458258080577</v>
      </c>
      <c r="AA14" s="89">
        <v>-1.2899720026215198</v>
      </c>
      <c r="AB14" s="121">
        <f>L14*1</f>
        <v>2.5799440052430396</v>
      </c>
      <c r="AC14" s="89">
        <v>-2.5799440052430396</v>
      </c>
      <c r="AD14" s="79">
        <f t="shared" si="5"/>
        <v>2.5799440052430396</v>
      </c>
      <c r="AF14" s="115"/>
      <c r="AG14" s="116"/>
      <c r="AH14" s="116"/>
      <c r="AI14" s="116"/>
      <c r="AJ14" s="117"/>
      <c r="AK14" s="95"/>
      <c r="AL14" s="115"/>
      <c r="AM14" s="116"/>
      <c r="AN14" s="116"/>
      <c r="AO14" s="116"/>
      <c r="AP14" s="117"/>
      <c r="AR14" s="122"/>
      <c r="AS14" s="123"/>
      <c r="AT14" s="123"/>
      <c r="AU14" s="123"/>
      <c r="AV14" s="124"/>
      <c r="AW14" s="114" t="s">
        <v>158</v>
      </c>
    </row>
    <row r="15" spans="1:49" ht="12.45" x14ac:dyDescent="0.25">
      <c r="A15" s="69" t="s">
        <v>162</v>
      </c>
      <c r="B15" s="85">
        <v>11085</v>
      </c>
      <c r="C15" s="85">
        <v>12193</v>
      </c>
      <c r="D15" s="125">
        <v>11813</v>
      </c>
      <c r="E15" s="125">
        <v>12130</v>
      </c>
      <c r="F15" s="125">
        <v>10858</v>
      </c>
      <c r="G15" s="126">
        <v>9841</v>
      </c>
      <c r="H15" s="68"/>
      <c r="I15" s="87">
        <f t="shared" si="0"/>
        <v>10.319776020972158</v>
      </c>
      <c r="J15" s="88">
        <f t="shared" si="1"/>
        <v>2.5799440052430396</v>
      </c>
      <c r="K15" s="89">
        <f t="shared" si="1"/>
        <v>2.5799440052430396</v>
      </c>
      <c r="L15" s="89">
        <f t="shared" si="1"/>
        <v>2.5799440052430396</v>
      </c>
      <c r="M15" s="90">
        <f t="shared" si="1"/>
        <v>2.5799440052430396</v>
      </c>
      <c r="N15" s="68"/>
      <c r="O15" s="91">
        <f t="shared" si="2"/>
        <v>-0.34296028880866425</v>
      </c>
      <c r="P15" s="92">
        <f t="shared" si="2"/>
        <v>-5.6859205776173288E-2</v>
      </c>
      <c r="Q15" s="92">
        <f t="shared" si="2"/>
        <v>-1.2048736462093863</v>
      </c>
      <c r="R15" s="93">
        <f t="shared" si="2"/>
        <v>-2.1227436823104693</v>
      </c>
      <c r="S15" s="68"/>
      <c r="T15" s="94">
        <f t="shared" si="3"/>
        <v>-0.8848183411483348</v>
      </c>
      <c r="U15" s="89">
        <f t="shared" si="3"/>
        <v>-0.14669356708511869</v>
      </c>
      <c r="V15" s="89">
        <f t="shared" si="3"/>
        <v>-3.1085065406132291</v>
      </c>
      <c r="W15" s="89">
        <f t="shared" si="3"/>
        <v>-5.4765598378444302</v>
      </c>
      <c r="X15" s="79">
        <f t="shared" si="4"/>
        <v>0</v>
      </c>
      <c r="Y15" s="95"/>
      <c r="Z15" s="94">
        <v>-0.8848183411483348</v>
      </c>
      <c r="AA15" s="89">
        <v>-0.14669356708511869</v>
      </c>
      <c r="AB15" s="89">
        <v>-3.1085065406132291</v>
      </c>
      <c r="AC15" s="89">
        <v>-2.5799440052430396</v>
      </c>
      <c r="AD15" s="79">
        <f t="shared" si="5"/>
        <v>0</v>
      </c>
      <c r="AF15" s="115"/>
      <c r="AG15" s="116"/>
      <c r="AH15" s="116"/>
      <c r="AI15" s="116"/>
      <c r="AJ15" s="117"/>
      <c r="AK15" s="95"/>
      <c r="AL15" s="115"/>
      <c r="AM15" s="116"/>
      <c r="AN15" s="116"/>
      <c r="AO15" s="116"/>
      <c r="AP15" s="117"/>
      <c r="AR15" s="122"/>
      <c r="AS15" s="123"/>
      <c r="AT15" s="123"/>
      <c r="AU15" s="123"/>
      <c r="AV15" s="124"/>
    </row>
    <row r="16" spans="1:49" ht="13.5" thickBot="1" x14ac:dyDescent="0.35">
      <c r="A16" s="127" t="s">
        <v>163</v>
      </c>
      <c r="B16" s="128">
        <v>241</v>
      </c>
      <c r="C16" s="128">
        <v>306</v>
      </c>
      <c r="D16" s="64">
        <v>262</v>
      </c>
      <c r="E16" s="64">
        <v>337</v>
      </c>
      <c r="F16" s="64">
        <v>566</v>
      </c>
      <c r="G16" s="65">
        <v>277</v>
      </c>
      <c r="H16" s="68"/>
      <c r="I16" s="129">
        <f t="shared" si="0"/>
        <v>10.319776020972158</v>
      </c>
      <c r="J16" s="130">
        <f t="shared" si="1"/>
        <v>2.5799440052430396</v>
      </c>
      <c r="K16" s="131">
        <f t="shared" si="1"/>
        <v>2.5799440052430396</v>
      </c>
      <c r="L16" s="131">
        <f t="shared" si="1"/>
        <v>2.5799440052430396</v>
      </c>
      <c r="M16" s="132">
        <f t="shared" si="1"/>
        <v>2.5799440052430396</v>
      </c>
      <c r="N16" s="68"/>
      <c r="O16" s="133">
        <f t="shared" si="2"/>
        <v>-0.67692307692307696</v>
      </c>
      <c r="P16" s="134">
        <f t="shared" si="2"/>
        <v>0.47692307692307695</v>
      </c>
      <c r="Q16" s="134">
        <f t="shared" si="2"/>
        <v>4</v>
      </c>
      <c r="R16" s="135">
        <f t="shared" si="2"/>
        <v>-0.44615384615384618</v>
      </c>
      <c r="S16" s="68"/>
      <c r="T16" s="136">
        <f t="shared" si="3"/>
        <v>-1.7464236343183654</v>
      </c>
      <c r="U16" s="137">
        <f t="shared" si="3"/>
        <v>1.2304348332697574</v>
      </c>
      <c r="V16" s="137">
        <f t="shared" si="3"/>
        <v>10.319776020972158</v>
      </c>
      <c r="W16" s="137">
        <f t="shared" si="3"/>
        <v>-1.1510519408007407</v>
      </c>
      <c r="X16" s="138">
        <f t="shared" si="4"/>
        <v>11.550210854241916</v>
      </c>
      <c r="Y16" s="95"/>
      <c r="Z16" s="136">
        <v>-1.7464236343183654</v>
      </c>
      <c r="AA16" s="137">
        <v>1.2304348332697574</v>
      </c>
      <c r="AB16" s="139">
        <f>L16*1</f>
        <v>2.5799440052430396</v>
      </c>
      <c r="AC16" s="137">
        <v>-2.5799440052430396</v>
      </c>
      <c r="AD16" s="138">
        <f t="shared" si="5"/>
        <v>3.810378838512797</v>
      </c>
      <c r="AF16" s="140"/>
      <c r="AG16" s="141"/>
      <c r="AH16" s="141"/>
      <c r="AI16" s="141"/>
      <c r="AJ16" s="142"/>
      <c r="AK16" s="95"/>
      <c r="AL16" s="140"/>
      <c r="AM16" s="141"/>
      <c r="AN16" s="141"/>
      <c r="AO16" s="141"/>
      <c r="AP16" s="142"/>
      <c r="AR16" s="143"/>
      <c r="AS16" s="144"/>
      <c r="AT16" s="144"/>
      <c r="AU16" s="144"/>
      <c r="AV16" s="145"/>
      <c r="AW16" s="114" t="s">
        <v>158</v>
      </c>
    </row>
    <row r="17" spans="1:49" ht="13.05" thickBo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46">
        <f>SUMIF(T11:T16,"&gt;0")</f>
        <v>2.9485074345634734</v>
      </c>
      <c r="U17" s="147">
        <f t="shared" ref="U17:X17" si="9">SUMIF(U11:U16,"&gt;0")</f>
        <v>3.294390037464189</v>
      </c>
      <c r="V17" s="147">
        <f t="shared" si="9"/>
        <v>14.292303438136157</v>
      </c>
      <c r="W17" s="147">
        <f t="shared" si="9"/>
        <v>0.80623250163844984</v>
      </c>
      <c r="X17" s="148">
        <f t="shared" si="9"/>
        <v>21.341433411802271</v>
      </c>
      <c r="Y17" s="149"/>
      <c r="Z17" s="146">
        <f>SUMIF(Z11:Z16,"&gt;0")</f>
        <v>2.5799440052430396</v>
      </c>
      <c r="AA17" s="147">
        <f t="shared" ref="AA17:AD17" si="10">SUMIF(AA11:AA16,"&gt;0")</f>
        <v>3.294390037464189</v>
      </c>
      <c r="AB17" s="147">
        <f t="shared" si="10"/>
        <v>5.9661205121245295</v>
      </c>
      <c r="AC17" s="147">
        <f t="shared" si="10"/>
        <v>0.80623250163844984</v>
      </c>
      <c r="AD17" s="148">
        <f t="shared" si="10"/>
        <v>12.646687056470208</v>
      </c>
      <c r="AF17" s="150">
        <f>SUM(AF11:AF16)</f>
        <v>0</v>
      </c>
      <c r="AG17" s="151">
        <f t="shared" ref="AG17:AI17" si="11">SUM(AG11:AG16)</f>
        <v>2.0639552041944316</v>
      </c>
      <c r="AH17" s="151">
        <f t="shared" si="11"/>
        <v>0.80623250163844984</v>
      </c>
      <c r="AI17" s="151">
        <f t="shared" si="11"/>
        <v>0.80623250163844984</v>
      </c>
      <c r="AJ17" s="152">
        <f>SUM(AF17:AI17)</f>
        <v>3.6764202074713315</v>
      </c>
      <c r="AK17" s="95"/>
      <c r="AL17" s="150">
        <f>SUM(AL11:AL16)</f>
        <v>0</v>
      </c>
      <c r="AM17" s="151">
        <f t="shared" ref="AM17:AO17" si="12">SUM(AM11:AM16)</f>
        <v>2.0639552041944316</v>
      </c>
      <c r="AN17" s="151">
        <f t="shared" si="12"/>
        <v>0.80623250163844984</v>
      </c>
      <c r="AO17" s="151">
        <f t="shared" si="12"/>
        <v>0.80623250163844984</v>
      </c>
      <c r="AP17" s="152">
        <f>SUM(AL17:AO17)</f>
        <v>3.6764202074713315</v>
      </c>
      <c r="AQ17" s="99"/>
      <c r="AR17" s="153">
        <f>SUM(AR11:AR16)</f>
        <v>0</v>
      </c>
      <c r="AS17" s="154">
        <f t="shared" ref="AS17:AU17" si="13">SUM(AS11:AS16)</f>
        <v>1.8318912241955387</v>
      </c>
      <c r="AT17" s="154">
        <f t="shared" si="13"/>
        <v>0.7127201794135769</v>
      </c>
      <c r="AU17" s="154">
        <f t="shared" si="13"/>
        <v>0.7098692986959223</v>
      </c>
      <c r="AV17" s="155">
        <f>SUM(AV11:AW16)</f>
        <v>3.2544807023050382</v>
      </c>
    </row>
    <row r="18" spans="1:49" ht="12.45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F18" s="95"/>
      <c r="AG18" s="95"/>
      <c r="AH18" s="95"/>
      <c r="AI18" s="95"/>
      <c r="AJ18" s="95"/>
      <c r="AK18" s="95"/>
      <c r="AL18" s="68"/>
      <c r="AM18" s="68"/>
      <c r="AN18" s="68"/>
      <c r="AO18" s="68"/>
      <c r="AP18" s="95"/>
      <c r="AQ18" s="99"/>
    </row>
    <row r="19" spans="1:49" ht="16.05" thickBot="1" x14ac:dyDescent="0.4">
      <c r="A19" s="298" t="s">
        <v>164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156"/>
      <c r="AR19" s="54"/>
      <c r="AS19" s="54"/>
      <c r="AT19" s="54"/>
      <c r="AU19" s="54"/>
      <c r="AV19" s="54"/>
    </row>
    <row r="20" spans="1:49" ht="14.4" thickBot="1" x14ac:dyDescent="0.3">
      <c r="A20" s="300" t="s">
        <v>129</v>
      </c>
      <c r="B20" s="301"/>
      <c r="C20" s="301"/>
      <c r="D20" s="302"/>
      <c r="E20" s="303" t="s">
        <v>130</v>
      </c>
      <c r="F20" s="305" t="s">
        <v>131</v>
      </c>
      <c r="G20" s="306"/>
      <c r="H20" s="66"/>
      <c r="I20" s="66"/>
      <c r="K20" s="157"/>
      <c r="L20" s="157"/>
      <c r="M20" s="68"/>
      <c r="N20" s="68"/>
      <c r="O20" s="307"/>
      <c r="P20" s="308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L20" s="158"/>
      <c r="AM20" s="158"/>
      <c r="AN20" s="158"/>
      <c r="AO20" s="158"/>
    </row>
    <row r="21" spans="1:49" ht="40.200000000000003" thickBot="1" x14ac:dyDescent="0.3">
      <c r="A21" s="55" t="s">
        <v>132</v>
      </c>
      <c r="B21" s="56" t="s">
        <v>133</v>
      </c>
      <c r="C21" s="56" t="s">
        <v>134</v>
      </c>
      <c r="D21" s="56" t="s">
        <v>135</v>
      </c>
      <c r="E21" s="304"/>
      <c r="F21" s="56" t="s">
        <v>136</v>
      </c>
      <c r="G21" s="59" t="s">
        <v>137</v>
      </c>
      <c r="H21" s="66"/>
      <c r="I21" s="66"/>
      <c r="K21" s="159"/>
      <c r="L21" s="95"/>
      <c r="M21" s="68"/>
      <c r="N21" s="68"/>
      <c r="O21" s="160"/>
      <c r="P21" s="160"/>
      <c r="Q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L21" s="161"/>
      <c r="AM21" s="161"/>
      <c r="AN21" s="161"/>
      <c r="AO21" s="161"/>
    </row>
    <row r="22" spans="1:49" ht="13.05" thickBot="1" x14ac:dyDescent="0.3">
      <c r="A22" s="61">
        <v>614.2100599816672</v>
      </c>
      <c r="B22" s="62">
        <v>0</v>
      </c>
      <c r="C22" s="62">
        <f>A22-B22</f>
        <v>614.2100599816672</v>
      </c>
      <c r="D22" s="62">
        <v>626.90263085280662</v>
      </c>
      <c r="E22" s="62">
        <f>D22*0.5</f>
        <v>313.45131542640331</v>
      </c>
      <c r="F22" s="64">
        <v>111.30000000000001</v>
      </c>
      <c r="G22" s="65">
        <v>113.6</v>
      </c>
      <c r="H22" s="66"/>
      <c r="I22" s="68"/>
      <c r="L22" s="66"/>
      <c r="M22" s="66"/>
      <c r="N22" s="66"/>
      <c r="Q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</row>
    <row r="23" spans="1:49" ht="13.05" thickBot="1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49" ht="62.25" customHeight="1" thickBot="1" x14ac:dyDescent="0.3">
      <c r="A24" s="287" t="s">
        <v>138</v>
      </c>
      <c r="B24" s="288"/>
      <c r="C24" s="288"/>
      <c r="D24" s="288"/>
      <c r="E24" s="288"/>
      <c r="F24" s="288"/>
      <c r="G24" s="289"/>
      <c r="H24" s="66"/>
      <c r="I24" s="290" t="s">
        <v>139</v>
      </c>
      <c r="J24" s="291"/>
      <c r="K24" s="291"/>
      <c r="L24" s="291"/>
      <c r="M24" s="292"/>
      <c r="N24" s="66"/>
      <c r="O24" s="277" t="s">
        <v>140</v>
      </c>
      <c r="P24" s="278"/>
      <c r="Q24" s="278"/>
      <c r="R24" s="279"/>
      <c r="S24" s="66"/>
      <c r="T24" s="277" t="s">
        <v>141</v>
      </c>
      <c r="U24" s="278"/>
      <c r="V24" s="278"/>
      <c r="W24" s="278"/>
      <c r="X24" s="279"/>
      <c r="Y24" s="67"/>
      <c r="Z24" s="277" t="s">
        <v>142</v>
      </c>
      <c r="AA24" s="278"/>
      <c r="AB24" s="278"/>
      <c r="AC24" s="278"/>
      <c r="AD24" s="279"/>
      <c r="AF24" s="277" t="s">
        <v>165</v>
      </c>
      <c r="AG24" s="278"/>
      <c r="AH24" s="278"/>
      <c r="AI24" s="278"/>
      <c r="AJ24" s="279"/>
      <c r="AK24" s="67"/>
      <c r="AL24" s="277" t="s">
        <v>144</v>
      </c>
      <c r="AM24" s="278"/>
      <c r="AN24" s="278"/>
      <c r="AO24" s="278"/>
      <c r="AP24" s="279"/>
      <c r="AQ24" s="67"/>
      <c r="AR24" s="277" t="s">
        <v>145</v>
      </c>
      <c r="AS24" s="278"/>
      <c r="AT24" s="278"/>
      <c r="AU24" s="278"/>
      <c r="AV24" s="279"/>
    </row>
    <row r="25" spans="1:49" ht="13.8" thickBot="1" x14ac:dyDescent="0.3">
      <c r="A25" s="283"/>
      <c r="B25" s="284"/>
      <c r="C25" s="284"/>
      <c r="D25" s="285" t="s">
        <v>146</v>
      </c>
      <c r="E25" s="285"/>
      <c r="F25" s="285"/>
      <c r="G25" s="286"/>
      <c r="H25" s="68"/>
      <c r="I25" s="162"/>
      <c r="J25" s="163" t="s">
        <v>147</v>
      </c>
      <c r="K25" s="164" t="s">
        <v>148</v>
      </c>
      <c r="L25" s="164" t="s">
        <v>149</v>
      </c>
      <c r="M25" s="165" t="s">
        <v>150</v>
      </c>
      <c r="N25" s="68"/>
      <c r="O25" s="280"/>
      <c r="P25" s="281"/>
      <c r="Q25" s="281"/>
      <c r="R25" s="282"/>
      <c r="S25" s="68"/>
      <c r="T25" s="280"/>
      <c r="U25" s="281"/>
      <c r="V25" s="281"/>
      <c r="W25" s="281"/>
      <c r="X25" s="282"/>
      <c r="Y25" s="81"/>
      <c r="Z25" s="293"/>
      <c r="AA25" s="294"/>
      <c r="AB25" s="294"/>
      <c r="AC25" s="294"/>
      <c r="AD25" s="295"/>
      <c r="AF25" s="293"/>
      <c r="AG25" s="294"/>
      <c r="AH25" s="294"/>
      <c r="AI25" s="294"/>
      <c r="AJ25" s="295"/>
      <c r="AK25" s="81"/>
      <c r="AL25" s="280"/>
      <c r="AM25" s="281"/>
      <c r="AN25" s="281"/>
      <c r="AO25" s="281"/>
      <c r="AP25" s="282"/>
      <c r="AQ25" s="81"/>
      <c r="AR25" s="280"/>
      <c r="AS25" s="281"/>
      <c r="AT25" s="281"/>
      <c r="AU25" s="281"/>
      <c r="AV25" s="282"/>
    </row>
    <row r="26" spans="1:49" ht="25.5" x14ac:dyDescent="0.3">
      <c r="A26" s="73" t="s">
        <v>151</v>
      </c>
      <c r="B26" s="74" t="s">
        <v>152</v>
      </c>
      <c r="C26" s="74" t="s">
        <v>153</v>
      </c>
      <c r="D26" s="75" t="s">
        <v>147</v>
      </c>
      <c r="E26" s="74" t="s">
        <v>148</v>
      </c>
      <c r="F26" s="74" t="s">
        <v>149</v>
      </c>
      <c r="G26" s="76" t="s">
        <v>150</v>
      </c>
      <c r="H26" s="68"/>
      <c r="I26" s="77" t="s">
        <v>154</v>
      </c>
      <c r="J26" s="78">
        <f>$E$22/4</f>
        <v>78.362828856600828</v>
      </c>
      <c r="K26" s="78">
        <f>$E$22/4</f>
        <v>78.362828856600828</v>
      </c>
      <c r="L26" s="78">
        <f>$E$22/4</f>
        <v>78.362828856600828</v>
      </c>
      <c r="M26" s="79">
        <f>$E$22/4</f>
        <v>78.362828856600828</v>
      </c>
      <c r="N26" s="68"/>
      <c r="O26" s="166" t="s">
        <v>147</v>
      </c>
      <c r="P26" s="164" t="s">
        <v>148</v>
      </c>
      <c r="Q26" s="164" t="s">
        <v>149</v>
      </c>
      <c r="R26" s="165" t="s">
        <v>150</v>
      </c>
      <c r="S26" s="68"/>
      <c r="T26" s="166" t="s">
        <v>147</v>
      </c>
      <c r="U26" s="164" t="s">
        <v>148</v>
      </c>
      <c r="V26" s="164" t="s">
        <v>149</v>
      </c>
      <c r="W26" s="164" t="s">
        <v>150</v>
      </c>
      <c r="X26" s="165" t="s">
        <v>155</v>
      </c>
      <c r="Y26" s="68"/>
      <c r="Z26" s="167" t="s">
        <v>147</v>
      </c>
      <c r="AA26" s="164" t="s">
        <v>148</v>
      </c>
      <c r="AB26" s="164" t="s">
        <v>149</v>
      </c>
      <c r="AC26" s="164" t="s">
        <v>150</v>
      </c>
      <c r="AD26" s="165" t="s">
        <v>155</v>
      </c>
      <c r="AF26" s="166" t="s">
        <v>147</v>
      </c>
      <c r="AG26" s="164" t="s">
        <v>148</v>
      </c>
      <c r="AH26" s="164" t="s">
        <v>149</v>
      </c>
      <c r="AI26" s="164" t="s">
        <v>150</v>
      </c>
      <c r="AJ26" s="165" t="s">
        <v>155</v>
      </c>
      <c r="AK26" s="68"/>
      <c r="AL26" s="166" t="s">
        <v>147</v>
      </c>
      <c r="AM26" s="164" t="s">
        <v>148</v>
      </c>
      <c r="AN26" s="164" t="s">
        <v>149</v>
      </c>
      <c r="AO26" s="164" t="s">
        <v>150</v>
      </c>
      <c r="AP26" s="165" t="s">
        <v>155</v>
      </c>
      <c r="AQ26" s="68"/>
      <c r="AR26" s="166" t="s">
        <v>147</v>
      </c>
      <c r="AS26" s="164" t="s">
        <v>148</v>
      </c>
      <c r="AT26" s="164" t="s">
        <v>149</v>
      </c>
      <c r="AU26" s="164" t="s">
        <v>150</v>
      </c>
      <c r="AV26" s="165" t="s">
        <v>155</v>
      </c>
    </row>
    <row r="27" spans="1:49" ht="37.950000000000003" x14ac:dyDescent="0.3">
      <c r="A27" s="168" t="s">
        <v>166</v>
      </c>
      <c r="B27" s="169">
        <v>1.4</v>
      </c>
      <c r="C27" s="169">
        <v>2.2999999999999998</v>
      </c>
      <c r="D27" s="170">
        <v>3.6101083032490973</v>
      </c>
      <c r="E27" s="170">
        <v>2.5270758122743682</v>
      </c>
      <c r="F27" s="170">
        <v>1.6778523489932886</v>
      </c>
      <c r="G27" s="171">
        <v>0.34</v>
      </c>
      <c r="H27" s="68"/>
      <c r="I27" s="87">
        <f>$E$22/3</f>
        <v>104.48377180880111</v>
      </c>
      <c r="J27" s="88">
        <f>J$26/3</f>
        <v>26.120942952200277</v>
      </c>
      <c r="K27" s="88">
        <f t="shared" ref="K27:M29" si="14">K$26/3</f>
        <v>26.120942952200277</v>
      </c>
      <c r="L27" s="88">
        <f t="shared" si="14"/>
        <v>26.120942952200277</v>
      </c>
      <c r="M27" s="172">
        <f t="shared" si="14"/>
        <v>26.120942952200277</v>
      </c>
      <c r="N27" s="68"/>
      <c r="O27" s="91">
        <f t="shared" ref="O27:R29" si="15">((D27-$C27)/($C27-$B27))</f>
        <v>1.4556758924989972</v>
      </c>
      <c r="P27" s="92">
        <f t="shared" si="15"/>
        <v>0.25230645808263152</v>
      </c>
      <c r="Q27" s="92">
        <f t="shared" si="15"/>
        <v>-0.69127516778523479</v>
      </c>
      <c r="R27" s="93">
        <f t="shared" si="15"/>
        <v>-2.1777777777777776</v>
      </c>
      <c r="S27" s="68"/>
      <c r="T27" s="94">
        <f>J27*O27</f>
        <v>38.023626944859529</v>
      </c>
      <c r="U27" s="89">
        <f>K27*P27</f>
        <v>6.590482598048129</v>
      </c>
      <c r="V27" s="89">
        <f t="shared" ref="V27:W29" si="16">L27*Q27</f>
        <v>-18.056759221990792</v>
      </c>
      <c r="W27" s="89">
        <f t="shared" si="16"/>
        <v>-56.885609095902822</v>
      </c>
      <c r="X27" s="79">
        <f>SUMIF(T27:W27,"&gt;0")</f>
        <v>44.614109542907656</v>
      </c>
      <c r="Y27" s="95"/>
      <c r="Z27" s="173">
        <f>J27*1</f>
        <v>26.120942952200277</v>
      </c>
      <c r="AA27" s="78">
        <v>6.590482598048129</v>
      </c>
      <c r="AB27" s="78">
        <v>-18.056759221990792</v>
      </c>
      <c r="AC27" s="78">
        <v>-24.960012154324708</v>
      </c>
      <c r="AD27" s="79">
        <f t="shared" ref="AD27:AD29" si="17">SUMIF(Z27:AC27,"&gt;0")</f>
        <v>32.711425550248407</v>
      </c>
      <c r="AE27" s="174"/>
      <c r="AF27" s="175"/>
      <c r="AG27" s="176"/>
      <c r="AH27" s="176"/>
      <c r="AI27" s="176"/>
      <c r="AJ27" s="177"/>
      <c r="AK27" s="178"/>
      <c r="AL27" s="175"/>
      <c r="AM27" s="176"/>
      <c r="AN27" s="176"/>
      <c r="AO27" s="176"/>
      <c r="AP27" s="177"/>
      <c r="AR27" s="111"/>
      <c r="AS27" s="112"/>
      <c r="AT27" s="112"/>
      <c r="AU27" s="112"/>
      <c r="AV27" s="113"/>
      <c r="AW27" s="114" t="s">
        <v>167</v>
      </c>
    </row>
    <row r="28" spans="1:49" ht="37.950000000000003" x14ac:dyDescent="0.3">
      <c r="A28" s="168" t="s">
        <v>0</v>
      </c>
      <c r="B28" s="169">
        <v>0.1</v>
      </c>
      <c r="C28" s="169">
        <v>0.2</v>
      </c>
      <c r="D28" s="170">
        <v>1.34</v>
      </c>
      <c r="E28" s="170">
        <v>0.46</v>
      </c>
      <c r="F28" s="170">
        <v>0.64</v>
      </c>
      <c r="G28" s="171">
        <v>0</v>
      </c>
      <c r="H28" s="68"/>
      <c r="I28" s="87">
        <f>$E$22/3</f>
        <v>104.48377180880111</v>
      </c>
      <c r="J28" s="88">
        <f t="shared" ref="J28:J29" si="18">J$26/3</f>
        <v>26.120942952200277</v>
      </c>
      <c r="K28" s="88">
        <f t="shared" si="14"/>
        <v>26.120942952200277</v>
      </c>
      <c r="L28" s="88">
        <f t="shared" si="14"/>
        <v>26.120942952200277</v>
      </c>
      <c r="M28" s="172">
        <f t="shared" si="14"/>
        <v>26.120942952200277</v>
      </c>
      <c r="N28" s="68"/>
      <c r="O28" s="91">
        <f t="shared" si="15"/>
        <v>11.4</v>
      </c>
      <c r="P28" s="92">
        <f t="shared" si="15"/>
        <v>2.6</v>
      </c>
      <c r="Q28" s="92">
        <f t="shared" si="15"/>
        <v>4.3999999999999995</v>
      </c>
      <c r="R28" s="93">
        <f t="shared" si="15"/>
        <v>-2</v>
      </c>
      <c r="S28" s="68"/>
      <c r="T28" s="94">
        <f t="shared" ref="T28:T29" si="19">J28*O28</f>
        <v>297.77874965508317</v>
      </c>
      <c r="U28" s="89">
        <f>K28*P28</f>
        <v>67.914451675720727</v>
      </c>
      <c r="V28" s="89">
        <f t="shared" si="16"/>
        <v>114.93214898968121</v>
      </c>
      <c r="W28" s="89">
        <f t="shared" si="16"/>
        <v>-52.241885904400554</v>
      </c>
      <c r="X28" s="138">
        <f>SUMIF(T28:W28,"&gt;0")</f>
        <v>480.6253503204851</v>
      </c>
      <c r="Y28" s="95"/>
      <c r="Z28" s="179">
        <f>J28*1</f>
        <v>26.120942952200277</v>
      </c>
      <c r="AA28" s="180">
        <f t="shared" ref="AA28:AB28" si="20">K28*1</f>
        <v>26.120942952200277</v>
      </c>
      <c r="AB28" s="180">
        <f t="shared" si="20"/>
        <v>26.120942952200277</v>
      </c>
      <c r="AC28" s="78">
        <v>0</v>
      </c>
      <c r="AD28" s="79">
        <f t="shared" si="17"/>
        <v>78.362828856600828</v>
      </c>
      <c r="AE28" s="174"/>
      <c r="AF28" s="115">
        <f t="shared" ref="AF28:AH28" si="21">IF(Z28&gt;0,Z28,0)</f>
        <v>26.120942952200277</v>
      </c>
      <c r="AG28" s="116">
        <f t="shared" si="21"/>
        <v>26.120942952200277</v>
      </c>
      <c r="AH28" s="116">
        <f t="shared" si="21"/>
        <v>26.120942952200277</v>
      </c>
      <c r="AI28" s="116">
        <f>IF(AC28&gt;0,AC28,0)</f>
        <v>0</v>
      </c>
      <c r="AJ28" s="117">
        <f t="shared" ref="AJ28" si="22">SUM(AF28:AI28)</f>
        <v>78.362828856600828</v>
      </c>
      <c r="AK28" s="181"/>
      <c r="AL28" s="118">
        <f>AF28*0.75</f>
        <v>19.590707214150207</v>
      </c>
      <c r="AM28" s="116">
        <f t="shared" ref="AM28:AO28" si="23">AG28*0.75</f>
        <v>19.590707214150207</v>
      </c>
      <c r="AN28" s="116">
        <f t="shared" si="23"/>
        <v>19.590707214150207</v>
      </c>
      <c r="AO28" s="116">
        <f t="shared" si="23"/>
        <v>0</v>
      </c>
      <c r="AP28" s="117">
        <f>SUM(AL28:AO28)</f>
        <v>58.772121642450621</v>
      </c>
      <c r="AR28" s="122">
        <v>17.284861979895012</v>
      </c>
      <c r="AS28" s="123">
        <v>17.215722531975434</v>
      </c>
      <c r="AT28" s="123">
        <v>17.146859641847524</v>
      </c>
      <c r="AU28" s="123">
        <v>0</v>
      </c>
      <c r="AV28" s="124">
        <f>SUM(AR28:AU28)</f>
        <v>51.64744415371797</v>
      </c>
      <c r="AW28" s="114" t="s">
        <v>160</v>
      </c>
    </row>
    <row r="29" spans="1:49" ht="25.95" thickBot="1" x14ac:dyDescent="0.35">
      <c r="A29" s="182" t="s">
        <v>168</v>
      </c>
      <c r="B29" s="128">
        <v>49841</v>
      </c>
      <c r="C29" s="128">
        <v>62678</v>
      </c>
      <c r="D29" s="128">
        <v>56066</v>
      </c>
      <c r="E29" s="128">
        <v>62928</v>
      </c>
      <c r="F29" s="128">
        <v>62765</v>
      </c>
      <c r="G29" s="183">
        <v>50656</v>
      </c>
      <c r="H29" s="68"/>
      <c r="I29" s="129">
        <f>$E$22/3</f>
        <v>104.48377180880111</v>
      </c>
      <c r="J29" s="130">
        <f t="shared" si="18"/>
        <v>26.120942952200277</v>
      </c>
      <c r="K29" s="130">
        <f t="shared" si="14"/>
        <v>26.120942952200277</v>
      </c>
      <c r="L29" s="130">
        <f t="shared" si="14"/>
        <v>26.120942952200277</v>
      </c>
      <c r="M29" s="184">
        <f t="shared" si="14"/>
        <v>26.120942952200277</v>
      </c>
      <c r="N29" s="68"/>
      <c r="O29" s="133">
        <f t="shared" si="15"/>
        <v>-0.51507361533068474</v>
      </c>
      <c r="P29" s="134">
        <f t="shared" si="15"/>
        <v>1.9474955207603024E-2</v>
      </c>
      <c r="Q29" s="134">
        <f t="shared" si="15"/>
        <v>6.7772844122458518E-3</v>
      </c>
      <c r="R29" s="135">
        <f t="shared" si="15"/>
        <v>-0.93651164602321413</v>
      </c>
      <c r="S29" s="68"/>
      <c r="T29" s="94">
        <f t="shared" si="19"/>
        <v>-13.454208522236366</v>
      </c>
      <c r="U29" s="89">
        <f>K29*P29</f>
        <v>0.50870419397445432</v>
      </c>
      <c r="V29" s="89">
        <f t="shared" si="16"/>
        <v>0.17702905950311007</v>
      </c>
      <c r="W29" s="185">
        <f t="shared" si="16"/>
        <v>-24.462567279843555</v>
      </c>
      <c r="X29" s="186">
        <f t="shared" ref="X29" si="24">SUMIF(X27:X28,"&gt;0")</f>
        <v>525.23945986339277</v>
      </c>
      <c r="Y29" s="187"/>
      <c r="Z29" s="129">
        <v>-13.454208522236366</v>
      </c>
      <c r="AA29" s="130">
        <v>0.50870419397445432</v>
      </c>
      <c r="AB29" s="130">
        <v>0.17702905950311007</v>
      </c>
      <c r="AC29" s="130">
        <v>-5.4492393258543546</v>
      </c>
      <c r="AD29" s="79">
        <f t="shared" si="17"/>
        <v>0.68573325347756442</v>
      </c>
      <c r="AE29" s="174"/>
      <c r="AF29" s="140"/>
      <c r="AG29" s="141"/>
      <c r="AH29" s="141"/>
      <c r="AI29" s="141"/>
      <c r="AJ29" s="142"/>
      <c r="AK29" s="181"/>
      <c r="AL29" s="140"/>
      <c r="AM29" s="141"/>
      <c r="AN29" s="141"/>
      <c r="AO29" s="141"/>
      <c r="AP29" s="142"/>
      <c r="AR29" s="143"/>
      <c r="AS29" s="144"/>
      <c r="AT29" s="144"/>
      <c r="AU29" s="144"/>
      <c r="AV29" s="145"/>
      <c r="AW29" s="114" t="s">
        <v>158</v>
      </c>
    </row>
    <row r="30" spans="1:49" ht="13.05" thickBot="1" x14ac:dyDescent="0.3">
      <c r="A30" s="66"/>
      <c r="B30" s="66"/>
      <c r="C30" s="66"/>
      <c r="D30" s="66"/>
      <c r="E30" s="66"/>
      <c r="F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146">
        <f>SUMIF(T27:T29,"&gt;0")</f>
        <v>335.8023765999427</v>
      </c>
      <c r="U30" s="146">
        <f t="shared" ref="U30:W30" si="25">SUMIF(U27:U29,"&gt;0")</f>
        <v>75.013638467743306</v>
      </c>
      <c r="V30" s="146">
        <f t="shared" si="25"/>
        <v>115.10917804918432</v>
      </c>
      <c r="W30" s="188">
        <f t="shared" si="25"/>
        <v>0</v>
      </c>
      <c r="X30" s="189">
        <f>SUMIF(X27:X29,"&gt;0")</f>
        <v>1050.4789197267855</v>
      </c>
      <c r="Y30" s="190"/>
      <c r="Z30" s="146">
        <f>SUMIF(Z27:Z29,"&gt;0")</f>
        <v>52.241885904400554</v>
      </c>
      <c r="AA30" s="146">
        <f t="shared" ref="AA30:AC30" si="26">SUMIF(AA27:AA29,"&gt;0")</f>
        <v>33.220129744222859</v>
      </c>
      <c r="AB30" s="146">
        <f t="shared" si="26"/>
        <v>26.297972011703386</v>
      </c>
      <c r="AC30" s="146">
        <f t="shared" si="26"/>
        <v>0</v>
      </c>
      <c r="AD30" s="148">
        <f>SUMIF(AD27:AD29,"&gt;0")</f>
        <v>111.7599876603268</v>
      </c>
      <c r="AE30" s="174"/>
      <c r="AF30" s="150">
        <f>SUM(AF27:AF29)</f>
        <v>26.120942952200277</v>
      </c>
      <c r="AG30" s="151">
        <f t="shared" ref="AG30:AJ30" si="27">SUM(AG27:AG29)</f>
        <v>26.120942952200277</v>
      </c>
      <c r="AH30" s="151">
        <f t="shared" si="27"/>
        <v>26.120942952200277</v>
      </c>
      <c r="AI30" s="151">
        <f t="shared" si="27"/>
        <v>0</v>
      </c>
      <c r="AJ30" s="152">
        <f t="shared" si="27"/>
        <v>78.362828856600828</v>
      </c>
      <c r="AK30" s="181"/>
      <c r="AL30" s="150">
        <f>SUM(AL27:AL29)</f>
        <v>19.590707214150207</v>
      </c>
      <c r="AM30" s="151">
        <f t="shared" ref="AM30:AP30" si="28">SUM(AM27:AM29)</f>
        <v>19.590707214150207</v>
      </c>
      <c r="AN30" s="151">
        <f t="shared" si="28"/>
        <v>19.590707214150207</v>
      </c>
      <c r="AO30" s="151">
        <f t="shared" si="28"/>
        <v>0</v>
      </c>
      <c r="AP30" s="152">
        <f t="shared" si="28"/>
        <v>58.772121642450621</v>
      </c>
      <c r="AQ30" s="159"/>
      <c r="AR30" s="153">
        <f>SUM(AR27:AR29)</f>
        <v>17.284861979895012</v>
      </c>
      <c r="AS30" s="154">
        <f t="shared" ref="AS30:AV30" si="29">SUM(AS27:AS29)</f>
        <v>17.215722531975434</v>
      </c>
      <c r="AT30" s="154">
        <f t="shared" si="29"/>
        <v>17.146859641847524</v>
      </c>
      <c r="AU30" s="154">
        <f t="shared" si="29"/>
        <v>0</v>
      </c>
      <c r="AV30" s="155">
        <f t="shared" si="29"/>
        <v>51.64744415371797</v>
      </c>
    </row>
    <row r="31" spans="1:49" ht="12.45" x14ac:dyDescent="0.25">
      <c r="A31" s="66"/>
      <c r="B31" s="66"/>
      <c r="C31" s="66"/>
      <c r="D31" s="66"/>
      <c r="E31" s="66"/>
      <c r="F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149"/>
      <c r="U31" s="149"/>
      <c r="V31" s="149"/>
      <c r="W31" s="149"/>
      <c r="X31" s="149"/>
      <c r="Y31" s="190"/>
      <c r="Z31" s="149"/>
      <c r="AA31" s="149"/>
      <c r="AB31" s="149"/>
      <c r="AC31" s="149"/>
      <c r="AD31" s="149"/>
      <c r="AE31" s="174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159"/>
    </row>
    <row r="32" spans="1:49" ht="16.05" thickBot="1" x14ac:dyDescent="0.4">
      <c r="A32" s="298" t="s">
        <v>169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191"/>
      <c r="AR32" s="54"/>
      <c r="AS32" s="54"/>
      <c r="AT32" s="54"/>
      <c r="AU32" s="54"/>
      <c r="AV32" s="54"/>
    </row>
    <row r="33" spans="1:49" ht="14.4" thickBot="1" x14ac:dyDescent="0.3">
      <c r="A33" s="300" t="s">
        <v>129</v>
      </c>
      <c r="B33" s="301"/>
      <c r="C33" s="301"/>
      <c r="D33" s="302"/>
      <c r="E33" s="303" t="s">
        <v>130</v>
      </c>
      <c r="F33" s="305" t="s">
        <v>131</v>
      </c>
      <c r="G33" s="30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149"/>
      <c r="U33" s="149"/>
      <c r="V33" s="149"/>
      <c r="W33" s="149"/>
      <c r="X33" s="149"/>
      <c r="Y33" s="190"/>
      <c r="Z33" s="149"/>
      <c r="AA33" s="149"/>
      <c r="AB33" s="149"/>
      <c r="AC33" s="149"/>
      <c r="AD33" s="149"/>
      <c r="AE33" s="174"/>
      <c r="AJ33" s="95"/>
      <c r="AK33" s="95"/>
      <c r="AL33" s="158"/>
      <c r="AM33" s="158"/>
      <c r="AN33" s="158"/>
      <c r="AO33" s="158"/>
      <c r="AP33" s="95"/>
      <c r="AQ33" s="159"/>
    </row>
    <row r="34" spans="1:49" ht="40.200000000000003" thickBot="1" x14ac:dyDescent="0.3">
      <c r="A34" s="55" t="s">
        <v>132</v>
      </c>
      <c r="B34" s="56" t="s">
        <v>133</v>
      </c>
      <c r="C34" s="56" t="s">
        <v>134</v>
      </c>
      <c r="D34" s="56" t="s">
        <v>135</v>
      </c>
      <c r="E34" s="304"/>
      <c r="F34" s="56" t="s">
        <v>136</v>
      </c>
      <c r="G34" s="59" t="s">
        <v>137</v>
      </c>
      <c r="H34" s="66"/>
      <c r="I34" s="66"/>
      <c r="J34" s="307"/>
      <c r="K34" s="308"/>
      <c r="L34" s="68"/>
      <c r="M34" s="68"/>
      <c r="N34" s="68"/>
      <c r="O34" s="157"/>
      <c r="P34" s="157"/>
      <c r="Q34" s="68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</row>
    <row r="35" spans="1:49" ht="13.8" thickBot="1" x14ac:dyDescent="0.3">
      <c r="A35" s="61">
        <v>139.85303989466905</v>
      </c>
      <c r="B35" s="62">
        <v>6.5600000000000005</v>
      </c>
      <c r="C35" s="62">
        <f>A35-B35</f>
        <v>133.29303989466905</v>
      </c>
      <c r="D35" s="62">
        <v>136.04752319887154</v>
      </c>
      <c r="E35" s="62">
        <f>D35*0.5</f>
        <v>68.023761599435772</v>
      </c>
      <c r="F35" s="64">
        <v>111.30000000000001</v>
      </c>
      <c r="G35" s="65">
        <v>113.6</v>
      </c>
      <c r="H35" s="66"/>
      <c r="I35" s="66"/>
      <c r="J35" s="160"/>
      <c r="K35" s="160"/>
      <c r="L35" s="68"/>
      <c r="M35" s="68"/>
      <c r="N35" s="68"/>
      <c r="O35" s="159"/>
      <c r="P35" s="95"/>
      <c r="Q35" s="68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</row>
    <row r="36" spans="1:49" ht="13.8" thickBot="1" x14ac:dyDescent="0.3">
      <c r="A36" s="192"/>
      <c r="B36" s="66"/>
      <c r="C36" s="66"/>
      <c r="D36" s="66"/>
      <c r="E36" s="66"/>
      <c r="F36" s="66"/>
      <c r="G36" s="66"/>
      <c r="H36" s="66"/>
      <c r="I36" s="193"/>
      <c r="J36" s="66"/>
      <c r="K36" s="66"/>
      <c r="L36" s="66"/>
      <c r="M36" s="66"/>
      <c r="N36" s="66"/>
      <c r="O36" s="296"/>
      <c r="P36" s="296"/>
      <c r="Q36" s="296"/>
      <c r="R36" s="296"/>
      <c r="S36" s="66"/>
      <c r="T36" s="297"/>
      <c r="U36" s="297"/>
      <c r="V36" s="297"/>
      <c r="W36" s="297"/>
      <c r="X36" s="297"/>
      <c r="Y36" s="194"/>
      <c r="Z36" s="194"/>
      <c r="AA36" s="194"/>
      <c r="AB36" s="194"/>
      <c r="AC36" s="194"/>
      <c r="AD36" s="194"/>
    </row>
    <row r="37" spans="1:49" ht="55.5" customHeight="1" thickBot="1" x14ac:dyDescent="0.3">
      <c r="A37" s="287" t="s">
        <v>138</v>
      </c>
      <c r="B37" s="288"/>
      <c r="C37" s="288"/>
      <c r="D37" s="288"/>
      <c r="E37" s="288"/>
      <c r="F37" s="288"/>
      <c r="G37" s="289"/>
      <c r="H37" s="66"/>
      <c r="I37" s="290" t="s">
        <v>139</v>
      </c>
      <c r="J37" s="291"/>
      <c r="K37" s="291"/>
      <c r="L37" s="291"/>
      <c r="M37" s="292"/>
      <c r="N37" s="66"/>
      <c r="O37" s="277" t="s">
        <v>140</v>
      </c>
      <c r="P37" s="278"/>
      <c r="Q37" s="278"/>
      <c r="R37" s="279"/>
      <c r="S37" s="66"/>
      <c r="T37" s="277" t="s">
        <v>141</v>
      </c>
      <c r="U37" s="278"/>
      <c r="V37" s="278"/>
      <c r="W37" s="278"/>
      <c r="X37" s="279"/>
      <c r="Y37" s="66"/>
      <c r="Z37" s="277" t="s">
        <v>142</v>
      </c>
      <c r="AA37" s="278"/>
      <c r="AB37" s="278"/>
      <c r="AC37" s="278"/>
      <c r="AD37" s="279"/>
      <c r="AF37" s="277" t="s">
        <v>165</v>
      </c>
      <c r="AG37" s="278"/>
      <c r="AH37" s="278"/>
      <c r="AI37" s="278"/>
      <c r="AJ37" s="279"/>
      <c r="AK37" s="67"/>
      <c r="AL37" s="277" t="s">
        <v>144</v>
      </c>
      <c r="AM37" s="278"/>
      <c r="AN37" s="278"/>
      <c r="AO37" s="278"/>
      <c r="AP37" s="279"/>
      <c r="AQ37" s="67"/>
      <c r="AR37" s="277" t="s">
        <v>145</v>
      </c>
      <c r="AS37" s="278"/>
      <c r="AT37" s="278"/>
      <c r="AU37" s="278"/>
      <c r="AV37" s="279"/>
    </row>
    <row r="38" spans="1:49" ht="13.8" thickBot="1" x14ac:dyDescent="0.3">
      <c r="A38" s="283"/>
      <c r="B38" s="284"/>
      <c r="C38" s="284"/>
      <c r="D38" s="285" t="s">
        <v>146</v>
      </c>
      <c r="E38" s="285"/>
      <c r="F38" s="285"/>
      <c r="G38" s="286"/>
      <c r="H38" s="68"/>
      <c r="I38" s="162"/>
      <c r="J38" s="163" t="s">
        <v>147</v>
      </c>
      <c r="K38" s="164" t="s">
        <v>148</v>
      </c>
      <c r="L38" s="164" t="s">
        <v>149</v>
      </c>
      <c r="M38" s="165" t="s">
        <v>150</v>
      </c>
      <c r="N38" s="68"/>
      <c r="O38" s="280"/>
      <c r="P38" s="281"/>
      <c r="Q38" s="281"/>
      <c r="R38" s="282"/>
      <c r="S38" s="68"/>
      <c r="T38" s="280"/>
      <c r="U38" s="281"/>
      <c r="V38" s="281"/>
      <c r="W38" s="281"/>
      <c r="X38" s="282"/>
      <c r="Y38" s="81"/>
      <c r="Z38" s="293"/>
      <c r="AA38" s="294"/>
      <c r="AB38" s="294"/>
      <c r="AC38" s="294"/>
      <c r="AD38" s="295"/>
      <c r="AF38" s="293"/>
      <c r="AG38" s="294"/>
      <c r="AH38" s="294"/>
      <c r="AI38" s="294"/>
      <c r="AJ38" s="295"/>
      <c r="AK38" s="81"/>
      <c r="AL38" s="280"/>
      <c r="AM38" s="281"/>
      <c r="AN38" s="281"/>
      <c r="AO38" s="281"/>
      <c r="AP38" s="282"/>
      <c r="AQ38" s="81"/>
      <c r="AR38" s="280"/>
      <c r="AS38" s="281"/>
      <c r="AT38" s="281"/>
      <c r="AU38" s="281"/>
      <c r="AV38" s="282"/>
    </row>
    <row r="39" spans="1:49" ht="26.4" x14ac:dyDescent="0.25">
      <c r="A39" s="73" t="s">
        <v>151</v>
      </c>
      <c r="B39" s="74" t="s">
        <v>152</v>
      </c>
      <c r="C39" s="74" t="s">
        <v>153</v>
      </c>
      <c r="D39" s="75" t="s">
        <v>147</v>
      </c>
      <c r="E39" s="74" t="s">
        <v>148</v>
      </c>
      <c r="F39" s="74" t="s">
        <v>149</v>
      </c>
      <c r="G39" s="76" t="s">
        <v>150</v>
      </c>
      <c r="H39" s="68"/>
      <c r="I39" s="77" t="s">
        <v>154</v>
      </c>
      <c r="J39" s="78">
        <f>$E$35/4</f>
        <v>17.005940399858943</v>
      </c>
      <c r="K39" s="78">
        <f t="shared" ref="K39:M39" si="30">$E$35/4</f>
        <v>17.005940399858943</v>
      </c>
      <c r="L39" s="78">
        <f t="shared" si="30"/>
        <v>17.005940399858943</v>
      </c>
      <c r="M39" s="78">
        <f t="shared" si="30"/>
        <v>17.005940399858943</v>
      </c>
      <c r="N39" s="68"/>
      <c r="O39" s="166" t="s">
        <v>147</v>
      </c>
      <c r="P39" s="164" t="s">
        <v>148</v>
      </c>
      <c r="Q39" s="164" t="s">
        <v>149</v>
      </c>
      <c r="R39" s="165" t="s">
        <v>150</v>
      </c>
      <c r="S39" s="68"/>
      <c r="T39" s="166" t="s">
        <v>147</v>
      </c>
      <c r="U39" s="164" t="s">
        <v>148</v>
      </c>
      <c r="V39" s="164" t="s">
        <v>149</v>
      </c>
      <c r="W39" s="164" t="s">
        <v>150</v>
      </c>
      <c r="X39" s="165" t="s">
        <v>155</v>
      </c>
      <c r="Y39" s="68"/>
      <c r="Z39" s="166" t="s">
        <v>147</v>
      </c>
      <c r="AA39" s="164" t="s">
        <v>148</v>
      </c>
      <c r="AB39" s="164" t="s">
        <v>149</v>
      </c>
      <c r="AC39" s="164" t="s">
        <v>150</v>
      </c>
      <c r="AD39" s="165" t="s">
        <v>155</v>
      </c>
      <c r="AF39" s="166" t="s">
        <v>147</v>
      </c>
      <c r="AG39" s="164" t="s">
        <v>148</v>
      </c>
      <c r="AH39" s="164" t="s">
        <v>149</v>
      </c>
      <c r="AI39" s="164" t="s">
        <v>150</v>
      </c>
      <c r="AJ39" s="165" t="s">
        <v>155</v>
      </c>
      <c r="AK39" s="68"/>
      <c r="AL39" s="166" t="s">
        <v>147</v>
      </c>
      <c r="AM39" s="164" t="s">
        <v>148</v>
      </c>
      <c r="AN39" s="164" t="s">
        <v>149</v>
      </c>
      <c r="AO39" s="164" t="s">
        <v>150</v>
      </c>
      <c r="AP39" s="165" t="s">
        <v>155</v>
      </c>
      <c r="AQ39" s="68"/>
      <c r="AR39" s="166" t="s">
        <v>147</v>
      </c>
      <c r="AS39" s="164" t="s">
        <v>148</v>
      </c>
      <c r="AT39" s="164" t="s">
        <v>149</v>
      </c>
      <c r="AU39" s="164" t="s">
        <v>150</v>
      </c>
      <c r="AV39" s="165" t="s">
        <v>155</v>
      </c>
    </row>
    <row r="40" spans="1:49" x14ac:dyDescent="0.25">
      <c r="A40" s="168" t="s">
        <v>1</v>
      </c>
      <c r="B40" s="85">
        <v>1901</v>
      </c>
      <c r="C40" s="85">
        <v>2383</v>
      </c>
      <c r="D40" s="85">
        <v>1906</v>
      </c>
      <c r="E40" s="85">
        <v>1510</v>
      </c>
      <c r="F40" s="85">
        <v>1499</v>
      </c>
      <c r="G40" s="86">
        <v>1645</v>
      </c>
      <c r="H40" s="68"/>
      <c r="I40" s="87">
        <f>$E$35/6</f>
        <v>11.337293599905962</v>
      </c>
      <c r="J40" s="88">
        <f>J$39/6</f>
        <v>2.8343233999764905</v>
      </c>
      <c r="K40" s="88">
        <f t="shared" ref="K40:M45" si="31">K$39/6</f>
        <v>2.8343233999764905</v>
      </c>
      <c r="L40" s="88">
        <f t="shared" si="31"/>
        <v>2.8343233999764905</v>
      </c>
      <c r="M40" s="172">
        <f t="shared" si="31"/>
        <v>2.8343233999764905</v>
      </c>
      <c r="N40" s="68"/>
      <c r="O40" s="91">
        <f t="shared" ref="O40:R45" si="32">((D40-$C40)/($C40-$B40))</f>
        <v>-0.98962655601659755</v>
      </c>
      <c r="P40" s="92">
        <f t="shared" si="32"/>
        <v>-1.8112033195020747</v>
      </c>
      <c r="Q40" s="92">
        <f t="shared" si="32"/>
        <v>-1.8340248962655601</v>
      </c>
      <c r="R40" s="93">
        <f t="shared" si="32"/>
        <v>-1.5311203319502074</v>
      </c>
      <c r="S40" s="68"/>
      <c r="T40" s="94">
        <f t="shared" ref="T40:W45" si="33">J40*O40</f>
        <v>-2.8049217049559876</v>
      </c>
      <c r="U40" s="89">
        <f t="shared" si="33"/>
        <v>-5.1335359505798266</v>
      </c>
      <c r="V40" s="89">
        <f t="shared" si="33"/>
        <v>-5.1982196796249323</v>
      </c>
      <c r="W40" s="89">
        <f t="shared" si="33"/>
        <v>-4.3396901850262442</v>
      </c>
      <c r="X40" s="79">
        <f>SUMIF(T40:W40,"&gt;0")</f>
        <v>0</v>
      </c>
      <c r="Y40" s="95"/>
      <c r="Z40" s="94">
        <v>-2.8049217049559876</v>
      </c>
      <c r="AA40" s="89">
        <v>-5.1335359505798266</v>
      </c>
      <c r="AB40" s="89">
        <v>-5.1982196796249323</v>
      </c>
      <c r="AC40" s="89">
        <v>-4.0162715398007123</v>
      </c>
      <c r="AD40" s="79">
        <f>SUMIF(Z40:AC40,"&gt;0")</f>
        <v>0</v>
      </c>
      <c r="AE40" s="174"/>
      <c r="AF40" s="106"/>
      <c r="AG40" s="107"/>
      <c r="AH40" s="107"/>
      <c r="AI40" s="107"/>
      <c r="AJ40" s="108"/>
      <c r="AK40" s="159"/>
      <c r="AL40" s="106"/>
      <c r="AM40" s="107"/>
      <c r="AN40" s="107"/>
      <c r="AO40" s="107"/>
      <c r="AP40" s="108"/>
      <c r="AQ40" s="159"/>
      <c r="AR40" s="195"/>
      <c r="AS40" s="119"/>
      <c r="AT40" s="119"/>
      <c r="AU40" s="119"/>
      <c r="AV40" s="120"/>
    </row>
    <row r="41" spans="1:49" ht="26.4" x14ac:dyDescent="0.25">
      <c r="A41" s="168" t="s">
        <v>170</v>
      </c>
      <c r="B41" s="85">
        <v>292</v>
      </c>
      <c r="C41" s="85">
        <v>419</v>
      </c>
      <c r="D41" s="85">
        <v>326</v>
      </c>
      <c r="E41" s="85">
        <v>1954</v>
      </c>
      <c r="F41" s="85">
        <v>127</v>
      </c>
      <c r="G41" s="86">
        <v>303</v>
      </c>
      <c r="H41" s="68"/>
      <c r="I41" s="87">
        <f t="shared" ref="I41:I45" si="34">$E$35/6</f>
        <v>11.337293599905962</v>
      </c>
      <c r="J41" s="88">
        <f t="shared" ref="J41:J45" si="35">J$39/6</f>
        <v>2.8343233999764905</v>
      </c>
      <c r="K41" s="88">
        <f t="shared" si="31"/>
        <v>2.8343233999764905</v>
      </c>
      <c r="L41" s="88">
        <f t="shared" si="31"/>
        <v>2.8343233999764905</v>
      </c>
      <c r="M41" s="172">
        <f t="shared" si="31"/>
        <v>2.8343233999764905</v>
      </c>
      <c r="N41" s="68"/>
      <c r="O41" s="91">
        <f t="shared" si="32"/>
        <v>-0.73228346456692917</v>
      </c>
      <c r="P41" s="92">
        <f t="shared" si="32"/>
        <v>12.086614173228346</v>
      </c>
      <c r="Q41" s="92">
        <f t="shared" si="32"/>
        <v>-2.2992125984251968</v>
      </c>
      <c r="R41" s="93">
        <f t="shared" si="32"/>
        <v>-0.91338582677165359</v>
      </c>
      <c r="S41" s="68"/>
      <c r="T41" s="94">
        <f t="shared" si="33"/>
        <v>-2.0755281590379027</v>
      </c>
      <c r="U41" s="89">
        <f t="shared" si="33"/>
        <v>34.257373377668607</v>
      </c>
      <c r="V41" s="89">
        <f t="shared" si="33"/>
        <v>-6.5167120692372853</v>
      </c>
      <c r="W41" s="89">
        <f t="shared" si="33"/>
        <v>-2.5888308220257712</v>
      </c>
      <c r="X41" s="79">
        <f t="shared" ref="X41:X45" si="36">SUMIF(T41:W41,"&gt;0")</f>
        <v>34.257373377668607</v>
      </c>
      <c r="Y41" s="95"/>
      <c r="Z41" s="94">
        <v>-2.0755281590379027</v>
      </c>
      <c r="AA41" s="121">
        <f>K41*1</f>
        <v>2.8343233999764905</v>
      </c>
      <c r="AB41" s="89">
        <v>-6.5167120692372853</v>
      </c>
      <c r="AC41" s="89">
        <v>-2.5888308220257712</v>
      </c>
      <c r="AD41" s="79">
        <f t="shared" ref="AD41:AD45" si="37">SUMIF(Z41:AC41,"&gt;0")</f>
        <v>2.8343233999764905</v>
      </c>
      <c r="AE41" s="174"/>
      <c r="AF41" s="196"/>
      <c r="AG41" s="176"/>
      <c r="AH41" s="176"/>
      <c r="AI41" s="176"/>
      <c r="AJ41" s="197"/>
      <c r="AK41" s="198"/>
      <c r="AL41" s="175"/>
      <c r="AM41" s="176"/>
      <c r="AN41" s="176"/>
      <c r="AO41" s="176"/>
      <c r="AP41" s="197"/>
      <c r="AR41" s="199"/>
      <c r="AS41" s="112"/>
      <c r="AT41" s="112"/>
      <c r="AU41" s="112"/>
      <c r="AV41" s="124"/>
      <c r="AW41" s="114" t="s">
        <v>171</v>
      </c>
    </row>
    <row r="42" spans="1:49" ht="26.4" x14ac:dyDescent="0.25">
      <c r="A42" s="168" t="s">
        <v>172</v>
      </c>
      <c r="B42" s="169">
        <v>0.23499999999999999</v>
      </c>
      <c r="C42" s="169">
        <v>0.43599999999999994</v>
      </c>
      <c r="D42" s="169">
        <v>0.41</v>
      </c>
      <c r="E42" s="169">
        <v>0.18</v>
      </c>
      <c r="F42" s="169">
        <v>0.13</v>
      </c>
      <c r="G42" s="200">
        <v>0.06</v>
      </c>
      <c r="H42" s="68"/>
      <c r="I42" s="87">
        <f t="shared" si="34"/>
        <v>11.337293599905962</v>
      </c>
      <c r="J42" s="88">
        <f t="shared" si="35"/>
        <v>2.8343233999764905</v>
      </c>
      <c r="K42" s="88">
        <f t="shared" si="31"/>
        <v>2.8343233999764905</v>
      </c>
      <c r="L42" s="88">
        <f t="shared" si="31"/>
        <v>2.8343233999764905</v>
      </c>
      <c r="M42" s="172">
        <f t="shared" si="31"/>
        <v>2.8343233999764905</v>
      </c>
      <c r="N42" s="68"/>
      <c r="O42" s="91">
        <f t="shared" si="32"/>
        <v>-0.12935323383084563</v>
      </c>
      <c r="P42" s="92">
        <f t="shared" si="32"/>
        <v>-1.2736318407960199</v>
      </c>
      <c r="Q42" s="92">
        <f t="shared" si="32"/>
        <v>-1.5223880597014925</v>
      </c>
      <c r="R42" s="93">
        <f t="shared" si="32"/>
        <v>-1.8706467661691544</v>
      </c>
      <c r="S42" s="68"/>
      <c r="T42" s="94">
        <f>J42*O42</f>
        <v>-0.36662889750939637</v>
      </c>
      <c r="U42" s="89">
        <f>K42*P42</f>
        <v>-3.6098845293232915</v>
      </c>
      <c r="V42" s="89">
        <f t="shared" si="33"/>
        <v>-4.314940101456747</v>
      </c>
      <c r="W42" s="89">
        <f t="shared" si="33"/>
        <v>-5.302017902443585</v>
      </c>
      <c r="X42" s="79">
        <f t="shared" si="36"/>
        <v>0</v>
      </c>
      <c r="Y42" s="95"/>
      <c r="Z42" s="94">
        <v>-0.36662889750939637</v>
      </c>
      <c r="AA42" s="89">
        <v>-3.6098845293232915</v>
      </c>
      <c r="AB42" s="89">
        <v>-4.314940101456747</v>
      </c>
      <c r="AC42" s="89">
        <v>-2.763817842763145</v>
      </c>
      <c r="AD42" s="79">
        <f t="shared" si="37"/>
        <v>0</v>
      </c>
      <c r="AE42" s="174"/>
      <c r="AF42" s="175"/>
      <c r="AG42" s="176"/>
      <c r="AH42" s="176"/>
      <c r="AI42" s="176"/>
      <c r="AJ42" s="177"/>
      <c r="AK42" s="178"/>
      <c r="AL42" s="175"/>
      <c r="AM42" s="176"/>
      <c r="AN42" s="176"/>
      <c r="AO42" s="176"/>
      <c r="AP42" s="177"/>
      <c r="AQ42" s="159"/>
      <c r="AR42" s="111"/>
      <c r="AS42" s="112"/>
      <c r="AT42" s="112"/>
      <c r="AU42" s="112"/>
      <c r="AV42" s="113"/>
    </row>
    <row r="43" spans="1:49" ht="26.4" x14ac:dyDescent="0.25">
      <c r="A43" s="168" t="s">
        <v>173</v>
      </c>
      <c r="B43" s="85">
        <v>340</v>
      </c>
      <c r="C43" s="85">
        <v>510</v>
      </c>
      <c r="D43" s="85">
        <v>246</v>
      </c>
      <c r="E43" s="85">
        <v>253</v>
      </c>
      <c r="F43" s="85">
        <v>258</v>
      </c>
      <c r="G43" s="86">
        <v>257</v>
      </c>
      <c r="H43" s="68"/>
      <c r="I43" s="87">
        <f t="shared" si="34"/>
        <v>11.337293599905962</v>
      </c>
      <c r="J43" s="88">
        <f t="shared" si="35"/>
        <v>2.8343233999764905</v>
      </c>
      <c r="K43" s="88">
        <f t="shared" si="31"/>
        <v>2.8343233999764905</v>
      </c>
      <c r="L43" s="88">
        <f t="shared" si="31"/>
        <v>2.8343233999764905</v>
      </c>
      <c r="M43" s="172">
        <f t="shared" si="31"/>
        <v>2.8343233999764905</v>
      </c>
      <c r="N43" s="68"/>
      <c r="O43" s="91">
        <f t="shared" si="32"/>
        <v>-1.5529411764705883</v>
      </c>
      <c r="P43" s="92">
        <f t="shared" si="32"/>
        <v>-1.5117647058823529</v>
      </c>
      <c r="Q43" s="92">
        <f t="shared" si="32"/>
        <v>-1.4823529411764707</v>
      </c>
      <c r="R43" s="93">
        <f t="shared" si="32"/>
        <v>-1.4882352941176471</v>
      </c>
      <c r="S43" s="68"/>
      <c r="T43" s="94">
        <f t="shared" ref="T43:U44" si="38">J43*O43</f>
        <v>-4.4015375152576093</v>
      </c>
      <c r="U43" s="89">
        <f t="shared" si="38"/>
        <v>-4.2848300811409299</v>
      </c>
      <c r="V43" s="89">
        <f t="shared" si="33"/>
        <v>-4.2014676282004446</v>
      </c>
      <c r="W43" s="89">
        <f t="shared" si="33"/>
        <v>-4.2181401187885417</v>
      </c>
      <c r="X43" s="79">
        <f t="shared" si="36"/>
        <v>0</v>
      </c>
      <c r="Y43" s="95"/>
      <c r="Z43" s="94">
        <v>-4.4015375152576093</v>
      </c>
      <c r="AA43" s="89">
        <v>-4.2848300811409299</v>
      </c>
      <c r="AB43" s="89">
        <v>-4.2014676282004446</v>
      </c>
      <c r="AC43" s="89">
        <v>-4.2181401187885417</v>
      </c>
      <c r="AD43" s="79">
        <f t="shared" si="37"/>
        <v>0</v>
      </c>
      <c r="AE43" s="174"/>
      <c r="AF43" s="175"/>
      <c r="AG43" s="176"/>
      <c r="AH43" s="176"/>
      <c r="AI43" s="176"/>
      <c r="AJ43" s="177"/>
      <c r="AK43" s="178"/>
      <c r="AL43" s="175"/>
      <c r="AM43" s="176"/>
      <c r="AN43" s="176"/>
      <c r="AO43" s="176"/>
      <c r="AP43" s="177"/>
      <c r="AQ43" s="159"/>
      <c r="AR43" s="111"/>
      <c r="AS43" s="112"/>
      <c r="AT43" s="112"/>
      <c r="AU43" s="112"/>
      <c r="AV43" s="113"/>
    </row>
    <row r="44" spans="1:49" ht="52.8" x14ac:dyDescent="0.25">
      <c r="A44" s="168" t="s">
        <v>174</v>
      </c>
      <c r="B44" s="169">
        <v>0.9</v>
      </c>
      <c r="C44" s="169">
        <v>1.22</v>
      </c>
      <c r="D44" s="169">
        <v>1.22</v>
      </c>
      <c r="E44" s="169">
        <v>0.7</v>
      </c>
      <c r="F44" s="169">
        <v>0.55000000000000004</v>
      </c>
      <c r="G44" s="200">
        <v>0.62</v>
      </c>
      <c r="H44" s="68"/>
      <c r="I44" s="87">
        <f t="shared" si="34"/>
        <v>11.337293599905962</v>
      </c>
      <c r="J44" s="88">
        <f t="shared" si="35"/>
        <v>2.8343233999764905</v>
      </c>
      <c r="K44" s="88">
        <f t="shared" si="31"/>
        <v>2.8343233999764905</v>
      </c>
      <c r="L44" s="88">
        <f t="shared" si="31"/>
        <v>2.8343233999764905</v>
      </c>
      <c r="M44" s="172">
        <f t="shared" si="31"/>
        <v>2.8343233999764905</v>
      </c>
      <c r="N44" s="68"/>
      <c r="O44" s="91">
        <f t="shared" si="32"/>
        <v>0</v>
      </c>
      <c r="P44" s="92">
        <f t="shared" si="32"/>
        <v>-1.6250000000000002</v>
      </c>
      <c r="Q44" s="92">
        <f t="shared" si="32"/>
        <v>-2.09375</v>
      </c>
      <c r="R44" s="93">
        <f t="shared" si="32"/>
        <v>-1.8750000000000002</v>
      </c>
      <c r="S44" s="68"/>
      <c r="T44" s="94">
        <f t="shared" si="38"/>
        <v>0</v>
      </c>
      <c r="U44" s="89">
        <f t="shared" si="38"/>
        <v>-4.605775524961798</v>
      </c>
      <c r="V44" s="89">
        <f t="shared" si="33"/>
        <v>-5.9343646187007772</v>
      </c>
      <c r="W44" s="89">
        <f t="shared" si="33"/>
        <v>-5.3143563749559206</v>
      </c>
      <c r="X44" s="79">
        <f t="shared" si="36"/>
        <v>0</v>
      </c>
      <c r="Y44" s="95"/>
      <c r="Z44" s="94">
        <v>0</v>
      </c>
      <c r="AA44" s="89">
        <v>-4.605775524961798</v>
      </c>
      <c r="AB44" s="89">
        <v>-5.9343646187007772</v>
      </c>
      <c r="AC44" s="89">
        <v>-5.9343646187007772</v>
      </c>
      <c r="AD44" s="79">
        <f t="shared" si="37"/>
        <v>0</v>
      </c>
      <c r="AE44" s="174"/>
      <c r="AF44" s="175"/>
      <c r="AG44" s="176"/>
      <c r="AH44" s="176"/>
      <c r="AI44" s="176"/>
      <c r="AJ44" s="177"/>
      <c r="AK44" s="178"/>
      <c r="AL44" s="175"/>
      <c r="AM44" s="176"/>
      <c r="AN44" s="176"/>
      <c r="AO44" s="176"/>
      <c r="AP44" s="177"/>
      <c r="AQ44" s="159"/>
      <c r="AR44" s="111"/>
      <c r="AS44" s="112"/>
      <c r="AT44" s="112"/>
      <c r="AU44" s="112"/>
      <c r="AV44" s="113"/>
    </row>
    <row r="45" spans="1:49" ht="13.8" thickBot="1" x14ac:dyDescent="0.3">
      <c r="A45" s="182" t="s">
        <v>2</v>
      </c>
      <c r="B45" s="201">
        <v>0.1</v>
      </c>
      <c r="C45" s="201">
        <v>0.18</v>
      </c>
      <c r="D45" s="201">
        <v>0.12</v>
      </c>
      <c r="E45" s="201">
        <v>0.06</v>
      </c>
      <c r="F45" s="201">
        <v>0.06</v>
      </c>
      <c r="G45" s="202">
        <v>1.9E-2</v>
      </c>
      <c r="H45" s="68"/>
      <c r="I45" s="129">
        <f t="shared" si="34"/>
        <v>11.337293599905962</v>
      </c>
      <c r="J45" s="130">
        <f t="shared" si="35"/>
        <v>2.8343233999764905</v>
      </c>
      <c r="K45" s="130">
        <f t="shared" si="31"/>
        <v>2.8343233999764905</v>
      </c>
      <c r="L45" s="130">
        <f t="shared" si="31"/>
        <v>2.8343233999764905</v>
      </c>
      <c r="M45" s="184">
        <f t="shared" si="31"/>
        <v>2.8343233999764905</v>
      </c>
      <c r="N45" s="68"/>
      <c r="O45" s="133">
        <f t="shared" si="32"/>
        <v>-0.75000000000000011</v>
      </c>
      <c r="P45" s="134">
        <f t="shared" si="32"/>
        <v>-1.5000000000000002</v>
      </c>
      <c r="Q45" s="134">
        <f t="shared" si="32"/>
        <v>-1.5000000000000002</v>
      </c>
      <c r="R45" s="135">
        <f t="shared" si="32"/>
        <v>-2.0125000000000002</v>
      </c>
      <c r="S45" s="68"/>
      <c r="T45" s="136">
        <f>J45*O45</f>
        <v>-2.1257425499823683</v>
      </c>
      <c r="U45" s="137">
        <f>K45*P45</f>
        <v>-4.2514850999647367</v>
      </c>
      <c r="V45" s="137">
        <f t="shared" si="33"/>
        <v>-4.2514850999647367</v>
      </c>
      <c r="W45" s="137">
        <f t="shared" si="33"/>
        <v>-5.7040758424526876</v>
      </c>
      <c r="X45" s="138">
        <f t="shared" si="36"/>
        <v>0</v>
      </c>
      <c r="Y45" s="95"/>
      <c r="Z45" s="136">
        <v>-2.1257425499823683</v>
      </c>
      <c r="AA45" s="137">
        <v>-4.2514850999647367</v>
      </c>
      <c r="AB45" s="137">
        <v>-4.2514850999647367</v>
      </c>
      <c r="AC45" s="137">
        <v>-4.9600659499588584</v>
      </c>
      <c r="AD45" s="138">
        <f t="shared" si="37"/>
        <v>0</v>
      </c>
      <c r="AE45" s="174"/>
      <c r="AF45" s="203"/>
      <c r="AG45" s="204"/>
      <c r="AH45" s="204"/>
      <c r="AI45" s="204"/>
      <c r="AJ45" s="205"/>
      <c r="AK45" s="178"/>
      <c r="AL45" s="203"/>
      <c r="AM45" s="204"/>
      <c r="AN45" s="204"/>
      <c r="AO45" s="204"/>
      <c r="AP45" s="205"/>
      <c r="AQ45" s="159"/>
      <c r="AR45" s="206"/>
      <c r="AS45" s="207"/>
      <c r="AT45" s="207"/>
      <c r="AU45" s="207"/>
      <c r="AV45" s="208"/>
    </row>
    <row r="46" spans="1:49" ht="13.8" thickBot="1" x14ac:dyDescent="0.3"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209">
        <f>SUMIF(T40:T45,"&gt;0")</f>
        <v>0</v>
      </c>
      <c r="U46" s="210">
        <f t="shared" ref="U46:W46" si="39">SUMIF(U40:U45,"&gt;0")</f>
        <v>34.257373377668607</v>
      </c>
      <c r="V46" s="210">
        <f t="shared" si="39"/>
        <v>0</v>
      </c>
      <c r="W46" s="210">
        <f t="shared" si="39"/>
        <v>0</v>
      </c>
      <c r="X46" s="211">
        <f>SUM(X40:X45)</f>
        <v>34.257373377668607</v>
      </c>
      <c r="Y46" s="190"/>
      <c r="Z46" s="209">
        <f>SUMIF(Z40:Z45,"&gt;0")</f>
        <v>0</v>
      </c>
      <c r="AA46" s="210">
        <f t="shared" ref="AA46:AC46" si="40">SUMIF(AA40:AA45,"&gt;0")</f>
        <v>2.8343233999764905</v>
      </c>
      <c r="AB46" s="210">
        <f t="shared" si="40"/>
        <v>0</v>
      </c>
      <c r="AC46" s="210">
        <f t="shared" si="40"/>
        <v>0</v>
      </c>
      <c r="AD46" s="211">
        <f>SUM(AD40:AD45)</f>
        <v>2.8343233999764905</v>
      </c>
      <c r="AE46" s="174"/>
      <c r="AF46" s="212">
        <f>SUM(AF40:AF45)</f>
        <v>0</v>
      </c>
      <c r="AG46" s="213">
        <f t="shared" ref="AG46:AI46" si="41">SUM(AG40:AG45)</f>
        <v>0</v>
      </c>
      <c r="AH46" s="213">
        <f t="shared" si="41"/>
        <v>0</v>
      </c>
      <c r="AI46" s="213">
        <f t="shared" si="41"/>
        <v>0</v>
      </c>
      <c r="AJ46" s="214">
        <f>SUM(AF46:AI46)</f>
        <v>0</v>
      </c>
      <c r="AK46" s="178"/>
      <c r="AL46" s="212">
        <f>SUM(AL40:AL45)</f>
        <v>0</v>
      </c>
      <c r="AM46" s="213">
        <f t="shared" ref="AM46:AO46" si="42">SUM(AM40:AM45)</f>
        <v>0</v>
      </c>
      <c r="AN46" s="213">
        <f t="shared" si="42"/>
        <v>0</v>
      </c>
      <c r="AO46" s="213">
        <f t="shared" si="42"/>
        <v>0</v>
      </c>
      <c r="AP46" s="214">
        <f>SUM(AL46:AO46)</f>
        <v>0</v>
      </c>
      <c r="AQ46" s="159"/>
      <c r="AR46" s="215">
        <f>SUM(AR40:AR45)</f>
        <v>0</v>
      </c>
      <c r="AS46" s="216">
        <f t="shared" ref="AS46:AU46" si="43">SUM(AS40:AS45)</f>
        <v>0</v>
      </c>
      <c r="AT46" s="216">
        <f t="shared" si="43"/>
        <v>0</v>
      </c>
      <c r="AU46" s="216">
        <f t="shared" si="43"/>
        <v>0</v>
      </c>
      <c r="AV46" s="217">
        <f>SUM(AR46:AU46)</f>
        <v>0</v>
      </c>
    </row>
    <row r="47" spans="1:49" x14ac:dyDescent="0.25"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74"/>
      <c r="AF47" s="99"/>
      <c r="AG47" s="99"/>
      <c r="AH47" s="99"/>
      <c r="AI47" s="99"/>
      <c r="AJ47" s="99"/>
      <c r="AK47" s="159"/>
      <c r="AL47" s="99"/>
      <c r="AM47" s="99"/>
      <c r="AN47" s="99"/>
      <c r="AO47" s="99"/>
      <c r="AP47" s="99"/>
      <c r="AQ47" s="159"/>
    </row>
    <row r="48" spans="1:49" ht="16.2" thickBot="1" x14ac:dyDescent="0.35">
      <c r="A48" s="298" t="s">
        <v>175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191"/>
      <c r="AR48" s="54"/>
      <c r="AS48" s="54"/>
      <c r="AT48" s="54"/>
      <c r="AU48" s="54"/>
      <c r="AV48" s="54"/>
    </row>
    <row r="49" spans="1:48" ht="13.8" thickBot="1" x14ac:dyDescent="0.3">
      <c r="A49" s="300" t="s">
        <v>129</v>
      </c>
      <c r="B49" s="301"/>
      <c r="C49" s="301"/>
      <c r="D49" s="302"/>
      <c r="E49" s="303" t="s">
        <v>130</v>
      </c>
      <c r="F49" s="305" t="s">
        <v>131</v>
      </c>
      <c r="G49" s="306"/>
      <c r="H49" s="66"/>
      <c r="I49" s="66"/>
      <c r="J49" s="307"/>
      <c r="K49" s="308"/>
      <c r="L49" s="157"/>
      <c r="M49" s="157"/>
      <c r="N49" s="68"/>
      <c r="O49" s="68"/>
      <c r="P49" s="68"/>
      <c r="Q49" s="68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48" ht="40.200000000000003" thickBot="1" x14ac:dyDescent="0.3">
      <c r="A50" s="55" t="s">
        <v>132</v>
      </c>
      <c r="B50" s="56" t="s">
        <v>133</v>
      </c>
      <c r="C50" s="56" t="s">
        <v>134</v>
      </c>
      <c r="D50" s="56" t="s">
        <v>135</v>
      </c>
      <c r="E50" s="304"/>
      <c r="F50" s="56" t="s">
        <v>136</v>
      </c>
      <c r="G50" s="59" t="s">
        <v>137</v>
      </c>
      <c r="H50" s="66"/>
      <c r="I50" s="66"/>
      <c r="J50" s="160"/>
      <c r="K50" s="160"/>
      <c r="L50" s="159"/>
      <c r="M50" s="95"/>
      <c r="N50" s="68"/>
      <c r="O50" s="68"/>
      <c r="P50" s="68"/>
      <c r="Q50" s="68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48" ht="13.8" thickBot="1" x14ac:dyDescent="0.3">
      <c r="A51" s="61">
        <v>146.74135971285273</v>
      </c>
      <c r="B51" s="62">
        <v>0.25</v>
      </c>
      <c r="C51" s="62">
        <f>A51-B51</f>
        <v>146.49135971285273</v>
      </c>
      <c r="D51" s="62">
        <v>149.51858457664031</v>
      </c>
      <c r="E51" s="62">
        <f>D51*0.5</f>
        <v>74.759292288320154</v>
      </c>
      <c r="F51" s="64">
        <v>111.30000000000001</v>
      </c>
      <c r="G51" s="65">
        <v>113.6</v>
      </c>
      <c r="H51" s="66"/>
      <c r="I51" s="66"/>
      <c r="J51" s="159"/>
      <c r="K51" s="159"/>
      <c r="L51" s="95"/>
      <c r="M51" s="68"/>
      <c r="N51" s="68"/>
      <c r="O51" s="68"/>
      <c r="P51" s="68"/>
      <c r="Q51" s="68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48" ht="13.8" thickBot="1" x14ac:dyDescent="0.3">
      <c r="A52" s="192"/>
      <c r="B52" s="66"/>
      <c r="C52" s="66"/>
      <c r="D52" s="66"/>
      <c r="E52" s="66"/>
      <c r="F52" s="66"/>
      <c r="G52" s="66"/>
      <c r="H52" s="66"/>
      <c r="I52" s="193"/>
      <c r="J52" s="66"/>
      <c r="K52" s="66"/>
      <c r="L52" s="66"/>
      <c r="M52" s="66"/>
      <c r="N52" s="66"/>
      <c r="O52" s="296"/>
      <c r="P52" s="296"/>
      <c r="Q52" s="296"/>
      <c r="R52" s="296"/>
      <c r="S52" s="66"/>
      <c r="T52" s="297"/>
      <c r="U52" s="297"/>
      <c r="V52" s="297"/>
      <c r="W52" s="297"/>
      <c r="X52" s="297"/>
      <c r="Y52" s="194"/>
      <c r="Z52" s="194"/>
      <c r="AA52" s="194"/>
      <c r="AB52" s="194"/>
      <c r="AC52" s="194"/>
      <c r="AD52" s="194"/>
    </row>
    <row r="53" spans="1:48" ht="78" customHeight="1" thickBot="1" x14ac:dyDescent="0.3">
      <c r="A53" s="287" t="s">
        <v>138</v>
      </c>
      <c r="B53" s="288"/>
      <c r="C53" s="288"/>
      <c r="D53" s="288"/>
      <c r="E53" s="288"/>
      <c r="F53" s="288"/>
      <c r="G53" s="289"/>
      <c r="H53" s="66"/>
      <c r="I53" s="290" t="s">
        <v>139</v>
      </c>
      <c r="J53" s="291"/>
      <c r="K53" s="291"/>
      <c r="L53" s="291"/>
      <c r="M53" s="292"/>
      <c r="N53" s="66"/>
      <c r="O53" s="277" t="s">
        <v>140</v>
      </c>
      <c r="P53" s="278"/>
      <c r="Q53" s="278"/>
      <c r="R53" s="279"/>
      <c r="S53" s="66"/>
      <c r="T53" s="277" t="s">
        <v>141</v>
      </c>
      <c r="U53" s="278"/>
      <c r="V53" s="278"/>
      <c r="W53" s="278"/>
      <c r="X53" s="279"/>
      <c r="Y53" s="66"/>
      <c r="Z53" s="277" t="s">
        <v>142</v>
      </c>
      <c r="AA53" s="278"/>
      <c r="AB53" s="278"/>
      <c r="AC53" s="278"/>
      <c r="AD53" s="279"/>
      <c r="AF53" s="277" t="s">
        <v>165</v>
      </c>
      <c r="AG53" s="278"/>
      <c r="AH53" s="278"/>
      <c r="AI53" s="278"/>
      <c r="AJ53" s="279"/>
      <c r="AK53" s="67"/>
      <c r="AL53" s="277" t="s">
        <v>144</v>
      </c>
      <c r="AM53" s="278"/>
      <c r="AN53" s="278"/>
      <c r="AO53" s="278"/>
      <c r="AP53" s="279"/>
      <c r="AQ53" s="67"/>
      <c r="AR53" s="277" t="s">
        <v>145</v>
      </c>
      <c r="AS53" s="278"/>
      <c r="AT53" s="278"/>
      <c r="AU53" s="278"/>
      <c r="AV53" s="279"/>
    </row>
    <row r="54" spans="1:48" ht="13.8" thickBot="1" x14ac:dyDescent="0.3">
      <c r="A54" s="283"/>
      <c r="B54" s="284"/>
      <c r="C54" s="284"/>
      <c r="D54" s="285" t="s">
        <v>146</v>
      </c>
      <c r="E54" s="285"/>
      <c r="F54" s="285"/>
      <c r="G54" s="286"/>
      <c r="H54" s="68"/>
      <c r="I54" s="162"/>
      <c r="J54" s="163" t="s">
        <v>147</v>
      </c>
      <c r="K54" s="164" t="s">
        <v>148</v>
      </c>
      <c r="L54" s="164" t="s">
        <v>149</v>
      </c>
      <c r="M54" s="165" t="s">
        <v>150</v>
      </c>
      <c r="N54" s="68"/>
      <c r="O54" s="280"/>
      <c r="P54" s="281"/>
      <c r="Q54" s="281"/>
      <c r="R54" s="282"/>
      <c r="S54" s="68"/>
      <c r="T54" s="280"/>
      <c r="U54" s="281"/>
      <c r="V54" s="281"/>
      <c r="W54" s="281"/>
      <c r="X54" s="282"/>
      <c r="Y54" s="81"/>
      <c r="Z54" s="293"/>
      <c r="AA54" s="294"/>
      <c r="AB54" s="294"/>
      <c r="AC54" s="294"/>
      <c r="AD54" s="295"/>
      <c r="AF54" s="280"/>
      <c r="AG54" s="281"/>
      <c r="AH54" s="281"/>
      <c r="AI54" s="281"/>
      <c r="AJ54" s="282"/>
      <c r="AK54" s="81"/>
      <c r="AL54" s="280"/>
      <c r="AM54" s="281"/>
      <c r="AN54" s="281"/>
      <c r="AO54" s="281"/>
      <c r="AP54" s="282"/>
      <c r="AQ54" s="81"/>
      <c r="AR54" s="280"/>
      <c r="AS54" s="281"/>
      <c r="AT54" s="281"/>
      <c r="AU54" s="281"/>
      <c r="AV54" s="282"/>
    </row>
    <row r="55" spans="1:48" ht="27" thickBot="1" x14ac:dyDescent="0.3">
      <c r="A55" s="73" t="s">
        <v>151</v>
      </c>
      <c r="B55" s="74" t="s">
        <v>152</v>
      </c>
      <c r="C55" s="74" t="s">
        <v>153</v>
      </c>
      <c r="D55" s="75" t="s">
        <v>147</v>
      </c>
      <c r="E55" s="74" t="s">
        <v>148</v>
      </c>
      <c r="F55" s="74" t="s">
        <v>149</v>
      </c>
      <c r="G55" s="76" t="s">
        <v>150</v>
      </c>
      <c r="H55" s="68"/>
      <c r="I55" s="77" t="s">
        <v>154</v>
      </c>
      <c r="J55" s="78">
        <f>$E$51/4</f>
        <v>18.689823072080038</v>
      </c>
      <c r="K55" s="78">
        <f t="shared" ref="K55:M55" si="44">$E$51/4</f>
        <v>18.689823072080038</v>
      </c>
      <c r="L55" s="78">
        <f t="shared" si="44"/>
        <v>18.689823072080038</v>
      </c>
      <c r="M55" s="78">
        <f t="shared" si="44"/>
        <v>18.689823072080038</v>
      </c>
      <c r="N55" s="68"/>
      <c r="O55" s="166" t="s">
        <v>147</v>
      </c>
      <c r="P55" s="164" t="s">
        <v>148</v>
      </c>
      <c r="Q55" s="164" t="s">
        <v>149</v>
      </c>
      <c r="R55" s="165" t="s">
        <v>150</v>
      </c>
      <c r="S55" s="68"/>
      <c r="T55" s="166" t="s">
        <v>147</v>
      </c>
      <c r="U55" s="164" t="s">
        <v>148</v>
      </c>
      <c r="V55" s="164" t="s">
        <v>149</v>
      </c>
      <c r="W55" s="165" t="s">
        <v>150</v>
      </c>
      <c r="X55" s="165" t="s">
        <v>155</v>
      </c>
      <c r="Y55" s="68"/>
      <c r="Z55" s="166" t="s">
        <v>147</v>
      </c>
      <c r="AA55" s="164" t="s">
        <v>148</v>
      </c>
      <c r="AB55" s="164" t="s">
        <v>149</v>
      </c>
      <c r="AC55" s="164" t="s">
        <v>150</v>
      </c>
      <c r="AD55" s="165" t="s">
        <v>155</v>
      </c>
      <c r="AF55" s="218" t="s">
        <v>147</v>
      </c>
      <c r="AG55" s="219" t="s">
        <v>148</v>
      </c>
      <c r="AH55" s="219" t="s">
        <v>149</v>
      </c>
      <c r="AI55" s="219" t="s">
        <v>150</v>
      </c>
      <c r="AJ55" s="220" t="s">
        <v>155</v>
      </c>
      <c r="AK55" s="68"/>
      <c r="AL55" s="218" t="s">
        <v>147</v>
      </c>
      <c r="AM55" s="219" t="s">
        <v>148</v>
      </c>
      <c r="AN55" s="219" t="s">
        <v>149</v>
      </c>
      <c r="AO55" s="219" t="s">
        <v>150</v>
      </c>
      <c r="AP55" s="220" t="s">
        <v>155</v>
      </c>
      <c r="AQ55" s="68"/>
      <c r="AR55" s="166" t="s">
        <v>147</v>
      </c>
      <c r="AS55" s="164" t="s">
        <v>148</v>
      </c>
      <c r="AT55" s="164" t="s">
        <v>149</v>
      </c>
      <c r="AU55" s="164" t="s">
        <v>150</v>
      </c>
      <c r="AV55" s="165" t="s">
        <v>155</v>
      </c>
    </row>
    <row r="56" spans="1:48" ht="39.6" x14ac:dyDescent="0.25">
      <c r="A56" s="168" t="s">
        <v>176</v>
      </c>
      <c r="B56" s="169">
        <v>0.04</v>
      </c>
      <c r="C56" s="169">
        <v>0.08</v>
      </c>
      <c r="D56" s="125">
        <v>0.06</v>
      </c>
      <c r="E56" s="125">
        <v>0.02</v>
      </c>
      <c r="F56" s="169">
        <v>0</v>
      </c>
      <c r="G56" s="126">
        <v>0.04</v>
      </c>
      <c r="H56" s="68"/>
      <c r="I56" s="87">
        <f>$E$51/5</f>
        <v>14.951858457664031</v>
      </c>
      <c r="J56" s="88">
        <f>J$55/5</f>
        <v>3.7379646144160077</v>
      </c>
      <c r="K56" s="88">
        <f t="shared" ref="K56:M60" si="45">K$55/5</f>
        <v>3.7379646144160077</v>
      </c>
      <c r="L56" s="88">
        <f t="shared" si="45"/>
        <v>3.7379646144160077</v>
      </c>
      <c r="M56" s="172">
        <f t="shared" si="45"/>
        <v>3.7379646144160077</v>
      </c>
      <c r="N56" s="68"/>
      <c r="O56" s="91">
        <f t="shared" ref="O56:R60" si="46">((D56-$C56)/($C56-$B56))</f>
        <v>-0.50000000000000011</v>
      </c>
      <c r="P56" s="92">
        <f t="shared" si="46"/>
        <v>-1.5</v>
      </c>
      <c r="Q56" s="92">
        <f t="shared" si="46"/>
        <v>-2</v>
      </c>
      <c r="R56" s="93">
        <f t="shared" si="46"/>
        <v>-1</v>
      </c>
      <c r="S56" s="68"/>
      <c r="T56" s="94">
        <f t="shared" ref="T56:W60" si="47">J56*O56</f>
        <v>-1.8689823072080043</v>
      </c>
      <c r="U56" s="89">
        <f t="shared" si="47"/>
        <v>-5.6069469216240115</v>
      </c>
      <c r="V56" s="89">
        <f t="shared" si="47"/>
        <v>-7.4759292288320154</v>
      </c>
      <c r="W56" s="89">
        <f t="shared" si="47"/>
        <v>-3.7379646144160077</v>
      </c>
      <c r="X56" s="79">
        <f>SUMIF(T56:W56,"&gt;0")</f>
        <v>0</v>
      </c>
      <c r="Y56" s="95"/>
      <c r="Z56" s="94">
        <v>-1.8689823072080043</v>
      </c>
      <c r="AA56" s="89">
        <v>-5.6069469216240115</v>
      </c>
      <c r="AB56" s="89">
        <v>-7.4759292288320154</v>
      </c>
      <c r="AC56" s="89">
        <v>-6.5414380752280143</v>
      </c>
      <c r="AD56" s="79">
        <v>0</v>
      </c>
      <c r="AF56" s="221"/>
      <c r="AG56" s="222"/>
      <c r="AH56" s="222"/>
      <c r="AI56" s="222"/>
      <c r="AJ56" s="223"/>
      <c r="AK56" s="178"/>
      <c r="AL56" s="221"/>
      <c r="AM56" s="222"/>
      <c r="AN56" s="222"/>
      <c r="AO56" s="222"/>
      <c r="AP56" s="223"/>
      <c r="AQ56" s="159"/>
      <c r="AR56" s="111"/>
      <c r="AS56" s="112"/>
      <c r="AT56" s="112"/>
      <c r="AU56" s="112"/>
      <c r="AV56" s="124"/>
    </row>
    <row r="57" spans="1:48" ht="52.8" x14ac:dyDescent="0.25">
      <c r="A57" s="168" t="s">
        <v>177</v>
      </c>
      <c r="B57" s="169">
        <v>0</v>
      </c>
      <c r="C57" s="169">
        <v>1</v>
      </c>
      <c r="D57" s="169">
        <v>0</v>
      </c>
      <c r="E57" s="169">
        <v>0</v>
      </c>
      <c r="F57" s="169">
        <v>0.49</v>
      </c>
      <c r="G57" s="200">
        <v>0</v>
      </c>
      <c r="H57" s="68"/>
      <c r="I57" s="87">
        <f t="shared" ref="I57:I60" si="48">$E$51/5</f>
        <v>14.951858457664031</v>
      </c>
      <c r="J57" s="88">
        <f t="shared" ref="J57:J60" si="49">J$55/5</f>
        <v>3.7379646144160077</v>
      </c>
      <c r="K57" s="88">
        <f t="shared" si="45"/>
        <v>3.7379646144160077</v>
      </c>
      <c r="L57" s="88">
        <f t="shared" si="45"/>
        <v>3.7379646144160077</v>
      </c>
      <c r="M57" s="172">
        <f t="shared" si="45"/>
        <v>3.7379646144160077</v>
      </c>
      <c r="N57" s="68"/>
      <c r="O57" s="91">
        <f t="shared" si="46"/>
        <v>-1</v>
      </c>
      <c r="P57" s="92">
        <f t="shared" si="46"/>
        <v>-1</v>
      </c>
      <c r="Q57" s="92">
        <f t="shared" si="46"/>
        <v>-0.51</v>
      </c>
      <c r="R57" s="93">
        <f t="shared" si="46"/>
        <v>-1</v>
      </c>
      <c r="S57" s="68"/>
      <c r="T57" s="94">
        <f t="shared" si="47"/>
        <v>-3.7379646144160077</v>
      </c>
      <c r="U57" s="89">
        <f t="shared" si="47"/>
        <v>-3.7379646144160077</v>
      </c>
      <c r="V57" s="89">
        <f t="shared" si="47"/>
        <v>-1.9063619533521639</v>
      </c>
      <c r="W57" s="89">
        <f t="shared" si="47"/>
        <v>-3.7379646144160077</v>
      </c>
      <c r="X57" s="79">
        <f t="shared" ref="X57:X60" si="50">SUMIF(T57:W57,"&gt;0")</f>
        <v>0</v>
      </c>
      <c r="Y57" s="95"/>
      <c r="Z57" s="94">
        <v>-3.7379646144160077</v>
      </c>
      <c r="AA57" s="89">
        <v>-3.7379646144160077</v>
      </c>
      <c r="AB57" s="89">
        <v>-1.9063619533521639</v>
      </c>
      <c r="AC57" s="89">
        <v>-3.7379646144160077</v>
      </c>
      <c r="AD57" s="79">
        <v>0</v>
      </c>
      <c r="AF57" s="175"/>
      <c r="AG57" s="176"/>
      <c r="AH57" s="176"/>
      <c r="AI57" s="176"/>
      <c r="AJ57" s="117"/>
      <c r="AK57" s="178"/>
      <c r="AL57" s="175"/>
      <c r="AM57" s="176"/>
      <c r="AN57" s="176"/>
      <c r="AO57" s="176"/>
      <c r="AP57" s="117"/>
      <c r="AQ57" s="159"/>
      <c r="AR57" s="111"/>
      <c r="AS57" s="112"/>
      <c r="AT57" s="112"/>
      <c r="AU57" s="112"/>
      <c r="AV57" s="124"/>
    </row>
    <row r="58" spans="1:48" ht="39.6" x14ac:dyDescent="0.25">
      <c r="A58" s="168" t="s">
        <v>178</v>
      </c>
      <c r="B58" s="85">
        <v>2</v>
      </c>
      <c r="C58" s="85">
        <v>6</v>
      </c>
      <c r="D58" s="85">
        <v>0</v>
      </c>
      <c r="E58" s="85">
        <v>0</v>
      </c>
      <c r="F58" s="85">
        <v>0</v>
      </c>
      <c r="G58" s="86">
        <v>0</v>
      </c>
      <c r="H58" s="68"/>
      <c r="I58" s="87">
        <f t="shared" si="48"/>
        <v>14.951858457664031</v>
      </c>
      <c r="J58" s="88">
        <f t="shared" si="49"/>
        <v>3.7379646144160077</v>
      </c>
      <c r="K58" s="88">
        <f t="shared" si="45"/>
        <v>3.7379646144160077</v>
      </c>
      <c r="L58" s="88">
        <f t="shared" si="45"/>
        <v>3.7379646144160077</v>
      </c>
      <c r="M58" s="172">
        <f t="shared" si="45"/>
        <v>3.7379646144160077</v>
      </c>
      <c r="N58" s="68"/>
      <c r="O58" s="91">
        <f t="shared" si="46"/>
        <v>-1.5</v>
      </c>
      <c r="P58" s="92">
        <f t="shared" si="46"/>
        <v>-1.5</v>
      </c>
      <c r="Q58" s="92">
        <f t="shared" si="46"/>
        <v>-1.5</v>
      </c>
      <c r="R58" s="93">
        <f t="shared" si="46"/>
        <v>-1.5</v>
      </c>
      <c r="S58" s="68"/>
      <c r="T58" s="94">
        <f>J58*O58</f>
        <v>-5.6069469216240115</v>
      </c>
      <c r="U58" s="89">
        <f>K58*P58</f>
        <v>-5.6069469216240115</v>
      </c>
      <c r="V58" s="89">
        <f t="shared" si="47"/>
        <v>-5.6069469216240115</v>
      </c>
      <c r="W58" s="89">
        <f t="shared" si="47"/>
        <v>-5.6069469216240115</v>
      </c>
      <c r="X58" s="79">
        <f t="shared" si="50"/>
        <v>0</v>
      </c>
      <c r="Y58" s="95"/>
      <c r="Z58" s="94">
        <v>-5.6069469216240115</v>
      </c>
      <c r="AA58" s="89">
        <v>-5.6069469216240115</v>
      </c>
      <c r="AB58" s="89">
        <v>-5.6069469216240115</v>
      </c>
      <c r="AC58" s="89">
        <v>-5.6069469216240115</v>
      </c>
      <c r="AD58" s="79">
        <v>0</v>
      </c>
      <c r="AF58" s="175"/>
      <c r="AG58" s="176"/>
      <c r="AH58" s="176"/>
      <c r="AI58" s="176"/>
      <c r="AJ58" s="117"/>
      <c r="AK58" s="178"/>
      <c r="AL58" s="175"/>
      <c r="AM58" s="176"/>
      <c r="AN58" s="176"/>
      <c r="AO58" s="176"/>
      <c r="AP58" s="117"/>
      <c r="AQ58" s="159"/>
      <c r="AR58" s="111"/>
      <c r="AS58" s="112"/>
      <c r="AT58" s="112"/>
      <c r="AU58" s="112"/>
      <c r="AV58" s="124"/>
    </row>
    <row r="59" spans="1:48" ht="26.4" x14ac:dyDescent="0.25">
      <c r="A59" s="168" t="s">
        <v>3</v>
      </c>
      <c r="B59" s="85">
        <v>0</v>
      </c>
      <c r="C59" s="85">
        <v>1</v>
      </c>
      <c r="D59" s="85">
        <v>0</v>
      </c>
      <c r="E59" s="85">
        <v>0</v>
      </c>
      <c r="F59" s="85">
        <v>0</v>
      </c>
      <c r="G59" s="86">
        <v>0</v>
      </c>
      <c r="H59" s="68"/>
      <c r="I59" s="87">
        <f t="shared" si="48"/>
        <v>14.951858457664031</v>
      </c>
      <c r="J59" s="88">
        <f t="shared" si="49"/>
        <v>3.7379646144160077</v>
      </c>
      <c r="K59" s="88">
        <f t="shared" si="45"/>
        <v>3.7379646144160077</v>
      </c>
      <c r="L59" s="88">
        <f t="shared" si="45"/>
        <v>3.7379646144160077</v>
      </c>
      <c r="M59" s="172">
        <f t="shared" si="45"/>
        <v>3.7379646144160077</v>
      </c>
      <c r="N59" s="68"/>
      <c r="O59" s="91">
        <f t="shared" si="46"/>
        <v>-1</v>
      </c>
      <c r="P59" s="92">
        <f t="shared" si="46"/>
        <v>-1</v>
      </c>
      <c r="Q59" s="92">
        <f t="shared" si="46"/>
        <v>-1</v>
      </c>
      <c r="R59" s="93">
        <f t="shared" si="46"/>
        <v>-1</v>
      </c>
      <c r="S59" s="68"/>
      <c r="T59" s="94">
        <f t="shared" ref="T59:U60" si="51">J59*O59</f>
        <v>-3.7379646144160077</v>
      </c>
      <c r="U59" s="89">
        <f t="shared" si="51"/>
        <v>-3.7379646144160077</v>
      </c>
      <c r="V59" s="89">
        <f t="shared" si="47"/>
        <v>-3.7379646144160077</v>
      </c>
      <c r="W59" s="89">
        <f t="shared" si="47"/>
        <v>-3.7379646144160077</v>
      </c>
      <c r="X59" s="79">
        <f t="shared" si="50"/>
        <v>0</v>
      </c>
      <c r="Y59" s="95"/>
      <c r="Z59" s="94">
        <v>-3.7379646144160077</v>
      </c>
      <c r="AA59" s="89">
        <v>-3.7379646144160077</v>
      </c>
      <c r="AB59" s="89">
        <v>-3.7379646144160077</v>
      </c>
      <c r="AC59" s="89">
        <v>-3.7379646144160077</v>
      </c>
      <c r="AD59" s="79">
        <v>0</v>
      </c>
      <c r="AF59" s="175"/>
      <c r="AG59" s="176"/>
      <c r="AH59" s="176"/>
      <c r="AI59" s="176"/>
      <c r="AJ59" s="117"/>
      <c r="AK59" s="178"/>
      <c r="AL59" s="175"/>
      <c r="AM59" s="176"/>
      <c r="AN59" s="176"/>
      <c r="AO59" s="176"/>
      <c r="AP59" s="117"/>
      <c r="AQ59" s="159"/>
      <c r="AR59" s="111"/>
      <c r="AS59" s="112"/>
      <c r="AT59" s="112"/>
      <c r="AU59" s="112"/>
      <c r="AV59" s="124"/>
    </row>
    <row r="60" spans="1:48" ht="27" thickBot="1" x14ac:dyDescent="0.3">
      <c r="A60" s="182" t="s">
        <v>168</v>
      </c>
      <c r="B60" s="128">
        <v>10786</v>
      </c>
      <c r="C60" s="128">
        <v>12217</v>
      </c>
      <c r="D60" s="64">
        <v>9705</v>
      </c>
      <c r="E60" s="64">
        <v>10766</v>
      </c>
      <c r="F60" s="64">
        <v>9959</v>
      </c>
      <c r="G60" s="65">
        <v>10193</v>
      </c>
      <c r="H60" s="68"/>
      <c r="I60" s="129">
        <f t="shared" si="48"/>
        <v>14.951858457664031</v>
      </c>
      <c r="J60" s="130">
        <f t="shared" si="49"/>
        <v>3.7379646144160077</v>
      </c>
      <c r="K60" s="130">
        <f t="shared" si="45"/>
        <v>3.7379646144160077</v>
      </c>
      <c r="L60" s="130">
        <f t="shared" si="45"/>
        <v>3.7379646144160077</v>
      </c>
      <c r="M60" s="184">
        <f t="shared" si="45"/>
        <v>3.7379646144160077</v>
      </c>
      <c r="N60" s="68"/>
      <c r="O60" s="133">
        <f t="shared" si="46"/>
        <v>-1.7554157931516423</v>
      </c>
      <c r="P60" s="134">
        <f t="shared" si="46"/>
        <v>-1.0139762403913348</v>
      </c>
      <c r="Q60" s="134">
        <f t="shared" si="46"/>
        <v>-1.5779175401816912</v>
      </c>
      <c r="R60" s="135">
        <f t="shared" si="46"/>
        <v>-1.4143955276030749</v>
      </c>
      <c r="S60" s="68"/>
      <c r="T60" s="136">
        <f t="shared" si="51"/>
        <v>-6.5616821183878491</v>
      </c>
      <c r="U60" s="137">
        <f t="shared" si="51"/>
        <v>-3.7902073064413888</v>
      </c>
      <c r="V60" s="137">
        <f t="shared" si="47"/>
        <v>-5.8981999296655108</v>
      </c>
      <c r="W60" s="137">
        <f t="shared" si="47"/>
        <v>-5.2869604329685531</v>
      </c>
      <c r="X60" s="138">
        <f t="shared" si="50"/>
        <v>0</v>
      </c>
      <c r="Y60" s="95"/>
      <c r="Z60" s="136">
        <v>-6.5616821183878491</v>
      </c>
      <c r="AA60" s="137">
        <v>-3.7902073064413888</v>
      </c>
      <c r="AB60" s="137">
        <v>-5.8981999296655108</v>
      </c>
      <c r="AC60" s="137">
        <v>-5.7911024110134797</v>
      </c>
      <c r="AD60" s="138">
        <v>0</v>
      </c>
      <c r="AF60" s="203"/>
      <c r="AG60" s="204"/>
      <c r="AH60" s="204"/>
      <c r="AI60" s="204"/>
      <c r="AJ60" s="142"/>
      <c r="AK60" s="178"/>
      <c r="AL60" s="203"/>
      <c r="AM60" s="204"/>
      <c r="AN60" s="204"/>
      <c r="AO60" s="204"/>
      <c r="AP60" s="142"/>
      <c r="AQ60" s="159"/>
      <c r="AR60" s="224"/>
      <c r="AS60" s="225"/>
      <c r="AT60" s="225"/>
      <c r="AU60" s="225"/>
      <c r="AV60" s="226"/>
    </row>
    <row r="61" spans="1:48" ht="13.8" thickBot="1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227">
        <f>SUMIF(T56:T60,"&gt;0")</f>
        <v>0</v>
      </c>
      <c r="U61" s="228">
        <f t="shared" ref="U61:W61" si="52">SUMIF(U56:U60,"&gt;0")</f>
        <v>0</v>
      </c>
      <c r="V61" s="228">
        <f t="shared" si="52"/>
        <v>0</v>
      </c>
      <c r="W61" s="228">
        <f t="shared" si="52"/>
        <v>0</v>
      </c>
      <c r="X61" s="211">
        <f>SUM(X56:X60)</f>
        <v>0</v>
      </c>
      <c r="Y61" s="66"/>
      <c r="Z61" s="227">
        <f>SUMIF(Z56:Z60,"&gt;0")</f>
        <v>0</v>
      </c>
      <c r="AA61" s="228">
        <f t="shared" ref="AA61:AC61" si="53">SUMIF(AA56:AA60,"&gt;0")</f>
        <v>0</v>
      </c>
      <c r="AB61" s="228">
        <f t="shared" si="53"/>
        <v>0</v>
      </c>
      <c r="AC61" s="228">
        <f t="shared" si="53"/>
        <v>0</v>
      </c>
      <c r="AD61" s="211">
        <f>SUM(AD56:AD60)</f>
        <v>0</v>
      </c>
      <c r="AF61" s="212">
        <f>SUM(AF56:AF60)</f>
        <v>0</v>
      </c>
      <c r="AG61" s="213">
        <f t="shared" ref="AG61:AJ61" si="54">SUM(AG56:AG60)</f>
        <v>0</v>
      </c>
      <c r="AH61" s="213">
        <f t="shared" si="54"/>
        <v>0</v>
      </c>
      <c r="AI61" s="213">
        <f t="shared" si="54"/>
        <v>0</v>
      </c>
      <c r="AJ61" s="214">
        <f t="shared" si="54"/>
        <v>0</v>
      </c>
      <c r="AK61" s="178"/>
      <c r="AL61" s="212">
        <f>SUM(AL56:AL60)</f>
        <v>0</v>
      </c>
      <c r="AM61" s="213">
        <f t="shared" ref="AM61:AP61" si="55">SUM(AM56:AM60)</f>
        <v>0</v>
      </c>
      <c r="AN61" s="213">
        <f t="shared" si="55"/>
        <v>0</v>
      </c>
      <c r="AO61" s="213">
        <f t="shared" si="55"/>
        <v>0</v>
      </c>
      <c r="AP61" s="214">
        <f t="shared" si="55"/>
        <v>0</v>
      </c>
      <c r="AQ61" s="159"/>
      <c r="AR61" s="215">
        <f>SUM(AR56:AR60)</f>
        <v>0</v>
      </c>
      <c r="AS61" s="216">
        <f t="shared" ref="AS61:AV61" si="56">SUM(AS56:AS60)</f>
        <v>0</v>
      </c>
      <c r="AT61" s="216">
        <f t="shared" si="56"/>
        <v>0</v>
      </c>
      <c r="AU61" s="216">
        <f t="shared" si="56"/>
        <v>0</v>
      </c>
      <c r="AV61" s="155">
        <f t="shared" si="56"/>
        <v>0</v>
      </c>
    </row>
    <row r="62" spans="1:48" x14ac:dyDescent="0.25">
      <c r="A62" s="229" t="s">
        <v>179</v>
      </c>
      <c r="B62" s="125" t="s">
        <v>180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1:48" x14ac:dyDescent="0.25">
      <c r="A63" s="229" t="s">
        <v>181</v>
      </c>
      <c r="B63" s="230">
        <v>41967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:48" x14ac:dyDescent="0.25">
      <c r="A64" s="229" t="s">
        <v>182</v>
      </c>
      <c r="B64" s="125" t="s">
        <v>180</v>
      </c>
    </row>
    <row r="65" spans="1:2" x14ac:dyDescent="0.25">
      <c r="A65" s="229" t="s">
        <v>183</v>
      </c>
      <c r="B65" s="230">
        <v>41967</v>
      </c>
    </row>
    <row r="66" spans="1:2" x14ac:dyDescent="0.25">
      <c r="A66" s="229" t="s">
        <v>184</v>
      </c>
      <c r="B66" s="125" t="s">
        <v>180</v>
      </c>
    </row>
    <row r="67" spans="1:2" x14ac:dyDescent="0.25">
      <c r="A67" s="229" t="s">
        <v>185</v>
      </c>
      <c r="B67" s="230">
        <v>41968</v>
      </c>
    </row>
  </sheetData>
  <mergeCells count="63">
    <mergeCell ref="AR8:AV9"/>
    <mergeCell ref="A1:I1"/>
    <mergeCell ref="A4:D4"/>
    <mergeCell ref="E4:E5"/>
    <mergeCell ref="F4:G4"/>
    <mergeCell ref="A8:G8"/>
    <mergeCell ref="I8:M8"/>
    <mergeCell ref="A9:C9"/>
    <mergeCell ref="D9:G9"/>
    <mergeCell ref="O8:R9"/>
    <mergeCell ref="T8:X9"/>
    <mergeCell ref="Z8:AD9"/>
    <mergeCell ref="AF8:AJ9"/>
    <mergeCell ref="AL8:AP9"/>
    <mergeCell ref="A19:AP19"/>
    <mergeCell ref="A20:D20"/>
    <mergeCell ref="E20:E21"/>
    <mergeCell ref="F20:G20"/>
    <mergeCell ref="O20:P20"/>
    <mergeCell ref="A33:D33"/>
    <mergeCell ref="E33:E34"/>
    <mergeCell ref="F33:G33"/>
    <mergeCell ref="J34:K34"/>
    <mergeCell ref="A24:G24"/>
    <mergeCell ref="I24:M24"/>
    <mergeCell ref="AL24:AP25"/>
    <mergeCell ref="AR24:AV25"/>
    <mergeCell ref="A25:C25"/>
    <mergeCell ref="D25:G25"/>
    <mergeCell ref="A32:AP32"/>
    <mergeCell ref="O24:R25"/>
    <mergeCell ref="T24:X25"/>
    <mergeCell ref="Z24:AD25"/>
    <mergeCell ref="AF24:AJ25"/>
    <mergeCell ref="AR37:AV38"/>
    <mergeCell ref="A38:C38"/>
    <mergeCell ref="D38:G38"/>
    <mergeCell ref="O36:R36"/>
    <mergeCell ref="T36:X36"/>
    <mergeCell ref="A37:G37"/>
    <mergeCell ref="I37:M37"/>
    <mergeCell ref="O37:R38"/>
    <mergeCell ref="T37:X38"/>
    <mergeCell ref="O52:R52"/>
    <mergeCell ref="T52:X52"/>
    <mergeCell ref="Z37:AD38"/>
    <mergeCell ref="AF37:AJ38"/>
    <mergeCell ref="AL37:AP38"/>
    <mergeCell ref="A48:AP48"/>
    <mergeCell ref="A49:D49"/>
    <mergeCell ref="E49:E50"/>
    <mergeCell ref="F49:G49"/>
    <mergeCell ref="J49:K49"/>
    <mergeCell ref="AL53:AP54"/>
    <mergeCell ref="AR53:AV54"/>
    <mergeCell ref="A54:C54"/>
    <mergeCell ref="D54:G54"/>
    <mergeCell ref="A53:G53"/>
    <mergeCell ref="I53:M53"/>
    <mergeCell ref="O53:R54"/>
    <mergeCell ref="T53:X54"/>
    <mergeCell ref="Z53:AD54"/>
    <mergeCell ref="AF53:AJ54"/>
  </mergeCells>
  <conditionalFormatting sqref="AQ17:AQ19">
    <cfRule type="cellIs" dxfId="43" priority="12" operator="greaterThan">
      <formula>0</formula>
    </cfRule>
  </conditionalFormatting>
  <conditionalFormatting sqref="AK30:AK31 AQ30:AQ33 AK33">
    <cfRule type="cellIs" dxfId="42" priority="11" operator="greaterThan">
      <formula>0</formula>
    </cfRule>
  </conditionalFormatting>
  <conditionalFormatting sqref="AK46:AK47 AQ46:AQ48">
    <cfRule type="cellIs" dxfId="41" priority="10" operator="greaterThan">
      <formula>0</formula>
    </cfRule>
  </conditionalFormatting>
  <conditionalFormatting sqref="AK61 AQ61">
    <cfRule type="cellIs" dxfId="40" priority="9" operator="greaterThan">
      <formula>0</formula>
    </cfRule>
  </conditionalFormatting>
  <conditionalFormatting sqref="O11:R16">
    <cfRule type="cellIs" dxfId="39" priority="4" operator="greaterThan">
      <formula>1</formula>
    </cfRule>
    <cfRule type="cellIs" dxfId="38" priority="8" operator="greaterThan">
      <formula>2</formula>
    </cfRule>
  </conditionalFormatting>
  <conditionalFormatting sqref="O27:R29">
    <cfRule type="cellIs" dxfId="37" priority="3" operator="greaterThan">
      <formula>1</formula>
    </cfRule>
    <cfRule type="cellIs" dxfId="36" priority="7" operator="greaterThan">
      <formula>2</formula>
    </cfRule>
  </conditionalFormatting>
  <conditionalFormatting sqref="O40:R45">
    <cfRule type="cellIs" dxfId="35" priority="2" operator="greaterThan">
      <formula>1</formula>
    </cfRule>
    <cfRule type="cellIs" dxfId="34" priority="6" operator="greaterThan">
      <formula>2</formula>
    </cfRule>
  </conditionalFormatting>
  <conditionalFormatting sqref="O56:R60">
    <cfRule type="cellIs" dxfId="33" priority="1" operator="greaterThan">
      <formula>1</formula>
    </cfRule>
    <cfRule type="cellIs" dxfId="32" priority="5" operator="greaterThan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8" scale="38" orientation="landscape" r:id="rId1"/>
  <headerFooter>
    <oddHeader>&amp;A</oddHeader>
    <oddFooter>Page &amp;P&amp;R&amp;Z&amp;F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2"/>
  <sheetViews>
    <sheetView workbookViewId="0">
      <selection activeCell="H20" sqref="H20"/>
    </sheetView>
  </sheetViews>
  <sheetFormatPr defaultRowHeight="13.8" x14ac:dyDescent="0.25"/>
  <cols>
    <col min="1" max="1" width="24.19921875" bestFit="1" customWidth="1"/>
    <col min="2" max="2" width="13.19921875" bestFit="1" customWidth="1"/>
    <col min="3" max="3" width="8.59765625" bestFit="1" customWidth="1"/>
    <col min="4" max="7" width="11.59765625" bestFit="1" customWidth="1"/>
    <col min="8" max="8" width="12.796875" bestFit="1" customWidth="1"/>
    <col min="9" max="9" width="14.5" bestFit="1" customWidth="1"/>
    <col min="10" max="10" width="5.69921875" bestFit="1" customWidth="1"/>
    <col min="11" max="11" width="9.59765625" bestFit="1" customWidth="1"/>
  </cols>
  <sheetData>
    <row r="1" spans="1:9" ht="14.4" thickBot="1" x14ac:dyDescent="0.3">
      <c r="A1" s="322" t="s">
        <v>191</v>
      </c>
      <c r="B1" s="322"/>
      <c r="C1" s="322"/>
      <c r="D1" s="322"/>
      <c r="E1" s="322"/>
      <c r="F1" s="322"/>
      <c r="G1" s="322"/>
    </row>
    <row r="2" spans="1:9" x14ac:dyDescent="0.25">
      <c r="A2" s="240"/>
      <c r="B2" s="240"/>
      <c r="C2" s="240" t="s">
        <v>192</v>
      </c>
      <c r="D2" s="240" t="s">
        <v>193</v>
      </c>
      <c r="E2" s="240" t="s">
        <v>194</v>
      </c>
      <c r="F2" s="240" t="s">
        <v>195</v>
      </c>
      <c r="G2" s="241" t="s">
        <v>196</v>
      </c>
      <c r="H2" s="242" t="s">
        <v>197</v>
      </c>
    </row>
    <row r="3" spans="1:9" x14ac:dyDescent="0.25">
      <c r="A3" s="240" t="s">
        <v>198</v>
      </c>
      <c r="B3" s="240" t="s">
        <v>199</v>
      </c>
      <c r="C3" s="243" t="s">
        <v>204</v>
      </c>
      <c r="D3" s="243" t="s">
        <v>204</v>
      </c>
      <c r="E3" s="243" t="s">
        <v>204</v>
      </c>
      <c r="F3" s="243" t="s">
        <v>204</v>
      </c>
      <c r="G3" s="243" t="s">
        <v>204</v>
      </c>
      <c r="H3" s="244" t="s">
        <v>207</v>
      </c>
    </row>
    <row r="4" spans="1:9" x14ac:dyDescent="0.25">
      <c r="A4" s="240"/>
      <c r="B4" s="240" t="s">
        <v>200</v>
      </c>
      <c r="C4" s="243" t="s">
        <v>204</v>
      </c>
      <c r="D4" s="243" t="s">
        <v>204</v>
      </c>
      <c r="E4" s="243" t="s">
        <v>205</v>
      </c>
      <c r="F4" s="243" t="s">
        <v>204</v>
      </c>
      <c r="G4" s="243" t="s">
        <v>204</v>
      </c>
      <c r="H4" s="249" t="s">
        <v>207</v>
      </c>
      <c r="I4" s="245"/>
    </row>
    <row r="5" spans="1:9" x14ac:dyDescent="0.25">
      <c r="A5" s="240" t="s">
        <v>201</v>
      </c>
      <c r="B5" s="240" t="s">
        <v>199</v>
      </c>
      <c r="C5" s="243" t="s">
        <v>204</v>
      </c>
      <c r="D5" s="243" t="s">
        <v>204</v>
      </c>
      <c r="E5" s="243" t="s">
        <v>204</v>
      </c>
      <c r="F5" s="243" t="s">
        <v>204</v>
      </c>
      <c r="G5" s="243" t="s">
        <v>204</v>
      </c>
      <c r="H5" s="246" t="s">
        <v>207</v>
      </c>
    </row>
    <row r="6" spans="1:9" x14ac:dyDescent="0.25">
      <c r="A6" s="240"/>
      <c r="B6" s="240" t="s">
        <v>200</v>
      </c>
      <c r="C6" s="243" t="s">
        <v>204</v>
      </c>
      <c r="D6" s="243" t="s">
        <v>204</v>
      </c>
      <c r="E6" s="243" t="s">
        <v>204</v>
      </c>
      <c r="F6" s="243" t="s">
        <v>204</v>
      </c>
      <c r="G6" s="243" t="s">
        <v>204</v>
      </c>
      <c r="H6" s="247" t="s">
        <v>207</v>
      </c>
    </row>
    <row r="7" spans="1:9" x14ac:dyDescent="0.25">
      <c r="A7" s="240" t="s">
        <v>202</v>
      </c>
      <c r="B7" s="240" t="s">
        <v>199</v>
      </c>
      <c r="C7" s="243" t="s">
        <v>205</v>
      </c>
      <c r="D7" s="243" t="s">
        <v>204</v>
      </c>
      <c r="E7" s="243" t="s">
        <v>204</v>
      </c>
      <c r="F7" s="243" t="s">
        <v>204</v>
      </c>
      <c r="G7" s="243" t="s">
        <v>204</v>
      </c>
      <c r="H7" s="246" t="s">
        <v>207</v>
      </c>
    </row>
    <row r="8" spans="1:9" x14ac:dyDescent="0.25">
      <c r="A8" s="240"/>
      <c r="B8" s="240" t="s">
        <v>200</v>
      </c>
      <c r="C8" s="243" t="s">
        <v>205</v>
      </c>
      <c r="D8" s="243" t="s">
        <v>206</v>
      </c>
      <c r="E8" s="243" t="s">
        <v>206</v>
      </c>
      <c r="F8" s="243" t="s">
        <v>206</v>
      </c>
      <c r="G8" s="243" t="s">
        <v>206</v>
      </c>
      <c r="H8" s="250" t="s">
        <v>208</v>
      </c>
    </row>
    <row r="9" spans="1:9" x14ac:dyDescent="0.25">
      <c r="A9" s="240" t="s">
        <v>203</v>
      </c>
      <c r="B9" s="240" t="s">
        <v>199</v>
      </c>
      <c r="C9" s="243" t="s">
        <v>204</v>
      </c>
      <c r="D9" s="243" t="s">
        <v>204</v>
      </c>
      <c r="E9" s="243" t="s">
        <v>205</v>
      </c>
      <c r="F9" s="243" t="s">
        <v>204</v>
      </c>
      <c r="G9" s="243" t="s">
        <v>204</v>
      </c>
      <c r="H9" s="247" t="s">
        <v>207</v>
      </c>
    </row>
    <row r="10" spans="1:9" ht="14.4" thickBot="1" x14ac:dyDescent="0.3">
      <c r="A10" s="240"/>
      <c r="B10" s="240" t="s">
        <v>200</v>
      </c>
      <c r="C10" s="243" t="s">
        <v>204</v>
      </c>
      <c r="D10" s="243" t="s">
        <v>206</v>
      </c>
      <c r="E10" s="243" t="s">
        <v>206</v>
      </c>
      <c r="F10" s="243" t="s">
        <v>206</v>
      </c>
      <c r="G10" s="243" t="s">
        <v>206</v>
      </c>
      <c r="H10" s="251" t="s">
        <v>208</v>
      </c>
    </row>
    <row r="12" spans="1:9" x14ac:dyDescent="0.25">
      <c r="A12" s="248" t="s">
        <v>209</v>
      </c>
    </row>
  </sheetData>
  <mergeCells count="1">
    <mergeCell ref="A1:G1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55"/>
  <sheetViews>
    <sheetView zoomScaleNormal="100" workbookViewId="0">
      <pane xSplit="5" ySplit="7" topLeftCell="O11" activePane="bottomRight" state="frozen"/>
      <selection pane="topRight" activeCell="F1" sqref="F1"/>
      <selection pane="bottomLeft" activeCell="A8" sqref="A8"/>
      <selection pane="bottomRight" activeCell="D24" sqref="D24:E26"/>
    </sheetView>
  </sheetViews>
  <sheetFormatPr defaultRowHeight="13.8" x14ac:dyDescent="0.25"/>
  <cols>
    <col min="2" max="2" width="10.3984375" bestFit="1" customWidth="1"/>
    <col min="3" max="3" width="39.796875" customWidth="1"/>
    <col min="4" max="5" width="10" bestFit="1" customWidth="1"/>
    <col min="9" max="9" width="8.69921875" style="18"/>
    <col min="11" max="11" width="9.59765625" customWidth="1"/>
    <col min="12" max="12" width="19.59765625" customWidth="1"/>
    <col min="13" max="13" width="20.5" customWidth="1"/>
    <col min="16" max="16" width="9.5" style="18" customWidth="1"/>
    <col min="17" max="17" width="9.5" customWidth="1"/>
    <col min="18" max="18" width="9.59765625" customWidth="1"/>
    <col min="19" max="19" width="15.59765625" customWidth="1"/>
    <col min="20" max="20" width="16.19921875" customWidth="1"/>
  </cols>
  <sheetData>
    <row r="2" spans="1:20" ht="14.4" x14ac:dyDescent="0.3">
      <c r="C2" s="35" t="s">
        <v>44</v>
      </c>
      <c r="H2" s="34" t="s">
        <v>43</v>
      </c>
      <c r="O2" s="34" t="s">
        <v>42</v>
      </c>
    </row>
    <row r="3" spans="1:20" ht="96.6" x14ac:dyDescent="0.25">
      <c r="I3" s="27" t="s">
        <v>97</v>
      </c>
      <c r="P3" s="27" t="s">
        <v>92</v>
      </c>
      <c r="Q3" s="18"/>
    </row>
    <row r="4" spans="1:20" ht="28.2" x14ac:dyDescent="0.3">
      <c r="D4" s="33" t="s">
        <v>82</v>
      </c>
      <c r="E4" s="33" t="s">
        <v>82</v>
      </c>
      <c r="I4" s="18" t="s">
        <v>15</v>
      </c>
      <c r="J4" s="27" t="s">
        <v>14</v>
      </c>
      <c r="K4" s="27" t="s">
        <v>13</v>
      </c>
      <c r="L4" s="27" t="s">
        <v>98</v>
      </c>
      <c r="M4" s="27" t="s">
        <v>99</v>
      </c>
      <c r="P4" s="18" t="s">
        <v>22</v>
      </c>
      <c r="Q4" s="27" t="s">
        <v>21</v>
      </c>
      <c r="R4" s="27" t="s">
        <v>20</v>
      </c>
      <c r="S4" s="27" t="s">
        <v>100</v>
      </c>
      <c r="T4" s="27" t="s">
        <v>101</v>
      </c>
    </row>
    <row r="5" spans="1:20" ht="14.4" x14ac:dyDescent="0.3">
      <c r="D5" s="33" t="s">
        <v>41</v>
      </c>
      <c r="E5" s="33" t="s">
        <v>41</v>
      </c>
      <c r="H5" s="5">
        <v>2011</v>
      </c>
      <c r="I5" s="42">
        <v>1419</v>
      </c>
      <c r="J5" s="29">
        <v>2383</v>
      </c>
      <c r="K5" s="29">
        <v>1901</v>
      </c>
      <c r="L5" s="23">
        <v>2641.7917200000002</v>
      </c>
      <c r="O5" s="5">
        <v>2011</v>
      </c>
      <c r="P5" s="46">
        <v>0</v>
      </c>
      <c r="Q5" s="22">
        <v>0.08</v>
      </c>
      <c r="R5" s="22">
        <v>0.04</v>
      </c>
      <c r="S5" s="22">
        <v>3.7570444583594244E-2</v>
      </c>
      <c r="T5" s="4"/>
    </row>
    <row r="6" spans="1:20" ht="14.4" x14ac:dyDescent="0.3">
      <c r="D6" s="33" t="s">
        <v>40</v>
      </c>
      <c r="E6" s="33" t="s">
        <v>40</v>
      </c>
      <c r="H6" s="5">
        <v>2012</v>
      </c>
      <c r="I6" s="43">
        <f t="shared" ref="I6:K9" si="0">+I5</f>
        <v>1419</v>
      </c>
      <c r="J6" s="5">
        <f t="shared" si="0"/>
        <v>2383</v>
      </c>
      <c r="K6" s="5">
        <f t="shared" si="0"/>
        <v>1901</v>
      </c>
      <c r="L6" s="12">
        <f>+E32</f>
        <v>1906</v>
      </c>
      <c r="O6" s="5">
        <v>2012</v>
      </c>
      <c r="P6" s="43">
        <f t="shared" ref="P6:R9" si="1">+P5</f>
        <v>0</v>
      </c>
      <c r="Q6" s="5">
        <f t="shared" si="1"/>
        <v>0.08</v>
      </c>
      <c r="R6" s="5">
        <f t="shared" si="1"/>
        <v>0.04</v>
      </c>
      <c r="S6" s="31">
        <f>+E40*100</f>
        <v>5.8295441296490599E-2</v>
      </c>
      <c r="T6" s="4"/>
    </row>
    <row r="7" spans="1:20" ht="14.4" x14ac:dyDescent="0.3">
      <c r="D7" s="33" t="s">
        <v>39</v>
      </c>
      <c r="E7" s="33" t="s">
        <v>38</v>
      </c>
      <c r="H7" s="5">
        <v>2013</v>
      </c>
      <c r="I7" s="43">
        <f t="shared" si="0"/>
        <v>1419</v>
      </c>
      <c r="J7" s="5">
        <f t="shared" si="0"/>
        <v>2383</v>
      </c>
      <c r="K7" s="5">
        <f t="shared" si="0"/>
        <v>1901</v>
      </c>
      <c r="L7" s="12">
        <f>+E33</f>
        <v>1510</v>
      </c>
      <c r="O7" s="5">
        <v>2013</v>
      </c>
      <c r="P7" s="43">
        <f t="shared" si="1"/>
        <v>0</v>
      </c>
      <c r="Q7" s="5">
        <f t="shared" si="1"/>
        <v>0.08</v>
      </c>
      <c r="R7" s="5">
        <f t="shared" si="1"/>
        <v>0.04</v>
      </c>
      <c r="S7" s="31">
        <f>+E41*100</f>
        <v>2.4464831804281297E-2</v>
      </c>
      <c r="T7" s="4"/>
    </row>
    <row r="8" spans="1:20" x14ac:dyDescent="0.25">
      <c r="A8" t="s">
        <v>10</v>
      </c>
      <c r="B8" t="s">
        <v>36</v>
      </c>
      <c r="C8" t="s">
        <v>35</v>
      </c>
      <c r="D8" s="32" t="s">
        <v>37</v>
      </c>
      <c r="E8" s="32" t="s">
        <v>37</v>
      </c>
      <c r="H8" s="5">
        <v>2014</v>
      </c>
      <c r="I8" s="43">
        <f t="shared" si="0"/>
        <v>1419</v>
      </c>
      <c r="J8" s="5">
        <f t="shared" si="0"/>
        <v>2383</v>
      </c>
      <c r="K8" s="5">
        <f t="shared" si="0"/>
        <v>1901</v>
      </c>
      <c r="L8" s="12">
        <f>+E34</f>
        <v>1499</v>
      </c>
      <c r="M8" s="12">
        <f>+D34</f>
        <v>1499</v>
      </c>
      <c r="O8" s="5">
        <v>2014</v>
      </c>
      <c r="P8" s="43">
        <f t="shared" si="1"/>
        <v>0</v>
      </c>
      <c r="Q8" s="5">
        <f t="shared" si="1"/>
        <v>0.08</v>
      </c>
      <c r="R8" s="5">
        <f t="shared" si="1"/>
        <v>0.04</v>
      </c>
      <c r="S8" s="31">
        <f>+E42*100</f>
        <v>0</v>
      </c>
      <c r="T8" s="31">
        <f>+D42*100</f>
        <v>0</v>
      </c>
    </row>
    <row r="9" spans="1:20" x14ac:dyDescent="0.25">
      <c r="A9" t="s">
        <v>9</v>
      </c>
      <c r="B9" t="s">
        <v>36</v>
      </c>
      <c r="C9" t="s">
        <v>35</v>
      </c>
      <c r="D9" s="32" t="s">
        <v>37</v>
      </c>
      <c r="E9" s="32" t="s">
        <v>37</v>
      </c>
      <c r="H9" s="5">
        <v>2015</v>
      </c>
      <c r="I9" s="43">
        <f t="shared" si="0"/>
        <v>1419</v>
      </c>
      <c r="J9" s="5">
        <f t="shared" si="0"/>
        <v>2383</v>
      </c>
      <c r="K9" s="5">
        <f t="shared" si="0"/>
        <v>1901</v>
      </c>
      <c r="L9" s="12">
        <f>+E35</f>
        <v>1770</v>
      </c>
      <c r="M9" s="12">
        <f>+D35</f>
        <v>1645</v>
      </c>
      <c r="O9" s="5">
        <v>2015</v>
      </c>
      <c r="P9" s="43">
        <f t="shared" si="1"/>
        <v>0</v>
      </c>
      <c r="Q9" s="5">
        <f t="shared" si="1"/>
        <v>0.08</v>
      </c>
      <c r="R9" s="5">
        <f t="shared" si="1"/>
        <v>0.04</v>
      </c>
      <c r="S9" s="31">
        <f>+E43*100</f>
        <v>0.04</v>
      </c>
      <c r="T9" s="31">
        <f>+D43*100</f>
        <v>0.04</v>
      </c>
    </row>
    <row r="10" spans="1:20" x14ac:dyDescent="0.25">
      <c r="A10" t="s">
        <v>8</v>
      </c>
      <c r="B10" t="s">
        <v>36</v>
      </c>
      <c r="C10" t="s">
        <v>35</v>
      </c>
      <c r="D10" s="19">
        <v>258</v>
      </c>
      <c r="E10" s="19">
        <v>258</v>
      </c>
    </row>
    <row r="11" spans="1:20" ht="55.2" x14ac:dyDescent="0.25">
      <c r="A11" t="s">
        <v>7</v>
      </c>
      <c r="B11" t="s">
        <v>36</v>
      </c>
      <c r="C11" t="s">
        <v>35</v>
      </c>
      <c r="D11" s="19">
        <v>257</v>
      </c>
      <c r="E11" s="19">
        <v>254</v>
      </c>
      <c r="I11" s="18" t="s">
        <v>34</v>
      </c>
      <c r="P11" s="27" t="s">
        <v>93</v>
      </c>
    </row>
    <row r="12" spans="1:20" ht="26.4" x14ac:dyDescent="0.25">
      <c r="A12" t="s">
        <v>10</v>
      </c>
      <c r="B12" t="s">
        <v>33</v>
      </c>
      <c r="C12" t="s">
        <v>32</v>
      </c>
      <c r="D12" s="19">
        <v>326</v>
      </c>
      <c r="E12" s="19">
        <v>326</v>
      </c>
      <c r="I12" s="18" t="s">
        <v>15</v>
      </c>
      <c r="J12" t="s">
        <v>14</v>
      </c>
      <c r="K12" t="s">
        <v>13</v>
      </c>
      <c r="L12" s="30" t="s">
        <v>102</v>
      </c>
      <c r="M12" s="30" t="s">
        <v>103</v>
      </c>
      <c r="O12" s="10"/>
      <c r="P12" s="45" t="s">
        <v>22</v>
      </c>
      <c r="Q12" s="10" t="s">
        <v>21</v>
      </c>
      <c r="R12" s="10" t="s">
        <v>20</v>
      </c>
      <c r="S12" s="9" t="s">
        <v>104</v>
      </c>
      <c r="T12" s="9" t="s">
        <v>105</v>
      </c>
    </row>
    <row r="13" spans="1:20" x14ac:dyDescent="0.25">
      <c r="A13" t="s">
        <v>9</v>
      </c>
      <c r="B13" t="s">
        <v>33</v>
      </c>
      <c r="C13" t="s">
        <v>32</v>
      </c>
      <c r="D13" s="19">
        <v>1954</v>
      </c>
      <c r="E13" s="19">
        <v>1954</v>
      </c>
      <c r="H13" s="5">
        <v>2011</v>
      </c>
      <c r="I13" s="42">
        <v>165</v>
      </c>
      <c r="J13" s="29">
        <v>419</v>
      </c>
      <c r="K13" s="29">
        <v>292</v>
      </c>
      <c r="L13" s="8">
        <v>636</v>
      </c>
      <c r="M13" s="5">
        <v>636</v>
      </c>
      <c r="O13" s="10">
        <v>2011</v>
      </c>
      <c r="P13" s="46">
        <v>0</v>
      </c>
      <c r="Q13" s="22">
        <v>1</v>
      </c>
      <c r="R13" s="22">
        <v>0</v>
      </c>
      <c r="S13" s="26">
        <v>0</v>
      </c>
    </row>
    <row r="14" spans="1:20" x14ac:dyDescent="0.25">
      <c r="A14" t="s">
        <v>8</v>
      </c>
      <c r="B14" t="s">
        <v>33</v>
      </c>
      <c r="C14" t="s">
        <v>32</v>
      </c>
      <c r="D14" s="19">
        <v>1670</v>
      </c>
      <c r="E14" s="19">
        <v>1670</v>
      </c>
      <c r="H14" s="5">
        <v>2012</v>
      </c>
      <c r="I14" s="43">
        <f t="shared" ref="I14:K17" si="2">+I13</f>
        <v>165</v>
      </c>
      <c r="J14" s="5">
        <f t="shared" si="2"/>
        <v>419</v>
      </c>
      <c r="K14" s="5">
        <f t="shared" si="2"/>
        <v>292</v>
      </c>
      <c r="L14" s="12">
        <f>+E12</f>
        <v>326</v>
      </c>
      <c r="M14" s="12">
        <f>+D12</f>
        <v>326</v>
      </c>
      <c r="O14" s="10">
        <v>2012</v>
      </c>
      <c r="P14" s="43">
        <f t="shared" ref="P14:R17" si="3">+P13</f>
        <v>0</v>
      </c>
      <c r="Q14" s="5">
        <f t="shared" si="3"/>
        <v>1</v>
      </c>
      <c r="R14" s="5">
        <f t="shared" si="3"/>
        <v>0</v>
      </c>
      <c r="S14" s="28">
        <f>+E24*100</f>
        <v>0</v>
      </c>
    </row>
    <row r="15" spans="1:20" x14ac:dyDescent="0.25">
      <c r="A15" t="s">
        <v>7</v>
      </c>
      <c r="B15" t="s">
        <v>33</v>
      </c>
      <c r="C15" t="s">
        <v>32</v>
      </c>
      <c r="D15" s="19">
        <v>303</v>
      </c>
      <c r="E15" s="19">
        <v>210</v>
      </c>
      <c r="H15" s="5">
        <v>2013</v>
      </c>
      <c r="I15" s="43">
        <f t="shared" si="2"/>
        <v>165</v>
      </c>
      <c r="J15" s="5">
        <f t="shared" si="2"/>
        <v>419</v>
      </c>
      <c r="K15" s="5">
        <f t="shared" si="2"/>
        <v>292</v>
      </c>
      <c r="L15" s="12">
        <f t="shared" ref="L15" si="4">+E13</f>
        <v>1954</v>
      </c>
      <c r="M15" s="12">
        <f>+D13</f>
        <v>1954</v>
      </c>
      <c r="O15" s="10">
        <v>2013</v>
      </c>
      <c r="P15" s="43">
        <f t="shared" si="3"/>
        <v>0</v>
      </c>
      <c r="Q15" s="5">
        <f t="shared" si="3"/>
        <v>1</v>
      </c>
      <c r="R15" s="5">
        <f t="shared" si="3"/>
        <v>0</v>
      </c>
      <c r="S15" s="28">
        <f t="shared" ref="S15:S16" si="5">+E25*100</f>
        <v>0</v>
      </c>
    </row>
    <row r="16" spans="1:20" x14ac:dyDescent="0.25">
      <c r="A16" t="s">
        <v>10</v>
      </c>
      <c r="B16" t="s">
        <v>31</v>
      </c>
      <c r="C16" t="s">
        <v>30</v>
      </c>
      <c r="D16" s="19">
        <v>0</v>
      </c>
      <c r="E16" s="19">
        <v>0</v>
      </c>
      <c r="H16" s="5">
        <v>2014</v>
      </c>
      <c r="I16" s="43">
        <f t="shared" si="2"/>
        <v>165</v>
      </c>
      <c r="J16" s="5">
        <f t="shared" si="2"/>
        <v>419</v>
      </c>
      <c r="K16" s="5">
        <f t="shared" si="2"/>
        <v>292</v>
      </c>
      <c r="L16" s="12">
        <v>127</v>
      </c>
      <c r="M16" s="12">
        <f>+D14</f>
        <v>1670</v>
      </c>
      <c r="O16" s="10">
        <v>2014</v>
      </c>
      <c r="P16" s="43">
        <f t="shared" si="3"/>
        <v>0</v>
      </c>
      <c r="Q16" s="5">
        <f t="shared" si="3"/>
        <v>1</v>
      </c>
      <c r="R16" s="5">
        <f t="shared" si="3"/>
        <v>0</v>
      </c>
      <c r="S16" s="28">
        <f t="shared" si="5"/>
        <v>0.49</v>
      </c>
      <c r="T16" s="28">
        <f>+D26*100</f>
        <v>0.49</v>
      </c>
    </row>
    <row r="17" spans="1:20" x14ac:dyDescent="0.25">
      <c r="A17" t="s">
        <v>9</v>
      </c>
      <c r="B17" t="s">
        <v>31</v>
      </c>
      <c r="C17" t="s">
        <v>30</v>
      </c>
      <c r="D17" s="19">
        <v>0</v>
      </c>
      <c r="E17" s="19">
        <v>0</v>
      </c>
      <c r="H17" s="5">
        <v>2015</v>
      </c>
      <c r="I17" s="43">
        <f t="shared" si="2"/>
        <v>165</v>
      </c>
      <c r="J17" s="5">
        <f t="shared" si="2"/>
        <v>419</v>
      </c>
      <c r="K17" s="5">
        <f t="shared" si="2"/>
        <v>292</v>
      </c>
      <c r="L17" s="12">
        <f>+E15</f>
        <v>210</v>
      </c>
      <c r="M17" s="12">
        <f>+D15</f>
        <v>303</v>
      </c>
      <c r="O17" s="10">
        <v>2015</v>
      </c>
      <c r="P17" s="43">
        <f t="shared" si="3"/>
        <v>0</v>
      </c>
      <c r="Q17" s="5">
        <f t="shared" si="3"/>
        <v>1</v>
      </c>
      <c r="R17" s="5">
        <f t="shared" si="3"/>
        <v>0</v>
      </c>
      <c r="S17" s="28">
        <f>+E27*100</f>
        <v>0</v>
      </c>
      <c r="T17" s="28">
        <f>+D27*100</f>
        <v>0</v>
      </c>
    </row>
    <row r="18" spans="1:20" x14ac:dyDescent="0.25">
      <c r="A18" t="s">
        <v>8</v>
      </c>
      <c r="B18" t="s">
        <v>31</v>
      </c>
      <c r="C18" t="s">
        <v>30</v>
      </c>
      <c r="D18" s="19">
        <v>0</v>
      </c>
      <c r="E18" s="19">
        <v>0</v>
      </c>
    </row>
    <row r="19" spans="1:20" ht="96.6" x14ac:dyDescent="0.25">
      <c r="A19" t="s">
        <v>7</v>
      </c>
      <c r="B19" t="s">
        <v>31</v>
      </c>
      <c r="C19" t="s">
        <v>30</v>
      </c>
      <c r="D19" s="19">
        <v>0</v>
      </c>
      <c r="E19" s="19">
        <v>0</v>
      </c>
      <c r="I19" s="27" t="s">
        <v>106</v>
      </c>
      <c r="P19" s="27" t="s">
        <v>94</v>
      </c>
    </row>
    <row r="20" spans="1:20" ht="27.6" x14ac:dyDescent="0.25">
      <c r="A20" t="s">
        <v>10</v>
      </c>
      <c r="B20" t="s">
        <v>29</v>
      </c>
      <c r="C20" t="s">
        <v>28</v>
      </c>
      <c r="D20" s="19">
        <v>9705</v>
      </c>
      <c r="E20" s="19">
        <v>9705</v>
      </c>
      <c r="I20" s="18" t="s">
        <v>15</v>
      </c>
      <c r="J20" t="s">
        <v>14</v>
      </c>
      <c r="K20" t="s">
        <v>13</v>
      </c>
      <c r="L20" s="27" t="s">
        <v>107</v>
      </c>
      <c r="M20" s="27" t="s">
        <v>108</v>
      </c>
      <c r="O20" s="10"/>
      <c r="P20" s="45" t="s">
        <v>22</v>
      </c>
      <c r="Q20" s="10" t="s">
        <v>21</v>
      </c>
      <c r="R20" s="10" t="s">
        <v>20</v>
      </c>
      <c r="S20" s="9" t="s">
        <v>109</v>
      </c>
      <c r="T20" s="9" t="s">
        <v>110</v>
      </c>
    </row>
    <row r="21" spans="1:20" x14ac:dyDescent="0.25">
      <c r="A21" t="s">
        <v>9</v>
      </c>
      <c r="B21" t="s">
        <v>29</v>
      </c>
      <c r="C21" t="s">
        <v>28</v>
      </c>
      <c r="D21" s="19">
        <v>10766</v>
      </c>
      <c r="E21" s="19">
        <v>10766</v>
      </c>
      <c r="H21" s="5">
        <v>2011</v>
      </c>
      <c r="I21" s="42">
        <v>3.400000000000003E-2</v>
      </c>
      <c r="J21" s="29">
        <v>0.43599999999999994</v>
      </c>
      <c r="K21" s="29">
        <v>0.23499999999999999</v>
      </c>
      <c r="L21" s="8">
        <v>0.31999999999999318</v>
      </c>
      <c r="M21" s="5"/>
      <c r="O21" s="10">
        <v>2011</v>
      </c>
      <c r="P21" s="42">
        <v>0</v>
      </c>
      <c r="Q21" s="29">
        <v>6</v>
      </c>
      <c r="R21" s="29">
        <v>2</v>
      </c>
      <c r="S21" s="26">
        <v>1</v>
      </c>
    </row>
    <row r="22" spans="1:20" x14ac:dyDescent="0.25">
      <c r="A22" t="s">
        <v>8</v>
      </c>
      <c r="B22" t="s">
        <v>29</v>
      </c>
      <c r="C22" t="s">
        <v>28</v>
      </c>
      <c r="D22" s="19">
        <v>9959</v>
      </c>
      <c r="E22" s="19">
        <v>9959</v>
      </c>
      <c r="H22" s="5">
        <v>2012</v>
      </c>
      <c r="I22" s="43">
        <f t="shared" ref="I22:K25" si="6">+I21</f>
        <v>3.400000000000003E-2</v>
      </c>
      <c r="J22" s="5">
        <f t="shared" si="6"/>
        <v>0.43599999999999994</v>
      </c>
      <c r="K22" s="5">
        <f t="shared" si="6"/>
        <v>0.23499999999999999</v>
      </c>
      <c r="L22" s="4">
        <f>100-E36*100</f>
        <v>0.40999999999999659</v>
      </c>
      <c r="M22" s="4"/>
      <c r="O22" s="10">
        <v>2012</v>
      </c>
      <c r="P22" s="43">
        <f t="shared" ref="P22:R25" si="7">+P21</f>
        <v>0</v>
      </c>
      <c r="Q22" s="5">
        <f t="shared" si="7"/>
        <v>6</v>
      </c>
      <c r="R22" s="5">
        <f t="shared" si="7"/>
        <v>2</v>
      </c>
      <c r="S22" s="25">
        <f>+E16</f>
        <v>0</v>
      </c>
    </row>
    <row r="23" spans="1:20" x14ac:dyDescent="0.25">
      <c r="A23" t="s">
        <v>7</v>
      </c>
      <c r="B23" t="s">
        <v>29</v>
      </c>
      <c r="C23" t="s">
        <v>28</v>
      </c>
      <c r="D23" s="19">
        <v>10193</v>
      </c>
      <c r="E23" s="19">
        <v>9150</v>
      </c>
      <c r="H23" s="5">
        <v>2013</v>
      </c>
      <c r="I23" s="43">
        <f t="shared" si="6"/>
        <v>3.400000000000003E-2</v>
      </c>
      <c r="J23" s="5">
        <f t="shared" si="6"/>
        <v>0.43599999999999994</v>
      </c>
      <c r="K23" s="5">
        <f t="shared" si="6"/>
        <v>0.23499999999999999</v>
      </c>
      <c r="L23" s="11">
        <f>100-E37*100</f>
        <v>0.18000000000000682</v>
      </c>
      <c r="M23" s="4"/>
      <c r="O23" s="10">
        <v>2013</v>
      </c>
      <c r="P23" s="43">
        <f t="shared" si="7"/>
        <v>0</v>
      </c>
      <c r="Q23" s="5">
        <f t="shared" si="7"/>
        <v>6</v>
      </c>
      <c r="R23" s="5">
        <f t="shared" si="7"/>
        <v>2</v>
      </c>
      <c r="S23" s="25">
        <f>+E17</f>
        <v>0</v>
      </c>
    </row>
    <row r="24" spans="1:20" x14ac:dyDescent="0.25">
      <c r="A24" t="s">
        <v>10</v>
      </c>
      <c r="B24" t="s">
        <v>27</v>
      </c>
      <c r="C24" t="s">
        <v>26</v>
      </c>
      <c r="D24" s="3">
        <v>0</v>
      </c>
      <c r="E24" s="3">
        <v>0</v>
      </c>
      <c r="H24" s="5">
        <v>2014</v>
      </c>
      <c r="I24" s="43">
        <f t="shared" si="6"/>
        <v>3.400000000000003E-2</v>
      </c>
      <c r="J24" s="5">
        <f t="shared" si="6"/>
        <v>0.43599999999999994</v>
      </c>
      <c r="K24" s="5">
        <f t="shared" si="6"/>
        <v>0.23499999999999999</v>
      </c>
      <c r="L24" s="11">
        <f>100-E38*100</f>
        <v>0.12999999999999545</v>
      </c>
      <c r="M24" s="4">
        <f>100-D38*100</f>
        <v>0.12999999999999545</v>
      </c>
      <c r="O24" s="10">
        <v>2014</v>
      </c>
      <c r="P24" s="43">
        <f t="shared" si="7"/>
        <v>0</v>
      </c>
      <c r="Q24" s="5">
        <f t="shared" si="7"/>
        <v>6</v>
      </c>
      <c r="R24" s="5">
        <f t="shared" si="7"/>
        <v>2</v>
      </c>
      <c r="S24" s="25">
        <f>+E18</f>
        <v>0</v>
      </c>
      <c r="T24" s="25">
        <f>+D18</f>
        <v>0</v>
      </c>
    </row>
    <row r="25" spans="1:20" x14ac:dyDescent="0.25">
      <c r="A25" t="s">
        <v>9</v>
      </c>
      <c r="B25" t="s">
        <v>27</v>
      </c>
      <c r="C25" t="s">
        <v>26</v>
      </c>
      <c r="D25" s="3">
        <v>0</v>
      </c>
      <c r="E25" s="3">
        <v>0</v>
      </c>
      <c r="H25" s="5">
        <v>2015</v>
      </c>
      <c r="I25" s="43">
        <f t="shared" si="6"/>
        <v>3.400000000000003E-2</v>
      </c>
      <c r="J25" s="5">
        <f t="shared" si="6"/>
        <v>0.43599999999999994</v>
      </c>
      <c r="K25" s="5">
        <f t="shared" si="6"/>
        <v>0.23499999999999999</v>
      </c>
      <c r="L25" s="11">
        <f>100-E39*100</f>
        <v>0.10999999999999943</v>
      </c>
      <c r="M25" s="4">
        <f>100-D39*100</f>
        <v>6.0000000000002274E-2</v>
      </c>
      <c r="O25" s="10">
        <v>2015</v>
      </c>
      <c r="P25" s="43">
        <f t="shared" si="7"/>
        <v>0</v>
      </c>
      <c r="Q25" s="5">
        <f t="shared" si="7"/>
        <v>6</v>
      </c>
      <c r="R25" s="5">
        <f t="shared" si="7"/>
        <v>2</v>
      </c>
      <c r="S25" s="25">
        <f>+E19</f>
        <v>0</v>
      </c>
      <c r="T25" s="25">
        <f>+D19</f>
        <v>0</v>
      </c>
    </row>
    <row r="26" spans="1:20" x14ac:dyDescent="0.25">
      <c r="A26" t="s">
        <v>8</v>
      </c>
      <c r="B26" t="s">
        <v>27</v>
      </c>
      <c r="C26" t="s">
        <v>26</v>
      </c>
      <c r="D26" s="3">
        <v>4.8999999999999998E-3</v>
      </c>
      <c r="E26" s="3">
        <v>4.8999999999999998E-3</v>
      </c>
    </row>
    <row r="27" spans="1:20" ht="55.2" x14ac:dyDescent="0.25">
      <c r="A27" t="s">
        <v>7</v>
      </c>
      <c r="B27" t="s">
        <v>27</v>
      </c>
      <c r="C27" t="s">
        <v>26</v>
      </c>
      <c r="D27" s="3">
        <v>0</v>
      </c>
      <c r="E27" s="3">
        <v>0</v>
      </c>
      <c r="I27" s="18" t="s">
        <v>111</v>
      </c>
      <c r="P27" s="27" t="s">
        <v>95</v>
      </c>
    </row>
    <row r="28" spans="1:20" ht="27.6" x14ac:dyDescent="0.25">
      <c r="A28" t="s">
        <v>10</v>
      </c>
      <c r="B28" t="s">
        <v>25</v>
      </c>
      <c r="C28" t="s">
        <v>3</v>
      </c>
      <c r="D28" s="19">
        <v>0</v>
      </c>
      <c r="E28" s="19">
        <v>0</v>
      </c>
      <c r="I28" s="18" t="s">
        <v>15</v>
      </c>
      <c r="J28" t="s">
        <v>14</v>
      </c>
      <c r="K28" t="s">
        <v>13</v>
      </c>
      <c r="L28" s="24" t="s">
        <v>112</v>
      </c>
      <c r="M28" s="24" t="s">
        <v>113</v>
      </c>
      <c r="O28" s="13"/>
      <c r="P28" s="47" t="s">
        <v>22</v>
      </c>
      <c r="Q28" s="13" t="s">
        <v>21</v>
      </c>
      <c r="R28" s="13" t="s">
        <v>20</v>
      </c>
      <c r="S28" s="17" t="s">
        <v>114</v>
      </c>
      <c r="T28" s="17" t="s">
        <v>115</v>
      </c>
    </row>
    <row r="29" spans="1:20" x14ac:dyDescent="0.25">
      <c r="A29" t="s">
        <v>9</v>
      </c>
      <c r="B29" t="s">
        <v>25</v>
      </c>
      <c r="C29" t="s">
        <v>3</v>
      </c>
      <c r="D29" s="19">
        <v>0</v>
      </c>
      <c r="E29" s="19">
        <v>0</v>
      </c>
      <c r="H29" s="5">
        <v>2011</v>
      </c>
      <c r="I29" s="42">
        <v>170</v>
      </c>
      <c r="J29" s="29">
        <v>510</v>
      </c>
      <c r="K29" s="29">
        <v>340</v>
      </c>
      <c r="L29" s="22">
        <v>235</v>
      </c>
      <c r="M29" s="5"/>
      <c r="O29" s="13">
        <v>2011</v>
      </c>
      <c r="P29" s="42">
        <v>0</v>
      </c>
      <c r="Q29" s="29">
        <v>1</v>
      </c>
      <c r="R29" s="29">
        <v>0</v>
      </c>
      <c r="S29" s="16">
        <v>0</v>
      </c>
    </row>
    <row r="30" spans="1:20" x14ac:dyDescent="0.25">
      <c r="A30" t="s">
        <v>8</v>
      </c>
      <c r="B30" t="s">
        <v>25</v>
      </c>
      <c r="C30" t="s">
        <v>3</v>
      </c>
      <c r="D30" s="19">
        <v>0</v>
      </c>
      <c r="E30" s="19">
        <v>0</v>
      </c>
      <c r="H30" s="5">
        <v>2012</v>
      </c>
      <c r="I30" s="43">
        <f t="shared" ref="I30:K33" si="8">+I29</f>
        <v>170</v>
      </c>
      <c r="J30" s="5">
        <f t="shared" si="8"/>
        <v>510</v>
      </c>
      <c r="K30" s="5">
        <f t="shared" si="8"/>
        <v>340</v>
      </c>
      <c r="L30" s="21">
        <v>246</v>
      </c>
      <c r="M30" s="5"/>
      <c r="O30" s="13">
        <v>2012</v>
      </c>
      <c r="P30" s="43">
        <f t="shared" ref="P30:R33" si="9">+P29</f>
        <v>0</v>
      </c>
      <c r="Q30" s="5">
        <f t="shared" si="9"/>
        <v>1</v>
      </c>
      <c r="R30" s="5">
        <f t="shared" si="9"/>
        <v>0</v>
      </c>
      <c r="S30" s="20">
        <f>+E28</f>
        <v>0</v>
      </c>
    </row>
    <row r="31" spans="1:20" x14ac:dyDescent="0.25">
      <c r="A31" t="s">
        <v>7</v>
      </c>
      <c r="B31" t="s">
        <v>25</v>
      </c>
      <c r="C31" t="s">
        <v>3</v>
      </c>
      <c r="D31" s="19">
        <v>0</v>
      </c>
      <c r="E31" s="19">
        <v>0</v>
      </c>
      <c r="H31" s="5">
        <v>2013</v>
      </c>
      <c r="I31" s="43">
        <f t="shared" si="8"/>
        <v>170</v>
      </c>
      <c r="J31" s="5">
        <f t="shared" si="8"/>
        <v>510</v>
      </c>
      <c r="K31" s="5">
        <f t="shared" si="8"/>
        <v>340</v>
      </c>
      <c r="L31" s="21">
        <v>253</v>
      </c>
      <c r="M31" s="5"/>
      <c r="O31" s="13">
        <v>2013</v>
      </c>
      <c r="P31" s="43">
        <f t="shared" si="9"/>
        <v>0</v>
      </c>
      <c r="Q31" s="5">
        <f t="shared" si="9"/>
        <v>1</v>
      </c>
      <c r="R31" s="5">
        <f t="shared" si="9"/>
        <v>0</v>
      </c>
      <c r="S31" s="20">
        <f>+E29</f>
        <v>0</v>
      </c>
    </row>
    <row r="32" spans="1:20" x14ac:dyDescent="0.25">
      <c r="A32" t="s">
        <v>10</v>
      </c>
      <c r="B32" t="s">
        <v>23</v>
      </c>
      <c r="C32" t="s">
        <v>1</v>
      </c>
      <c r="D32" s="19">
        <v>1906</v>
      </c>
      <c r="E32" s="19">
        <v>1906</v>
      </c>
      <c r="H32" s="5">
        <v>2014</v>
      </c>
      <c r="I32" s="43">
        <f t="shared" si="8"/>
        <v>170</v>
      </c>
      <c r="J32" s="5">
        <f t="shared" si="8"/>
        <v>510</v>
      </c>
      <c r="K32" s="5">
        <f t="shared" si="8"/>
        <v>340</v>
      </c>
      <c r="L32" s="14">
        <f>+E10</f>
        <v>258</v>
      </c>
      <c r="M32" s="14">
        <f>+D10</f>
        <v>258</v>
      </c>
      <c r="O32" s="13">
        <v>2014</v>
      </c>
      <c r="P32" s="43">
        <f t="shared" si="9"/>
        <v>0</v>
      </c>
      <c r="Q32" s="5">
        <f t="shared" si="9"/>
        <v>1</v>
      </c>
      <c r="R32" s="5">
        <f t="shared" si="9"/>
        <v>0</v>
      </c>
      <c r="S32" s="20">
        <f>+E30</f>
        <v>0</v>
      </c>
      <c r="T32" s="20">
        <f>+D30</f>
        <v>0</v>
      </c>
    </row>
    <row r="33" spans="1:20" x14ac:dyDescent="0.25">
      <c r="A33" t="s">
        <v>9</v>
      </c>
      <c r="B33" t="s">
        <v>23</v>
      </c>
      <c r="C33" t="s">
        <v>1</v>
      </c>
      <c r="D33" s="19">
        <v>1510</v>
      </c>
      <c r="E33" s="19">
        <v>1510</v>
      </c>
      <c r="H33" s="5">
        <v>2015</v>
      </c>
      <c r="I33" s="43">
        <f t="shared" si="8"/>
        <v>170</v>
      </c>
      <c r="J33" s="5">
        <f t="shared" si="8"/>
        <v>510</v>
      </c>
      <c r="K33" s="5">
        <f t="shared" si="8"/>
        <v>340</v>
      </c>
      <c r="L33" s="14">
        <f>+E11</f>
        <v>254</v>
      </c>
      <c r="M33" s="14">
        <f>+D11</f>
        <v>257</v>
      </c>
      <c r="O33" s="13">
        <v>2015</v>
      </c>
      <c r="P33" s="43">
        <f t="shared" si="9"/>
        <v>0</v>
      </c>
      <c r="Q33" s="5">
        <f t="shared" si="9"/>
        <v>1</v>
      </c>
      <c r="R33" s="5">
        <f t="shared" si="9"/>
        <v>0</v>
      </c>
      <c r="S33" s="20">
        <f>+E31</f>
        <v>0</v>
      </c>
      <c r="T33" s="20">
        <f>+D31</f>
        <v>0</v>
      </c>
    </row>
    <row r="34" spans="1:20" x14ac:dyDescent="0.25">
      <c r="A34" t="s">
        <v>8</v>
      </c>
      <c r="B34" t="s">
        <v>23</v>
      </c>
      <c r="C34" t="s">
        <v>1</v>
      </c>
      <c r="D34" s="19">
        <v>1499</v>
      </c>
      <c r="E34" s="19">
        <v>1499</v>
      </c>
      <c r="I34" s="44" t="s">
        <v>24</v>
      </c>
    </row>
    <row r="35" spans="1:20" x14ac:dyDescent="0.25">
      <c r="A35" t="s">
        <v>7</v>
      </c>
      <c r="B35" t="s">
        <v>23</v>
      </c>
      <c r="C35" t="s">
        <v>1</v>
      </c>
      <c r="D35" s="19">
        <v>1645</v>
      </c>
      <c r="E35" s="19">
        <v>1770</v>
      </c>
    </row>
    <row r="36" spans="1:20" ht="82.8" x14ac:dyDescent="0.25">
      <c r="A36" t="s">
        <v>10</v>
      </c>
      <c r="B36" t="s">
        <v>19</v>
      </c>
      <c r="C36" t="s">
        <v>18</v>
      </c>
      <c r="D36" s="3">
        <v>0.99590000000000001</v>
      </c>
      <c r="E36" s="3">
        <v>0.99590000000000001</v>
      </c>
      <c r="I36" s="18" t="s">
        <v>116</v>
      </c>
      <c r="P36" s="27" t="s">
        <v>96</v>
      </c>
    </row>
    <row r="37" spans="1:20" ht="26.4" x14ac:dyDescent="0.25">
      <c r="A37" t="s">
        <v>9</v>
      </c>
      <c r="B37" t="s">
        <v>19</v>
      </c>
      <c r="C37" t="s">
        <v>18</v>
      </c>
      <c r="D37" s="3">
        <v>0.99819999999999998</v>
      </c>
      <c r="E37" s="3">
        <v>0.99819999999999998</v>
      </c>
      <c r="I37" s="45" t="s">
        <v>15</v>
      </c>
      <c r="J37" s="10" t="s">
        <v>14</v>
      </c>
      <c r="K37" s="10" t="s">
        <v>13</v>
      </c>
      <c r="L37" s="9" t="s">
        <v>117</v>
      </c>
      <c r="M37" s="9" t="s">
        <v>118</v>
      </c>
      <c r="O37" s="13"/>
      <c r="P37" s="47" t="s">
        <v>22</v>
      </c>
      <c r="Q37" s="13" t="s">
        <v>21</v>
      </c>
      <c r="R37" s="13" t="s">
        <v>20</v>
      </c>
      <c r="S37" s="17" t="s">
        <v>119</v>
      </c>
      <c r="T37" s="17" t="s">
        <v>120</v>
      </c>
    </row>
    <row r="38" spans="1:20" x14ac:dyDescent="0.25">
      <c r="A38" t="s">
        <v>8</v>
      </c>
      <c r="B38" t="s">
        <v>19</v>
      </c>
      <c r="C38" t="s">
        <v>18</v>
      </c>
      <c r="D38" s="3">
        <v>0.99870000000000003</v>
      </c>
      <c r="E38" s="3">
        <v>0.99870000000000003</v>
      </c>
      <c r="H38" s="5">
        <v>2011</v>
      </c>
      <c r="I38" s="46">
        <v>0.57999999999999996</v>
      </c>
      <c r="J38" s="22">
        <v>1.22</v>
      </c>
      <c r="K38" s="22">
        <v>0.9</v>
      </c>
      <c r="L38" s="7">
        <v>0.91</v>
      </c>
      <c r="M38" s="5"/>
      <c r="O38" s="13">
        <v>2011</v>
      </c>
      <c r="P38" s="42">
        <v>9355</v>
      </c>
      <c r="Q38" s="29">
        <v>12217</v>
      </c>
      <c r="R38" s="29">
        <v>10786</v>
      </c>
      <c r="S38" s="15">
        <v>11270</v>
      </c>
    </row>
    <row r="39" spans="1:20" x14ac:dyDescent="0.25">
      <c r="A39" t="s">
        <v>7</v>
      </c>
      <c r="B39" t="s">
        <v>19</v>
      </c>
      <c r="C39" t="s">
        <v>18</v>
      </c>
      <c r="D39" s="3">
        <v>0.99939999999999996</v>
      </c>
      <c r="E39" s="3">
        <v>0.99890000000000001</v>
      </c>
      <c r="H39" s="5">
        <v>2012</v>
      </c>
      <c r="I39" s="43">
        <f t="shared" ref="I39:K42" si="10">+I38</f>
        <v>0.57999999999999996</v>
      </c>
      <c r="J39" s="5">
        <f t="shared" si="10"/>
        <v>1.22</v>
      </c>
      <c r="K39" s="5">
        <f t="shared" si="10"/>
        <v>0.9</v>
      </c>
      <c r="L39" s="14">
        <f>+E44</f>
        <v>1.22</v>
      </c>
      <c r="M39" s="5"/>
      <c r="O39" s="13">
        <v>2012</v>
      </c>
      <c r="P39" s="43">
        <f t="shared" ref="P39:R42" si="11">+P38</f>
        <v>9355</v>
      </c>
      <c r="Q39" s="5">
        <f t="shared" si="11"/>
        <v>12217</v>
      </c>
      <c r="R39" s="5">
        <f t="shared" si="11"/>
        <v>10786</v>
      </c>
      <c r="S39" s="12">
        <f>+E20</f>
        <v>9705</v>
      </c>
      <c r="T39" s="12"/>
    </row>
    <row r="40" spans="1:20" x14ac:dyDescent="0.25">
      <c r="A40" t="s">
        <v>10</v>
      </c>
      <c r="B40" t="s">
        <v>17</v>
      </c>
      <c r="C40" t="s">
        <v>16</v>
      </c>
      <c r="D40" s="3">
        <v>5.8295441296490598E-4</v>
      </c>
      <c r="E40" s="3">
        <v>5.8295441296490598E-4</v>
      </c>
      <c r="H40" s="5">
        <v>2013</v>
      </c>
      <c r="I40" s="43">
        <f t="shared" si="10"/>
        <v>0.57999999999999996</v>
      </c>
      <c r="J40" s="5">
        <f t="shared" si="10"/>
        <v>1.22</v>
      </c>
      <c r="K40" s="5">
        <f t="shared" si="10"/>
        <v>0.9</v>
      </c>
      <c r="L40" s="14">
        <f>+E45</f>
        <v>0.7</v>
      </c>
      <c r="M40" s="5"/>
      <c r="O40" s="13">
        <v>2013</v>
      </c>
      <c r="P40" s="43">
        <f t="shared" si="11"/>
        <v>9355</v>
      </c>
      <c r="Q40" s="5">
        <f t="shared" si="11"/>
        <v>12217</v>
      </c>
      <c r="R40" s="5">
        <f t="shared" si="11"/>
        <v>10786</v>
      </c>
      <c r="S40" s="12">
        <f>+E21</f>
        <v>10766</v>
      </c>
      <c r="T40" s="12"/>
    </row>
    <row r="41" spans="1:20" x14ac:dyDescent="0.25">
      <c r="A41" t="s">
        <v>9</v>
      </c>
      <c r="B41" t="s">
        <v>17</v>
      </c>
      <c r="C41" t="s">
        <v>16</v>
      </c>
      <c r="D41" s="3">
        <v>2.4464831804281298E-4</v>
      </c>
      <c r="E41" s="3">
        <v>2.4464831804281298E-4</v>
      </c>
      <c r="H41" s="5">
        <v>2014</v>
      </c>
      <c r="I41" s="43">
        <f t="shared" si="10"/>
        <v>0.57999999999999996</v>
      </c>
      <c r="J41" s="5">
        <f t="shared" si="10"/>
        <v>1.22</v>
      </c>
      <c r="K41" s="5">
        <f t="shared" si="10"/>
        <v>0.9</v>
      </c>
      <c r="L41" s="14">
        <f>+E46</f>
        <v>0.55000000000000004</v>
      </c>
      <c r="M41" s="14">
        <f>+D46</f>
        <v>0.55000000000000004</v>
      </c>
      <c r="O41" s="13">
        <v>2014</v>
      </c>
      <c r="P41" s="43">
        <f t="shared" si="11"/>
        <v>9355</v>
      </c>
      <c r="Q41" s="5">
        <f t="shared" si="11"/>
        <v>12217</v>
      </c>
      <c r="R41" s="5">
        <f t="shared" si="11"/>
        <v>10786</v>
      </c>
      <c r="S41" s="12">
        <f>+E22</f>
        <v>9959</v>
      </c>
      <c r="T41" s="12">
        <f>+D22</f>
        <v>9959</v>
      </c>
    </row>
    <row r="42" spans="1:20" x14ac:dyDescent="0.25">
      <c r="A42" t="s">
        <v>8</v>
      </c>
      <c r="B42" t="s">
        <v>17</v>
      </c>
      <c r="C42" t="s">
        <v>16</v>
      </c>
      <c r="D42" s="3">
        <v>0</v>
      </c>
      <c r="E42" s="3">
        <v>0</v>
      </c>
      <c r="H42" s="5">
        <v>2015</v>
      </c>
      <c r="I42" s="43">
        <f t="shared" si="10"/>
        <v>0.57999999999999996</v>
      </c>
      <c r="J42" s="5">
        <f t="shared" si="10"/>
        <v>1.22</v>
      </c>
      <c r="K42" s="5">
        <f t="shared" si="10"/>
        <v>0.9</v>
      </c>
      <c r="L42" s="14">
        <f>+E47</f>
        <v>0.57999999999999996</v>
      </c>
      <c r="M42" s="14">
        <f>+D47</f>
        <v>0.62</v>
      </c>
      <c r="O42" s="13">
        <v>2015</v>
      </c>
      <c r="P42" s="43">
        <f t="shared" si="11"/>
        <v>9355</v>
      </c>
      <c r="Q42" s="5">
        <f t="shared" si="11"/>
        <v>12217</v>
      </c>
      <c r="R42" s="5">
        <f t="shared" si="11"/>
        <v>10786</v>
      </c>
      <c r="S42" s="12">
        <f>+E23</f>
        <v>9150</v>
      </c>
      <c r="T42" s="12">
        <f>+D23</f>
        <v>10193</v>
      </c>
    </row>
    <row r="43" spans="1:20" x14ac:dyDescent="0.25">
      <c r="A43" t="s">
        <v>7</v>
      </c>
      <c r="B43" t="s">
        <v>17</v>
      </c>
      <c r="C43" t="s">
        <v>16</v>
      </c>
      <c r="D43" s="3">
        <v>4.0000000000000002E-4</v>
      </c>
      <c r="E43" s="3">
        <v>4.0000000000000002E-4</v>
      </c>
      <c r="F43" s="11"/>
    </row>
    <row r="44" spans="1:20" x14ac:dyDescent="0.25">
      <c r="A44" t="s">
        <v>10</v>
      </c>
      <c r="B44" t="s">
        <v>12</v>
      </c>
      <c r="C44" t="s">
        <v>11</v>
      </c>
      <c r="D44" s="6">
        <v>1.22</v>
      </c>
      <c r="E44" s="6">
        <v>1.22</v>
      </c>
      <c r="I44" s="18" t="s">
        <v>121</v>
      </c>
    </row>
    <row r="45" spans="1:20" ht="26.4" x14ac:dyDescent="0.25">
      <c r="A45" t="s">
        <v>9</v>
      </c>
      <c r="B45" t="s">
        <v>12</v>
      </c>
      <c r="C45" t="s">
        <v>11</v>
      </c>
      <c r="D45" s="6">
        <v>0.7</v>
      </c>
      <c r="E45" s="6">
        <v>0.7</v>
      </c>
      <c r="I45" s="45" t="s">
        <v>15</v>
      </c>
      <c r="J45" s="10" t="s">
        <v>14</v>
      </c>
      <c r="K45" s="10" t="s">
        <v>13</v>
      </c>
      <c r="L45" s="9" t="s">
        <v>122</v>
      </c>
      <c r="M45" s="9" t="s">
        <v>123</v>
      </c>
    </row>
    <row r="46" spans="1:20" x14ac:dyDescent="0.25">
      <c r="A46" t="s">
        <v>8</v>
      </c>
      <c r="B46" t="s">
        <v>12</v>
      </c>
      <c r="C46" t="s">
        <v>11</v>
      </c>
      <c r="D46" s="6">
        <v>0.55000000000000004</v>
      </c>
      <c r="E46" s="6">
        <v>0.55000000000000004</v>
      </c>
      <c r="H46" s="5">
        <v>2011</v>
      </c>
      <c r="I46" s="46">
        <v>0.02</v>
      </c>
      <c r="J46" s="22">
        <v>0.18</v>
      </c>
      <c r="K46" s="22">
        <v>0.1</v>
      </c>
      <c r="L46" s="7">
        <v>0.20999999999999375</v>
      </c>
      <c r="M46" s="5"/>
    </row>
    <row r="47" spans="1:20" x14ac:dyDescent="0.25">
      <c r="A47" t="s">
        <v>7</v>
      </c>
      <c r="B47" t="s">
        <v>12</v>
      </c>
      <c r="C47" t="s">
        <v>11</v>
      </c>
      <c r="D47" s="6">
        <v>0.62</v>
      </c>
      <c r="E47" s="6">
        <v>0.57999999999999996</v>
      </c>
      <c r="H47" s="5">
        <v>2012</v>
      </c>
      <c r="I47" s="43">
        <f t="shared" ref="I47:K50" si="12">+I46</f>
        <v>0.02</v>
      </c>
      <c r="J47" s="5">
        <f t="shared" si="12"/>
        <v>0.18</v>
      </c>
      <c r="K47" s="5">
        <f t="shared" si="12"/>
        <v>0.1</v>
      </c>
      <c r="L47" s="4">
        <f>100-E48*100</f>
        <v>0.12000000000010402</v>
      </c>
      <c r="M47" s="5"/>
    </row>
    <row r="48" spans="1:20" x14ac:dyDescent="0.25">
      <c r="A48" t="s">
        <v>10</v>
      </c>
      <c r="B48" t="s">
        <v>6</v>
      </c>
      <c r="C48" t="s">
        <v>2</v>
      </c>
      <c r="D48" s="3">
        <v>0.99879999999999891</v>
      </c>
      <c r="E48" s="3">
        <v>0.99879999999999891</v>
      </c>
      <c r="H48" s="5">
        <v>2013</v>
      </c>
      <c r="I48" s="43">
        <f t="shared" si="12"/>
        <v>0.02</v>
      </c>
      <c r="J48" s="5">
        <f t="shared" si="12"/>
        <v>0.18</v>
      </c>
      <c r="K48" s="5">
        <f t="shared" si="12"/>
        <v>0.1</v>
      </c>
      <c r="L48" s="4">
        <f>100-E49*100</f>
        <v>6.0000000000002274E-2</v>
      </c>
      <c r="M48" s="5"/>
    </row>
    <row r="49" spans="1:13" x14ac:dyDescent="0.25">
      <c r="A49" t="s">
        <v>9</v>
      </c>
      <c r="B49" t="s">
        <v>6</v>
      </c>
      <c r="C49" t="s">
        <v>2</v>
      </c>
      <c r="D49" s="3">
        <v>0.99939999999999996</v>
      </c>
      <c r="E49" s="3">
        <v>0.99939999999999996</v>
      </c>
      <c r="H49" s="5">
        <v>2014</v>
      </c>
      <c r="I49" s="43">
        <f t="shared" si="12"/>
        <v>0.02</v>
      </c>
      <c r="J49" s="5">
        <f t="shared" si="12"/>
        <v>0.18</v>
      </c>
      <c r="K49" s="5">
        <f t="shared" si="12"/>
        <v>0.1</v>
      </c>
      <c r="L49" s="4">
        <f>100-E50*100</f>
        <v>6.0000000000002274E-2</v>
      </c>
      <c r="M49" s="4">
        <f>100-D50*100</f>
        <v>6.0000000000002274E-2</v>
      </c>
    </row>
    <row r="50" spans="1:13" x14ac:dyDescent="0.25">
      <c r="A50" t="s">
        <v>8</v>
      </c>
      <c r="B50" t="s">
        <v>6</v>
      </c>
      <c r="C50" t="s">
        <v>2</v>
      </c>
      <c r="D50" s="3">
        <v>0.99939999999999996</v>
      </c>
      <c r="E50" s="3">
        <v>0.99939999999999996</v>
      </c>
      <c r="H50" s="5">
        <v>2015</v>
      </c>
      <c r="I50" s="43">
        <f t="shared" si="12"/>
        <v>0.02</v>
      </c>
      <c r="J50" s="5">
        <f t="shared" si="12"/>
        <v>0.18</v>
      </c>
      <c r="K50" s="5">
        <f t="shared" si="12"/>
        <v>0.1</v>
      </c>
      <c r="L50" s="4">
        <f>100-E51*100</f>
        <v>3.9999999999992042E-2</v>
      </c>
      <c r="M50" s="4">
        <f>100-D51*100</f>
        <v>1.9999999999996021E-2</v>
      </c>
    </row>
    <row r="51" spans="1:13" x14ac:dyDescent="0.25">
      <c r="A51" t="s">
        <v>7</v>
      </c>
      <c r="B51" t="s">
        <v>6</v>
      </c>
      <c r="C51" t="s">
        <v>2</v>
      </c>
      <c r="D51" s="3">
        <v>0.99980000000000002</v>
      </c>
      <c r="E51" s="3">
        <v>0.99960000000000004</v>
      </c>
    </row>
    <row r="54" spans="1:13" x14ac:dyDescent="0.25">
      <c r="C54" s="2" t="s">
        <v>5</v>
      </c>
    </row>
    <row r="55" spans="1:13" x14ac:dyDescent="0.25">
      <c r="C55" s="1" t="s">
        <v>4</v>
      </c>
    </row>
  </sheetData>
  <conditionalFormatting sqref="L5:L9">
    <cfRule type="cellIs" dxfId="31" priority="23" stopIfTrue="1" operator="equal">
      <formula>"""!"""</formula>
    </cfRule>
  </conditionalFormatting>
  <conditionalFormatting sqref="M8">
    <cfRule type="cellIs" dxfId="30" priority="22" stopIfTrue="1" operator="equal">
      <formula>"""!"""</formula>
    </cfRule>
  </conditionalFormatting>
  <conditionalFormatting sqref="M9">
    <cfRule type="cellIs" dxfId="29" priority="21" stopIfTrue="1" operator="equal">
      <formula>"""!"""</formula>
    </cfRule>
  </conditionalFormatting>
  <conditionalFormatting sqref="L14">
    <cfRule type="cellIs" dxfId="28" priority="20" stopIfTrue="1" operator="equal">
      <formula>"""!"""</formula>
    </cfRule>
  </conditionalFormatting>
  <conditionalFormatting sqref="L15:L17">
    <cfRule type="cellIs" dxfId="27" priority="19" stopIfTrue="1" operator="equal">
      <formula>"""!"""</formula>
    </cfRule>
  </conditionalFormatting>
  <conditionalFormatting sqref="M17">
    <cfRule type="cellIs" dxfId="26" priority="18" stopIfTrue="1" operator="equal">
      <formula>"""!"""</formula>
    </cfRule>
  </conditionalFormatting>
  <conditionalFormatting sqref="M16">
    <cfRule type="cellIs" dxfId="25" priority="17" stopIfTrue="1" operator="equal">
      <formula>"""!"""</formula>
    </cfRule>
  </conditionalFormatting>
  <conditionalFormatting sqref="M15">
    <cfRule type="cellIs" dxfId="24" priority="16" stopIfTrue="1" operator="equal">
      <formula>"""!"""</formula>
    </cfRule>
  </conditionalFormatting>
  <conditionalFormatting sqref="M14">
    <cfRule type="cellIs" dxfId="23" priority="15" stopIfTrue="1" operator="equal">
      <formula>"""!"""</formula>
    </cfRule>
  </conditionalFormatting>
  <conditionalFormatting sqref="L30:L33">
    <cfRule type="cellIs" dxfId="22" priority="13" stopIfTrue="1" operator="equal">
      <formula>"""!"""</formula>
    </cfRule>
  </conditionalFormatting>
  <conditionalFormatting sqref="L38:L42">
    <cfRule type="cellIs" dxfId="21" priority="11" stopIfTrue="1" operator="equal">
      <formula>"""!"""</formula>
    </cfRule>
  </conditionalFormatting>
  <conditionalFormatting sqref="M41">
    <cfRule type="cellIs" dxfId="20" priority="10" stopIfTrue="1" operator="equal">
      <formula>"""!"""</formula>
    </cfRule>
  </conditionalFormatting>
  <conditionalFormatting sqref="M42">
    <cfRule type="cellIs" dxfId="19" priority="9" stopIfTrue="1" operator="equal">
      <formula>"""!"""</formula>
    </cfRule>
  </conditionalFormatting>
  <conditionalFormatting sqref="L46">
    <cfRule type="cellIs" dxfId="18" priority="8" stopIfTrue="1" operator="equal">
      <formula>"""!"""</formula>
    </cfRule>
  </conditionalFormatting>
  <conditionalFormatting sqref="M32">
    <cfRule type="cellIs" dxfId="17" priority="6" stopIfTrue="1" operator="equal">
      <formula>"""!"""</formula>
    </cfRule>
  </conditionalFormatting>
  <conditionalFormatting sqref="M33">
    <cfRule type="cellIs" dxfId="16" priority="5" stopIfTrue="1" operator="equal">
      <formula>"""!"""</formula>
    </cfRule>
  </conditionalFormatting>
  <conditionalFormatting sqref="S38:S42">
    <cfRule type="cellIs" dxfId="15" priority="4" stopIfTrue="1" operator="equal">
      <formula>"""!"""</formula>
    </cfRule>
  </conditionalFormatting>
  <conditionalFormatting sqref="T39:T40">
    <cfRule type="cellIs" dxfId="14" priority="3" stopIfTrue="1" operator="equal">
      <formula>"""!"""</formula>
    </cfRule>
  </conditionalFormatting>
  <conditionalFormatting sqref="T41">
    <cfRule type="cellIs" dxfId="13" priority="2" stopIfTrue="1" operator="equal">
      <formula>"""!"""</formula>
    </cfRule>
  </conditionalFormatting>
  <conditionalFormatting sqref="T42">
    <cfRule type="cellIs" dxfId="12" priority="1" stopIfTrue="1" operator="equal">
      <formula>"""!"""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49"/>
  <sheetViews>
    <sheetView zoomScale="55" zoomScaleNormal="55" workbookViewId="0">
      <pane xSplit="5" ySplit="7" topLeftCell="F14" activePane="bottomRight" state="frozen"/>
      <selection pane="topRight" activeCell="F1" sqref="F1"/>
      <selection pane="bottomLeft" activeCell="A8" sqref="A8"/>
      <selection pane="bottomRight" activeCell="Q36" sqref="Q36"/>
    </sheetView>
  </sheetViews>
  <sheetFormatPr defaultRowHeight="13.8" x14ac:dyDescent="0.25"/>
  <cols>
    <col min="2" max="2" width="9.3984375" bestFit="1" customWidth="1"/>
    <col min="3" max="3" width="51.8984375" customWidth="1"/>
    <col min="12" max="12" width="13.3984375" customWidth="1"/>
    <col min="13" max="13" width="12.8984375" customWidth="1"/>
    <col min="16" max="16" width="8.69921875" style="18"/>
    <col min="19" max="19" width="11.8984375" customWidth="1"/>
    <col min="20" max="20" width="11.3984375" customWidth="1"/>
  </cols>
  <sheetData>
    <row r="2" spans="1:21" ht="14.4" x14ac:dyDescent="0.3">
      <c r="C2" s="35" t="s">
        <v>81</v>
      </c>
      <c r="H2" s="34" t="s">
        <v>80</v>
      </c>
      <c r="O2" s="34" t="s">
        <v>79</v>
      </c>
    </row>
    <row r="3" spans="1:21" ht="110.4" x14ac:dyDescent="0.25">
      <c r="I3" t="s">
        <v>83</v>
      </c>
      <c r="P3" s="27" t="s">
        <v>84</v>
      </c>
    </row>
    <row r="4" spans="1:21" ht="79.8" x14ac:dyDescent="0.3">
      <c r="D4" s="33" t="s">
        <v>82</v>
      </c>
      <c r="E4" s="33" t="s">
        <v>82</v>
      </c>
      <c r="H4" s="10"/>
      <c r="I4" s="10" t="s">
        <v>15</v>
      </c>
      <c r="J4" s="10" t="s">
        <v>14</v>
      </c>
      <c r="K4" s="10" t="s">
        <v>13</v>
      </c>
      <c r="L4" s="9" t="s">
        <v>78</v>
      </c>
      <c r="M4" s="9" t="s">
        <v>77</v>
      </c>
      <c r="O4" s="10"/>
      <c r="P4" s="45" t="s">
        <v>15</v>
      </c>
      <c r="Q4" s="10" t="s">
        <v>14</v>
      </c>
      <c r="R4" s="10" t="s">
        <v>13</v>
      </c>
      <c r="S4" s="9" t="s">
        <v>76</v>
      </c>
      <c r="T4" s="9" t="s">
        <v>75</v>
      </c>
      <c r="U4" s="9" t="s">
        <v>124</v>
      </c>
    </row>
    <row r="5" spans="1:21" ht="14.4" x14ac:dyDescent="0.3">
      <c r="D5" s="33" t="s">
        <v>41</v>
      </c>
      <c r="E5" s="33" t="s">
        <v>41</v>
      </c>
      <c r="H5" s="10">
        <v>2011</v>
      </c>
      <c r="I5" s="37">
        <v>152</v>
      </c>
      <c r="J5" s="37">
        <v>254</v>
      </c>
      <c r="K5" s="37">
        <v>203</v>
      </c>
      <c r="L5" s="37">
        <v>166</v>
      </c>
      <c r="M5" s="36"/>
      <c r="O5" s="10">
        <v>2011</v>
      </c>
      <c r="P5" s="48">
        <v>0.5</v>
      </c>
      <c r="Q5" s="41">
        <v>2.2999999999999998</v>
      </c>
      <c r="R5" s="40">
        <v>1.4</v>
      </c>
      <c r="S5" s="39">
        <v>1.43</v>
      </c>
      <c r="U5">
        <v>1.43</v>
      </c>
    </row>
    <row r="6" spans="1:21" ht="14.4" x14ac:dyDescent="0.3">
      <c r="D6" s="33" t="s">
        <v>40</v>
      </c>
      <c r="E6" s="33" t="s">
        <v>40</v>
      </c>
      <c r="H6" s="10">
        <v>2012</v>
      </c>
      <c r="I6" s="10">
        <f t="shared" ref="I6:K9" si="0">+I5</f>
        <v>152</v>
      </c>
      <c r="J6" s="10">
        <f t="shared" si="0"/>
        <v>254</v>
      </c>
      <c r="K6" s="10">
        <f t="shared" si="0"/>
        <v>203</v>
      </c>
      <c r="L6" s="36">
        <f>+E32</f>
        <v>178</v>
      </c>
      <c r="M6" s="36"/>
      <c r="O6" s="10">
        <v>2012</v>
      </c>
      <c r="P6" s="45">
        <f t="shared" ref="P6:R9" si="1">+P5</f>
        <v>0.5</v>
      </c>
      <c r="Q6" s="10">
        <f t="shared" si="1"/>
        <v>2.2999999999999998</v>
      </c>
      <c r="R6" s="10">
        <f t="shared" si="1"/>
        <v>1.4</v>
      </c>
      <c r="S6" s="38">
        <f>+E40*100</f>
        <v>3.9699999999999998</v>
      </c>
      <c r="U6">
        <v>3.61</v>
      </c>
    </row>
    <row r="7" spans="1:21" ht="14.4" x14ac:dyDescent="0.3">
      <c r="D7" s="33" t="s">
        <v>39</v>
      </c>
      <c r="E7" s="33" t="s">
        <v>38</v>
      </c>
      <c r="H7" s="10">
        <v>2013</v>
      </c>
      <c r="I7" s="10">
        <f t="shared" si="0"/>
        <v>152</v>
      </c>
      <c r="J7" s="10">
        <f t="shared" si="0"/>
        <v>254</v>
      </c>
      <c r="K7" s="10">
        <f t="shared" si="0"/>
        <v>203</v>
      </c>
      <c r="L7" s="36">
        <f>+E33</f>
        <v>189</v>
      </c>
      <c r="M7" s="36"/>
      <c r="O7" s="10">
        <v>2013</v>
      </c>
      <c r="P7" s="45">
        <f t="shared" si="1"/>
        <v>0.5</v>
      </c>
      <c r="Q7" s="10">
        <f t="shared" si="1"/>
        <v>2.2999999999999998</v>
      </c>
      <c r="R7" s="10">
        <f t="shared" si="1"/>
        <v>1.4</v>
      </c>
      <c r="S7" s="38">
        <f>+E41*100</f>
        <v>3.25</v>
      </c>
      <c r="U7">
        <v>2.5299999999999998</v>
      </c>
    </row>
    <row r="8" spans="1:21" x14ac:dyDescent="0.25">
      <c r="A8" t="s">
        <v>10</v>
      </c>
      <c r="B8" t="s">
        <v>74</v>
      </c>
      <c r="C8" t="s">
        <v>73</v>
      </c>
      <c r="D8" s="19">
        <v>262</v>
      </c>
      <c r="E8" s="19">
        <v>262</v>
      </c>
      <c r="H8" s="10">
        <v>2014</v>
      </c>
      <c r="I8" s="10">
        <f t="shared" si="0"/>
        <v>152</v>
      </c>
      <c r="J8" s="10">
        <f t="shared" si="0"/>
        <v>254</v>
      </c>
      <c r="K8" s="10">
        <f t="shared" si="0"/>
        <v>203</v>
      </c>
      <c r="L8" s="36">
        <f>+E34</f>
        <v>223</v>
      </c>
      <c r="M8" s="36">
        <f>+D34</f>
        <v>223</v>
      </c>
      <c r="O8" s="10">
        <v>2014</v>
      </c>
      <c r="P8" s="45">
        <f t="shared" si="1"/>
        <v>0.5</v>
      </c>
      <c r="Q8" s="10">
        <f t="shared" si="1"/>
        <v>2.2999999999999998</v>
      </c>
      <c r="R8" s="10">
        <f t="shared" si="1"/>
        <v>1.4</v>
      </c>
      <c r="S8" s="38">
        <f>+E42*100</f>
        <v>4.03</v>
      </c>
      <c r="T8" s="38">
        <f>+D42*100</f>
        <v>4.03</v>
      </c>
      <c r="U8">
        <v>1.68</v>
      </c>
    </row>
    <row r="9" spans="1:21" x14ac:dyDescent="0.25">
      <c r="A9" t="s">
        <v>9</v>
      </c>
      <c r="B9" t="s">
        <v>74</v>
      </c>
      <c r="C9" t="s">
        <v>73</v>
      </c>
      <c r="D9" s="19">
        <v>337</v>
      </c>
      <c r="E9" s="19">
        <v>337</v>
      </c>
      <c r="H9" s="10">
        <v>2015</v>
      </c>
      <c r="I9" s="10">
        <f t="shared" si="0"/>
        <v>152</v>
      </c>
      <c r="J9" s="10">
        <f t="shared" si="0"/>
        <v>254</v>
      </c>
      <c r="K9" s="10">
        <f t="shared" si="0"/>
        <v>203</v>
      </c>
      <c r="L9" s="36">
        <f>+E35</f>
        <v>219</v>
      </c>
      <c r="M9" s="36">
        <f>+D35</f>
        <v>234</v>
      </c>
      <c r="O9" s="10">
        <v>2015</v>
      </c>
      <c r="P9" s="45">
        <f t="shared" si="1"/>
        <v>0.5</v>
      </c>
      <c r="Q9" s="10">
        <f t="shared" si="1"/>
        <v>2.2999999999999998</v>
      </c>
      <c r="R9" s="10">
        <f t="shared" si="1"/>
        <v>1.4</v>
      </c>
      <c r="S9" s="38">
        <f>+E43*100</f>
        <v>1.0169491525423699</v>
      </c>
      <c r="T9" s="38">
        <f>+D43*100</f>
        <v>0.33999999999999997</v>
      </c>
      <c r="U9">
        <v>1.02</v>
      </c>
    </row>
    <row r="10" spans="1:21" x14ac:dyDescent="0.25">
      <c r="A10" t="s">
        <v>8</v>
      </c>
      <c r="B10" t="s">
        <v>74</v>
      </c>
      <c r="C10" t="s">
        <v>73</v>
      </c>
      <c r="D10" s="19">
        <v>566</v>
      </c>
      <c r="E10" s="19">
        <v>566</v>
      </c>
    </row>
    <row r="11" spans="1:21" x14ac:dyDescent="0.25">
      <c r="A11" t="s">
        <v>7</v>
      </c>
      <c r="B11" t="s">
        <v>74</v>
      </c>
      <c r="C11" t="s">
        <v>73</v>
      </c>
      <c r="D11" s="19">
        <v>277</v>
      </c>
      <c r="E11" s="19">
        <v>299</v>
      </c>
      <c r="I11" t="s">
        <v>85</v>
      </c>
      <c r="P11" s="18" t="s">
        <v>86</v>
      </c>
    </row>
    <row r="12" spans="1:21" ht="66" x14ac:dyDescent="0.25">
      <c r="A12" t="s">
        <v>10</v>
      </c>
      <c r="B12" t="s">
        <v>68</v>
      </c>
      <c r="C12" t="s">
        <v>28</v>
      </c>
      <c r="D12" s="19">
        <v>56066</v>
      </c>
      <c r="E12" s="19">
        <v>56066</v>
      </c>
      <c r="H12" s="10"/>
      <c r="I12" s="10" t="s">
        <v>15</v>
      </c>
      <c r="J12" s="10" t="s">
        <v>14</v>
      </c>
      <c r="K12" s="10" t="s">
        <v>13</v>
      </c>
      <c r="L12" s="9" t="s">
        <v>72</v>
      </c>
      <c r="M12" s="9" t="s">
        <v>71</v>
      </c>
      <c r="O12" s="10"/>
      <c r="P12" s="45" t="s">
        <v>15</v>
      </c>
      <c r="Q12" s="10" t="s">
        <v>14</v>
      </c>
      <c r="R12" s="10" t="s">
        <v>13</v>
      </c>
      <c r="S12" s="9" t="s">
        <v>70</v>
      </c>
      <c r="T12" s="9" t="s">
        <v>69</v>
      </c>
      <c r="U12" s="9" t="s">
        <v>125</v>
      </c>
    </row>
    <row r="13" spans="1:21" x14ac:dyDescent="0.25">
      <c r="A13" t="s">
        <v>9</v>
      </c>
      <c r="B13" t="s">
        <v>68</v>
      </c>
      <c r="C13" t="s">
        <v>28</v>
      </c>
      <c r="D13" s="19">
        <v>62928</v>
      </c>
      <c r="E13" s="19">
        <v>62928</v>
      </c>
      <c r="H13" s="10">
        <v>2011</v>
      </c>
      <c r="I13" s="37">
        <v>90</v>
      </c>
      <c r="J13" s="37">
        <v>160</v>
      </c>
      <c r="K13" s="37">
        <v>125</v>
      </c>
      <c r="L13" s="37">
        <v>183</v>
      </c>
      <c r="M13" s="36"/>
      <c r="O13" s="10">
        <v>2011</v>
      </c>
      <c r="P13" s="49">
        <v>0</v>
      </c>
      <c r="Q13" s="39">
        <v>0.2</v>
      </c>
      <c r="R13" s="39">
        <v>0.1</v>
      </c>
      <c r="S13" s="39">
        <v>2.73</v>
      </c>
      <c r="U13">
        <v>2.73</v>
      </c>
    </row>
    <row r="14" spans="1:21" x14ac:dyDescent="0.25">
      <c r="A14" t="s">
        <v>8</v>
      </c>
      <c r="B14" t="s">
        <v>68</v>
      </c>
      <c r="C14" t="s">
        <v>28</v>
      </c>
      <c r="D14" s="19">
        <v>62765</v>
      </c>
      <c r="E14" s="19">
        <v>62765</v>
      </c>
      <c r="H14" s="10">
        <v>2012</v>
      </c>
      <c r="I14" s="10">
        <f t="shared" ref="I14:K17" si="2">+I13</f>
        <v>90</v>
      </c>
      <c r="J14" s="10">
        <f t="shared" si="2"/>
        <v>160</v>
      </c>
      <c r="K14" s="10">
        <f t="shared" si="2"/>
        <v>125</v>
      </c>
      <c r="L14" s="36">
        <f>+E28</f>
        <v>200</v>
      </c>
      <c r="M14" s="36"/>
      <c r="O14" s="10">
        <v>2012</v>
      </c>
      <c r="P14" s="45">
        <f t="shared" ref="P14:R17" si="3">+P13</f>
        <v>0</v>
      </c>
      <c r="Q14" s="10">
        <f t="shared" si="3"/>
        <v>0.2</v>
      </c>
      <c r="R14" s="10">
        <f t="shared" si="3"/>
        <v>0.1</v>
      </c>
      <c r="S14" s="38">
        <f>+E36*100</f>
        <v>1.6099999999999999</v>
      </c>
      <c r="U14">
        <v>1.34</v>
      </c>
    </row>
    <row r="15" spans="1:21" x14ac:dyDescent="0.25">
      <c r="A15" t="s">
        <v>7</v>
      </c>
      <c r="B15" t="s">
        <v>68</v>
      </c>
      <c r="C15" t="s">
        <v>28</v>
      </c>
      <c r="D15" s="19">
        <v>50656</v>
      </c>
      <c r="E15" s="19">
        <v>45405</v>
      </c>
      <c r="H15" s="10">
        <v>2013</v>
      </c>
      <c r="I15" s="10">
        <f t="shared" si="2"/>
        <v>90</v>
      </c>
      <c r="J15" s="10">
        <f t="shared" si="2"/>
        <v>160</v>
      </c>
      <c r="K15" s="10">
        <f t="shared" si="2"/>
        <v>125</v>
      </c>
      <c r="L15" s="36">
        <f>+E29</f>
        <v>144</v>
      </c>
      <c r="M15" s="36"/>
      <c r="O15" s="10">
        <v>2013</v>
      </c>
      <c r="P15" s="45">
        <f t="shared" si="3"/>
        <v>0</v>
      </c>
      <c r="Q15" s="10">
        <f t="shared" si="3"/>
        <v>0.2</v>
      </c>
      <c r="R15" s="10">
        <f t="shared" si="3"/>
        <v>0.1</v>
      </c>
      <c r="S15" s="38">
        <f>+E37*100</f>
        <v>0.98</v>
      </c>
      <c r="U15">
        <v>0.46</v>
      </c>
    </row>
    <row r="16" spans="1:21" x14ac:dyDescent="0.25">
      <c r="A16" t="s">
        <v>10</v>
      </c>
      <c r="B16" t="s">
        <v>67</v>
      </c>
      <c r="C16" t="s">
        <v>66</v>
      </c>
      <c r="D16" s="19">
        <v>17919</v>
      </c>
      <c r="E16" s="19">
        <v>17919</v>
      </c>
      <c r="H16" s="10">
        <v>2014</v>
      </c>
      <c r="I16" s="10">
        <f t="shared" si="2"/>
        <v>90</v>
      </c>
      <c r="J16" s="10">
        <f t="shared" si="2"/>
        <v>160</v>
      </c>
      <c r="K16" s="10">
        <f t="shared" si="2"/>
        <v>125</v>
      </c>
      <c r="L16" s="36">
        <f>+E30</f>
        <v>138</v>
      </c>
      <c r="M16" s="36">
        <f>+D30</f>
        <v>138</v>
      </c>
      <c r="O16" s="10">
        <v>2014</v>
      </c>
      <c r="P16" s="45">
        <f t="shared" si="3"/>
        <v>0</v>
      </c>
      <c r="Q16" s="10">
        <f t="shared" si="3"/>
        <v>0.2</v>
      </c>
      <c r="R16" s="10">
        <f t="shared" si="3"/>
        <v>0.1</v>
      </c>
      <c r="S16" s="38">
        <f>+E38*100</f>
        <v>0.77</v>
      </c>
      <c r="T16" s="38">
        <f>+D38*100</f>
        <v>0.77</v>
      </c>
      <c r="U16">
        <v>0.64</v>
      </c>
    </row>
    <row r="17" spans="1:21" x14ac:dyDescent="0.25">
      <c r="A17" t="s">
        <v>9</v>
      </c>
      <c r="B17" t="s">
        <v>67</v>
      </c>
      <c r="C17" t="s">
        <v>66</v>
      </c>
      <c r="D17" s="19">
        <v>23435</v>
      </c>
      <c r="E17" s="19">
        <v>23435</v>
      </c>
      <c r="H17" s="10">
        <v>2015</v>
      </c>
      <c r="I17" s="10">
        <f t="shared" si="2"/>
        <v>90</v>
      </c>
      <c r="J17" s="10">
        <f t="shared" si="2"/>
        <v>160</v>
      </c>
      <c r="K17" s="10">
        <f t="shared" si="2"/>
        <v>125</v>
      </c>
      <c r="L17" s="36">
        <f>+E31</f>
        <v>141</v>
      </c>
      <c r="M17" s="36">
        <f>+D31</f>
        <v>150</v>
      </c>
      <c r="O17" s="10">
        <v>2015</v>
      </c>
      <c r="P17" s="45">
        <f t="shared" si="3"/>
        <v>0</v>
      </c>
      <c r="Q17" s="10">
        <f t="shared" si="3"/>
        <v>0.2</v>
      </c>
      <c r="R17" s="10">
        <f t="shared" si="3"/>
        <v>0.1</v>
      </c>
      <c r="S17" s="38">
        <f>+E39*100</f>
        <v>0</v>
      </c>
      <c r="T17" s="38">
        <f>+D39*100</f>
        <v>0</v>
      </c>
      <c r="U17">
        <v>0</v>
      </c>
    </row>
    <row r="18" spans="1:21" x14ac:dyDescent="0.25">
      <c r="A18" t="s">
        <v>8</v>
      </c>
      <c r="B18" t="s">
        <v>67</v>
      </c>
      <c r="C18" t="s">
        <v>66</v>
      </c>
      <c r="D18" s="19">
        <v>10858</v>
      </c>
      <c r="E18" s="19">
        <v>10858</v>
      </c>
    </row>
    <row r="19" spans="1:21" ht="82.8" x14ac:dyDescent="0.25">
      <c r="A19" t="s">
        <v>7</v>
      </c>
      <c r="B19" t="s">
        <v>67</v>
      </c>
      <c r="C19" t="s">
        <v>66</v>
      </c>
      <c r="D19" s="19">
        <v>9841</v>
      </c>
      <c r="E19" s="19">
        <v>10043</v>
      </c>
      <c r="I19" t="s">
        <v>87</v>
      </c>
      <c r="P19" s="27" t="s">
        <v>88</v>
      </c>
    </row>
    <row r="20" spans="1:21" ht="66" x14ac:dyDescent="0.25">
      <c r="A20" t="s">
        <v>10</v>
      </c>
      <c r="B20" t="s">
        <v>61</v>
      </c>
      <c r="C20" t="s">
        <v>60</v>
      </c>
      <c r="D20" s="19">
        <v>15</v>
      </c>
      <c r="E20" s="19">
        <v>15</v>
      </c>
      <c r="H20" s="10"/>
      <c r="I20" s="10" t="s">
        <v>15</v>
      </c>
      <c r="J20" s="10" t="s">
        <v>14</v>
      </c>
      <c r="K20" s="10" t="s">
        <v>13</v>
      </c>
      <c r="L20" s="9" t="s">
        <v>65</v>
      </c>
      <c r="M20" s="9" t="s">
        <v>64</v>
      </c>
      <c r="N20" s="9" t="s">
        <v>126</v>
      </c>
      <c r="O20" s="10"/>
      <c r="P20" s="45" t="s">
        <v>15</v>
      </c>
      <c r="Q20" s="10" t="s">
        <v>14</v>
      </c>
      <c r="R20" s="10" t="s">
        <v>13</v>
      </c>
      <c r="S20" s="9" t="s">
        <v>63</v>
      </c>
      <c r="T20" s="9" t="s">
        <v>62</v>
      </c>
    </row>
    <row r="21" spans="1:21" x14ac:dyDescent="0.25">
      <c r="A21" t="s">
        <v>9</v>
      </c>
      <c r="B21" t="s">
        <v>61</v>
      </c>
      <c r="C21" t="s">
        <v>60</v>
      </c>
      <c r="D21" s="19">
        <v>36</v>
      </c>
      <c r="E21" s="19">
        <v>36</v>
      </c>
      <c r="H21" s="10">
        <v>2011</v>
      </c>
      <c r="I21" s="37">
        <v>130</v>
      </c>
      <c r="J21" s="37">
        <v>290</v>
      </c>
      <c r="K21" s="37">
        <v>210</v>
      </c>
      <c r="L21" s="37">
        <v>415</v>
      </c>
      <c r="M21" s="36"/>
      <c r="O21" s="10">
        <v>2011</v>
      </c>
      <c r="P21" s="50">
        <v>37004</v>
      </c>
      <c r="Q21" s="40">
        <v>62678</v>
      </c>
      <c r="R21" s="37">
        <v>49841</v>
      </c>
      <c r="S21" s="37">
        <v>55637</v>
      </c>
    </row>
    <row r="22" spans="1:21" x14ac:dyDescent="0.25">
      <c r="A22" t="s">
        <v>8</v>
      </c>
      <c r="B22" t="s">
        <v>61</v>
      </c>
      <c r="C22" t="s">
        <v>60</v>
      </c>
      <c r="D22" s="19">
        <v>74</v>
      </c>
      <c r="E22" s="19">
        <v>74</v>
      </c>
      <c r="H22" s="10">
        <v>2012</v>
      </c>
      <c r="I22" s="10">
        <f t="shared" ref="I22:K25" si="4">+I21</f>
        <v>130</v>
      </c>
      <c r="J22" s="10">
        <f t="shared" si="4"/>
        <v>290</v>
      </c>
      <c r="K22" s="10">
        <f t="shared" si="4"/>
        <v>210</v>
      </c>
      <c r="L22" s="36">
        <f>+E24</f>
        <v>288</v>
      </c>
      <c r="M22" s="36"/>
      <c r="O22" s="10">
        <v>2012</v>
      </c>
      <c r="P22" s="45">
        <f t="shared" ref="P22:R25" si="5">+P21</f>
        <v>37004</v>
      </c>
      <c r="Q22" s="10">
        <f t="shared" si="5"/>
        <v>62678</v>
      </c>
      <c r="R22" s="10">
        <f t="shared" si="5"/>
        <v>49841</v>
      </c>
      <c r="S22" s="36">
        <f>+E12</f>
        <v>56066</v>
      </c>
    </row>
    <row r="23" spans="1:21" x14ac:dyDescent="0.25">
      <c r="A23" t="s">
        <v>7</v>
      </c>
      <c r="B23" t="s">
        <v>61</v>
      </c>
      <c r="C23" t="s">
        <v>60</v>
      </c>
      <c r="D23" s="19">
        <v>22</v>
      </c>
      <c r="E23" s="19">
        <v>33</v>
      </c>
      <c r="H23" s="10">
        <v>2013</v>
      </c>
      <c r="I23" s="10">
        <f t="shared" si="4"/>
        <v>130</v>
      </c>
      <c r="J23" s="10">
        <f t="shared" si="4"/>
        <v>290</v>
      </c>
      <c r="K23" s="10">
        <f t="shared" si="4"/>
        <v>210</v>
      </c>
      <c r="L23" s="36">
        <f>+E25</f>
        <v>354</v>
      </c>
      <c r="M23" s="36"/>
      <c r="O23" s="10">
        <v>2013</v>
      </c>
      <c r="P23" s="45">
        <f t="shared" si="5"/>
        <v>37004</v>
      </c>
      <c r="Q23" s="10">
        <f t="shared" si="5"/>
        <v>62678</v>
      </c>
      <c r="R23" s="10">
        <f t="shared" si="5"/>
        <v>49841</v>
      </c>
      <c r="S23" s="36">
        <f>+E13</f>
        <v>62928</v>
      </c>
    </row>
    <row r="24" spans="1:21" x14ac:dyDescent="0.25">
      <c r="A24" t="s">
        <v>10</v>
      </c>
      <c r="B24" t="s">
        <v>59</v>
      </c>
      <c r="C24" t="s">
        <v>58</v>
      </c>
      <c r="D24" s="19">
        <v>288</v>
      </c>
      <c r="E24" s="19">
        <v>288</v>
      </c>
      <c r="H24" s="10">
        <v>2014</v>
      </c>
      <c r="I24" s="10">
        <f t="shared" si="4"/>
        <v>130</v>
      </c>
      <c r="J24" s="10">
        <f t="shared" si="4"/>
        <v>290</v>
      </c>
      <c r="K24" s="10">
        <f t="shared" si="4"/>
        <v>210</v>
      </c>
      <c r="L24" s="36">
        <f>+E26</f>
        <v>315</v>
      </c>
      <c r="M24" s="36">
        <f>+D26</f>
        <v>315</v>
      </c>
      <c r="N24" s="36">
        <f>+E26</f>
        <v>315</v>
      </c>
      <c r="O24" s="10">
        <v>2014</v>
      </c>
      <c r="P24" s="45">
        <f t="shared" si="5"/>
        <v>37004</v>
      </c>
      <c r="Q24" s="10">
        <f t="shared" si="5"/>
        <v>62678</v>
      </c>
      <c r="R24" s="10">
        <f t="shared" si="5"/>
        <v>49841</v>
      </c>
      <c r="S24" s="36">
        <f>+E14</f>
        <v>62765</v>
      </c>
      <c r="T24" s="36">
        <f>+D14</f>
        <v>62765</v>
      </c>
    </row>
    <row r="25" spans="1:21" x14ac:dyDescent="0.25">
      <c r="A25" t="s">
        <v>9</v>
      </c>
      <c r="B25" t="s">
        <v>59</v>
      </c>
      <c r="C25" t="s">
        <v>58</v>
      </c>
      <c r="D25" s="19">
        <v>354</v>
      </c>
      <c r="E25" s="19">
        <v>354</v>
      </c>
      <c r="H25" s="10">
        <v>2015</v>
      </c>
      <c r="I25" s="10">
        <f t="shared" si="4"/>
        <v>130</v>
      </c>
      <c r="J25" s="10">
        <f t="shared" si="4"/>
        <v>290</v>
      </c>
      <c r="K25" s="10">
        <f t="shared" si="4"/>
        <v>210</v>
      </c>
      <c r="L25" s="36">
        <f>+E27</f>
        <v>253</v>
      </c>
      <c r="M25" s="36">
        <f>+D27</f>
        <v>260</v>
      </c>
      <c r="N25" s="36">
        <v>315</v>
      </c>
      <c r="O25" s="10">
        <v>2015</v>
      </c>
      <c r="P25" s="45">
        <f t="shared" si="5"/>
        <v>37004</v>
      </c>
      <c r="Q25" s="10">
        <f t="shared" si="5"/>
        <v>62678</v>
      </c>
      <c r="R25" s="10">
        <f t="shared" si="5"/>
        <v>49841</v>
      </c>
      <c r="S25" s="36">
        <f>+E15</f>
        <v>45405</v>
      </c>
      <c r="T25" s="36">
        <f>+D15</f>
        <v>50656</v>
      </c>
    </row>
    <row r="26" spans="1:21" x14ac:dyDescent="0.25">
      <c r="A26" t="s">
        <v>8</v>
      </c>
      <c r="B26" t="s">
        <v>59</v>
      </c>
      <c r="C26" t="s">
        <v>58</v>
      </c>
      <c r="D26" s="19">
        <v>315</v>
      </c>
      <c r="E26" s="19">
        <v>315</v>
      </c>
    </row>
    <row r="27" spans="1:21" x14ac:dyDescent="0.25">
      <c r="A27" t="s">
        <v>7</v>
      </c>
      <c r="B27" t="s">
        <v>59</v>
      </c>
      <c r="C27" t="s">
        <v>58</v>
      </c>
      <c r="D27" s="19">
        <v>260</v>
      </c>
      <c r="E27" s="19">
        <v>253</v>
      </c>
      <c r="I27" t="s">
        <v>89</v>
      </c>
    </row>
    <row r="28" spans="1:21" ht="39.6" x14ac:dyDescent="0.25">
      <c r="A28" t="s">
        <v>10</v>
      </c>
      <c r="B28" t="s">
        <v>55</v>
      </c>
      <c r="C28" t="s">
        <v>54</v>
      </c>
      <c r="D28" s="19">
        <v>200</v>
      </c>
      <c r="E28" s="19">
        <v>200</v>
      </c>
      <c r="H28" s="10"/>
      <c r="I28" s="10" t="s">
        <v>15</v>
      </c>
      <c r="J28" s="10" t="s">
        <v>14</v>
      </c>
      <c r="K28" s="10" t="s">
        <v>13</v>
      </c>
      <c r="L28" s="9" t="s">
        <v>57</v>
      </c>
      <c r="M28" s="9" t="s">
        <v>56</v>
      </c>
    </row>
    <row r="29" spans="1:21" x14ac:dyDescent="0.25">
      <c r="A29" t="s">
        <v>9</v>
      </c>
      <c r="B29" t="s">
        <v>55</v>
      </c>
      <c r="C29" t="s">
        <v>54</v>
      </c>
      <c r="D29" s="19">
        <v>144</v>
      </c>
      <c r="E29" s="19">
        <v>144</v>
      </c>
      <c r="H29" s="10">
        <v>2011</v>
      </c>
      <c r="I29" s="37">
        <v>3</v>
      </c>
      <c r="J29" s="37">
        <v>47</v>
      </c>
      <c r="K29" s="37">
        <v>25</v>
      </c>
      <c r="L29" s="37">
        <v>38</v>
      </c>
      <c r="M29" s="36"/>
    </row>
    <row r="30" spans="1:21" x14ac:dyDescent="0.25">
      <c r="A30" t="s">
        <v>8</v>
      </c>
      <c r="B30" t="s">
        <v>55</v>
      </c>
      <c r="C30" t="s">
        <v>54</v>
      </c>
      <c r="D30" s="19">
        <v>138</v>
      </c>
      <c r="E30" s="19">
        <v>138</v>
      </c>
      <c r="H30" s="10">
        <v>2012</v>
      </c>
      <c r="I30" s="10">
        <f t="shared" ref="I30:K33" si="6">+I29</f>
        <v>3</v>
      </c>
      <c r="J30" s="10">
        <f t="shared" si="6"/>
        <v>47</v>
      </c>
      <c r="K30" s="10">
        <f t="shared" si="6"/>
        <v>25</v>
      </c>
      <c r="L30" s="36">
        <f>E20</f>
        <v>15</v>
      </c>
      <c r="M30" s="36"/>
    </row>
    <row r="31" spans="1:21" x14ac:dyDescent="0.25">
      <c r="A31" t="s">
        <v>7</v>
      </c>
      <c r="B31" t="s">
        <v>55</v>
      </c>
      <c r="C31" t="s">
        <v>54</v>
      </c>
      <c r="D31" s="19">
        <v>150</v>
      </c>
      <c r="E31" s="19">
        <v>141</v>
      </c>
      <c r="H31" s="10">
        <v>2013</v>
      </c>
      <c r="I31" s="10">
        <f t="shared" si="6"/>
        <v>3</v>
      </c>
      <c r="J31" s="10">
        <f t="shared" si="6"/>
        <v>47</v>
      </c>
      <c r="K31" s="10">
        <f t="shared" si="6"/>
        <v>25</v>
      </c>
      <c r="L31" s="36">
        <f t="shared" ref="L31:L33" si="7">E21</f>
        <v>36</v>
      </c>
      <c r="M31" s="36"/>
    </row>
    <row r="32" spans="1:21" x14ac:dyDescent="0.25">
      <c r="A32" t="s">
        <v>10</v>
      </c>
      <c r="B32" t="s">
        <v>53</v>
      </c>
      <c r="C32" t="s">
        <v>52</v>
      </c>
      <c r="D32" s="19">
        <v>178</v>
      </c>
      <c r="E32" s="19">
        <v>178</v>
      </c>
      <c r="H32" s="10">
        <v>2014</v>
      </c>
      <c r="I32" s="10">
        <f t="shared" si="6"/>
        <v>3</v>
      </c>
      <c r="J32" s="10">
        <f t="shared" si="6"/>
        <v>47</v>
      </c>
      <c r="K32" s="10">
        <f t="shared" si="6"/>
        <v>25</v>
      </c>
      <c r="L32" s="36">
        <f t="shared" si="7"/>
        <v>74</v>
      </c>
      <c r="M32" s="36">
        <f>D22</f>
        <v>74</v>
      </c>
    </row>
    <row r="33" spans="1:13" x14ac:dyDescent="0.25">
      <c r="A33" t="s">
        <v>9</v>
      </c>
      <c r="B33" t="s">
        <v>53</v>
      </c>
      <c r="C33" t="s">
        <v>52</v>
      </c>
      <c r="D33" s="19">
        <v>189</v>
      </c>
      <c r="E33" s="19">
        <v>189</v>
      </c>
      <c r="H33" s="10">
        <v>2015</v>
      </c>
      <c r="I33" s="10">
        <f t="shared" si="6"/>
        <v>3</v>
      </c>
      <c r="J33" s="10">
        <f t="shared" si="6"/>
        <v>47</v>
      </c>
      <c r="K33" s="10">
        <f t="shared" si="6"/>
        <v>25</v>
      </c>
      <c r="L33" s="36">
        <f t="shared" si="7"/>
        <v>33</v>
      </c>
      <c r="M33" s="36">
        <f>D23</f>
        <v>22</v>
      </c>
    </row>
    <row r="34" spans="1:13" x14ac:dyDescent="0.25">
      <c r="A34" t="s">
        <v>8</v>
      </c>
      <c r="B34" t="s">
        <v>53</v>
      </c>
      <c r="C34" t="s">
        <v>52</v>
      </c>
      <c r="D34" s="19">
        <v>223</v>
      </c>
      <c r="E34" s="19">
        <v>223</v>
      </c>
    </row>
    <row r="35" spans="1:13" x14ac:dyDescent="0.25">
      <c r="A35" t="s">
        <v>7</v>
      </c>
      <c r="B35" t="s">
        <v>53</v>
      </c>
      <c r="C35" t="s">
        <v>52</v>
      </c>
      <c r="D35" s="19">
        <v>234</v>
      </c>
      <c r="E35" s="19">
        <v>219</v>
      </c>
      <c r="I35" t="s">
        <v>90</v>
      </c>
    </row>
    <row r="36" spans="1:13" ht="26.4" x14ac:dyDescent="0.25">
      <c r="A36" t="s">
        <v>10</v>
      </c>
      <c r="B36" t="s">
        <v>49</v>
      </c>
      <c r="C36" t="s">
        <v>0</v>
      </c>
      <c r="D36" s="3">
        <v>1.61E-2</v>
      </c>
      <c r="E36" s="3">
        <v>1.61E-2</v>
      </c>
      <c r="H36" s="10"/>
      <c r="I36" s="10" t="s">
        <v>15</v>
      </c>
      <c r="J36" s="10" t="s">
        <v>14</v>
      </c>
      <c r="K36" s="10" t="s">
        <v>13</v>
      </c>
      <c r="L36" s="9" t="s">
        <v>51</v>
      </c>
      <c r="M36" s="9" t="s">
        <v>50</v>
      </c>
    </row>
    <row r="37" spans="1:13" x14ac:dyDescent="0.25">
      <c r="A37" t="s">
        <v>9</v>
      </c>
      <c r="B37" t="s">
        <v>49</v>
      </c>
      <c r="C37" t="s">
        <v>0</v>
      </c>
      <c r="D37" s="3">
        <v>9.7999999999999997E-3</v>
      </c>
      <c r="E37" s="3">
        <v>9.7999999999999997E-3</v>
      </c>
      <c r="H37" s="10">
        <v>2011</v>
      </c>
      <c r="I37" s="37">
        <v>9977</v>
      </c>
      <c r="J37" s="37">
        <v>12193</v>
      </c>
      <c r="K37" s="37">
        <v>11085</v>
      </c>
      <c r="L37" s="37">
        <v>11860</v>
      </c>
    </row>
    <row r="38" spans="1:13" x14ac:dyDescent="0.25">
      <c r="A38" t="s">
        <v>8</v>
      </c>
      <c r="B38" t="s">
        <v>49</v>
      </c>
      <c r="C38" t="s">
        <v>0</v>
      </c>
      <c r="D38" s="3">
        <v>7.7000000000000002E-3</v>
      </c>
      <c r="E38" s="3">
        <v>7.7000000000000002E-3</v>
      </c>
      <c r="H38" s="10">
        <v>2012</v>
      </c>
      <c r="I38" s="10">
        <f t="shared" ref="I38:K41" si="8">+I37</f>
        <v>9977</v>
      </c>
      <c r="J38" s="10">
        <f t="shared" si="8"/>
        <v>12193</v>
      </c>
      <c r="K38" s="10">
        <f t="shared" si="8"/>
        <v>11085</v>
      </c>
      <c r="L38" s="36">
        <v>11813</v>
      </c>
    </row>
    <row r="39" spans="1:13" x14ac:dyDescent="0.25">
      <c r="A39" t="s">
        <v>7</v>
      </c>
      <c r="B39" t="s">
        <v>49</v>
      </c>
      <c r="C39" t="s">
        <v>0</v>
      </c>
      <c r="D39" s="3">
        <v>0</v>
      </c>
      <c r="E39" s="3">
        <v>0</v>
      </c>
      <c r="H39" s="10">
        <v>2013</v>
      </c>
      <c r="I39" s="10">
        <f t="shared" si="8"/>
        <v>9977</v>
      </c>
      <c r="J39" s="10">
        <f t="shared" si="8"/>
        <v>12193</v>
      </c>
      <c r="K39" s="10">
        <f t="shared" si="8"/>
        <v>11085</v>
      </c>
      <c r="L39" s="36">
        <v>12130</v>
      </c>
    </row>
    <row r="40" spans="1:13" x14ac:dyDescent="0.25">
      <c r="A40" t="s">
        <v>10</v>
      </c>
      <c r="B40" t="s">
        <v>48</v>
      </c>
      <c r="C40" t="s">
        <v>47</v>
      </c>
      <c r="D40" s="3">
        <v>3.9699999999999999E-2</v>
      </c>
      <c r="E40" s="3">
        <v>3.9699999999999999E-2</v>
      </c>
      <c r="H40" s="10">
        <v>2014</v>
      </c>
      <c r="I40" s="10">
        <f t="shared" si="8"/>
        <v>9977</v>
      </c>
      <c r="J40" s="10">
        <f t="shared" si="8"/>
        <v>12193</v>
      </c>
      <c r="K40" s="10">
        <f t="shared" si="8"/>
        <v>11085</v>
      </c>
      <c r="L40" s="36">
        <f t="shared" ref="L40" si="9">+E18</f>
        <v>10858</v>
      </c>
      <c r="M40" s="36">
        <f>+D18</f>
        <v>10858</v>
      </c>
    </row>
    <row r="41" spans="1:13" x14ac:dyDescent="0.25">
      <c r="A41" t="s">
        <v>9</v>
      </c>
      <c r="B41" t="s">
        <v>48</v>
      </c>
      <c r="C41" t="s">
        <v>47</v>
      </c>
      <c r="D41" s="3">
        <v>3.2500000000000001E-2</v>
      </c>
      <c r="E41" s="3">
        <v>3.2500000000000001E-2</v>
      </c>
      <c r="H41" s="10">
        <v>2015</v>
      </c>
      <c r="I41" s="10">
        <f t="shared" si="8"/>
        <v>9977</v>
      </c>
      <c r="J41" s="10">
        <f t="shared" si="8"/>
        <v>12193</v>
      </c>
      <c r="K41" s="10">
        <f t="shared" si="8"/>
        <v>11085</v>
      </c>
      <c r="L41" s="36">
        <f>+E19</f>
        <v>10043</v>
      </c>
      <c r="M41" s="36">
        <f>+D19</f>
        <v>9841</v>
      </c>
    </row>
    <row r="42" spans="1:13" x14ac:dyDescent="0.25">
      <c r="A42" t="s">
        <v>8</v>
      </c>
      <c r="B42" t="s">
        <v>48</v>
      </c>
      <c r="C42" t="s">
        <v>47</v>
      </c>
      <c r="D42" s="3">
        <v>4.0300000000000002E-2</v>
      </c>
      <c r="E42" s="3">
        <v>4.0300000000000002E-2</v>
      </c>
    </row>
    <row r="43" spans="1:13" x14ac:dyDescent="0.25">
      <c r="A43" t="s">
        <v>7</v>
      </c>
      <c r="B43" t="s">
        <v>48</v>
      </c>
      <c r="C43" t="s">
        <v>47</v>
      </c>
      <c r="D43" s="3">
        <v>3.3999999999999998E-3</v>
      </c>
      <c r="E43" s="3">
        <v>1.01694915254237E-2</v>
      </c>
      <c r="I43" t="s">
        <v>91</v>
      </c>
    </row>
    <row r="44" spans="1:13" ht="26.4" x14ac:dyDescent="0.25">
      <c r="H44" s="10"/>
      <c r="I44" s="10" t="s">
        <v>15</v>
      </c>
      <c r="J44" s="10" t="s">
        <v>14</v>
      </c>
      <c r="K44" s="10" t="s">
        <v>13</v>
      </c>
      <c r="L44" s="9" t="s">
        <v>46</v>
      </c>
      <c r="M44" s="9" t="s">
        <v>45</v>
      </c>
    </row>
    <row r="45" spans="1:13" x14ac:dyDescent="0.25">
      <c r="H45" s="10">
        <v>2011</v>
      </c>
      <c r="I45" s="37">
        <v>176</v>
      </c>
      <c r="J45" s="37">
        <v>306</v>
      </c>
      <c r="K45" s="37">
        <v>241</v>
      </c>
      <c r="L45" s="26">
        <v>277</v>
      </c>
      <c r="M45" s="10"/>
    </row>
    <row r="46" spans="1:13" x14ac:dyDescent="0.25">
      <c r="H46" s="10">
        <v>2012</v>
      </c>
      <c r="I46" s="10">
        <f t="shared" ref="I46:K49" si="10">+I45</f>
        <v>176</v>
      </c>
      <c r="J46" s="10">
        <f t="shared" si="10"/>
        <v>306</v>
      </c>
      <c r="K46" s="10">
        <f t="shared" si="10"/>
        <v>241</v>
      </c>
      <c r="L46" s="25">
        <f>E8</f>
        <v>262</v>
      </c>
      <c r="M46" s="10"/>
    </row>
    <row r="47" spans="1:13" x14ac:dyDescent="0.25">
      <c r="H47" s="10">
        <v>2013</v>
      </c>
      <c r="I47" s="10">
        <f t="shared" si="10"/>
        <v>176</v>
      </c>
      <c r="J47" s="10">
        <f t="shared" si="10"/>
        <v>306</v>
      </c>
      <c r="K47" s="10">
        <f t="shared" si="10"/>
        <v>241</v>
      </c>
      <c r="L47" s="25">
        <f>E9</f>
        <v>337</v>
      </c>
      <c r="M47" s="10"/>
    </row>
    <row r="48" spans="1:13" x14ac:dyDescent="0.25">
      <c r="C48" s="2" t="s">
        <v>5</v>
      </c>
      <c r="H48" s="10">
        <v>2014</v>
      </c>
      <c r="I48" s="10">
        <f t="shared" si="10"/>
        <v>176</v>
      </c>
      <c r="J48" s="10">
        <f t="shared" si="10"/>
        <v>306</v>
      </c>
      <c r="K48" s="10">
        <f t="shared" si="10"/>
        <v>241</v>
      </c>
      <c r="L48" s="25">
        <f>E10</f>
        <v>566</v>
      </c>
      <c r="M48" s="25">
        <f>D10</f>
        <v>566</v>
      </c>
    </row>
    <row r="49" spans="3:13" x14ac:dyDescent="0.25">
      <c r="C49" s="1" t="s">
        <v>4</v>
      </c>
      <c r="H49" s="10">
        <v>2015</v>
      </c>
      <c r="I49" s="10">
        <f t="shared" si="10"/>
        <v>176</v>
      </c>
      <c r="J49" s="10">
        <f t="shared" si="10"/>
        <v>306</v>
      </c>
      <c r="K49" s="10">
        <f t="shared" si="10"/>
        <v>241</v>
      </c>
      <c r="L49" s="25">
        <f>E11</f>
        <v>299</v>
      </c>
      <c r="M49" s="25">
        <f>D11</f>
        <v>277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Z26" sqref="Z26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zoomScale="80" zoomScaleNormal="80" workbookViewId="0">
      <selection activeCell="Q18" sqref="Q18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>
      <selection activeCell="L40" sqref="L40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3.8" x14ac:dyDescent="0.25"/>
  <sheetData>
    <row r="1" spans="1:2" x14ac:dyDescent="0.25">
      <c r="A1" t="s">
        <v>186</v>
      </c>
      <c r="B1" t="s">
        <v>187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E38" sqref="E38"/>
    </sheetView>
  </sheetViews>
  <sheetFormatPr defaultRowHeight="13.8" x14ac:dyDescent="0.25"/>
  <sheetData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W70"/>
  <sheetViews>
    <sheetView tabSelected="1" zoomScale="60" zoomScaleNormal="60" zoomScalePageLayoutView="150" workbookViewId="0">
      <selection sqref="A1:I1"/>
    </sheetView>
  </sheetViews>
  <sheetFormatPr defaultColWidth="8" defaultRowHeight="13.2" x14ac:dyDescent="0.25"/>
  <cols>
    <col min="1" max="1" width="26.59765625" style="51" bestFit="1" customWidth="1"/>
    <col min="2" max="2" width="17.19921875" style="51" bestFit="1" customWidth="1"/>
    <col min="3" max="4" width="9.3984375" style="51" customWidth="1"/>
    <col min="5" max="5" width="18.3984375" style="51" customWidth="1"/>
    <col min="6" max="6" width="10.5" style="51" customWidth="1"/>
    <col min="7" max="7" width="10.3984375" style="51" customWidth="1"/>
    <col min="8" max="8" width="1.5" style="51" customWidth="1"/>
    <col min="9" max="9" width="15.296875" style="51" customWidth="1"/>
    <col min="10" max="10" width="9.8984375" style="51" customWidth="1"/>
    <col min="11" max="11" width="9.296875" style="51" customWidth="1"/>
    <col min="12" max="13" width="8" style="51"/>
    <col min="14" max="14" width="1.5" style="51" customWidth="1"/>
    <col min="15" max="15" width="8" style="51"/>
    <col min="16" max="17" width="11.296875" style="51" bestFit="1" customWidth="1"/>
    <col min="18" max="18" width="11.59765625" style="51" customWidth="1"/>
    <col min="19" max="19" width="1.5" style="51" customWidth="1"/>
    <col min="20" max="23" width="8" style="51"/>
    <col min="24" max="24" width="10.09765625" style="51" customWidth="1"/>
    <col min="25" max="25" width="1.3984375" style="51" customWidth="1"/>
    <col min="26" max="28" width="8" style="51"/>
    <col min="29" max="29" width="11.59765625" style="51" customWidth="1"/>
    <col min="30" max="30" width="14.296875" style="51" customWidth="1"/>
    <col min="31" max="31" width="1.5" style="51" customWidth="1"/>
    <col min="32" max="36" width="8" style="51"/>
    <col min="37" max="37" width="1.3984375" style="51" customWidth="1"/>
    <col min="38" max="42" width="8" style="51"/>
    <col min="43" max="43" width="1.3984375" style="51" customWidth="1"/>
    <col min="44" max="16384" width="8" style="51"/>
  </cols>
  <sheetData>
    <row r="1" spans="1:49" ht="15.6" x14ac:dyDescent="0.3">
      <c r="A1" s="309" t="s">
        <v>210</v>
      </c>
      <c r="B1" s="309"/>
      <c r="C1" s="309"/>
      <c r="D1" s="309"/>
      <c r="E1" s="309"/>
      <c r="F1" s="309"/>
      <c r="G1" s="309"/>
      <c r="H1" s="309"/>
      <c r="I1" s="309"/>
    </row>
    <row r="3" spans="1:49" ht="16.2" thickBot="1" x14ac:dyDescent="0.35">
      <c r="A3" s="52" t="s">
        <v>128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4"/>
      <c r="AR3" s="54"/>
      <c r="AS3" s="54"/>
      <c r="AT3" s="54"/>
      <c r="AU3" s="54"/>
      <c r="AV3" s="54"/>
    </row>
    <row r="4" spans="1:49" ht="13.8" thickBot="1" x14ac:dyDescent="0.3">
      <c r="A4" s="310" t="s">
        <v>129</v>
      </c>
      <c r="B4" s="311"/>
      <c r="C4" s="311"/>
      <c r="D4" s="311"/>
      <c r="E4" s="303" t="s">
        <v>130</v>
      </c>
      <c r="F4" s="312" t="s">
        <v>131</v>
      </c>
      <c r="G4" s="306"/>
      <c r="AR4" s="319" t="s">
        <v>188</v>
      </c>
      <c r="AS4" s="320"/>
      <c r="AT4" s="320"/>
      <c r="AU4" s="321"/>
    </row>
    <row r="5" spans="1:49" ht="28.5" customHeight="1" thickBot="1" x14ac:dyDescent="0.35">
      <c r="A5" s="55" t="s">
        <v>132</v>
      </c>
      <c r="B5" s="56" t="s">
        <v>133</v>
      </c>
      <c r="C5" s="56" t="s">
        <v>134</v>
      </c>
      <c r="D5" s="57" t="s">
        <v>135</v>
      </c>
      <c r="E5" s="304"/>
      <c r="F5" s="58" t="s">
        <v>136</v>
      </c>
      <c r="G5" s="59" t="s">
        <v>137</v>
      </c>
      <c r="H5" s="60"/>
      <c r="AR5" s="232" t="s">
        <v>10</v>
      </c>
      <c r="AS5" s="232" t="s">
        <v>9</v>
      </c>
      <c r="AT5" s="232" t="s">
        <v>8</v>
      </c>
      <c r="AU5" s="232" t="s">
        <v>7</v>
      </c>
    </row>
    <row r="6" spans="1:49" ht="16.2" thickBot="1" x14ac:dyDescent="0.35">
      <c r="A6" s="61">
        <f>'SRN FD'!A6</f>
        <v>128.7100427254438</v>
      </c>
      <c r="B6" s="62">
        <f>'SRN FD'!B6</f>
        <v>7.38</v>
      </c>
      <c r="C6" s="62">
        <f>A6-B6</f>
        <v>121.3300427254438</v>
      </c>
      <c r="D6" s="62">
        <f>'SRN FD'!D6</f>
        <v>123.83731225166589</v>
      </c>
      <c r="E6" s="63">
        <f>D6*0.5</f>
        <v>61.918656125832946</v>
      </c>
      <c r="F6" s="64">
        <f>'SRN FD'!F6</f>
        <v>111.30000000000001</v>
      </c>
      <c r="G6" s="65">
        <f>'SRN FD'!G6</f>
        <v>113.6</v>
      </c>
      <c r="H6" s="60"/>
      <c r="AR6" s="233">
        <v>0.1088720272</v>
      </c>
      <c r="AS6" s="233">
        <v>0.11243653909119999</v>
      </c>
      <c r="AT6" s="233">
        <v>0.11598679293483516</v>
      </c>
      <c r="AU6" s="233">
        <v>0.1195228457630958</v>
      </c>
    </row>
    <row r="7" spans="1:49" ht="13.8" thickBot="1" x14ac:dyDescent="0.3"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</row>
    <row r="8" spans="1:49" ht="12.75" customHeight="1" x14ac:dyDescent="0.25">
      <c r="A8" s="287" t="s">
        <v>138</v>
      </c>
      <c r="B8" s="288"/>
      <c r="C8" s="288"/>
      <c r="D8" s="288"/>
      <c r="E8" s="288"/>
      <c r="F8" s="288"/>
      <c r="G8" s="289"/>
      <c r="H8" s="66"/>
      <c r="I8" s="290" t="s">
        <v>139</v>
      </c>
      <c r="J8" s="291"/>
      <c r="K8" s="291"/>
      <c r="L8" s="291"/>
      <c r="M8" s="292"/>
      <c r="N8" s="66"/>
      <c r="O8" s="277" t="s">
        <v>140</v>
      </c>
      <c r="P8" s="278"/>
      <c r="Q8" s="278"/>
      <c r="R8" s="279"/>
      <c r="S8" s="66"/>
      <c r="T8" s="277" t="s">
        <v>141</v>
      </c>
      <c r="U8" s="278"/>
      <c r="V8" s="278"/>
      <c r="W8" s="278"/>
      <c r="X8" s="279"/>
      <c r="Y8" s="67"/>
      <c r="Z8" s="277" t="s">
        <v>142</v>
      </c>
      <c r="AA8" s="278"/>
      <c r="AB8" s="278"/>
      <c r="AC8" s="278"/>
      <c r="AD8" s="279"/>
      <c r="AF8" s="277" t="s">
        <v>143</v>
      </c>
      <c r="AG8" s="278"/>
      <c r="AH8" s="278"/>
      <c r="AI8" s="278"/>
      <c r="AJ8" s="279"/>
      <c r="AK8" s="67"/>
      <c r="AL8" s="277" t="s">
        <v>144</v>
      </c>
      <c r="AM8" s="278"/>
      <c r="AN8" s="278"/>
      <c r="AO8" s="278"/>
      <c r="AP8" s="279"/>
      <c r="AQ8" s="67"/>
      <c r="AR8" s="277" t="s">
        <v>145</v>
      </c>
      <c r="AS8" s="278"/>
      <c r="AT8" s="278"/>
      <c r="AU8" s="278"/>
      <c r="AV8" s="279"/>
    </row>
    <row r="9" spans="1:49" ht="36.75" customHeight="1" thickBot="1" x14ac:dyDescent="0.3">
      <c r="A9" s="313"/>
      <c r="B9" s="314"/>
      <c r="C9" s="315"/>
      <c r="D9" s="316" t="s">
        <v>146</v>
      </c>
      <c r="E9" s="317"/>
      <c r="F9" s="317"/>
      <c r="G9" s="318"/>
      <c r="H9" s="68"/>
      <c r="I9" s="69"/>
      <c r="J9" s="70" t="s">
        <v>147</v>
      </c>
      <c r="K9" s="71" t="s">
        <v>148</v>
      </c>
      <c r="L9" s="71" t="s">
        <v>149</v>
      </c>
      <c r="M9" s="72" t="s">
        <v>150</v>
      </c>
      <c r="N9" s="68"/>
      <c r="O9" s="293"/>
      <c r="P9" s="294"/>
      <c r="Q9" s="294"/>
      <c r="R9" s="295"/>
      <c r="S9" s="68"/>
      <c r="T9" s="293"/>
      <c r="U9" s="294"/>
      <c r="V9" s="294"/>
      <c r="W9" s="294"/>
      <c r="X9" s="295"/>
      <c r="Y9" s="68"/>
      <c r="Z9" s="293"/>
      <c r="AA9" s="294"/>
      <c r="AB9" s="294"/>
      <c r="AC9" s="294"/>
      <c r="AD9" s="295"/>
      <c r="AF9" s="293"/>
      <c r="AG9" s="294"/>
      <c r="AH9" s="294"/>
      <c r="AI9" s="294"/>
      <c r="AJ9" s="295"/>
      <c r="AK9" s="68"/>
      <c r="AL9" s="280"/>
      <c r="AM9" s="281"/>
      <c r="AN9" s="281"/>
      <c r="AO9" s="281"/>
      <c r="AP9" s="282"/>
      <c r="AQ9" s="68"/>
      <c r="AR9" s="280"/>
      <c r="AS9" s="281"/>
      <c r="AT9" s="281"/>
      <c r="AU9" s="281"/>
      <c r="AV9" s="282"/>
    </row>
    <row r="10" spans="1:49" ht="27" thickBot="1" x14ac:dyDescent="0.3">
      <c r="A10" s="73" t="s">
        <v>151</v>
      </c>
      <c r="B10" s="74" t="s">
        <v>152</v>
      </c>
      <c r="C10" s="74" t="s">
        <v>153</v>
      </c>
      <c r="D10" s="75" t="s">
        <v>147</v>
      </c>
      <c r="E10" s="74" t="s">
        <v>148</v>
      </c>
      <c r="F10" s="74" t="s">
        <v>149</v>
      </c>
      <c r="G10" s="76" t="s">
        <v>150</v>
      </c>
      <c r="H10" s="68"/>
      <c r="I10" s="77" t="s">
        <v>154</v>
      </c>
      <c r="J10" s="78">
        <f>$E$6/4</f>
        <v>15.479664031458237</v>
      </c>
      <c r="K10" s="78">
        <f>$E$6/4</f>
        <v>15.479664031458237</v>
      </c>
      <c r="L10" s="78">
        <f>$E$6/4</f>
        <v>15.479664031458237</v>
      </c>
      <c r="M10" s="79">
        <f>$E$6/4</f>
        <v>15.479664031458237</v>
      </c>
      <c r="N10" s="68"/>
      <c r="O10" s="80" t="s">
        <v>147</v>
      </c>
      <c r="P10" s="71" t="s">
        <v>148</v>
      </c>
      <c r="Q10" s="71" t="s">
        <v>149</v>
      </c>
      <c r="R10" s="72" t="s">
        <v>150</v>
      </c>
      <c r="S10" s="68"/>
      <c r="T10" s="80" t="s">
        <v>147</v>
      </c>
      <c r="U10" s="71" t="s">
        <v>148</v>
      </c>
      <c r="V10" s="71" t="s">
        <v>149</v>
      </c>
      <c r="W10" s="71" t="s">
        <v>150</v>
      </c>
      <c r="X10" s="72" t="s">
        <v>155</v>
      </c>
      <c r="Y10" s="81"/>
      <c r="Z10" s="80" t="s">
        <v>147</v>
      </c>
      <c r="AA10" s="71" t="s">
        <v>148</v>
      </c>
      <c r="AB10" s="71" t="s">
        <v>149</v>
      </c>
      <c r="AC10" s="71" t="s">
        <v>150</v>
      </c>
      <c r="AD10" s="72" t="s">
        <v>155</v>
      </c>
      <c r="AF10" s="82" t="s">
        <v>147</v>
      </c>
      <c r="AG10" s="83" t="s">
        <v>148</v>
      </c>
      <c r="AH10" s="83" t="s">
        <v>149</v>
      </c>
      <c r="AI10" s="83" t="s">
        <v>150</v>
      </c>
      <c r="AJ10" s="84" t="s">
        <v>155</v>
      </c>
      <c r="AK10" s="81"/>
      <c r="AL10" s="82" t="s">
        <v>147</v>
      </c>
      <c r="AM10" s="83" t="s">
        <v>148</v>
      </c>
      <c r="AN10" s="83" t="s">
        <v>149</v>
      </c>
      <c r="AO10" s="83" t="s">
        <v>150</v>
      </c>
      <c r="AP10" s="84" t="s">
        <v>155</v>
      </c>
      <c r="AQ10" s="81"/>
      <c r="AR10" s="82" t="s">
        <v>147</v>
      </c>
      <c r="AS10" s="83" t="s">
        <v>148</v>
      </c>
      <c r="AT10" s="83" t="s">
        <v>149</v>
      </c>
      <c r="AU10" s="83" t="s">
        <v>150</v>
      </c>
      <c r="AV10" s="84" t="s">
        <v>155</v>
      </c>
    </row>
    <row r="11" spans="1:49" x14ac:dyDescent="0.25">
      <c r="A11" s="69" t="s">
        <v>156</v>
      </c>
      <c r="B11" s="85">
        <f>'SRN FD'!B11</f>
        <v>203</v>
      </c>
      <c r="C11" s="85">
        <f>'SRN FD'!C11</f>
        <v>254</v>
      </c>
      <c r="D11" s="85">
        <f>'SRN FD'!D11</f>
        <v>178</v>
      </c>
      <c r="E11" s="85">
        <f>'SRN FD'!E11</f>
        <v>189</v>
      </c>
      <c r="F11" s="85">
        <f>'SRN FD'!F11</f>
        <v>223</v>
      </c>
      <c r="G11" s="86">
        <f>'Sewerage Graph data'!$L$9</f>
        <v>219</v>
      </c>
      <c r="H11" s="68"/>
      <c r="I11" s="87">
        <f t="shared" ref="I11:I16" si="0">$E$6/6</f>
        <v>10.319776020972158</v>
      </c>
      <c r="J11" s="88">
        <f t="shared" ref="J11:M16" si="1">J$10/6</f>
        <v>2.5799440052430396</v>
      </c>
      <c r="K11" s="89">
        <f t="shared" si="1"/>
        <v>2.5799440052430396</v>
      </c>
      <c r="L11" s="89">
        <f t="shared" si="1"/>
        <v>2.5799440052430396</v>
      </c>
      <c r="M11" s="90">
        <f t="shared" si="1"/>
        <v>2.5799440052430396</v>
      </c>
      <c r="N11" s="68"/>
      <c r="O11" s="91">
        <f t="shared" ref="O11:R16" si="2">((D11-$C11)/($C11-$B11))</f>
        <v>-1.4901960784313726</v>
      </c>
      <c r="P11" s="92">
        <f t="shared" si="2"/>
        <v>-1.2745098039215685</v>
      </c>
      <c r="Q11" s="92">
        <f t="shared" si="2"/>
        <v>-0.60784313725490191</v>
      </c>
      <c r="R11" s="93">
        <f t="shared" si="2"/>
        <v>-0.68627450980392157</v>
      </c>
      <c r="S11" s="68"/>
      <c r="T11" s="94">
        <f t="shared" ref="T11:W16" si="3">J11*O11</f>
        <v>-3.8446224391857062</v>
      </c>
      <c r="U11" s="89">
        <f t="shared" si="3"/>
        <v>-3.2881639282509325</v>
      </c>
      <c r="V11" s="89">
        <f t="shared" si="3"/>
        <v>-1.5682012580889062</v>
      </c>
      <c r="W11" s="89">
        <f t="shared" si="3"/>
        <v>-1.770549807519733</v>
      </c>
      <c r="X11" s="79">
        <f>SUMIF(T11:W11,"&gt;0")</f>
        <v>0</v>
      </c>
      <c r="Y11" s="95"/>
      <c r="Z11" s="234">
        <f>IF(T11&gt;0,T11,0)</f>
        <v>0</v>
      </c>
      <c r="AA11" s="89">
        <f t="shared" ref="Z11:AC16" si="4">IF(U11&gt;0,U11,0)</f>
        <v>0</v>
      </c>
      <c r="AB11" s="89">
        <f t="shared" si="4"/>
        <v>0</v>
      </c>
      <c r="AC11" s="89">
        <f t="shared" si="4"/>
        <v>0</v>
      </c>
      <c r="AD11" s="79">
        <f>SUMIF(Z11:AC11,"&gt;0")</f>
        <v>0</v>
      </c>
      <c r="AF11" s="96"/>
      <c r="AG11" s="97"/>
      <c r="AH11" s="97"/>
      <c r="AI11" s="97"/>
      <c r="AJ11" s="98"/>
      <c r="AK11" s="99"/>
      <c r="AL11" s="100"/>
      <c r="AM11" s="101"/>
      <c r="AN11" s="101"/>
      <c r="AO11" s="101"/>
      <c r="AP11" s="98"/>
      <c r="AQ11" s="99"/>
      <c r="AR11" s="102"/>
      <c r="AS11" s="103"/>
      <c r="AT11" s="103"/>
      <c r="AU11" s="103"/>
      <c r="AV11" s="104"/>
    </row>
    <row r="12" spans="1:49" x14ac:dyDescent="0.25">
      <c r="A12" s="69" t="s">
        <v>157</v>
      </c>
      <c r="B12" s="85">
        <f>'SRN FD'!B12</f>
        <v>125</v>
      </c>
      <c r="C12" s="85">
        <f>'SRN FD'!C12</f>
        <v>160</v>
      </c>
      <c r="D12" s="85">
        <f>'SRN FD'!D12</f>
        <v>200</v>
      </c>
      <c r="E12" s="85">
        <f>'SRN FD'!E12</f>
        <v>144</v>
      </c>
      <c r="F12" s="85">
        <f>'SRN FD'!F12</f>
        <v>138</v>
      </c>
      <c r="G12" s="86">
        <f>'Sewerage Graph data'!$L$17</f>
        <v>141</v>
      </c>
      <c r="H12" s="68"/>
      <c r="I12" s="87">
        <f t="shared" si="0"/>
        <v>10.319776020972158</v>
      </c>
      <c r="J12" s="88">
        <f t="shared" si="1"/>
        <v>2.5799440052430396</v>
      </c>
      <c r="K12" s="89">
        <f t="shared" si="1"/>
        <v>2.5799440052430396</v>
      </c>
      <c r="L12" s="89">
        <f t="shared" si="1"/>
        <v>2.5799440052430396</v>
      </c>
      <c r="M12" s="90">
        <f t="shared" si="1"/>
        <v>2.5799440052430396</v>
      </c>
      <c r="N12" s="68"/>
      <c r="O12" s="91">
        <f t="shared" si="2"/>
        <v>1.1428571428571428</v>
      </c>
      <c r="P12" s="92">
        <f t="shared" si="2"/>
        <v>-0.45714285714285713</v>
      </c>
      <c r="Q12" s="92">
        <f t="shared" si="2"/>
        <v>-0.62857142857142856</v>
      </c>
      <c r="R12" s="93">
        <f t="shared" si="2"/>
        <v>-0.54285714285714282</v>
      </c>
      <c r="S12" s="68"/>
      <c r="T12" s="94">
        <f>J12*O12</f>
        <v>2.9485074345634734</v>
      </c>
      <c r="U12" s="89">
        <f t="shared" si="3"/>
        <v>-1.1794029738253895</v>
      </c>
      <c r="V12" s="89">
        <f t="shared" si="3"/>
        <v>-1.6216790890099106</v>
      </c>
      <c r="W12" s="89">
        <f t="shared" si="3"/>
        <v>-1.4005410314176499</v>
      </c>
      <c r="X12" s="79">
        <f>SUMIF(T12:W12,"&gt;0")</f>
        <v>2.9485074345634734</v>
      </c>
      <c r="Y12" s="95"/>
      <c r="Z12" s="235">
        <f>J12*1</f>
        <v>2.5799440052430396</v>
      </c>
      <c r="AA12" s="89">
        <f t="shared" si="4"/>
        <v>0</v>
      </c>
      <c r="AB12" s="89">
        <f t="shared" si="4"/>
        <v>0</v>
      </c>
      <c r="AC12" s="89">
        <f t="shared" si="4"/>
        <v>0</v>
      </c>
      <c r="AD12" s="79">
        <f>SUMIF(Z12:AC12,"&gt;0")</f>
        <v>2.5799440052430396</v>
      </c>
      <c r="AF12" s="106"/>
      <c r="AG12" s="107"/>
      <c r="AH12" s="107"/>
      <c r="AI12" s="107"/>
      <c r="AJ12" s="108"/>
      <c r="AK12" s="99"/>
      <c r="AL12" s="109"/>
      <c r="AM12" s="110"/>
      <c r="AN12" s="110"/>
      <c r="AO12" s="110"/>
      <c r="AP12" s="108"/>
      <c r="AR12" s="111"/>
      <c r="AS12" s="112"/>
      <c r="AT12" s="112"/>
      <c r="AU12" s="112"/>
      <c r="AV12" s="113"/>
      <c r="AW12" s="114" t="s">
        <v>158</v>
      </c>
    </row>
    <row r="13" spans="1:49" x14ac:dyDescent="0.25">
      <c r="A13" s="69" t="s">
        <v>159</v>
      </c>
      <c r="B13" s="85">
        <f>'SRN FD'!B13</f>
        <v>210</v>
      </c>
      <c r="C13" s="85">
        <f>'SRN FD'!C13</f>
        <v>290</v>
      </c>
      <c r="D13" s="85">
        <f>'SRN FD'!D13</f>
        <v>288</v>
      </c>
      <c r="E13" s="85">
        <f>'SRN FD'!E13</f>
        <v>354</v>
      </c>
      <c r="F13" s="85">
        <f>'SRN FD'!F13</f>
        <v>315</v>
      </c>
      <c r="G13" s="86">
        <f>'Sewerage Graph data'!$L$25</f>
        <v>253</v>
      </c>
      <c r="H13" s="68"/>
      <c r="I13" s="87">
        <f t="shared" si="0"/>
        <v>10.319776020972158</v>
      </c>
      <c r="J13" s="88">
        <f t="shared" si="1"/>
        <v>2.5799440052430396</v>
      </c>
      <c r="K13" s="89">
        <f t="shared" si="1"/>
        <v>2.5799440052430396</v>
      </c>
      <c r="L13" s="89">
        <f t="shared" si="1"/>
        <v>2.5799440052430396</v>
      </c>
      <c r="M13" s="90">
        <f t="shared" si="1"/>
        <v>2.5799440052430396</v>
      </c>
      <c r="N13" s="68"/>
      <c r="O13" s="91">
        <f t="shared" si="2"/>
        <v>-2.5000000000000001E-2</v>
      </c>
      <c r="P13" s="92">
        <f t="shared" si="2"/>
        <v>0.8</v>
      </c>
      <c r="Q13" s="92">
        <f t="shared" si="2"/>
        <v>0.3125</v>
      </c>
      <c r="R13" s="93">
        <f t="shared" si="2"/>
        <v>-0.46250000000000002</v>
      </c>
      <c r="S13" s="68"/>
      <c r="T13" s="94">
        <f t="shared" si="3"/>
        <v>-6.4498600131075987E-2</v>
      </c>
      <c r="U13" s="89">
        <f>K13*P13</f>
        <v>2.0639552041944316</v>
      </c>
      <c r="V13" s="89">
        <f t="shared" si="3"/>
        <v>0.80623250163844984</v>
      </c>
      <c r="W13" s="89">
        <f t="shared" si="3"/>
        <v>-1.193224102424906</v>
      </c>
      <c r="X13" s="79">
        <f t="shared" ref="X13:X16" si="5">SUMIF(T13:W13,"&gt;0")</f>
        <v>2.8701877058328815</v>
      </c>
      <c r="Y13" s="95"/>
      <c r="Z13" s="234">
        <f t="shared" si="4"/>
        <v>0</v>
      </c>
      <c r="AA13" s="89">
        <f>IF(U13&gt;0,U13,0)</f>
        <v>2.0639552041944316</v>
      </c>
      <c r="AB13" s="89">
        <f>IF(V13&gt;0,V13,0)</f>
        <v>0.80623250163844984</v>
      </c>
      <c r="AC13" s="89">
        <f t="shared" si="4"/>
        <v>0</v>
      </c>
      <c r="AD13" s="79">
        <f t="shared" ref="AD13:AD16" si="6">SUMIF(Z13:AC13,"&gt;0")</f>
        <v>2.8701877058328815</v>
      </c>
      <c r="AF13" s="252">
        <f>IF(Z13&gt;0,Z13,0)</f>
        <v>0</v>
      </c>
      <c r="AG13" s="78">
        <f t="shared" ref="AG13:AI13" si="7">IF(AA13&gt;0,AA13,0)</f>
        <v>2.0639552041944316</v>
      </c>
      <c r="AH13" s="78">
        <f t="shared" si="7"/>
        <v>0.80623250163844984</v>
      </c>
      <c r="AI13" s="78">
        <f t="shared" si="7"/>
        <v>0</v>
      </c>
      <c r="AJ13" s="79">
        <f t="shared" ref="AJ13" si="8">SUM(AF13:AI13)</f>
        <v>2.8701877058328815</v>
      </c>
      <c r="AK13" s="95"/>
      <c r="AL13" s="253">
        <f>AF13</f>
        <v>0</v>
      </c>
      <c r="AM13" s="78">
        <f t="shared" ref="AM13:AO13" si="9">AG13</f>
        <v>2.0639552041944316</v>
      </c>
      <c r="AN13" s="78">
        <f t="shared" si="9"/>
        <v>0.80623250163844984</v>
      </c>
      <c r="AO13" s="78">
        <f t="shared" si="9"/>
        <v>0</v>
      </c>
      <c r="AP13" s="79">
        <f>SUM(AL13:AO13)</f>
        <v>2.8701877058328815</v>
      </c>
      <c r="AQ13" s="174"/>
      <c r="AR13" s="254">
        <f>AL13*(1-AR6)</f>
        <v>0</v>
      </c>
      <c r="AS13" s="119">
        <f>AM13*(1-AS6)</f>
        <v>1.8318912241955387</v>
      </c>
      <c r="AT13" s="119">
        <f>AN13*(1-AT6)</f>
        <v>0.71272017941357679</v>
      </c>
      <c r="AU13" s="119">
        <f>AO13*(1-AU6)</f>
        <v>0</v>
      </c>
      <c r="AV13" s="120">
        <f>SUM(AR13:AU13)</f>
        <v>2.5446114036091156</v>
      </c>
      <c r="AW13" s="114" t="s">
        <v>160</v>
      </c>
    </row>
    <row r="14" spans="1:49" x14ac:dyDescent="0.25">
      <c r="A14" s="69" t="s">
        <v>161</v>
      </c>
      <c r="B14" s="85">
        <f>'SRN FD'!B14</f>
        <v>25</v>
      </c>
      <c r="C14" s="85">
        <f>'SRN FD'!C14</f>
        <v>47</v>
      </c>
      <c r="D14" s="85">
        <f>'SRN FD'!D14</f>
        <v>15</v>
      </c>
      <c r="E14" s="85">
        <f>'SRN FD'!E14</f>
        <v>36</v>
      </c>
      <c r="F14" s="85">
        <f>'SRN FD'!F14</f>
        <v>74</v>
      </c>
      <c r="G14" s="86">
        <f>'Sewerage Graph data'!$L$33</f>
        <v>33</v>
      </c>
      <c r="H14" s="68"/>
      <c r="I14" s="87">
        <f t="shared" si="0"/>
        <v>10.319776020972158</v>
      </c>
      <c r="J14" s="88">
        <f t="shared" si="1"/>
        <v>2.5799440052430396</v>
      </c>
      <c r="K14" s="89">
        <f t="shared" si="1"/>
        <v>2.5799440052430396</v>
      </c>
      <c r="L14" s="89">
        <f t="shared" si="1"/>
        <v>2.5799440052430396</v>
      </c>
      <c r="M14" s="90">
        <f t="shared" si="1"/>
        <v>2.5799440052430396</v>
      </c>
      <c r="N14" s="68"/>
      <c r="O14" s="91">
        <f t="shared" si="2"/>
        <v>-1.4545454545454546</v>
      </c>
      <c r="P14" s="92">
        <f t="shared" si="2"/>
        <v>-0.5</v>
      </c>
      <c r="Q14" s="92">
        <f t="shared" si="2"/>
        <v>1.2272727272727273</v>
      </c>
      <c r="R14" s="93">
        <f t="shared" si="2"/>
        <v>-0.63636363636363635</v>
      </c>
      <c r="S14" s="68"/>
      <c r="T14" s="94">
        <f t="shared" si="3"/>
        <v>-3.7526458258080577</v>
      </c>
      <c r="U14" s="89">
        <f t="shared" si="3"/>
        <v>-1.2899720026215198</v>
      </c>
      <c r="V14" s="89">
        <f t="shared" si="3"/>
        <v>3.1662949155255484</v>
      </c>
      <c r="W14" s="89">
        <f t="shared" si="3"/>
        <v>-1.6417825487910251</v>
      </c>
      <c r="X14" s="79">
        <f t="shared" si="5"/>
        <v>3.1662949155255484</v>
      </c>
      <c r="Y14" s="95"/>
      <c r="Z14" s="234">
        <f t="shared" si="4"/>
        <v>0</v>
      </c>
      <c r="AA14" s="89">
        <f t="shared" si="4"/>
        <v>0</v>
      </c>
      <c r="AB14" s="121">
        <f>L14*1</f>
        <v>2.5799440052430396</v>
      </c>
      <c r="AC14" s="89">
        <f t="shared" si="4"/>
        <v>0</v>
      </c>
      <c r="AD14" s="79">
        <f t="shared" si="6"/>
        <v>2.5799440052430396</v>
      </c>
      <c r="AF14" s="115"/>
      <c r="AG14" s="116"/>
      <c r="AH14" s="116"/>
      <c r="AI14" s="116"/>
      <c r="AJ14" s="117"/>
      <c r="AK14" s="95"/>
      <c r="AL14" s="115"/>
      <c r="AM14" s="116"/>
      <c r="AN14" s="116"/>
      <c r="AO14" s="116"/>
      <c r="AP14" s="117"/>
      <c r="AR14" s="122"/>
      <c r="AS14" s="123"/>
      <c r="AT14" s="123"/>
      <c r="AU14" s="123"/>
      <c r="AV14" s="124"/>
      <c r="AW14" s="114" t="s">
        <v>158</v>
      </c>
    </row>
    <row r="15" spans="1:49" x14ac:dyDescent="0.25">
      <c r="A15" s="69" t="s">
        <v>162</v>
      </c>
      <c r="B15" s="85">
        <f>'SRN FD'!B15</f>
        <v>11085</v>
      </c>
      <c r="C15" s="85">
        <f>'SRN FD'!C15</f>
        <v>12193</v>
      </c>
      <c r="D15" s="85">
        <f>'SRN FD'!D15</f>
        <v>11813</v>
      </c>
      <c r="E15" s="85">
        <f>'SRN FD'!E15</f>
        <v>12130</v>
      </c>
      <c r="F15" s="85">
        <f>'SRN FD'!F15</f>
        <v>10858</v>
      </c>
      <c r="G15" s="86">
        <f>'Sewerage Graph data'!$L$41</f>
        <v>10043</v>
      </c>
      <c r="H15" s="68"/>
      <c r="I15" s="87">
        <f t="shared" si="0"/>
        <v>10.319776020972158</v>
      </c>
      <c r="J15" s="88">
        <f t="shared" si="1"/>
        <v>2.5799440052430396</v>
      </c>
      <c r="K15" s="89">
        <f t="shared" si="1"/>
        <v>2.5799440052430396</v>
      </c>
      <c r="L15" s="89">
        <f t="shared" si="1"/>
        <v>2.5799440052430396</v>
      </c>
      <c r="M15" s="90">
        <f t="shared" si="1"/>
        <v>2.5799440052430396</v>
      </c>
      <c r="N15" s="68"/>
      <c r="O15" s="91">
        <f t="shared" si="2"/>
        <v>-0.34296028880866425</v>
      </c>
      <c r="P15" s="92">
        <f t="shared" si="2"/>
        <v>-5.6859205776173288E-2</v>
      </c>
      <c r="Q15" s="92">
        <f t="shared" si="2"/>
        <v>-1.2048736462093863</v>
      </c>
      <c r="R15" s="93">
        <f t="shared" si="2"/>
        <v>-1.9404332129963899</v>
      </c>
      <c r="S15" s="68"/>
      <c r="T15" s="94">
        <f t="shared" si="3"/>
        <v>-0.8848183411483348</v>
      </c>
      <c r="U15" s="89">
        <f t="shared" si="3"/>
        <v>-0.14669356708511869</v>
      </c>
      <c r="V15" s="89">
        <f t="shared" si="3"/>
        <v>-3.1085065406132291</v>
      </c>
      <c r="W15" s="89">
        <f t="shared" si="3"/>
        <v>-5.0062090354445266</v>
      </c>
      <c r="X15" s="79">
        <f t="shared" si="5"/>
        <v>0</v>
      </c>
      <c r="Y15" s="95"/>
      <c r="Z15" s="234">
        <f t="shared" si="4"/>
        <v>0</v>
      </c>
      <c r="AA15" s="89">
        <f t="shared" si="4"/>
        <v>0</v>
      </c>
      <c r="AB15" s="89">
        <f t="shared" si="4"/>
        <v>0</v>
      </c>
      <c r="AC15" s="89">
        <f t="shared" si="4"/>
        <v>0</v>
      </c>
      <c r="AD15" s="79">
        <f t="shared" si="6"/>
        <v>0</v>
      </c>
      <c r="AF15" s="115"/>
      <c r="AG15" s="116"/>
      <c r="AH15" s="116"/>
      <c r="AI15" s="116"/>
      <c r="AJ15" s="117"/>
      <c r="AK15" s="95"/>
      <c r="AL15" s="115"/>
      <c r="AM15" s="116"/>
      <c r="AN15" s="116"/>
      <c r="AO15" s="116"/>
      <c r="AP15" s="117"/>
      <c r="AR15" s="122"/>
      <c r="AS15" s="123"/>
      <c r="AT15" s="123"/>
      <c r="AU15" s="123"/>
      <c r="AV15" s="124"/>
    </row>
    <row r="16" spans="1:49" ht="13.8" thickBot="1" x14ac:dyDescent="0.3">
      <c r="A16" s="127" t="s">
        <v>163</v>
      </c>
      <c r="B16" s="128">
        <f>'SRN FD'!B16</f>
        <v>241</v>
      </c>
      <c r="C16" s="128">
        <f>'SRN FD'!C16</f>
        <v>306</v>
      </c>
      <c r="D16" s="128">
        <f>'SRN FD'!D16</f>
        <v>262</v>
      </c>
      <c r="E16" s="128">
        <f>'SRN FD'!E16</f>
        <v>337</v>
      </c>
      <c r="F16" s="128">
        <f>'SRN FD'!F16</f>
        <v>566</v>
      </c>
      <c r="G16" s="231">
        <f>'Sewerage Graph data'!$L$49</f>
        <v>299</v>
      </c>
      <c r="H16" s="68"/>
      <c r="I16" s="129">
        <f t="shared" si="0"/>
        <v>10.319776020972158</v>
      </c>
      <c r="J16" s="130">
        <f t="shared" si="1"/>
        <v>2.5799440052430396</v>
      </c>
      <c r="K16" s="131">
        <f t="shared" si="1"/>
        <v>2.5799440052430396</v>
      </c>
      <c r="L16" s="131">
        <f t="shared" si="1"/>
        <v>2.5799440052430396</v>
      </c>
      <c r="M16" s="132">
        <f t="shared" si="1"/>
        <v>2.5799440052430396</v>
      </c>
      <c r="N16" s="68"/>
      <c r="O16" s="133">
        <f t="shared" si="2"/>
        <v>-0.67692307692307696</v>
      </c>
      <c r="P16" s="134">
        <f t="shared" si="2"/>
        <v>0.47692307692307695</v>
      </c>
      <c r="Q16" s="134">
        <f t="shared" si="2"/>
        <v>4</v>
      </c>
      <c r="R16" s="135">
        <f t="shared" si="2"/>
        <v>-0.1076923076923077</v>
      </c>
      <c r="S16" s="68"/>
      <c r="T16" s="136">
        <f t="shared" si="3"/>
        <v>-1.7464236343183654</v>
      </c>
      <c r="U16" s="137">
        <f t="shared" si="3"/>
        <v>1.2304348332697574</v>
      </c>
      <c r="V16" s="137">
        <f t="shared" si="3"/>
        <v>10.319776020972158</v>
      </c>
      <c r="W16" s="137">
        <f t="shared" si="3"/>
        <v>-0.27784012364155813</v>
      </c>
      <c r="X16" s="138">
        <f t="shared" si="5"/>
        <v>11.550210854241916</v>
      </c>
      <c r="Y16" s="95"/>
      <c r="Z16" s="239">
        <f t="shared" si="4"/>
        <v>0</v>
      </c>
      <c r="AA16" s="262">
        <f t="shared" si="4"/>
        <v>1.2304348332697574</v>
      </c>
      <c r="AB16" s="236">
        <f>L16*1</f>
        <v>2.5799440052430396</v>
      </c>
      <c r="AC16" s="131">
        <f t="shared" si="4"/>
        <v>0</v>
      </c>
      <c r="AD16" s="138">
        <f t="shared" si="6"/>
        <v>3.810378838512797</v>
      </c>
      <c r="AF16" s="140"/>
      <c r="AG16" s="141"/>
      <c r="AH16" s="141"/>
      <c r="AI16" s="141"/>
      <c r="AJ16" s="142"/>
      <c r="AK16" s="95"/>
      <c r="AL16" s="140"/>
      <c r="AM16" s="141"/>
      <c r="AN16" s="141"/>
      <c r="AO16" s="141"/>
      <c r="AP16" s="142"/>
      <c r="AR16" s="143"/>
      <c r="AS16" s="144"/>
      <c r="AT16" s="144"/>
      <c r="AU16" s="144"/>
      <c r="AV16" s="145"/>
      <c r="AW16" s="114" t="s">
        <v>158</v>
      </c>
    </row>
    <row r="17" spans="1:49" ht="13.8" thickBot="1" x14ac:dyDescent="0.3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146">
        <f>SUMIF(T11:T16,"&gt;0")</f>
        <v>2.9485074345634734</v>
      </c>
      <c r="U17" s="147">
        <f t="shared" ref="U17:X17" si="10">SUMIF(U11:U16,"&gt;0")</f>
        <v>3.294390037464189</v>
      </c>
      <c r="V17" s="147">
        <f t="shared" si="10"/>
        <v>14.292303438136157</v>
      </c>
      <c r="W17" s="147">
        <f t="shared" si="10"/>
        <v>0</v>
      </c>
      <c r="X17" s="148">
        <f t="shared" si="10"/>
        <v>20.53520091016382</v>
      </c>
      <c r="Y17" s="149"/>
      <c r="Z17" s="146">
        <f>SUMIF(Z11:Z16,"&gt;0")</f>
        <v>2.5799440052430396</v>
      </c>
      <c r="AA17" s="147">
        <f>SUMIF(AA11:AA16,"&gt;0")</f>
        <v>3.294390037464189</v>
      </c>
      <c r="AB17" s="147">
        <f>SUMIF(AB11:AB16,"&gt;0")</f>
        <v>5.9661205121245295</v>
      </c>
      <c r="AC17" s="237">
        <f>SUMIF(AC11:AC16,"&gt;0")</f>
        <v>0</v>
      </c>
      <c r="AD17" s="148">
        <f>SUMIF(AD11:AD16,"&gt;0")</f>
        <v>11.840454554831757</v>
      </c>
      <c r="AF17" s="209">
        <f>SUM(AF11:AF16)</f>
        <v>0</v>
      </c>
      <c r="AG17" s="210">
        <f t="shared" ref="AG17:AI17" si="11">SUM(AG11:AG16)</f>
        <v>2.0639552041944316</v>
      </c>
      <c r="AH17" s="210">
        <f t="shared" si="11"/>
        <v>0.80623250163844984</v>
      </c>
      <c r="AI17" s="210">
        <f t="shared" si="11"/>
        <v>0</v>
      </c>
      <c r="AJ17" s="211">
        <f>SUM(AF17:AI17)</f>
        <v>2.8701877058328815</v>
      </c>
      <c r="AK17" s="95"/>
      <c r="AL17" s="209">
        <f>SUM(AL11:AL16)</f>
        <v>0</v>
      </c>
      <c r="AM17" s="210">
        <f t="shared" ref="AM17:AO17" si="12">SUM(AM11:AM16)</f>
        <v>2.0639552041944316</v>
      </c>
      <c r="AN17" s="210">
        <f t="shared" si="12"/>
        <v>0.80623250163844984</v>
      </c>
      <c r="AO17" s="210">
        <f t="shared" si="12"/>
        <v>0</v>
      </c>
      <c r="AP17" s="211">
        <f>SUM(AL17:AO17)</f>
        <v>2.8701877058328815</v>
      </c>
      <c r="AQ17" s="99"/>
      <c r="AR17" s="255">
        <f>SUM(AR11:AR16)</f>
        <v>0</v>
      </c>
      <c r="AS17" s="256">
        <f t="shared" ref="AS17:AU17" si="13">SUM(AS11:AS16)</f>
        <v>1.8318912241955387</v>
      </c>
      <c r="AT17" s="256">
        <f t="shared" si="13"/>
        <v>0.71272017941357679</v>
      </c>
      <c r="AU17" s="256">
        <f t="shared" si="13"/>
        <v>0</v>
      </c>
      <c r="AV17" s="257">
        <f>SUM(AV11:AW16)</f>
        <v>2.5446114036091156</v>
      </c>
    </row>
    <row r="18" spans="1:49" x14ac:dyDescent="0.25">
      <c r="A18" s="66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F18" s="95"/>
      <c r="AG18" s="95"/>
      <c r="AH18" s="95"/>
      <c r="AI18" s="95"/>
      <c r="AJ18" s="95"/>
      <c r="AK18" s="95"/>
      <c r="AL18" s="68"/>
      <c r="AM18" s="68"/>
      <c r="AN18" s="68"/>
      <c r="AO18" s="68"/>
      <c r="AP18" s="95"/>
      <c r="AQ18" s="99"/>
    </row>
    <row r="19" spans="1:49" ht="16.2" thickBot="1" x14ac:dyDescent="0.35">
      <c r="A19" s="298" t="s">
        <v>164</v>
      </c>
      <c r="B19" s="299"/>
      <c r="C19" s="299"/>
      <c r="D19" s="299"/>
      <c r="E19" s="299"/>
      <c r="F19" s="299"/>
      <c r="G19" s="299"/>
      <c r="H19" s="299"/>
      <c r="I19" s="299"/>
      <c r="J19" s="299"/>
      <c r="K19" s="299"/>
      <c r="L19" s="299"/>
      <c r="M19" s="299"/>
      <c r="N19" s="299"/>
      <c r="O19" s="299"/>
      <c r="P19" s="299"/>
      <c r="Q19" s="299"/>
      <c r="R19" s="299"/>
      <c r="S19" s="299"/>
      <c r="T19" s="299"/>
      <c r="U19" s="299"/>
      <c r="V19" s="299"/>
      <c r="W19" s="299"/>
      <c r="X19" s="299"/>
      <c r="Y19" s="299"/>
      <c r="Z19" s="299"/>
      <c r="AA19" s="299"/>
      <c r="AB19" s="299"/>
      <c r="AC19" s="299"/>
      <c r="AD19" s="299"/>
      <c r="AE19" s="299"/>
      <c r="AF19" s="299"/>
      <c r="AG19" s="299"/>
      <c r="AH19" s="299"/>
      <c r="AI19" s="299"/>
      <c r="AJ19" s="299"/>
      <c r="AK19" s="299"/>
      <c r="AL19" s="299"/>
      <c r="AM19" s="299"/>
      <c r="AN19" s="299"/>
      <c r="AO19" s="299"/>
      <c r="AP19" s="299"/>
      <c r="AQ19" s="156"/>
      <c r="AR19" s="54"/>
      <c r="AS19" s="54"/>
      <c r="AT19" s="54"/>
      <c r="AU19" s="54"/>
      <c r="AV19" s="54"/>
    </row>
    <row r="20" spans="1:49" ht="14.4" thickBot="1" x14ac:dyDescent="0.3">
      <c r="A20" s="300" t="s">
        <v>129</v>
      </c>
      <c r="B20" s="301"/>
      <c r="C20" s="301"/>
      <c r="D20" s="302"/>
      <c r="E20" s="303" t="s">
        <v>130</v>
      </c>
      <c r="F20" s="305" t="s">
        <v>131</v>
      </c>
      <c r="G20" s="306"/>
      <c r="H20" s="66"/>
      <c r="I20" s="66"/>
      <c r="K20" s="157"/>
      <c r="L20" s="157"/>
      <c r="M20" s="68"/>
      <c r="N20" s="68"/>
      <c r="O20" s="307"/>
      <c r="P20" s="308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L20" s="158"/>
      <c r="AM20" s="158"/>
      <c r="AN20" s="158"/>
      <c r="AO20" s="158"/>
      <c r="AR20" s="319" t="s">
        <v>189</v>
      </c>
      <c r="AS20" s="320"/>
      <c r="AT20" s="320"/>
      <c r="AU20" s="321"/>
    </row>
    <row r="21" spans="1:49" ht="40.200000000000003" thickBot="1" x14ac:dyDescent="0.3">
      <c r="A21" s="55" t="s">
        <v>132</v>
      </c>
      <c r="B21" s="56" t="s">
        <v>133</v>
      </c>
      <c r="C21" s="56" t="s">
        <v>134</v>
      </c>
      <c r="D21" s="56" t="s">
        <v>135</v>
      </c>
      <c r="E21" s="304"/>
      <c r="F21" s="56" t="s">
        <v>136</v>
      </c>
      <c r="G21" s="59" t="s">
        <v>137</v>
      </c>
      <c r="H21" s="66"/>
      <c r="I21" s="66"/>
      <c r="K21" s="159"/>
      <c r="L21" s="95"/>
      <c r="M21" s="68"/>
      <c r="N21" s="68"/>
      <c r="O21" s="160"/>
      <c r="P21" s="160"/>
      <c r="Q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L21" s="161"/>
      <c r="AM21" s="161"/>
      <c r="AN21" s="161"/>
      <c r="AO21" s="161"/>
      <c r="AR21" s="232" t="s">
        <v>10</v>
      </c>
      <c r="AS21" s="232" t="s">
        <v>9</v>
      </c>
      <c r="AT21" s="232" t="s">
        <v>8</v>
      </c>
      <c r="AU21" s="232" t="s">
        <v>7</v>
      </c>
    </row>
    <row r="22" spans="1:49" ht="13.8" thickBot="1" x14ac:dyDescent="0.3">
      <c r="A22" s="61">
        <f>'SRN FD'!A22</f>
        <v>614.2100599816672</v>
      </c>
      <c r="B22" s="62">
        <f>'SRN FD'!B22</f>
        <v>0</v>
      </c>
      <c r="C22" s="62">
        <f>A22-B22</f>
        <v>614.2100599816672</v>
      </c>
      <c r="D22" s="62">
        <f>'SRN FD'!D22</f>
        <v>626.90263085280662</v>
      </c>
      <c r="E22" s="62">
        <f>D22*0.5</f>
        <v>313.45131542640331</v>
      </c>
      <c r="F22" s="64">
        <f>'SRN FD'!F22</f>
        <v>111.30000000000001</v>
      </c>
      <c r="G22" s="65">
        <f>'SRN FD'!G22</f>
        <v>113.6</v>
      </c>
      <c r="H22" s="66"/>
      <c r="I22" s="68"/>
      <c r="L22" s="66"/>
      <c r="M22" s="66"/>
      <c r="N22" s="66"/>
      <c r="Q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R22" s="233">
        <v>0.11770096960000009</v>
      </c>
      <c r="AS22" s="233">
        <v>0.12123016572160006</v>
      </c>
      <c r="AT22" s="233">
        <v>0.12474524505871365</v>
      </c>
      <c r="AU22" s="233">
        <v>0.12824626407847883</v>
      </c>
    </row>
    <row r="23" spans="1:49" ht="13.8" thickBot="1" x14ac:dyDescent="0.3">
      <c r="A23" s="66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66"/>
    </row>
    <row r="24" spans="1:49" ht="62.25" customHeight="1" thickBot="1" x14ac:dyDescent="0.3">
      <c r="A24" s="287" t="s">
        <v>138</v>
      </c>
      <c r="B24" s="288"/>
      <c r="C24" s="288"/>
      <c r="D24" s="288"/>
      <c r="E24" s="288"/>
      <c r="F24" s="288"/>
      <c r="G24" s="289"/>
      <c r="H24" s="66"/>
      <c r="I24" s="290" t="s">
        <v>139</v>
      </c>
      <c r="J24" s="291"/>
      <c r="K24" s="291"/>
      <c r="L24" s="291"/>
      <c r="M24" s="292"/>
      <c r="N24" s="66"/>
      <c r="O24" s="277" t="s">
        <v>140</v>
      </c>
      <c r="P24" s="278"/>
      <c r="Q24" s="278"/>
      <c r="R24" s="279"/>
      <c r="S24" s="66"/>
      <c r="T24" s="277" t="s">
        <v>141</v>
      </c>
      <c r="U24" s="278"/>
      <c r="V24" s="278"/>
      <c r="W24" s="278"/>
      <c r="X24" s="279"/>
      <c r="Y24" s="67"/>
      <c r="Z24" s="277" t="s">
        <v>142</v>
      </c>
      <c r="AA24" s="278"/>
      <c r="AB24" s="278"/>
      <c r="AC24" s="278"/>
      <c r="AD24" s="279"/>
      <c r="AF24" s="277" t="s">
        <v>165</v>
      </c>
      <c r="AG24" s="278"/>
      <c r="AH24" s="278"/>
      <c r="AI24" s="278"/>
      <c r="AJ24" s="279"/>
      <c r="AK24" s="67"/>
      <c r="AL24" s="277" t="s">
        <v>144</v>
      </c>
      <c r="AM24" s="278"/>
      <c r="AN24" s="278"/>
      <c r="AO24" s="278"/>
      <c r="AP24" s="279"/>
      <c r="AQ24" s="67"/>
      <c r="AR24" s="277" t="s">
        <v>145</v>
      </c>
      <c r="AS24" s="278"/>
      <c r="AT24" s="278"/>
      <c r="AU24" s="278"/>
      <c r="AV24" s="279"/>
    </row>
    <row r="25" spans="1:49" ht="13.8" thickBot="1" x14ac:dyDescent="0.3">
      <c r="A25" s="283"/>
      <c r="B25" s="284"/>
      <c r="C25" s="284"/>
      <c r="D25" s="285" t="s">
        <v>146</v>
      </c>
      <c r="E25" s="285"/>
      <c r="F25" s="285"/>
      <c r="G25" s="286"/>
      <c r="H25" s="68"/>
      <c r="I25" s="162"/>
      <c r="J25" s="163" t="s">
        <v>147</v>
      </c>
      <c r="K25" s="164" t="s">
        <v>148</v>
      </c>
      <c r="L25" s="164" t="s">
        <v>149</v>
      </c>
      <c r="M25" s="165" t="s">
        <v>150</v>
      </c>
      <c r="N25" s="68"/>
      <c r="O25" s="280"/>
      <c r="P25" s="281"/>
      <c r="Q25" s="281"/>
      <c r="R25" s="282"/>
      <c r="S25" s="68"/>
      <c r="T25" s="280"/>
      <c r="U25" s="281"/>
      <c r="V25" s="281"/>
      <c r="W25" s="281"/>
      <c r="X25" s="282"/>
      <c r="Y25" s="81"/>
      <c r="Z25" s="293"/>
      <c r="AA25" s="294"/>
      <c r="AB25" s="294"/>
      <c r="AC25" s="294"/>
      <c r="AD25" s="295"/>
      <c r="AF25" s="293"/>
      <c r="AG25" s="294"/>
      <c r="AH25" s="294"/>
      <c r="AI25" s="294"/>
      <c r="AJ25" s="295"/>
      <c r="AK25" s="81"/>
      <c r="AL25" s="280"/>
      <c r="AM25" s="281"/>
      <c r="AN25" s="281"/>
      <c r="AO25" s="281"/>
      <c r="AP25" s="282"/>
      <c r="AQ25" s="81"/>
      <c r="AR25" s="280"/>
      <c r="AS25" s="281"/>
      <c r="AT25" s="281"/>
      <c r="AU25" s="281"/>
      <c r="AV25" s="282"/>
    </row>
    <row r="26" spans="1:49" ht="26.4" x14ac:dyDescent="0.25">
      <c r="A26" s="73" t="s">
        <v>151</v>
      </c>
      <c r="B26" s="74" t="s">
        <v>152</v>
      </c>
      <c r="C26" s="74" t="s">
        <v>153</v>
      </c>
      <c r="D26" s="75" t="s">
        <v>147</v>
      </c>
      <c r="E26" s="74" t="s">
        <v>148</v>
      </c>
      <c r="F26" s="74" t="s">
        <v>149</v>
      </c>
      <c r="G26" s="76" t="s">
        <v>150</v>
      </c>
      <c r="H26" s="68"/>
      <c r="I26" s="77" t="s">
        <v>154</v>
      </c>
      <c r="J26" s="78">
        <f>$E$22/4</f>
        <v>78.362828856600828</v>
      </c>
      <c r="K26" s="78">
        <f>$E$22/4</f>
        <v>78.362828856600828</v>
      </c>
      <c r="L26" s="78">
        <f>$E$22/4</f>
        <v>78.362828856600828</v>
      </c>
      <c r="M26" s="79">
        <f>$E$22/4</f>
        <v>78.362828856600828</v>
      </c>
      <c r="N26" s="68"/>
      <c r="O26" s="166" t="s">
        <v>147</v>
      </c>
      <c r="P26" s="164" t="s">
        <v>148</v>
      </c>
      <c r="Q26" s="164" t="s">
        <v>149</v>
      </c>
      <c r="R26" s="165" t="s">
        <v>150</v>
      </c>
      <c r="S26" s="68"/>
      <c r="T26" s="166" t="s">
        <v>147</v>
      </c>
      <c r="U26" s="164" t="s">
        <v>148</v>
      </c>
      <c r="V26" s="164" t="s">
        <v>149</v>
      </c>
      <c r="W26" s="164" t="s">
        <v>150</v>
      </c>
      <c r="X26" s="165" t="s">
        <v>155</v>
      </c>
      <c r="Y26" s="68"/>
      <c r="Z26" s="167" t="s">
        <v>147</v>
      </c>
      <c r="AA26" s="164" t="s">
        <v>148</v>
      </c>
      <c r="AB26" s="164" t="s">
        <v>149</v>
      </c>
      <c r="AC26" s="164" t="s">
        <v>150</v>
      </c>
      <c r="AD26" s="165" t="s">
        <v>155</v>
      </c>
      <c r="AF26" s="166" t="s">
        <v>147</v>
      </c>
      <c r="AG26" s="164" t="s">
        <v>148</v>
      </c>
      <c r="AH26" s="164" t="s">
        <v>149</v>
      </c>
      <c r="AI26" s="164" t="s">
        <v>150</v>
      </c>
      <c r="AJ26" s="165" t="s">
        <v>155</v>
      </c>
      <c r="AK26" s="68"/>
      <c r="AL26" s="166" t="s">
        <v>147</v>
      </c>
      <c r="AM26" s="164" t="s">
        <v>148</v>
      </c>
      <c r="AN26" s="164" t="s">
        <v>149</v>
      </c>
      <c r="AO26" s="164" t="s">
        <v>150</v>
      </c>
      <c r="AP26" s="165" t="s">
        <v>155</v>
      </c>
      <c r="AQ26" s="68"/>
      <c r="AR26" s="166" t="s">
        <v>147</v>
      </c>
      <c r="AS26" s="164" t="s">
        <v>148</v>
      </c>
      <c r="AT26" s="164" t="s">
        <v>149</v>
      </c>
      <c r="AU26" s="164" t="s">
        <v>150</v>
      </c>
      <c r="AV26" s="165" t="s">
        <v>155</v>
      </c>
    </row>
    <row r="27" spans="1:49" ht="39.6" x14ac:dyDescent="0.25">
      <c r="A27" s="168" t="s">
        <v>166</v>
      </c>
      <c r="B27" s="169">
        <f>'SRN FD'!B27</f>
        <v>1.4</v>
      </c>
      <c r="C27" s="169">
        <f>'SRN FD'!C27</f>
        <v>2.2999999999999998</v>
      </c>
      <c r="D27" s="170">
        <f>'SRN FD'!D27</f>
        <v>3.6101083032490973</v>
      </c>
      <c r="E27" s="170">
        <f>'SRN FD'!E27</f>
        <v>2.5270758122743682</v>
      </c>
      <c r="F27" s="170">
        <f>'SRN FD'!F27</f>
        <v>1.6778523489932886</v>
      </c>
      <c r="G27" s="171">
        <f>'Sewerage Graph data'!$U$9</f>
        <v>1.02</v>
      </c>
      <c r="H27" s="68"/>
      <c r="I27" s="87">
        <f>$E$22/3</f>
        <v>104.48377180880111</v>
      </c>
      <c r="J27" s="88">
        <f>J$26/3</f>
        <v>26.120942952200277</v>
      </c>
      <c r="K27" s="88">
        <f t="shared" ref="K27:M29" si="14">K$26/3</f>
        <v>26.120942952200277</v>
      </c>
      <c r="L27" s="88">
        <f t="shared" si="14"/>
        <v>26.120942952200277</v>
      </c>
      <c r="M27" s="172">
        <f t="shared" si="14"/>
        <v>26.120942952200277</v>
      </c>
      <c r="N27" s="68"/>
      <c r="O27" s="91">
        <f>((D27-$C27)/($C27-$B27))</f>
        <v>1.4556758924989972</v>
      </c>
      <c r="P27" s="92">
        <f t="shared" ref="P27:R29" si="15">((E27-$C27)/($C27-$B27))</f>
        <v>0.25230645808263152</v>
      </c>
      <c r="Q27" s="92">
        <f>((F27-$C27)/($C27-$B27))</f>
        <v>-0.69127516778523479</v>
      </c>
      <c r="R27" s="93">
        <f t="shared" si="15"/>
        <v>-1.4222222222222221</v>
      </c>
      <c r="S27" s="68"/>
      <c r="T27" s="94">
        <f>J27*O27</f>
        <v>38.023626944859529</v>
      </c>
      <c r="U27" s="89">
        <f>K27*P27</f>
        <v>6.590482598048129</v>
      </c>
      <c r="V27" s="89">
        <f>L27*Q27</f>
        <v>-18.056759221990792</v>
      </c>
      <c r="W27" s="89">
        <f>M27*R27</f>
        <v>-37.149785532018164</v>
      </c>
      <c r="X27" s="79">
        <f>SUMIF(T27:W27,"&gt;0")</f>
        <v>44.614109542907656</v>
      </c>
      <c r="Y27" s="95"/>
      <c r="Z27" s="238">
        <f>J27*1</f>
        <v>26.120942952200277</v>
      </c>
      <c r="AA27" s="89">
        <f>IF(U27&gt;0,U27,0)</f>
        <v>6.590482598048129</v>
      </c>
      <c r="AB27" s="89">
        <f t="shared" ref="AB27:AC29" si="16">IF(V27&gt;0,V27,0)</f>
        <v>0</v>
      </c>
      <c r="AC27" s="89">
        <f t="shared" si="16"/>
        <v>0</v>
      </c>
      <c r="AD27" s="79">
        <f>SUMIF(Z27:AC27,"&gt;0")</f>
        <v>32.711425550248407</v>
      </c>
      <c r="AE27" s="174"/>
      <c r="AF27" s="175"/>
      <c r="AG27" s="176"/>
      <c r="AH27" s="176"/>
      <c r="AI27" s="176"/>
      <c r="AJ27" s="177"/>
      <c r="AK27" s="178"/>
      <c r="AL27" s="175"/>
      <c r="AM27" s="176"/>
      <c r="AN27" s="176"/>
      <c r="AO27" s="176"/>
      <c r="AP27" s="177"/>
      <c r="AR27" s="111"/>
      <c r="AS27" s="112"/>
      <c r="AT27" s="112"/>
      <c r="AU27" s="112"/>
      <c r="AV27" s="113"/>
      <c r="AW27" s="114" t="s">
        <v>167</v>
      </c>
    </row>
    <row r="28" spans="1:49" ht="39.6" x14ac:dyDescent="0.25">
      <c r="A28" s="168" t="s">
        <v>0</v>
      </c>
      <c r="B28" s="169">
        <f>'SRN FD'!B28</f>
        <v>0.1</v>
      </c>
      <c r="C28" s="169">
        <f>'SRN FD'!C28</f>
        <v>0.2</v>
      </c>
      <c r="D28" s="170">
        <f>'SRN FD'!D28</f>
        <v>1.34</v>
      </c>
      <c r="E28" s="170">
        <f>'SRN FD'!E28</f>
        <v>0.46</v>
      </c>
      <c r="F28" s="170">
        <f>'SRN FD'!F28</f>
        <v>0.64</v>
      </c>
      <c r="G28" s="171">
        <f>'Sewerage Graph data'!$U$17</f>
        <v>0</v>
      </c>
      <c r="H28" s="68"/>
      <c r="I28" s="87">
        <f>$E$22/3</f>
        <v>104.48377180880111</v>
      </c>
      <c r="J28" s="88">
        <f t="shared" ref="J28:J29" si="17">J$26/3</f>
        <v>26.120942952200277</v>
      </c>
      <c r="K28" s="88">
        <f t="shared" si="14"/>
        <v>26.120942952200277</v>
      </c>
      <c r="L28" s="88">
        <f t="shared" si="14"/>
        <v>26.120942952200277</v>
      </c>
      <c r="M28" s="172">
        <f t="shared" si="14"/>
        <v>26.120942952200277</v>
      </c>
      <c r="N28" s="68"/>
      <c r="O28" s="91">
        <f>((D28-$C28)/($C28-$B28))</f>
        <v>11.4</v>
      </c>
      <c r="P28" s="92">
        <f t="shared" si="15"/>
        <v>2.6</v>
      </c>
      <c r="Q28" s="92">
        <f>((F28-$C28)/($C28-$B28))</f>
        <v>4.3999999999999995</v>
      </c>
      <c r="R28" s="93">
        <f t="shared" si="15"/>
        <v>-2</v>
      </c>
      <c r="S28" s="68"/>
      <c r="T28" s="94">
        <f>J28*O28</f>
        <v>297.77874965508317</v>
      </c>
      <c r="U28" s="89">
        <f>K28*P28</f>
        <v>67.914451675720727</v>
      </c>
      <c r="V28" s="89">
        <f t="shared" ref="V28:V29" si="18">L28*Q28</f>
        <v>114.93214898968121</v>
      </c>
      <c r="W28" s="89">
        <f>M28*R28</f>
        <v>-52.241885904400554</v>
      </c>
      <c r="X28" s="138">
        <f>SUMIF(T28:W28,"&gt;0")</f>
        <v>480.6253503204851</v>
      </c>
      <c r="Y28" s="95"/>
      <c r="Z28" s="179">
        <f>J28*1</f>
        <v>26.120942952200277</v>
      </c>
      <c r="AA28" s="180">
        <f>K28*1</f>
        <v>26.120942952200277</v>
      </c>
      <c r="AB28" s="180">
        <f>L28*1</f>
        <v>26.120942952200277</v>
      </c>
      <c r="AC28" s="89">
        <f t="shared" si="16"/>
        <v>0</v>
      </c>
      <c r="AD28" s="79">
        <f>SUMIF(Z28:AC28,"&gt;0")</f>
        <v>78.362828856600828</v>
      </c>
      <c r="AE28" s="174"/>
      <c r="AF28" s="252">
        <f t="shared" ref="AF28:AH28" si="19">IF(Z28&gt;0,Z28,0)</f>
        <v>26.120942952200277</v>
      </c>
      <c r="AG28" s="78">
        <f t="shared" si="19"/>
        <v>26.120942952200277</v>
      </c>
      <c r="AH28" s="78">
        <f t="shared" si="19"/>
        <v>26.120942952200277</v>
      </c>
      <c r="AI28" s="78">
        <f>IF(AC28&gt;0,AC28,0)</f>
        <v>0</v>
      </c>
      <c r="AJ28" s="79">
        <f t="shared" ref="AJ28" si="20">SUM(AF28:AI28)</f>
        <v>78.362828856600828</v>
      </c>
      <c r="AK28" s="95"/>
      <c r="AL28" s="253">
        <f>AF28*0.75</f>
        <v>19.590707214150207</v>
      </c>
      <c r="AM28" s="78">
        <f>AG28*0.75</f>
        <v>19.590707214150207</v>
      </c>
      <c r="AN28" s="78">
        <f>AH28*0.75</f>
        <v>19.590707214150207</v>
      </c>
      <c r="AO28" s="78">
        <f>AI28*0.75</f>
        <v>0</v>
      </c>
      <c r="AP28" s="79">
        <f>SUM(AL28:AO28)</f>
        <v>58.772121642450621</v>
      </c>
      <c r="AQ28" s="174"/>
      <c r="AR28" s="259">
        <f>AL28*(1-AR22)</f>
        <v>17.284861979895012</v>
      </c>
      <c r="AS28" s="260">
        <f>AM28*(1-AS22)</f>
        <v>17.21572253197543</v>
      </c>
      <c r="AT28" s="260">
        <f>AN28*(1-AT22)</f>
        <v>17.146859641847531</v>
      </c>
      <c r="AU28" s="260">
        <v>0</v>
      </c>
      <c r="AV28" s="261">
        <f>SUM(AR28:AU28)</f>
        <v>51.64744415371797</v>
      </c>
      <c r="AW28" s="114" t="s">
        <v>160</v>
      </c>
    </row>
    <row r="29" spans="1:49" ht="27" thickBot="1" x14ac:dyDescent="0.3">
      <c r="A29" s="182" t="s">
        <v>168</v>
      </c>
      <c r="B29" s="128">
        <f>'SRN FD'!B29</f>
        <v>49841</v>
      </c>
      <c r="C29" s="128">
        <f>'SRN FD'!C29</f>
        <v>62678</v>
      </c>
      <c r="D29" s="128">
        <f>'SRN FD'!D29</f>
        <v>56066</v>
      </c>
      <c r="E29" s="128">
        <f>'SRN FD'!E29</f>
        <v>62928</v>
      </c>
      <c r="F29" s="128">
        <f>'SRN FD'!F29</f>
        <v>62765</v>
      </c>
      <c r="G29" s="183">
        <f>'Sewerage Graph data'!$S$25</f>
        <v>45405</v>
      </c>
      <c r="H29" s="68"/>
      <c r="I29" s="129">
        <f>$E$22/3</f>
        <v>104.48377180880111</v>
      </c>
      <c r="J29" s="130">
        <f t="shared" si="17"/>
        <v>26.120942952200277</v>
      </c>
      <c r="K29" s="130">
        <f t="shared" si="14"/>
        <v>26.120942952200277</v>
      </c>
      <c r="L29" s="130">
        <f t="shared" si="14"/>
        <v>26.120942952200277</v>
      </c>
      <c r="M29" s="184">
        <f t="shared" si="14"/>
        <v>26.120942952200277</v>
      </c>
      <c r="N29" s="68"/>
      <c r="O29" s="133">
        <f>((D29-$C29)/($C29-$B29))</f>
        <v>-0.51507361533068474</v>
      </c>
      <c r="P29" s="134">
        <f t="shared" si="15"/>
        <v>1.9474955207603024E-2</v>
      </c>
      <c r="Q29" s="134">
        <f>((F29-$C29)/($C29-$B29))</f>
        <v>6.7772844122458518E-3</v>
      </c>
      <c r="R29" s="135">
        <f t="shared" si="15"/>
        <v>-1.3455636052037081</v>
      </c>
      <c r="S29" s="68"/>
      <c r="T29" s="94">
        <f>J29*O29</f>
        <v>-13.454208522236366</v>
      </c>
      <c r="U29" s="89">
        <f>K29*P29</f>
        <v>0.50870419397445432</v>
      </c>
      <c r="V29" s="89">
        <f t="shared" si="18"/>
        <v>0.17702905950311007</v>
      </c>
      <c r="W29" s="185">
        <f>M29*R29</f>
        <v>-35.147390170082993</v>
      </c>
      <c r="X29" s="138">
        <f>SUMIF(T29:W29,"&gt;0")</f>
        <v>0.68573325347756442</v>
      </c>
      <c r="Y29" s="187"/>
      <c r="Z29" s="234">
        <f t="shared" ref="Z29" si="21">IF(T29&gt;0,T29,0)</f>
        <v>0</v>
      </c>
      <c r="AA29" s="131">
        <f t="shared" ref="AA29" si="22">IF(U29&gt;0,U29,0)</f>
        <v>0.50870419397445432</v>
      </c>
      <c r="AB29" s="131">
        <f t="shared" ref="AB29" si="23">IF(V29&gt;0,V29,0)</f>
        <v>0.17702905950311007</v>
      </c>
      <c r="AC29" s="131">
        <f t="shared" si="16"/>
        <v>0</v>
      </c>
      <c r="AD29" s="79">
        <f>SUMIF(Z29:AC29,"&gt;0")</f>
        <v>0.68573325347756442</v>
      </c>
      <c r="AE29" s="174"/>
      <c r="AF29" s="140"/>
      <c r="AG29" s="141"/>
      <c r="AH29" s="141"/>
      <c r="AI29" s="141"/>
      <c r="AJ29" s="142"/>
      <c r="AK29" s="181"/>
      <c r="AL29" s="140"/>
      <c r="AM29" s="141"/>
      <c r="AN29" s="141"/>
      <c r="AO29" s="141"/>
      <c r="AP29" s="142"/>
      <c r="AR29" s="143"/>
      <c r="AS29" s="144"/>
      <c r="AT29" s="144"/>
      <c r="AU29" s="144"/>
      <c r="AV29" s="145"/>
      <c r="AW29" s="114" t="s">
        <v>158</v>
      </c>
    </row>
    <row r="30" spans="1:49" ht="13.8" thickBot="1" x14ac:dyDescent="0.3">
      <c r="A30" s="66"/>
      <c r="B30" s="66"/>
      <c r="C30" s="66"/>
      <c r="D30" s="66"/>
      <c r="E30" s="66"/>
      <c r="F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146">
        <f>SUMIF(T27:T29,"&gt;0")</f>
        <v>335.8023765999427</v>
      </c>
      <c r="U30" s="147">
        <f>SUMIF(U27:U29,"&gt;0")</f>
        <v>75.013638467743306</v>
      </c>
      <c r="V30" s="147">
        <f>SUMIF(V27:V29,"&gt;0")</f>
        <v>115.10917804918432</v>
      </c>
      <c r="W30" s="147">
        <f>SUMIF(W27:W29,"&gt;0")</f>
        <v>0</v>
      </c>
      <c r="X30" s="271">
        <f>SUMIF(X27:X29,"&gt;0")</f>
        <v>525.92519311687033</v>
      </c>
      <c r="Y30" s="190"/>
      <c r="Z30" s="146">
        <f>SUMIF(Z27:Z29,"&gt;0")</f>
        <v>52.241885904400554</v>
      </c>
      <c r="AA30" s="147">
        <f>SUMIF(AA27:AA29,"&gt;0")</f>
        <v>33.220129744222859</v>
      </c>
      <c r="AB30" s="147">
        <f>SUMIF(AB27:AB29,"&gt;0")</f>
        <v>26.297972011703386</v>
      </c>
      <c r="AC30" s="258">
        <f>SUMIF(AC27:AC29,"&gt;0")</f>
        <v>0</v>
      </c>
      <c r="AD30" s="148">
        <f>SUMIF(AD27:AD29,"&gt;0")</f>
        <v>111.7599876603268</v>
      </c>
      <c r="AE30" s="174"/>
      <c r="AF30" s="209">
        <f>SUM(AF27:AF29)</f>
        <v>26.120942952200277</v>
      </c>
      <c r="AG30" s="210">
        <f t="shared" ref="AG30:AJ30" si="24">SUM(AG27:AG29)</f>
        <v>26.120942952200277</v>
      </c>
      <c r="AH30" s="210">
        <f t="shared" si="24"/>
        <v>26.120942952200277</v>
      </c>
      <c r="AI30" s="210">
        <f t="shared" si="24"/>
        <v>0</v>
      </c>
      <c r="AJ30" s="211">
        <f t="shared" si="24"/>
        <v>78.362828856600828</v>
      </c>
      <c r="AK30" s="95"/>
      <c r="AL30" s="209">
        <f>SUM(AL27:AL29)</f>
        <v>19.590707214150207</v>
      </c>
      <c r="AM30" s="210">
        <f t="shared" ref="AM30:AP30" si="25">SUM(AM27:AM29)</f>
        <v>19.590707214150207</v>
      </c>
      <c r="AN30" s="210">
        <f t="shared" si="25"/>
        <v>19.590707214150207</v>
      </c>
      <c r="AO30" s="210">
        <f t="shared" si="25"/>
        <v>0</v>
      </c>
      <c r="AP30" s="211">
        <f t="shared" si="25"/>
        <v>58.772121642450621</v>
      </c>
      <c r="AQ30" s="99"/>
      <c r="AR30" s="255">
        <f>SUM(AR27:AR29)</f>
        <v>17.284861979895012</v>
      </c>
      <c r="AS30" s="256">
        <f t="shared" ref="AS30:AV30" si="26">SUM(AS27:AS29)</f>
        <v>17.21572253197543</v>
      </c>
      <c r="AT30" s="256">
        <f t="shared" si="26"/>
        <v>17.146859641847531</v>
      </c>
      <c r="AU30" s="256">
        <f t="shared" si="26"/>
        <v>0</v>
      </c>
      <c r="AV30" s="257">
        <f t="shared" si="26"/>
        <v>51.64744415371797</v>
      </c>
    </row>
    <row r="31" spans="1:49" x14ac:dyDescent="0.25">
      <c r="A31" s="66"/>
      <c r="B31" s="66"/>
      <c r="C31" s="66"/>
      <c r="D31" s="66"/>
      <c r="E31" s="66"/>
      <c r="F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149"/>
      <c r="U31" s="149"/>
      <c r="V31" s="149"/>
      <c r="W31" s="149"/>
      <c r="X31" s="149"/>
      <c r="Y31" s="190"/>
      <c r="Z31" s="149"/>
      <c r="AA31" s="149"/>
      <c r="AB31" s="149"/>
      <c r="AC31" s="149"/>
      <c r="AD31" s="149"/>
      <c r="AE31" s="174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159"/>
    </row>
    <row r="32" spans="1:49" ht="16.2" thickBot="1" x14ac:dyDescent="0.35">
      <c r="A32" s="298" t="s">
        <v>169</v>
      </c>
      <c r="B32" s="299"/>
      <c r="C32" s="299"/>
      <c r="D32" s="299"/>
      <c r="E32" s="299"/>
      <c r="F32" s="299"/>
      <c r="G32" s="299"/>
      <c r="H32" s="299"/>
      <c r="I32" s="299"/>
      <c r="J32" s="299"/>
      <c r="K32" s="299"/>
      <c r="L32" s="299"/>
      <c r="M32" s="299"/>
      <c r="N32" s="299"/>
      <c r="O32" s="299"/>
      <c r="P32" s="299"/>
      <c r="Q32" s="299"/>
      <c r="R32" s="299"/>
      <c r="S32" s="299"/>
      <c r="T32" s="299"/>
      <c r="U32" s="299"/>
      <c r="V32" s="299"/>
      <c r="W32" s="299"/>
      <c r="X32" s="299"/>
      <c r="Y32" s="299"/>
      <c r="Z32" s="299"/>
      <c r="AA32" s="299"/>
      <c r="AB32" s="299"/>
      <c r="AC32" s="299"/>
      <c r="AD32" s="299"/>
      <c r="AE32" s="299"/>
      <c r="AF32" s="299"/>
      <c r="AG32" s="299"/>
      <c r="AH32" s="299"/>
      <c r="AI32" s="299"/>
      <c r="AJ32" s="299"/>
      <c r="AK32" s="299"/>
      <c r="AL32" s="299"/>
      <c r="AM32" s="299"/>
      <c r="AN32" s="299"/>
      <c r="AO32" s="299"/>
      <c r="AP32" s="299"/>
      <c r="AQ32" s="191"/>
      <c r="AR32" s="54"/>
      <c r="AS32" s="54"/>
      <c r="AT32" s="54"/>
      <c r="AU32" s="54"/>
      <c r="AV32" s="54"/>
    </row>
    <row r="33" spans="1:49" ht="14.4" thickBot="1" x14ac:dyDescent="0.3">
      <c r="A33" s="300" t="s">
        <v>129</v>
      </c>
      <c r="B33" s="301"/>
      <c r="C33" s="301"/>
      <c r="D33" s="302"/>
      <c r="E33" s="303" t="s">
        <v>130</v>
      </c>
      <c r="F33" s="305" t="s">
        <v>131</v>
      </c>
      <c r="G33" s="30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149"/>
      <c r="U33" s="149"/>
      <c r="V33" s="149"/>
      <c r="W33" s="149"/>
      <c r="X33" s="149"/>
      <c r="Y33" s="190"/>
      <c r="Z33" s="149"/>
      <c r="AA33" s="149"/>
      <c r="AB33" s="149"/>
      <c r="AC33" s="149"/>
      <c r="AD33" s="149"/>
      <c r="AE33" s="174"/>
      <c r="AJ33" s="95"/>
      <c r="AK33" s="95"/>
      <c r="AL33" s="158"/>
      <c r="AM33" s="158"/>
      <c r="AN33" s="158"/>
      <c r="AO33" s="158"/>
      <c r="AP33" s="95"/>
      <c r="AQ33" s="159"/>
    </row>
    <row r="34" spans="1:49" ht="40.200000000000003" thickBot="1" x14ac:dyDescent="0.3">
      <c r="A34" s="55" t="s">
        <v>132</v>
      </c>
      <c r="B34" s="56" t="s">
        <v>133</v>
      </c>
      <c r="C34" s="56" t="s">
        <v>134</v>
      </c>
      <c r="D34" s="56" t="s">
        <v>135</v>
      </c>
      <c r="E34" s="304"/>
      <c r="F34" s="56" t="s">
        <v>136</v>
      </c>
      <c r="G34" s="59" t="s">
        <v>137</v>
      </c>
      <c r="H34" s="66"/>
      <c r="I34" s="66"/>
      <c r="J34" s="307"/>
      <c r="K34" s="308"/>
      <c r="L34" s="68"/>
      <c r="M34" s="68"/>
      <c r="N34" s="68"/>
      <c r="O34" s="157"/>
      <c r="P34" s="157"/>
      <c r="Q34" s="68"/>
      <c r="R34" s="68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</row>
    <row r="35" spans="1:49" ht="13.8" thickBot="1" x14ac:dyDescent="0.3">
      <c r="A35" s="61">
        <f>'SRN FD'!A35</f>
        <v>139.85303989466905</v>
      </c>
      <c r="B35" s="62">
        <f>'SRN FD'!B35</f>
        <v>6.5600000000000005</v>
      </c>
      <c r="C35" s="62">
        <f>A35-B35</f>
        <v>133.29303989466905</v>
      </c>
      <c r="D35" s="62">
        <f>'SRN FD'!D35</f>
        <v>136.04752319887154</v>
      </c>
      <c r="E35" s="62">
        <f>D35*0.5</f>
        <v>68.023761599435772</v>
      </c>
      <c r="F35" s="64">
        <f>'SRN FD'!F35</f>
        <v>111.30000000000001</v>
      </c>
      <c r="G35" s="65">
        <f>'SRN FD'!G35</f>
        <v>113.6</v>
      </c>
      <c r="H35" s="66"/>
      <c r="I35" s="66"/>
      <c r="J35" s="160"/>
      <c r="K35" s="160"/>
      <c r="L35" s="68"/>
      <c r="M35" s="68"/>
      <c r="N35" s="68"/>
      <c r="O35" s="159"/>
      <c r="P35" s="95"/>
      <c r="Q35" s="68"/>
      <c r="R35" s="68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</row>
    <row r="36" spans="1:49" ht="13.8" thickBot="1" x14ac:dyDescent="0.3">
      <c r="A36" s="192"/>
      <c r="B36" s="66"/>
      <c r="C36" s="66"/>
      <c r="D36" s="66"/>
      <c r="E36" s="66"/>
      <c r="F36" s="66"/>
      <c r="G36" s="66"/>
      <c r="H36" s="66"/>
      <c r="I36" s="193"/>
      <c r="J36" s="66"/>
      <c r="K36" s="66"/>
      <c r="L36" s="66"/>
      <c r="M36" s="66"/>
      <c r="N36" s="66"/>
      <c r="O36" s="296"/>
      <c r="P36" s="296"/>
      <c r="Q36" s="296"/>
      <c r="R36" s="296"/>
      <c r="S36" s="66"/>
      <c r="T36" s="297"/>
      <c r="U36" s="297"/>
      <c r="V36" s="297"/>
      <c r="W36" s="297"/>
      <c r="X36" s="297"/>
      <c r="Y36" s="194"/>
      <c r="Z36" s="194"/>
      <c r="AA36" s="194"/>
      <c r="AB36" s="194"/>
      <c r="AC36" s="194"/>
      <c r="AD36" s="194"/>
    </row>
    <row r="37" spans="1:49" ht="55.5" customHeight="1" thickBot="1" x14ac:dyDescent="0.3">
      <c r="A37" s="287" t="s">
        <v>138</v>
      </c>
      <c r="B37" s="288"/>
      <c r="C37" s="288"/>
      <c r="D37" s="288"/>
      <c r="E37" s="288"/>
      <c r="F37" s="288"/>
      <c r="G37" s="289"/>
      <c r="H37" s="66"/>
      <c r="I37" s="290" t="s">
        <v>139</v>
      </c>
      <c r="J37" s="291"/>
      <c r="K37" s="291"/>
      <c r="L37" s="291"/>
      <c r="M37" s="292"/>
      <c r="N37" s="66"/>
      <c r="O37" s="277" t="s">
        <v>140</v>
      </c>
      <c r="P37" s="278"/>
      <c r="Q37" s="278"/>
      <c r="R37" s="279"/>
      <c r="S37" s="66"/>
      <c r="T37" s="277" t="s">
        <v>141</v>
      </c>
      <c r="U37" s="278"/>
      <c r="V37" s="278"/>
      <c r="W37" s="278"/>
      <c r="X37" s="279"/>
      <c r="Y37" s="66"/>
      <c r="Z37" s="277" t="s">
        <v>142</v>
      </c>
      <c r="AA37" s="278"/>
      <c r="AB37" s="278"/>
      <c r="AC37" s="278"/>
      <c r="AD37" s="279"/>
      <c r="AF37" s="277" t="s">
        <v>165</v>
      </c>
      <c r="AG37" s="278"/>
      <c r="AH37" s="278"/>
      <c r="AI37" s="278"/>
      <c r="AJ37" s="279"/>
      <c r="AK37" s="67"/>
      <c r="AL37" s="277" t="s">
        <v>144</v>
      </c>
      <c r="AM37" s="278"/>
      <c r="AN37" s="278"/>
      <c r="AO37" s="278"/>
      <c r="AP37" s="279"/>
      <c r="AQ37" s="67"/>
      <c r="AR37" s="277" t="s">
        <v>145</v>
      </c>
      <c r="AS37" s="278"/>
      <c r="AT37" s="278"/>
      <c r="AU37" s="278"/>
      <c r="AV37" s="279"/>
    </row>
    <row r="38" spans="1:49" ht="13.8" thickBot="1" x14ac:dyDescent="0.3">
      <c r="A38" s="283"/>
      <c r="B38" s="284"/>
      <c r="C38" s="284"/>
      <c r="D38" s="285" t="s">
        <v>146</v>
      </c>
      <c r="E38" s="285"/>
      <c r="F38" s="285"/>
      <c r="G38" s="286"/>
      <c r="H38" s="68"/>
      <c r="I38" s="162"/>
      <c r="J38" s="163" t="s">
        <v>147</v>
      </c>
      <c r="K38" s="164" t="s">
        <v>148</v>
      </c>
      <c r="L38" s="164" t="s">
        <v>149</v>
      </c>
      <c r="M38" s="165" t="s">
        <v>150</v>
      </c>
      <c r="N38" s="68"/>
      <c r="O38" s="280"/>
      <c r="P38" s="281"/>
      <c r="Q38" s="281"/>
      <c r="R38" s="282"/>
      <c r="S38" s="68"/>
      <c r="T38" s="280"/>
      <c r="U38" s="281"/>
      <c r="V38" s="281"/>
      <c r="W38" s="281"/>
      <c r="X38" s="282"/>
      <c r="Y38" s="81"/>
      <c r="Z38" s="293"/>
      <c r="AA38" s="294"/>
      <c r="AB38" s="294"/>
      <c r="AC38" s="294"/>
      <c r="AD38" s="295"/>
      <c r="AF38" s="293"/>
      <c r="AG38" s="294"/>
      <c r="AH38" s="294"/>
      <c r="AI38" s="294"/>
      <c r="AJ38" s="295"/>
      <c r="AK38" s="81"/>
      <c r="AL38" s="280"/>
      <c r="AM38" s="281"/>
      <c r="AN38" s="281"/>
      <c r="AO38" s="281"/>
      <c r="AP38" s="282"/>
      <c r="AQ38" s="81"/>
      <c r="AR38" s="280"/>
      <c r="AS38" s="281"/>
      <c r="AT38" s="281"/>
      <c r="AU38" s="281"/>
      <c r="AV38" s="282"/>
    </row>
    <row r="39" spans="1:49" ht="26.4" x14ac:dyDescent="0.25">
      <c r="A39" s="73" t="s">
        <v>151</v>
      </c>
      <c r="B39" s="74" t="s">
        <v>152</v>
      </c>
      <c r="C39" s="74" t="s">
        <v>153</v>
      </c>
      <c r="D39" s="75" t="s">
        <v>147</v>
      </c>
      <c r="E39" s="74" t="s">
        <v>148</v>
      </c>
      <c r="F39" s="74" t="s">
        <v>149</v>
      </c>
      <c r="G39" s="76" t="s">
        <v>150</v>
      </c>
      <c r="H39" s="68"/>
      <c r="I39" s="77" t="s">
        <v>154</v>
      </c>
      <c r="J39" s="78">
        <f>$E$35/4</f>
        <v>17.005940399858943</v>
      </c>
      <c r="K39" s="78">
        <f t="shared" ref="K39:M39" si="27">$E$35/4</f>
        <v>17.005940399858943</v>
      </c>
      <c r="L39" s="78">
        <f t="shared" si="27"/>
        <v>17.005940399858943</v>
      </c>
      <c r="M39" s="79">
        <f t="shared" si="27"/>
        <v>17.005940399858943</v>
      </c>
      <c r="N39" s="68"/>
      <c r="O39" s="166" t="s">
        <v>147</v>
      </c>
      <c r="P39" s="164" t="s">
        <v>148</v>
      </c>
      <c r="Q39" s="164" t="s">
        <v>149</v>
      </c>
      <c r="R39" s="165" t="s">
        <v>150</v>
      </c>
      <c r="S39" s="68"/>
      <c r="T39" s="166" t="s">
        <v>147</v>
      </c>
      <c r="U39" s="164" t="s">
        <v>148</v>
      </c>
      <c r="V39" s="164" t="s">
        <v>149</v>
      </c>
      <c r="W39" s="164" t="s">
        <v>150</v>
      </c>
      <c r="X39" s="165" t="s">
        <v>155</v>
      </c>
      <c r="Y39" s="68"/>
      <c r="Z39" s="166" t="s">
        <v>147</v>
      </c>
      <c r="AA39" s="164" t="s">
        <v>148</v>
      </c>
      <c r="AB39" s="164" t="s">
        <v>149</v>
      </c>
      <c r="AC39" s="164" t="s">
        <v>150</v>
      </c>
      <c r="AD39" s="165" t="s">
        <v>155</v>
      </c>
      <c r="AF39" s="166" t="s">
        <v>147</v>
      </c>
      <c r="AG39" s="164" t="s">
        <v>148</v>
      </c>
      <c r="AH39" s="164" t="s">
        <v>149</v>
      </c>
      <c r="AI39" s="164" t="s">
        <v>150</v>
      </c>
      <c r="AJ39" s="165" t="s">
        <v>155</v>
      </c>
      <c r="AK39" s="68"/>
      <c r="AL39" s="166" t="s">
        <v>147</v>
      </c>
      <c r="AM39" s="164" t="s">
        <v>148</v>
      </c>
      <c r="AN39" s="164" t="s">
        <v>149</v>
      </c>
      <c r="AO39" s="164" t="s">
        <v>150</v>
      </c>
      <c r="AP39" s="165" t="s">
        <v>155</v>
      </c>
      <c r="AQ39" s="68"/>
      <c r="AR39" s="166" t="s">
        <v>147</v>
      </c>
      <c r="AS39" s="164" t="s">
        <v>148</v>
      </c>
      <c r="AT39" s="164" t="s">
        <v>149</v>
      </c>
      <c r="AU39" s="164" t="s">
        <v>150</v>
      </c>
      <c r="AV39" s="165" t="s">
        <v>155</v>
      </c>
    </row>
    <row r="40" spans="1:49" x14ac:dyDescent="0.25">
      <c r="A40" s="168" t="s">
        <v>1</v>
      </c>
      <c r="B40" s="85">
        <f>'SRN FD'!B40</f>
        <v>1901</v>
      </c>
      <c r="C40" s="85">
        <f>'SRN FD'!C40</f>
        <v>2383</v>
      </c>
      <c r="D40" s="85">
        <f>'SRN FD'!D40</f>
        <v>1906</v>
      </c>
      <c r="E40" s="85">
        <f>'SRN FD'!E40</f>
        <v>1510</v>
      </c>
      <c r="F40" s="85">
        <f>'SRN FD'!F40</f>
        <v>1499</v>
      </c>
      <c r="G40" s="86">
        <f>'Water Graph data'!$L$9</f>
        <v>1770</v>
      </c>
      <c r="H40" s="68"/>
      <c r="I40" s="87">
        <f>$E$35/6</f>
        <v>11.337293599905962</v>
      </c>
      <c r="J40" s="88">
        <f>J$39/6</f>
        <v>2.8343233999764905</v>
      </c>
      <c r="K40" s="88">
        <f t="shared" ref="K40:M45" si="28">K$39/6</f>
        <v>2.8343233999764905</v>
      </c>
      <c r="L40" s="88">
        <f t="shared" si="28"/>
        <v>2.8343233999764905</v>
      </c>
      <c r="M40" s="172">
        <f t="shared" si="28"/>
        <v>2.8343233999764905</v>
      </c>
      <c r="N40" s="68"/>
      <c r="O40" s="91">
        <f t="shared" ref="O40:R45" si="29">((D40-$C40)/($C40-$B40))</f>
        <v>-0.98962655601659755</v>
      </c>
      <c r="P40" s="92">
        <f t="shared" si="29"/>
        <v>-1.8112033195020747</v>
      </c>
      <c r="Q40" s="92">
        <f t="shared" si="29"/>
        <v>-1.8340248962655601</v>
      </c>
      <c r="R40" s="93">
        <f t="shared" si="29"/>
        <v>-1.2717842323651452</v>
      </c>
      <c r="S40" s="68"/>
      <c r="T40" s="94">
        <f t="shared" ref="T40:T45" si="30">J40*O40</f>
        <v>-2.8049217049559876</v>
      </c>
      <c r="U40" s="89">
        <f t="shared" ref="U40:W45" si="31">K40*P40</f>
        <v>-5.1335359505798266</v>
      </c>
      <c r="V40" s="89">
        <f t="shared" si="31"/>
        <v>-5.1982196796249323</v>
      </c>
      <c r="W40" s="89">
        <f t="shared" si="31"/>
        <v>-3.6046478095136694</v>
      </c>
      <c r="X40" s="79">
        <f t="shared" ref="X40:X45" si="32">SUMIF(T40:W40,"&gt;0")</f>
        <v>0</v>
      </c>
      <c r="Y40" s="95"/>
      <c r="Z40" s="94">
        <f>IF(T40&gt;0,T40,0)</f>
        <v>0</v>
      </c>
      <c r="AA40" s="89">
        <f t="shared" ref="AA40:AC41" si="33">IF(U40&gt;0,U40,0)</f>
        <v>0</v>
      </c>
      <c r="AB40" s="89">
        <f t="shared" si="33"/>
        <v>0</v>
      </c>
      <c r="AC40" s="262">
        <f t="shared" si="33"/>
        <v>0</v>
      </c>
      <c r="AD40" s="79">
        <f>SUMIF(Z40:AC40,"&gt;0")</f>
        <v>0</v>
      </c>
      <c r="AE40" s="174"/>
      <c r="AF40" s="106"/>
      <c r="AG40" s="107"/>
      <c r="AH40" s="107"/>
      <c r="AI40" s="107"/>
      <c r="AJ40" s="108"/>
      <c r="AK40" s="159"/>
      <c r="AL40" s="106"/>
      <c r="AM40" s="107"/>
      <c r="AN40" s="107"/>
      <c r="AO40" s="107"/>
      <c r="AP40" s="108"/>
      <c r="AQ40" s="159"/>
      <c r="AR40" s="195"/>
      <c r="AS40" s="119"/>
      <c r="AT40" s="119"/>
      <c r="AU40" s="119"/>
      <c r="AV40" s="120"/>
    </row>
    <row r="41" spans="1:49" ht="26.4" x14ac:dyDescent="0.25">
      <c r="A41" s="168" t="s">
        <v>170</v>
      </c>
      <c r="B41" s="85">
        <f>'SRN FD'!B41</f>
        <v>292</v>
      </c>
      <c r="C41" s="85">
        <f>'SRN FD'!C41</f>
        <v>419</v>
      </c>
      <c r="D41" s="85">
        <f>'SRN FD'!D41</f>
        <v>326</v>
      </c>
      <c r="E41" s="85">
        <f>'SRN FD'!E41</f>
        <v>1954</v>
      </c>
      <c r="F41" s="85">
        <f>'SRN FD'!F41</f>
        <v>127</v>
      </c>
      <c r="G41" s="86">
        <f>'Water Graph data'!$L$17</f>
        <v>210</v>
      </c>
      <c r="H41" s="68"/>
      <c r="I41" s="87">
        <f t="shared" ref="I41:I45" si="34">$E$35/6</f>
        <v>11.337293599905962</v>
      </c>
      <c r="J41" s="88">
        <f t="shared" ref="J41:J45" si="35">J$39/6</f>
        <v>2.8343233999764905</v>
      </c>
      <c r="K41" s="88">
        <f t="shared" si="28"/>
        <v>2.8343233999764905</v>
      </c>
      <c r="L41" s="88">
        <f t="shared" si="28"/>
        <v>2.8343233999764905</v>
      </c>
      <c r="M41" s="172">
        <f t="shared" si="28"/>
        <v>2.8343233999764905</v>
      </c>
      <c r="N41" s="68"/>
      <c r="O41" s="91">
        <f t="shared" si="29"/>
        <v>-0.73228346456692917</v>
      </c>
      <c r="P41" s="92">
        <f t="shared" si="29"/>
        <v>12.086614173228346</v>
      </c>
      <c r="Q41" s="92">
        <f t="shared" si="29"/>
        <v>-2.2992125984251968</v>
      </c>
      <c r="R41" s="93">
        <f t="shared" si="29"/>
        <v>-1.6456692913385826</v>
      </c>
      <c r="S41" s="68"/>
      <c r="T41" s="94">
        <f t="shared" si="30"/>
        <v>-2.0755281590379027</v>
      </c>
      <c r="U41" s="89">
        <f>K41*P41</f>
        <v>34.257373377668607</v>
      </c>
      <c r="V41" s="89">
        <f t="shared" si="31"/>
        <v>-6.5167120692372853</v>
      </c>
      <c r="W41" s="89">
        <f t="shared" si="31"/>
        <v>-4.664358981063673</v>
      </c>
      <c r="X41" s="79">
        <f t="shared" si="32"/>
        <v>34.257373377668607</v>
      </c>
      <c r="Y41" s="95"/>
      <c r="Z41" s="94">
        <f t="shared" ref="Z41:Z45" si="36">IF(T41&gt;0,T41,0)</f>
        <v>0</v>
      </c>
      <c r="AA41" s="121">
        <f>K41*1</f>
        <v>2.8343233999764905</v>
      </c>
      <c r="AB41" s="89">
        <f t="shared" si="33"/>
        <v>0</v>
      </c>
      <c r="AC41" s="89">
        <f t="shared" si="33"/>
        <v>0</v>
      </c>
      <c r="AD41" s="79">
        <f t="shared" ref="AD41:AD45" si="37">SUMIF(Z41:AC41,"&gt;0")</f>
        <v>2.8343233999764905</v>
      </c>
      <c r="AE41" s="174"/>
      <c r="AF41" s="196"/>
      <c r="AG41" s="176"/>
      <c r="AH41" s="176"/>
      <c r="AI41" s="176"/>
      <c r="AJ41" s="197"/>
      <c r="AK41" s="198"/>
      <c r="AL41" s="175"/>
      <c r="AM41" s="176"/>
      <c r="AN41" s="176"/>
      <c r="AO41" s="176"/>
      <c r="AP41" s="197"/>
      <c r="AR41" s="199"/>
      <c r="AS41" s="112"/>
      <c r="AT41" s="112"/>
      <c r="AU41" s="112"/>
      <c r="AV41" s="124"/>
      <c r="AW41" s="114" t="s">
        <v>171</v>
      </c>
    </row>
    <row r="42" spans="1:49" ht="26.4" x14ac:dyDescent="0.25">
      <c r="A42" s="168" t="s">
        <v>172</v>
      </c>
      <c r="B42" s="169">
        <f>'SRN FD'!B42</f>
        <v>0.23499999999999999</v>
      </c>
      <c r="C42" s="169">
        <f>'SRN FD'!C42</f>
        <v>0.43599999999999994</v>
      </c>
      <c r="D42" s="169">
        <f>'SRN FD'!D42</f>
        <v>0.41</v>
      </c>
      <c r="E42" s="169">
        <f>'SRN FD'!E42</f>
        <v>0.18</v>
      </c>
      <c r="F42" s="169">
        <f>'SRN FD'!F42</f>
        <v>0.13</v>
      </c>
      <c r="G42" s="200">
        <f>'Water Graph data'!$L$25</f>
        <v>0.10999999999999943</v>
      </c>
      <c r="H42" s="68"/>
      <c r="I42" s="87">
        <f t="shared" si="34"/>
        <v>11.337293599905962</v>
      </c>
      <c r="J42" s="88">
        <f t="shared" si="35"/>
        <v>2.8343233999764905</v>
      </c>
      <c r="K42" s="88">
        <f t="shared" si="28"/>
        <v>2.8343233999764905</v>
      </c>
      <c r="L42" s="88">
        <f t="shared" si="28"/>
        <v>2.8343233999764905</v>
      </c>
      <c r="M42" s="172">
        <f t="shared" si="28"/>
        <v>2.8343233999764905</v>
      </c>
      <c r="N42" s="68"/>
      <c r="O42" s="91">
        <f t="shared" si="29"/>
        <v>-0.12935323383084563</v>
      </c>
      <c r="P42" s="92">
        <f t="shared" si="29"/>
        <v>-1.2736318407960199</v>
      </c>
      <c r="Q42" s="92">
        <f t="shared" si="29"/>
        <v>-1.5223880597014925</v>
      </c>
      <c r="R42" s="93">
        <f t="shared" si="29"/>
        <v>-1.6218905472636844</v>
      </c>
      <c r="S42" s="68"/>
      <c r="T42" s="94">
        <f t="shared" si="30"/>
        <v>-0.36662889750939637</v>
      </c>
      <c r="U42" s="89">
        <f>K42*P42</f>
        <v>-3.6098845293232915</v>
      </c>
      <c r="V42" s="89">
        <f t="shared" si="31"/>
        <v>-4.314940101456747</v>
      </c>
      <c r="W42" s="89">
        <f t="shared" si="31"/>
        <v>-4.596962330310137</v>
      </c>
      <c r="X42" s="79">
        <f t="shared" si="32"/>
        <v>0</v>
      </c>
      <c r="Y42" s="95"/>
      <c r="Z42" s="94">
        <f t="shared" si="36"/>
        <v>0</v>
      </c>
      <c r="AA42" s="89">
        <f t="shared" ref="AA42:AA45" si="38">IF(U42&gt;0,U42,0)</f>
        <v>0</v>
      </c>
      <c r="AB42" s="89">
        <f t="shared" ref="AB42:AB45" si="39">IF(V42&gt;0,V42,0)</f>
        <v>0</v>
      </c>
      <c r="AC42" s="89">
        <f t="shared" ref="AC42:AC45" si="40">IF(W42&gt;0,W42,0)</f>
        <v>0</v>
      </c>
      <c r="AD42" s="79">
        <f t="shared" si="37"/>
        <v>0</v>
      </c>
      <c r="AE42" s="174"/>
      <c r="AF42" s="175"/>
      <c r="AG42" s="176"/>
      <c r="AH42" s="176"/>
      <c r="AI42" s="176"/>
      <c r="AJ42" s="177"/>
      <c r="AK42" s="178"/>
      <c r="AL42" s="175"/>
      <c r="AM42" s="176"/>
      <c r="AN42" s="176"/>
      <c r="AO42" s="176"/>
      <c r="AP42" s="177"/>
      <c r="AQ42" s="159"/>
      <c r="AR42" s="111"/>
      <c r="AS42" s="112"/>
      <c r="AT42" s="112"/>
      <c r="AU42" s="112"/>
      <c r="AV42" s="113"/>
    </row>
    <row r="43" spans="1:49" ht="26.4" x14ac:dyDescent="0.25">
      <c r="A43" s="168" t="s">
        <v>173</v>
      </c>
      <c r="B43" s="85">
        <f>'SRN FD'!B43</f>
        <v>340</v>
      </c>
      <c r="C43" s="85">
        <f>'SRN FD'!C43</f>
        <v>510</v>
      </c>
      <c r="D43" s="85">
        <f>'SRN FD'!D43</f>
        <v>246</v>
      </c>
      <c r="E43" s="85">
        <f>'SRN FD'!E43</f>
        <v>253</v>
      </c>
      <c r="F43" s="85">
        <f>'SRN FD'!F43</f>
        <v>258</v>
      </c>
      <c r="G43" s="86">
        <f>'Water Graph data'!$L$33</f>
        <v>254</v>
      </c>
      <c r="H43" s="68"/>
      <c r="I43" s="87">
        <f t="shared" si="34"/>
        <v>11.337293599905962</v>
      </c>
      <c r="J43" s="88">
        <f t="shared" si="35"/>
        <v>2.8343233999764905</v>
      </c>
      <c r="K43" s="88">
        <f t="shared" si="28"/>
        <v>2.8343233999764905</v>
      </c>
      <c r="L43" s="88">
        <f t="shared" si="28"/>
        <v>2.8343233999764905</v>
      </c>
      <c r="M43" s="172">
        <f t="shared" si="28"/>
        <v>2.8343233999764905</v>
      </c>
      <c r="N43" s="68"/>
      <c r="O43" s="91">
        <f t="shared" si="29"/>
        <v>-1.5529411764705883</v>
      </c>
      <c r="P43" s="92">
        <f t="shared" si="29"/>
        <v>-1.5117647058823529</v>
      </c>
      <c r="Q43" s="92">
        <f t="shared" si="29"/>
        <v>-1.4823529411764707</v>
      </c>
      <c r="R43" s="93">
        <f t="shared" si="29"/>
        <v>-1.5058823529411764</v>
      </c>
      <c r="S43" s="68"/>
      <c r="T43" s="94">
        <f t="shared" si="30"/>
        <v>-4.4015375152576093</v>
      </c>
      <c r="U43" s="89">
        <f t="shared" ref="U43:U44" si="41">K43*P43</f>
        <v>-4.2848300811409299</v>
      </c>
      <c r="V43" s="89">
        <f t="shared" si="31"/>
        <v>-4.2014676282004446</v>
      </c>
      <c r="W43" s="89">
        <f t="shared" si="31"/>
        <v>-4.2681575905528328</v>
      </c>
      <c r="X43" s="79">
        <f t="shared" si="32"/>
        <v>0</v>
      </c>
      <c r="Y43" s="95"/>
      <c r="Z43" s="94">
        <f t="shared" si="36"/>
        <v>0</v>
      </c>
      <c r="AA43" s="89">
        <f t="shared" si="38"/>
        <v>0</v>
      </c>
      <c r="AB43" s="89">
        <f t="shared" si="39"/>
        <v>0</v>
      </c>
      <c r="AC43" s="89">
        <f t="shared" si="40"/>
        <v>0</v>
      </c>
      <c r="AD43" s="79">
        <f t="shared" si="37"/>
        <v>0</v>
      </c>
      <c r="AE43" s="174"/>
      <c r="AF43" s="175"/>
      <c r="AG43" s="176"/>
      <c r="AH43" s="176"/>
      <c r="AI43" s="176"/>
      <c r="AJ43" s="177"/>
      <c r="AK43" s="178"/>
      <c r="AL43" s="175"/>
      <c r="AM43" s="176"/>
      <c r="AN43" s="176"/>
      <c r="AO43" s="176"/>
      <c r="AP43" s="177"/>
      <c r="AQ43" s="159"/>
      <c r="AR43" s="111"/>
      <c r="AS43" s="112"/>
      <c r="AT43" s="112"/>
      <c r="AU43" s="112"/>
      <c r="AV43" s="113"/>
    </row>
    <row r="44" spans="1:49" ht="52.8" x14ac:dyDescent="0.25">
      <c r="A44" s="168" t="s">
        <v>174</v>
      </c>
      <c r="B44" s="169">
        <f>'SRN FD'!B44</f>
        <v>0.9</v>
      </c>
      <c r="C44" s="169">
        <f>'SRN FD'!C44</f>
        <v>1.22</v>
      </c>
      <c r="D44" s="169">
        <f>'SRN FD'!D44</f>
        <v>1.22</v>
      </c>
      <c r="E44" s="169">
        <f>'SRN FD'!E44</f>
        <v>0.7</v>
      </c>
      <c r="F44" s="169">
        <f>'SRN FD'!F44</f>
        <v>0.55000000000000004</v>
      </c>
      <c r="G44" s="200">
        <f>'Water Graph data'!$L$42</f>
        <v>0.57999999999999996</v>
      </c>
      <c r="H44" s="68"/>
      <c r="I44" s="87">
        <f t="shared" si="34"/>
        <v>11.337293599905962</v>
      </c>
      <c r="J44" s="88">
        <f t="shared" si="35"/>
        <v>2.8343233999764905</v>
      </c>
      <c r="K44" s="88">
        <f t="shared" si="28"/>
        <v>2.8343233999764905</v>
      </c>
      <c r="L44" s="88">
        <f t="shared" si="28"/>
        <v>2.8343233999764905</v>
      </c>
      <c r="M44" s="172">
        <f t="shared" si="28"/>
        <v>2.8343233999764905</v>
      </c>
      <c r="N44" s="68"/>
      <c r="O44" s="91">
        <f t="shared" si="29"/>
        <v>0</v>
      </c>
      <c r="P44" s="92">
        <f t="shared" si="29"/>
        <v>-1.6250000000000002</v>
      </c>
      <c r="Q44" s="92">
        <f t="shared" si="29"/>
        <v>-2.09375</v>
      </c>
      <c r="R44" s="93">
        <f t="shared" si="29"/>
        <v>-2.0000000000000004</v>
      </c>
      <c r="S44" s="68"/>
      <c r="T44" s="94">
        <f t="shared" si="30"/>
        <v>0</v>
      </c>
      <c r="U44" s="89">
        <f t="shared" si="41"/>
        <v>-4.605775524961798</v>
      </c>
      <c r="V44" s="89">
        <f t="shared" si="31"/>
        <v>-5.9343646187007772</v>
      </c>
      <c r="W44" s="89">
        <f t="shared" si="31"/>
        <v>-5.6686467999529819</v>
      </c>
      <c r="X44" s="79">
        <f t="shared" si="32"/>
        <v>0</v>
      </c>
      <c r="Y44" s="95"/>
      <c r="Z44" s="94">
        <f t="shared" si="36"/>
        <v>0</v>
      </c>
      <c r="AA44" s="89">
        <f t="shared" si="38"/>
        <v>0</v>
      </c>
      <c r="AB44" s="89">
        <f t="shared" si="39"/>
        <v>0</v>
      </c>
      <c r="AC44" s="89">
        <f t="shared" si="40"/>
        <v>0</v>
      </c>
      <c r="AD44" s="79">
        <f t="shared" si="37"/>
        <v>0</v>
      </c>
      <c r="AE44" s="174"/>
      <c r="AF44" s="175"/>
      <c r="AG44" s="176"/>
      <c r="AH44" s="176"/>
      <c r="AI44" s="176"/>
      <c r="AJ44" s="177"/>
      <c r="AK44" s="178"/>
      <c r="AL44" s="175"/>
      <c r="AM44" s="176"/>
      <c r="AN44" s="176"/>
      <c r="AO44" s="176"/>
      <c r="AP44" s="177"/>
      <c r="AQ44" s="159"/>
      <c r="AR44" s="111"/>
      <c r="AS44" s="112"/>
      <c r="AT44" s="112"/>
      <c r="AU44" s="112"/>
      <c r="AV44" s="113"/>
    </row>
    <row r="45" spans="1:49" ht="13.8" thickBot="1" x14ac:dyDescent="0.3">
      <c r="A45" s="182" t="s">
        <v>2</v>
      </c>
      <c r="B45" s="201">
        <f>'SRN FD'!B45</f>
        <v>0.1</v>
      </c>
      <c r="C45" s="201">
        <f>'SRN FD'!C45</f>
        <v>0.18</v>
      </c>
      <c r="D45" s="201">
        <f>'SRN FD'!D45</f>
        <v>0.12</v>
      </c>
      <c r="E45" s="201">
        <f>'SRN FD'!E45</f>
        <v>0.06</v>
      </c>
      <c r="F45" s="201">
        <f>'SRN FD'!F45</f>
        <v>0.06</v>
      </c>
      <c r="G45" s="202">
        <f>'Water Graph data'!$L$50</f>
        <v>3.9999999999992042E-2</v>
      </c>
      <c r="H45" s="68"/>
      <c r="I45" s="129">
        <f t="shared" si="34"/>
        <v>11.337293599905962</v>
      </c>
      <c r="J45" s="130">
        <f t="shared" si="35"/>
        <v>2.8343233999764905</v>
      </c>
      <c r="K45" s="130">
        <f t="shared" si="28"/>
        <v>2.8343233999764905</v>
      </c>
      <c r="L45" s="130">
        <f t="shared" si="28"/>
        <v>2.8343233999764905</v>
      </c>
      <c r="M45" s="184">
        <f t="shared" si="28"/>
        <v>2.8343233999764905</v>
      </c>
      <c r="N45" s="68"/>
      <c r="O45" s="133">
        <f t="shared" si="29"/>
        <v>-0.75000000000000011</v>
      </c>
      <c r="P45" s="134">
        <f t="shared" si="29"/>
        <v>-1.5000000000000002</v>
      </c>
      <c r="Q45" s="134">
        <f t="shared" si="29"/>
        <v>-1.5000000000000002</v>
      </c>
      <c r="R45" s="135">
        <f t="shared" si="29"/>
        <v>-1.7500000000000997</v>
      </c>
      <c r="S45" s="68"/>
      <c r="T45" s="136">
        <f t="shared" si="30"/>
        <v>-2.1257425499823683</v>
      </c>
      <c r="U45" s="137">
        <f>K45*P45</f>
        <v>-4.2514850999647367</v>
      </c>
      <c r="V45" s="137">
        <f t="shared" si="31"/>
        <v>-4.2514850999647367</v>
      </c>
      <c r="W45" s="137">
        <f t="shared" si="31"/>
        <v>-4.9600659499591409</v>
      </c>
      <c r="X45" s="138">
        <f t="shared" si="32"/>
        <v>0</v>
      </c>
      <c r="Y45" s="95"/>
      <c r="Z45" s="239">
        <f t="shared" si="36"/>
        <v>0</v>
      </c>
      <c r="AA45" s="131">
        <f t="shared" si="38"/>
        <v>0</v>
      </c>
      <c r="AB45" s="131">
        <f t="shared" si="39"/>
        <v>0</v>
      </c>
      <c r="AC45" s="131">
        <f t="shared" si="40"/>
        <v>0</v>
      </c>
      <c r="AD45" s="138">
        <f t="shared" si="37"/>
        <v>0</v>
      </c>
      <c r="AE45" s="174"/>
      <c r="AF45" s="203"/>
      <c r="AG45" s="204"/>
      <c r="AH45" s="204"/>
      <c r="AI45" s="204"/>
      <c r="AJ45" s="205"/>
      <c r="AK45" s="178"/>
      <c r="AL45" s="203"/>
      <c r="AM45" s="204"/>
      <c r="AN45" s="204"/>
      <c r="AO45" s="204"/>
      <c r="AP45" s="205"/>
      <c r="AQ45" s="159"/>
      <c r="AR45" s="206"/>
      <c r="AS45" s="207"/>
      <c r="AT45" s="207"/>
      <c r="AU45" s="207"/>
      <c r="AV45" s="208"/>
    </row>
    <row r="46" spans="1:49" ht="13.8" thickBot="1" x14ac:dyDescent="0.3"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209">
        <f>SUMIF(T40:T45,"&gt;0")</f>
        <v>0</v>
      </c>
      <c r="U46" s="210">
        <f>SUMIF(U40:U45,"&gt;0")</f>
        <v>34.257373377668607</v>
      </c>
      <c r="V46" s="210">
        <f>SUMIF(V40:V45,"&gt;0")</f>
        <v>0</v>
      </c>
      <c r="W46" s="210">
        <f>SUMIF(W40:W45,"&gt;0")</f>
        <v>0</v>
      </c>
      <c r="X46" s="211">
        <f>SUM(X40:X45)</f>
        <v>34.257373377668607</v>
      </c>
      <c r="Y46" s="190"/>
      <c r="Z46" s="209">
        <f>SUMIF(Z40:Z45,"&gt;0")</f>
        <v>0</v>
      </c>
      <c r="AA46" s="210">
        <f t="shared" ref="AA46:AC46" si="42">SUMIF(AA40:AA45,"&gt;0")</f>
        <v>2.8343233999764905</v>
      </c>
      <c r="AB46" s="210">
        <f t="shared" si="42"/>
        <v>0</v>
      </c>
      <c r="AC46" s="210">
        <f t="shared" si="42"/>
        <v>0</v>
      </c>
      <c r="AD46" s="211">
        <f>SUM(AD40:AD45)</f>
        <v>2.8343233999764905</v>
      </c>
      <c r="AE46" s="174"/>
      <c r="AF46" s="263">
        <f>SUM(AF40:AF45)</f>
        <v>0</v>
      </c>
      <c r="AG46" s="264">
        <f t="shared" ref="AG46:AI46" si="43">SUM(AG40:AG45)</f>
        <v>0</v>
      </c>
      <c r="AH46" s="264">
        <f t="shared" si="43"/>
        <v>0</v>
      </c>
      <c r="AI46" s="264">
        <f t="shared" si="43"/>
        <v>0</v>
      </c>
      <c r="AJ46" s="265">
        <f>SUM(AF46:AI46)</f>
        <v>0</v>
      </c>
      <c r="AK46" s="99"/>
      <c r="AL46" s="263">
        <f>SUM(AL40:AL45)</f>
        <v>0</v>
      </c>
      <c r="AM46" s="264">
        <f t="shared" ref="AM46:AO46" si="44">SUM(AM40:AM45)</f>
        <v>0</v>
      </c>
      <c r="AN46" s="264">
        <f t="shared" si="44"/>
        <v>0</v>
      </c>
      <c r="AO46" s="264">
        <f t="shared" si="44"/>
        <v>0</v>
      </c>
      <c r="AP46" s="265">
        <f>SUM(AL46:AO46)</f>
        <v>0</v>
      </c>
      <c r="AQ46" s="99"/>
      <c r="AR46" s="266">
        <f>SUM(AR40:AR45)</f>
        <v>0</v>
      </c>
      <c r="AS46" s="267">
        <f t="shared" ref="AS46:AU46" si="45">SUM(AS40:AS45)</f>
        <v>0</v>
      </c>
      <c r="AT46" s="267">
        <f t="shared" si="45"/>
        <v>0</v>
      </c>
      <c r="AU46" s="267">
        <f t="shared" si="45"/>
        <v>0</v>
      </c>
      <c r="AV46" s="268">
        <f>SUM(AR46:AU46)</f>
        <v>0</v>
      </c>
    </row>
    <row r="47" spans="1:49" x14ac:dyDescent="0.25"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74"/>
      <c r="AF47" s="99"/>
      <c r="AG47" s="99"/>
      <c r="AH47" s="99"/>
      <c r="AI47" s="99"/>
      <c r="AJ47" s="99"/>
      <c r="AK47" s="159"/>
      <c r="AL47" s="99"/>
      <c r="AM47" s="99"/>
      <c r="AN47" s="99"/>
      <c r="AO47" s="99"/>
      <c r="AP47" s="99"/>
      <c r="AQ47" s="159"/>
    </row>
    <row r="48" spans="1:49" ht="16.2" thickBot="1" x14ac:dyDescent="0.35">
      <c r="A48" s="298" t="s">
        <v>175</v>
      </c>
      <c r="B48" s="299"/>
      <c r="C48" s="299"/>
      <c r="D48" s="299"/>
      <c r="E48" s="299"/>
      <c r="F48" s="299"/>
      <c r="G48" s="299"/>
      <c r="H48" s="299"/>
      <c r="I48" s="299"/>
      <c r="J48" s="299"/>
      <c r="K48" s="299"/>
      <c r="L48" s="299"/>
      <c r="M48" s="299"/>
      <c r="N48" s="299"/>
      <c r="O48" s="299"/>
      <c r="P48" s="299"/>
      <c r="Q48" s="299"/>
      <c r="R48" s="299"/>
      <c r="S48" s="299"/>
      <c r="T48" s="299"/>
      <c r="U48" s="299"/>
      <c r="V48" s="299"/>
      <c r="W48" s="299"/>
      <c r="X48" s="299"/>
      <c r="Y48" s="299"/>
      <c r="Z48" s="299"/>
      <c r="AA48" s="299"/>
      <c r="AB48" s="299"/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299"/>
      <c r="AP48" s="299"/>
      <c r="AQ48" s="191"/>
      <c r="AR48" s="54"/>
      <c r="AS48" s="54"/>
      <c r="AT48" s="54"/>
      <c r="AU48" s="54"/>
      <c r="AV48" s="54"/>
    </row>
    <row r="49" spans="1:48" ht="13.8" thickBot="1" x14ac:dyDescent="0.3">
      <c r="A49" s="300" t="s">
        <v>129</v>
      </c>
      <c r="B49" s="301"/>
      <c r="C49" s="301"/>
      <c r="D49" s="302"/>
      <c r="E49" s="303" t="s">
        <v>130</v>
      </c>
      <c r="F49" s="305" t="s">
        <v>131</v>
      </c>
      <c r="G49" s="306"/>
      <c r="H49" s="66"/>
      <c r="I49" s="66"/>
      <c r="J49" s="307"/>
      <c r="K49" s="308"/>
      <c r="L49" s="157"/>
      <c r="M49" s="157"/>
      <c r="N49" s="68"/>
      <c r="O49" s="68"/>
      <c r="P49" s="68"/>
      <c r="Q49" s="68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</row>
    <row r="50" spans="1:48" ht="40.200000000000003" thickBot="1" x14ac:dyDescent="0.3">
      <c r="A50" s="55" t="s">
        <v>132</v>
      </c>
      <c r="B50" s="56" t="s">
        <v>133</v>
      </c>
      <c r="C50" s="56" t="s">
        <v>134</v>
      </c>
      <c r="D50" s="56" t="s">
        <v>135</v>
      </c>
      <c r="E50" s="304"/>
      <c r="F50" s="56" t="s">
        <v>136</v>
      </c>
      <c r="G50" s="59" t="s">
        <v>137</v>
      </c>
      <c r="H50" s="66"/>
      <c r="I50" s="66"/>
      <c r="J50" s="160"/>
      <c r="K50" s="160"/>
      <c r="L50" s="159"/>
      <c r="M50" s="95"/>
      <c r="N50" s="68"/>
      <c r="O50" s="68"/>
      <c r="P50" s="68"/>
      <c r="Q50" s="68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</row>
    <row r="51" spans="1:48" ht="13.8" thickBot="1" x14ac:dyDescent="0.3">
      <c r="A51" s="61">
        <f>'SRN FD'!A51</f>
        <v>146.74135971285273</v>
      </c>
      <c r="B51" s="62">
        <f>'SRN FD'!B51</f>
        <v>0.25</v>
      </c>
      <c r="C51" s="62">
        <f>A51-B51</f>
        <v>146.49135971285273</v>
      </c>
      <c r="D51" s="62">
        <f>'SRN FD'!D51</f>
        <v>149.51858457664031</v>
      </c>
      <c r="E51" s="62">
        <f>D51*0.5</f>
        <v>74.759292288320154</v>
      </c>
      <c r="F51" s="64">
        <f>'SRN FD'!F51</f>
        <v>111.30000000000001</v>
      </c>
      <c r="G51" s="65">
        <f>'SRN FD'!G51</f>
        <v>113.6</v>
      </c>
      <c r="H51" s="66"/>
      <c r="I51" s="66"/>
      <c r="J51" s="159"/>
      <c r="K51" s="159"/>
      <c r="L51" s="95"/>
      <c r="M51" s="68"/>
      <c r="N51" s="68"/>
      <c r="O51" s="68"/>
      <c r="P51" s="68"/>
      <c r="Q51" s="68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</row>
    <row r="52" spans="1:48" ht="13.8" thickBot="1" x14ac:dyDescent="0.3">
      <c r="A52" s="192"/>
      <c r="B52" s="66"/>
      <c r="C52" s="66"/>
      <c r="D52" s="66"/>
      <c r="E52" s="66"/>
      <c r="F52" s="66"/>
      <c r="G52" s="66"/>
      <c r="H52" s="66"/>
      <c r="I52" s="193"/>
      <c r="J52" s="66"/>
      <c r="K52" s="66"/>
      <c r="L52" s="66"/>
      <c r="M52" s="66"/>
      <c r="N52" s="66"/>
      <c r="O52" s="296"/>
      <c r="P52" s="296"/>
      <c r="Q52" s="296"/>
      <c r="R52" s="296"/>
      <c r="S52" s="66"/>
      <c r="T52" s="297"/>
      <c r="U52" s="297"/>
      <c r="V52" s="297"/>
      <c r="W52" s="297"/>
      <c r="X52" s="297"/>
      <c r="Y52" s="194"/>
      <c r="Z52" s="194"/>
      <c r="AA52" s="194"/>
      <c r="AB52" s="194"/>
      <c r="AC52" s="194"/>
      <c r="AD52" s="194"/>
    </row>
    <row r="53" spans="1:48" ht="78" customHeight="1" thickBot="1" x14ac:dyDescent="0.3">
      <c r="A53" s="287" t="s">
        <v>138</v>
      </c>
      <c r="B53" s="288"/>
      <c r="C53" s="288"/>
      <c r="D53" s="288"/>
      <c r="E53" s="288"/>
      <c r="F53" s="288"/>
      <c r="G53" s="289"/>
      <c r="H53" s="66"/>
      <c r="I53" s="290" t="s">
        <v>139</v>
      </c>
      <c r="J53" s="291"/>
      <c r="K53" s="291"/>
      <c r="L53" s="291"/>
      <c r="M53" s="292"/>
      <c r="N53" s="66"/>
      <c r="O53" s="277" t="s">
        <v>140</v>
      </c>
      <c r="P53" s="278"/>
      <c r="Q53" s="278"/>
      <c r="R53" s="279"/>
      <c r="S53" s="66"/>
      <c r="T53" s="277" t="s">
        <v>141</v>
      </c>
      <c r="U53" s="278"/>
      <c r="V53" s="278"/>
      <c r="W53" s="278"/>
      <c r="X53" s="279"/>
      <c r="Y53" s="66"/>
      <c r="Z53" s="277" t="s">
        <v>142</v>
      </c>
      <c r="AA53" s="278"/>
      <c r="AB53" s="278"/>
      <c r="AC53" s="278"/>
      <c r="AD53" s="279"/>
      <c r="AF53" s="277" t="s">
        <v>165</v>
      </c>
      <c r="AG53" s="278"/>
      <c r="AH53" s="278"/>
      <c r="AI53" s="278"/>
      <c r="AJ53" s="279"/>
      <c r="AK53" s="67"/>
      <c r="AL53" s="277" t="s">
        <v>144</v>
      </c>
      <c r="AM53" s="278"/>
      <c r="AN53" s="278"/>
      <c r="AO53" s="278"/>
      <c r="AP53" s="279"/>
      <c r="AQ53" s="67"/>
      <c r="AR53" s="277" t="s">
        <v>145</v>
      </c>
      <c r="AS53" s="278"/>
      <c r="AT53" s="278"/>
      <c r="AU53" s="278"/>
      <c r="AV53" s="279"/>
    </row>
    <row r="54" spans="1:48" ht="13.8" thickBot="1" x14ac:dyDescent="0.3">
      <c r="A54" s="283"/>
      <c r="B54" s="284"/>
      <c r="C54" s="284"/>
      <c r="D54" s="285" t="s">
        <v>146</v>
      </c>
      <c r="E54" s="285"/>
      <c r="F54" s="285"/>
      <c r="G54" s="286"/>
      <c r="H54" s="68"/>
      <c r="I54" s="162"/>
      <c r="J54" s="163" t="s">
        <v>147</v>
      </c>
      <c r="K54" s="164" t="s">
        <v>148</v>
      </c>
      <c r="L54" s="164" t="s">
        <v>149</v>
      </c>
      <c r="M54" s="165" t="s">
        <v>150</v>
      </c>
      <c r="N54" s="68"/>
      <c r="O54" s="280"/>
      <c r="P54" s="281"/>
      <c r="Q54" s="281"/>
      <c r="R54" s="282"/>
      <c r="S54" s="68"/>
      <c r="T54" s="280"/>
      <c r="U54" s="281"/>
      <c r="V54" s="281"/>
      <c r="W54" s="281"/>
      <c r="X54" s="282"/>
      <c r="Y54" s="81"/>
      <c r="Z54" s="293"/>
      <c r="AA54" s="294"/>
      <c r="AB54" s="294"/>
      <c r="AC54" s="294"/>
      <c r="AD54" s="295"/>
      <c r="AF54" s="280"/>
      <c r="AG54" s="281"/>
      <c r="AH54" s="281"/>
      <c r="AI54" s="281"/>
      <c r="AJ54" s="282"/>
      <c r="AK54" s="81"/>
      <c r="AL54" s="280"/>
      <c r="AM54" s="281"/>
      <c r="AN54" s="281"/>
      <c r="AO54" s="281"/>
      <c r="AP54" s="282"/>
      <c r="AQ54" s="81"/>
      <c r="AR54" s="280"/>
      <c r="AS54" s="281"/>
      <c r="AT54" s="281"/>
      <c r="AU54" s="281"/>
      <c r="AV54" s="282"/>
    </row>
    <row r="55" spans="1:48" ht="26.4" x14ac:dyDescent="0.25">
      <c r="A55" s="73" t="s">
        <v>151</v>
      </c>
      <c r="B55" s="74" t="s">
        <v>152</v>
      </c>
      <c r="C55" s="74" t="s">
        <v>153</v>
      </c>
      <c r="D55" s="75" t="s">
        <v>147</v>
      </c>
      <c r="E55" s="74" t="s">
        <v>148</v>
      </c>
      <c r="F55" s="74" t="s">
        <v>149</v>
      </c>
      <c r="G55" s="76" t="s">
        <v>150</v>
      </c>
      <c r="H55" s="68"/>
      <c r="I55" s="77" t="s">
        <v>154</v>
      </c>
      <c r="J55" s="78">
        <f>$E$51/4</f>
        <v>18.689823072080038</v>
      </c>
      <c r="K55" s="78">
        <f t="shared" ref="K55:M55" si="46">$E$51/4</f>
        <v>18.689823072080038</v>
      </c>
      <c r="L55" s="78">
        <f t="shared" si="46"/>
        <v>18.689823072080038</v>
      </c>
      <c r="M55" s="79">
        <f t="shared" si="46"/>
        <v>18.689823072080038</v>
      </c>
      <c r="N55" s="68"/>
      <c r="O55" s="166" t="s">
        <v>147</v>
      </c>
      <c r="P55" s="164" t="s">
        <v>148</v>
      </c>
      <c r="Q55" s="164" t="s">
        <v>149</v>
      </c>
      <c r="R55" s="165" t="s">
        <v>150</v>
      </c>
      <c r="S55" s="68"/>
      <c r="T55" s="166" t="s">
        <v>147</v>
      </c>
      <c r="U55" s="164" t="s">
        <v>148</v>
      </c>
      <c r="V55" s="164" t="s">
        <v>149</v>
      </c>
      <c r="W55" s="164" t="s">
        <v>150</v>
      </c>
      <c r="X55" s="273" t="s">
        <v>155</v>
      </c>
      <c r="Y55" s="68"/>
      <c r="Z55" s="166" t="s">
        <v>147</v>
      </c>
      <c r="AA55" s="164" t="s">
        <v>148</v>
      </c>
      <c r="AB55" s="164" t="s">
        <v>149</v>
      </c>
      <c r="AC55" s="164" t="s">
        <v>150</v>
      </c>
      <c r="AD55" s="165" t="s">
        <v>155</v>
      </c>
      <c r="AF55" s="166" t="s">
        <v>147</v>
      </c>
      <c r="AG55" s="164" t="s">
        <v>148</v>
      </c>
      <c r="AH55" s="164" t="s">
        <v>149</v>
      </c>
      <c r="AI55" s="164" t="s">
        <v>150</v>
      </c>
      <c r="AJ55" s="165" t="s">
        <v>155</v>
      </c>
      <c r="AK55" s="68"/>
      <c r="AL55" s="166" t="s">
        <v>147</v>
      </c>
      <c r="AM55" s="164" t="s">
        <v>148</v>
      </c>
      <c r="AN55" s="164" t="s">
        <v>149</v>
      </c>
      <c r="AO55" s="164" t="s">
        <v>150</v>
      </c>
      <c r="AP55" s="165" t="s">
        <v>155</v>
      </c>
      <c r="AQ55" s="68"/>
      <c r="AR55" s="166" t="s">
        <v>147</v>
      </c>
      <c r="AS55" s="164" t="s">
        <v>148</v>
      </c>
      <c r="AT55" s="164" t="s">
        <v>149</v>
      </c>
      <c r="AU55" s="164" t="s">
        <v>150</v>
      </c>
      <c r="AV55" s="165" t="s">
        <v>155</v>
      </c>
    </row>
    <row r="56" spans="1:48" ht="39.6" x14ac:dyDescent="0.25">
      <c r="A56" s="168" t="s">
        <v>176</v>
      </c>
      <c r="B56" s="169">
        <f>'SRN FD'!B56</f>
        <v>0.04</v>
      </c>
      <c r="C56" s="169">
        <f>'SRN FD'!C56</f>
        <v>0.08</v>
      </c>
      <c r="D56" s="169">
        <f>'SRN FD'!D56</f>
        <v>0.06</v>
      </c>
      <c r="E56" s="169">
        <f>'SRN FD'!E56</f>
        <v>0.02</v>
      </c>
      <c r="F56" s="169">
        <f>'SRN FD'!F56</f>
        <v>0</v>
      </c>
      <c r="G56" s="200">
        <f>'Water Graph data'!$S$9</f>
        <v>0.04</v>
      </c>
      <c r="H56" s="68"/>
      <c r="I56" s="87">
        <f>$E$51/5</f>
        <v>14.951858457664031</v>
      </c>
      <c r="J56" s="88">
        <f>J$55/5</f>
        <v>3.7379646144160077</v>
      </c>
      <c r="K56" s="88">
        <f t="shared" ref="K56:M60" si="47">K$55/5</f>
        <v>3.7379646144160077</v>
      </c>
      <c r="L56" s="88">
        <f t="shared" si="47"/>
        <v>3.7379646144160077</v>
      </c>
      <c r="M56" s="172">
        <f t="shared" si="47"/>
        <v>3.7379646144160077</v>
      </c>
      <c r="N56" s="68"/>
      <c r="O56" s="91">
        <f>((D56-$C56)/($C56-$B56))</f>
        <v>-0.50000000000000011</v>
      </c>
      <c r="P56" s="92">
        <f>((E56-$C56)/($C56-$B56))</f>
        <v>-1.5</v>
      </c>
      <c r="Q56" s="92">
        <f>((F56-$C56)/($C56-$B56))</f>
        <v>-2</v>
      </c>
      <c r="R56" s="93">
        <f>((G56-$C56)/($C56-$B56))</f>
        <v>-1</v>
      </c>
      <c r="S56" s="68"/>
      <c r="T56" s="94">
        <f>J56*O56</f>
        <v>-1.8689823072080043</v>
      </c>
      <c r="U56" s="89">
        <f t="shared" ref="U56:W60" si="48">K56*P56</f>
        <v>-5.6069469216240115</v>
      </c>
      <c r="V56" s="89">
        <f t="shared" si="48"/>
        <v>-7.4759292288320154</v>
      </c>
      <c r="W56" s="89">
        <f t="shared" si="48"/>
        <v>-3.7379646144160077</v>
      </c>
      <c r="X56" s="79">
        <f>SUMIF(T56:W56,"&gt;0")</f>
        <v>0</v>
      </c>
      <c r="Y56" s="95"/>
      <c r="Z56" s="94">
        <f>IF(T56&gt;0,T56,0)</f>
        <v>0</v>
      </c>
      <c r="AA56" s="89">
        <f t="shared" ref="AA56:AC60" si="49">IF(U56&gt;0,U56,0)</f>
        <v>0</v>
      </c>
      <c r="AB56" s="89">
        <f t="shared" si="49"/>
        <v>0</v>
      </c>
      <c r="AC56" s="89">
        <f t="shared" si="49"/>
        <v>0</v>
      </c>
      <c r="AD56" s="79">
        <f>SUMIF(Z56:AC56,"&gt;0")</f>
        <v>0</v>
      </c>
      <c r="AF56" s="274"/>
      <c r="AG56" s="275"/>
      <c r="AH56" s="275"/>
      <c r="AI56" s="275"/>
      <c r="AJ56" s="276"/>
      <c r="AK56" s="178"/>
      <c r="AL56" s="274"/>
      <c r="AM56" s="275"/>
      <c r="AN56" s="275"/>
      <c r="AO56" s="275"/>
      <c r="AP56" s="276"/>
      <c r="AQ56" s="159"/>
      <c r="AR56" s="111"/>
      <c r="AS56" s="112"/>
      <c r="AT56" s="112"/>
      <c r="AU56" s="112"/>
      <c r="AV56" s="124"/>
    </row>
    <row r="57" spans="1:48" ht="52.8" x14ac:dyDescent="0.25">
      <c r="A57" s="168" t="s">
        <v>177</v>
      </c>
      <c r="B57" s="169">
        <f>'SRN FD'!B57</f>
        <v>0</v>
      </c>
      <c r="C57" s="169">
        <f>'SRN FD'!C57</f>
        <v>1</v>
      </c>
      <c r="D57" s="169">
        <f>'SRN FD'!D57</f>
        <v>0</v>
      </c>
      <c r="E57" s="169">
        <f>'SRN FD'!E57</f>
        <v>0</v>
      </c>
      <c r="F57" s="169">
        <f>'SRN FD'!F57</f>
        <v>0.49</v>
      </c>
      <c r="G57" s="200">
        <f>'Water Graph data'!$S$17</f>
        <v>0</v>
      </c>
      <c r="H57" s="68"/>
      <c r="I57" s="87">
        <f t="shared" ref="I57:I60" si="50">$E$51/5</f>
        <v>14.951858457664031</v>
      </c>
      <c r="J57" s="88">
        <f t="shared" ref="J57:J60" si="51">J$55/5</f>
        <v>3.7379646144160077</v>
      </c>
      <c r="K57" s="88">
        <f t="shared" si="47"/>
        <v>3.7379646144160077</v>
      </c>
      <c r="L57" s="88">
        <f t="shared" si="47"/>
        <v>3.7379646144160077</v>
      </c>
      <c r="M57" s="172">
        <f t="shared" si="47"/>
        <v>3.7379646144160077</v>
      </c>
      <c r="N57" s="68"/>
      <c r="O57" s="91">
        <f t="shared" ref="O57:R60" si="52">((D57-$C57)/($C57-$B57))</f>
        <v>-1</v>
      </c>
      <c r="P57" s="92">
        <f t="shared" si="52"/>
        <v>-1</v>
      </c>
      <c r="Q57" s="92">
        <f t="shared" si="52"/>
        <v>-0.51</v>
      </c>
      <c r="R57" s="93">
        <f t="shared" si="52"/>
        <v>-1</v>
      </c>
      <c r="S57" s="68"/>
      <c r="T57" s="94">
        <f>J57*O57</f>
        <v>-3.7379646144160077</v>
      </c>
      <c r="U57" s="89">
        <f t="shared" si="48"/>
        <v>-3.7379646144160077</v>
      </c>
      <c r="V57" s="89">
        <f t="shared" si="48"/>
        <v>-1.9063619533521639</v>
      </c>
      <c r="W57" s="89">
        <f t="shared" si="48"/>
        <v>-3.7379646144160077</v>
      </c>
      <c r="X57" s="79">
        <f>SUMIF(T57:W57,"&gt;0")</f>
        <v>0</v>
      </c>
      <c r="Y57" s="95"/>
      <c r="Z57" s="94">
        <f t="shared" ref="Z57:Z60" si="53">IF(T57&gt;0,T57,0)</f>
        <v>0</v>
      </c>
      <c r="AA57" s="89">
        <f t="shared" si="49"/>
        <v>0</v>
      </c>
      <c r="AB57" s="89">
        <f t="shared" si="49"/>
        <v>0</v>
      </c>
      <c r="AC57" s="89">
        <f t="shared" si="49"/>
        <v>0</v>
      </c>
      <c r="AD57" s="79">
        <f t="shared" ref="AD57:AD60" si="54">SUMIF(Z57:AC57,"&gt;0")</f>
        <v>0</v>
      </c>
      <c r="AF57" s="175"/>
      <c r="AG57" s="176"/>
      <c r="AH57" s="176"/>
      <c r="AI57" s="176"/>
      <c r="AJ57" s="117"/>
      <c r="AK57" s="178"/>
      <c r="AL57" s="175"/>
      <c r="AM57" s="176"/>
      <c r="AN57" s="176"/>
      <c r="AO57" s="176"/>
      <c r="AP57" s="117"/>
      <c r="AQ57" s="159"/>
      <c r="AR57" s="111"/>
      <c r="AS57" s="112"/>
      <c r="AT57" s="112"/>
      <c r="AU57" s="112"/>
      <c r="AV57" s="124"/>
    </row>
    <row r="58" spans="1:48" ht="39.6" x14ac:dyDescent="0.25">
      <c r="A58" s="168" t="s">
        <v>178</v>
      </c>
      <c r="B58" s="85">
        <f>'SRN FD'!B58</f>
        <v>2</v>
      </c>
      <c r="C58" s="85">
        <f>'SRN FD'!C58</f>
        <v>6</v>
      </c>
      <c r="D58" s="85">
        <f>'SRN FD'!D58</f>
        <v>0</v>
      </c>
      <c r="E58" s="85">
        <f>'SRN FD'!E58</f>
        <v>0</v>
      </c>
      <c r="F58" s="85">
        <f>'SRN FD'!F58</f>
        <v>0</v>
      </c>
      <c r="G58" s="86">
        <f>'Water Graph data'!$S$25</f>
        <v>0</v>
      </c>
      <c r="H58" s="68"/>
      <c r="I58" s="87">
        <f t="shared" si="50"/>
        <v>14.951858457664031</v>
      </c>
      <c r="J58" s="88">
        <f t="shared" si="51"/>
        <v>3.7379646144160077</v>
      </c>
      <c r="K58" s="88">
        <f t="shared" si="47"/>
        <v>3.7379646144160077</v>
      </c>
      <c r="L58" s="88">
        <f t="shared" si="47"/>
        <v>3.7379646144160077</v>
      </c>
      <c r="M58" s="172">
        <f t="shared" si="47"/>
        <v>3.7379646144160077</v>
      </c>
      <c r="N58" s="68"/>
      <c r="O58" s="91">
        <f t="shared" si="52"/>
        <v>-1.5</v>
      </c>
      <c r="P58" s="92">
        <f t="shared" si="52"/>
        <v>-1.5</v>
      </c>
      <c r="Q58" s="92">
        <f t="shared" si="52"/>
        <v>-1.5</v>
      </c>
      <c r="R58" s="93">
        <f t="shared" si="52"/>
        <v>-1.5</v>
      </c>
      <c r="S58" s="68"/>
      <c r="T58" s="94">
        <f>J58*O58</f>
        <v>-5.6069469216240115</v>
      </c>
      <c r="U58" s="89">
        <f>K58*P58</f>
        <v>-5.6069469216240115</v>
      </c>
      <c r="V58" s="89">
        <f t="shared" si="48"/>
        <v>-5.6069469216240115</v>
      </c>
      <c r="W58" s="89">
        <f t="shared" si="48"/>
        <v>-5.6069469216240115</v>
      </c>
      <c r="X58" s="79">
        <f>SUMIF(T58:W58,"&gt;0")</f>
        <v>0</v>
      </c>
      <c r="Y58" s="95"/>
      <c r="Z58" s="94">
        <f t="shared" si="53"/>
        <v>0</v>
      </c>
      <c r="AA58" s="89">
        <f t="shared" si="49"/>
        <v>0</v>
      </c>
      <c r="AB58" s="89">
        <f t="shared" si="49"/>
        <v>0</v>
      </c>
      <c r="AC58" s="89">
        <f t="shared" si="49"/>
        <v>0</v>
      </c>
      <c r="AD58" s="79">
        <f t="shared" si="54"/>
        <v>0</v>
      </c>
      <c r="AF58" s="175"/>
      <c r="AG58" s="176"/>
      <c r="AH58" s="176"/>
      <c r="AI58" s="176"/>
      <c r="AJ58" s="117"/>
      <c r="AK58" s="178"/>
      <c r="AL58" s="175"/>
      <c r="AM58" s="176"/>
      <c r="AN58" s="176"/>
      <c r="AO58" s="176"/>
      <c r="AP58" s="117"/>
      <c r="AQ58" s="159"/>
      <c r="AR58" s="111"/>
      <c r="AS58" s="112"/>
      <c r="AT58" s="112"/>
      <c r="AU58" s="112"/>
      <c r="AV58" s="124"/>
    </row>
    <row r="59" spans="1:48" ht="26.4" x14ac:dyDescent="0.25">
      <c r="A59" s="168" t="s">
        <v>3</v>
      </c>
      <c r="B59" s="85">
        <f>'SRN FD'!B59</f>
        <v>0</v>
      </c>
      <c r="C59" s="85">
        <f>'SRN FD'!C59</f>
        <v>1</v>
      </c>
      <c r="D59" s="85">
        <f>'SRN FD'!D59</f>
        <v>0</v>
      </c>
      <c r="E59" s="85">
        <f>'SRN FD'!E59</f>
        <v>0</v>
      </c>
      <c r="F59" s="85">
        <f>'SRN FD'!F59</f>
        <v>0</v>
      </c>
      <c r="G59" s="86">
        <f>'Water Graph data'!$S$33</f>
        <v>0</v>
      </c>
      <c r="H59" s="68"/>
      <c r="I59" s="87">
        <f t="shared" si="50"/>
        <v>14.951858457664031</v>
      </c>
      <c r="J59" s="88">
        <f t="shared" si="51"/>
        <v>3.7379646144160077</v>
      </c>
      <c r="K59" s="88">
        <f t="shared" si="47"/>
        <v>3.7379646144160077</v>
      </c>
      <c r="L59" s="88">
        <f t="shared" si="47"/>
        <v>3.7379646144160077</v>
      </c>
      <c r="M59" s="172">
        <f t="shared" si="47"/>
        <v>3.7379646144160077</v>
      </c>
      <c r="N59" s="68"/>
      <c r="O59" s="91">
        <f t="shared" si="52"/>
        <v>-1</v>
      </c>
      <c r="P59" s="92">
        <f t="shared" si="52"/>
        <v>-1</v>
      </c>
      <c r="Q59" s="92">
        <f t="shared" si="52"/>
        <v>-1</v>
      </c>
      <c r="R59" s="93">
        <f t="shared" si="52"/>
        <v>-1</v>
      </c>
      <c r="S59" s="68"/>
      <c r="T59" s="94">
        <f>J59*O59</f>
        <v>-3.7379646144160077</v>
      </c>
      <c r="U59" s="89">
        <f t="shared" ref="U59:U60" si="55">K59*P59</f>
        <v>-3.7379646144160077</v>
      </c>
      <c r="V59" s="89">
        <f t="shared" si="48"/>
        <v>-3.7379646144160077</v>
      </c>
      <c r="W59" s="89">
        <f t="shared" si="48"/>
        <v>-3.7379646144160077</v>
      </c>
      <c r="X59" s="79">
        <f>SUMIF(T59:W59,"&gt;0")</f>
        <v>0</v>
      </c>
      <c r="Y59" s="95"/>
      <c r="Z59" s="94">
        <f t="shared" si="53"/>
        <v>0</v>
      </c>
      <c r="AA59" s="89">
        <f t="shared" si="49"/>
        <v>0</v>
      </c>
      <c r="AB59" s="89">
        <f t="shared" si="49"/>
        <v>0</v>
      </c>
      <c r="AC59" s="89">
        <f t="shared" si="49"/>
        <v>0</v>
      </c>
      <c r="AD59" s="79">
        <f t="shared" si="54"/>
        <v>0</v>
      </c>
      <c r="AF59" s="175"/>
      <c r="AG59" s="176"/>
      <c r="AH59" s="176"/>
      <c r="AI59" s="176"/>
      <c r="AJ59" s="117"/>
      <c r="AK59" s="178"/>
      <c r="AL59" s="175"/>
      <c r="AM59" s="176"/>
      <c r="AN59" s="176"/>
      <c r="AO59" s="176"/>
      <c r="AP59" s="117"/>
      <c r="AQ59" s="159"/>
      <c r="AR59" s="111"/>
      <c r="AS59" s="112"/>
      <c r="AT59" s="112"/>
      <c r="AU59" s="112"/>
      <c r="AV59" s="124"/>
    </row>
    <row r="60" spans="1:48" ht="27" thickBot="1" x14ac:dyDescent="0.3">
      <c r="A60" s="182" t="s">
        <v>168</v>
      </c>
      <c r="B60" s="128">
        <f>'SRN FD'!B60</f>
        <v>10786</v>
      </c>
      <c r="C60" s="128">
        <f>'SRN FD'!C60</f>
        <v>12217</v>
      </c>
      <c r="D60" s="128">
        <f>'SRN FD'!D60</f>
        <v>9705</v>
      </c>
      <c r="E60" s="128">
        <f>'SRN FD'!E60</f>
        <v>10766</v>
      </c>
      <c r="F60" s="128">
        <f>'SRN FD'!F60</f>
        <v>9959</v>
      </c>
      <c r="G60" s="183">
        <f>'Water Graph data'!$S$42</f>
        <v>9150</v>
      </c>
      <c r="H60" s="68"/>
      <c r="I60" s="129">
        <f t="shared" si="50"/>
        <v>14.951858457664031</v>
      </c>
      <c r="J60" s="130">
        <f t="shared" si="51"/>
        <v>3.7379646144160077</v>
      </c>
      <c r="K60" s="130">
        <f t="shared" si="47"/>
        <v>3.7379646144160077</v>
      </c>
      <c r="L60" s="130">
        <f t="shared" si="47"/>
        <v>3.7379646144160077</v>
      </c>
      <c r="M60" s="184">
        <f t="shared" si="47"/>
        <v>3.7379646144160077</v>
      </c>
      <c r="N60" s="68"/>
      <c r="O60" s="133">
        <f>((D60-$C60)/($C60-$B60))</f>
        <v>-1.7554157931516423</v>
      </c>
      <c r="P60" s="134">
        <f t="shared" si="52"/>
        <v>-1.0139762403913348</v>
      </c>
      <c r="Q60" s="134">
        <f>((F60-$C60)/($C60-$B60))</f>
        <v>-1.5779175401816912</v>
      </c>
      <c r="R60" s="135">
        <f>((G60-$C60)/($C60-$B60))</f>
        <v>-2.1432564640111811</v>
      </c>
      <c r="S60" s="68"/>
      <c r="T60" s="136">
        <f>J60*O60</f>
        <v>-6.5616821183878491</v>
      </c>
      <c r="U60" s="137">
        <f t="shared" si="55"/>
        <v>-3.7902073064413888</v>
      </c>
      <c r="V60" s="137">
        <f t="shared" si="48"/>
        <v>-5.8981999296655108</v>
      </c>
      <c r="W60" s="137">
        <f t="shared" si="48"/>
        <v>-8.0114168220921709</v>
      </c>
      <c r="X60" s="138">
        <f>SUMIF(T60:W60,"&gt;0")</f>
        <v>0</v>
      </c>
      <c r="Y60" s="95"/>
      <c r="Z60" s="239">
        <f t="shared" si="53"/>
        <v>0</v>
      </c>
      <c r="AA60" s="131">
        <f t="shared" si="49"/>
        <v>0</v>
      </c>
      <c r="AB60" s="131">
        <f t="shared" si="49"/>
        <v>0</v>
      </c>
      <c r="AC60" s="131">
        <f t="shared" si="49"/>
        <v>0</v>
      </c>
      <c r="AD60" s="79">
        <f t="shared" si="54"/>
        <v>0</v>
      </c>
      <c r="AF60" s="203"/>
      <c r="AG60" s="204"/>
      <c r="AH60" s="204"/>
      <c r="AI60" s="204"/>
      <c r="AJ60" s="142"/>
      <c r="AK60" s="178"/>
      <c r="AL60" s="203"/>
      <c r="AM60" s="204"/>
      <c r="AN60" s="204"/>
      <c r="AO60" s="204"/>
      <c r="AP60" s="142"/>
      <c r="AQ60" s="159"/>
      <c r="AR60" s="224"/>
      <c r="AS60" s="225"/>
      <c r="AT60" s="225"/>
      <c r="AU60" s="225"/>
      <c r="AV60" s="226"/>
    </row>
    <row r="61" spans="1:48" ht="13.8" thickBot="1" x14ac:dyDescent="0.3">
      <c r="A61" s="66"/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209">
        <f>SUMIF(T56:T60,"&gt;0")</f>
        <v>0</v>
      </c>
      <c r="U61" s="210">
        <f>SUMIF(U56:U60,"&gt;0")</f>
        <v>0</v>
      </c>
      <c r="V61" s="210">
        <f>SUMIF(V56:V60,"&gt;0")</f>
        <v>0</v>
      </c>
      <c r="W61" s="210">
        <f>SUMIF(W56:W60,"&gt;0")</f>
        <v>0</v>
      </c>
      <c r="X61" s="211">
        <f>SUM(X56:X60)</f>
        <v>0</v>
      </c>
      <c r="Y61" s="66"/>
      <c r="Z61" s="209">
        <f>SUMIF(Z56:Z60,"&gt;0")</f>
        <v>0</v>
      </c>
      <c r="AA61" s="210">
        <f t="shared" ref="AA61:AC61" si="56">SUMIF(AA56:AA60,"&gt;0")</f>
        <v>0</v>
      </c>
      <c r="AB61" s="210">
        <f t="shared" si="56"/>
        <v>0</v>
      </c>
      <c r="AC61" s="210">
        <f t="shared" si="56"/>
        <v>0</v>
      </c>
      <c r="AD61" s="211">
        <f>SUM(AD56:AD60)</f>
        <v>0</v>
      </c>
      <c r="AF61" s="263">
        <f>SUM(AF56:AF60)</f>
        <v>0</v>
      </c>
      <c r="AG61" s="264">
        <f t="shared" ref="AG61:AJ61" si="57">SUM(AG56:AG60)</f>
        <v>0</v>
      </c>
      <c r="AH61" s="264">
        <f t="shared" si="57"/>
        <v>0</v>
      </c>
      <c r="AI61" s="264">
        <f t="shared" si="57"/>
        <v>0</v>
      </c>
      <c r="AJ61" s="265">
        <f t="shared" si="57"/>
        <v>0</v>
      </c>
      <c r="AK61" s="99"/>
      <c r="AL61" s="263">
        <f>SUM(AL56:AL60)</f>
        <v>0</v>
      </c>
      <c r="AM61" s="264">
        <f t="shared" ref="AM61:AP61" si="58">SUM(AM56:AM60)</f>
        <v>0</v>
      </c>
      <c r="AN61" s="264">
        <f t="shared" si="58"/>
        <v>0</v>
      </c>
      <c r="AO61" s="264">
        <f t="shared" si="58"/>
        <v>0</v>
      </c>
      <c r="AP61" s="265">
        <f t="shared" si="58"/>
        <v>0</v>
      </c>
      <c r="AQ61" s="99"/>
      <c r="AR61" s="266">
        <f>SUM(AR56:AR60)</f>
        <v>0</v>
      </c>
      <c r="AS61" s="267">
        <f t="shared" ref="AS61:AV61" si="59">SUM(AS56:AS60)</f>
        <v>0</v>
      </c>
      <c r="AT61" s="267">
        <f t="shared" si="59"/>
        <v>0</v>
      </c>
      <c r="AU61" s="267">
        <f t="shared" si="59"/>
        <v>0</v>
      </c>
      <c r="AV61" s="257">
        <f t="shared" si="59"/>
        <v>0</v>
      </c>
    </row>
    <row r="62" spans="1:48" x14ac:dyDescent="0.25">
      <c r="A62" s="229" t="s">
        <v>179</v>
      </c>
      <c r="B62" s="125" t="s">
        <v>180</v>
      </c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</row>
    <row r="63" spans="1:48" x14ac:dyDescent="0.25">
      <c r="A63" s="229" t="s">
        <v>181</v>
      </c>
      <c r="B63" s="230">
        <v>42437</v>
      </c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</row>
    <row r="64" spans="1:48" x14ac:dyDescent="0.25">
      <c r="A64" s="229" t="s">
        <v>182</v>
      </c>
      <c r="B64" s="125" t="s">
        <v>180</v>
      </c>
    </row>
    <row r="65" spans="1:5" x14ac:dyDescent="0.25">
      <c r="A65" s="229" t="s">
        <v>190</v>
      </c>
      <c r="B65" s="230">
        <v>42485</v>
      </c>
    </row>
    <row r="66" spans="1:5" x14ac:dyDescent="0.25">
      <c r="A66" s="229" t="s">
        <v>184</v>
      </c>
      <c r="B66" s="125" t="s">
        <v>180</v>
      </c>
    </row>
    <row r="67" spans="1:5" x14ac:dyDescent="0.25">
      <c r="A67" s="229" t="s">
        <v>211</v>
      </c>
      <c r="B67" s="230">
        <v>42514</v>
      </c>
    </row>
    <row r="69" spans="1:5" x14ac:dyDescent="0.25">
      <c r="B69" s="269"/>
      <c r="D69" s="269"/>
      <c r="E69" s="270"/>
    </row>
    <row r="70" spans="1:5" x14ac:dyDescent="0.25">
      <c r="B70" s="66"/>
      <c r="C70" s="66"/>
      <c r="D70" s="66"/>
      <c r="E70" s="272"/>
    </row>
  </sheetData>
  <mergeCells count="65">
    <mergeCell ref="AR20:AU20"/>
    <mergeCell ref="AR8:AV9"/>
    <mergeCell ref="A1:I1"/>
    <mergeCell ref="A4:D4"/>
    <mergeCell ref="E4:E5"/>
    <mergeCell ref="F4:G4"/>
    <mergeCell ref="A8:G8"/>
    <mergeCell ref="I8:M8"/>
    <mergeCell ref="A9:C9"/>
    <mergeCell ref="D9:G9"/>
    <mergeCell ref="O8:R9"/>
    <mergeCell ref="T8:X9"/>
    <mergeCell ref="Z8:AD9"/>
    <mergeCell ref="AF8:AJ9"/>
    <mergeCell ref="AL8:AP9"/>
    <mergeCell ref="AR4:AU4"/>
    <mergeCell ref="A19:AP19"/>
    <mergeCell ref="A20:D20"/>
    <mergeCell ref="E20:E21"/>
    <mergeCell ref="F20:G20"/>
    <mergeCell ref="O20:P20"/>
    <mergeCell ref="A33:D33"/>
    <mergeCell ref="E33:E34"/>
    <mergeCell ref="F33:G33"/>
    <mergeCell ref="J34:K34"/>
    <mergeCell ref="A24:G24"/>
    <mergeCell ref="I24:M24"/>
    <mergeCell ref="AL24:AP25"/>
    <mergeCell ref="AR24:AV25"/>
    <mergeCell ref="A25:C25"/>
    <mergeCell ref="D25:G25"/>
    <mergeCell ref="A32:AP32"/>
    <mergeCell ref="O24:R25"/>
    <mergeCell ref="T24:X25"/>
    <mergeCell ref="Z24:AD25"/>
    <mergeCell ref="AF24:AJ25"/>
    <mergeCell ref="AR37:AV38"/>
    <mergeCell ref="A38:C38"/>
    <mergeCell ref="D38:G38"/>
    <mergeCell ref="O36:R36"/>
    <mergeCell ref="T36:X36"/>
    <mergeCell ref="A37:G37"/>
    <mergeCell ref="I37:M37"/>
    <mergeCell ref="O37:R38"/>
    <mergeCell ref="T37:X38"/>
    <mergeCell ref="O52:R52"/>
    <mergeCell ref="T52:X52"/>
    <mergeCell ref="Z37:AD38"/>
    <mergeCell ref="AF37:AJ38"/>
    <mergeCell ref="AL37:AP38"/>
    <mergeCell ref="A48:AP48"/>
    <mergeCell ref="A49:D49"/>
    <mergeCell ref="E49:E50"/>
    <mergeCell ref="F49:G49"/>
    <mergeCell ref="J49:K49"/>
    <mergeCell ref="AL53:AP54"/>
    <mergeCell ref="AR53:AV54"/>
    <mergeCell ref="A54:C54"/>
    <mergeCell ref="D54:G54"/>
    <mergeCell ref="A53:G53"/>
    <mergeCell ref="I53:M53"/>
    <mergeCell ref="O53:R54"/>
    <mergeCell ref="T53:X54"/>
    <mergeCell ref="Z53:AD54"/>
    <mergeCell ref="AF53:AJ54"/>
  </mergeCells>
  <conditionalFormatting sqref="AQ17:AQ19">
    <cfRule type="cellIs" dxfId="11" priority="12" operator="greaterThan">
      <formula>0</formula>
    </cfRule>
  </conditionalFormatting>
  <conditionalFormatting sqref="AK30:AK31 AQ30:AQ33 AK33">
    <cfRule type="cellIs" dxfId="10" priority="11" operator="greaterThan">
      <formula>0</formula>
    </cfRule>
  </conditionalFormatting>
  <conditionalFormatting sqref="AK46:AK47 AQ46:AQ48">
    <cfRule type="cellIs" dxfId="9" priority="10" operator="greaterThan">
      <formula>0</formula>
    </cfRule>
  </conditionalFormatting>
  <conditionalFormatting sqref="AK61 AQ61">
    <cfRule type="cellIs" dxfId="8" priority="9" operator="greaterThan">
      <formula>0</formula>
    </cfRule>
  </conditionalFormatting>
  <conditionalFormatting sqref="O11:R16">
    <cfRule type="cellIs" dxfId="7" priority="4" operator="greaterThan">
      <formula>1</formula>
    </cfRule>
    <cfRule type="cellIs" dxfId="6" priority="8" operator="greaterThan">
      <formula>2</formula>
    </cfRule>
  </conditionalFormatting>
  <conditionalFormatting sqref="O27:R29">
    <cfRule type="cellIs" dxfId="5" priority="3" operator="greaterThan">
      <formula>1</formula>
    </cfRule>
    <cfRule type="cellIs" dxfId="4" priority="7" operator="greaterThan">
      <formula>2</formula>
    </cfRule>
  </conditionalFormatting>
  <conditionalFormatting sqref="O40:R45">
    <cfRule type="cellIs" dxfId="3" priority="2" operator="greaterThan">
      <formula>1</formula>
    </cfRule>
    <cfRule type="cellIs" dxfId="2" priority="6" operator="greaterThan">
      <formula>2</formula>
    </cfRule>
  </conditionalFormatting>
  <conditionalFormatting sqref="O56:R60">
    <cfRule type="cellIs" dxfId="1" priority="1" operator="greaterThan">
      <formula>1</formula>
    </cfRule>
    <cfRule type="cellIs" dxfId="0" priority="5" operator="greaterThan">
      <formula>2</formula>
    </cfRule>
  </conditionalFormatting>
  <pageMargins left="0.74803149606299213" right="0.74803149606299213" top="0.98425196850393704" bottom="0.98425196850393704" header="0.51181102362204722" footer="0.51181102362204722"/>
  <pageSetup paperSize="8" scale="38" orientation="landscape" r:id="rId1"/>
  <headerFooter>
    <oddHeader>&amp;A</oddHeader>
    <oddFooter>Page &amp;P&amp;R&amp;Z&amp;F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2</vt:i4>
      </vt:variant>
    </vt:vector>
  </HeadingPairs>
  <TitlesOfParts>
    <vt:vector size="12" baseType="lpstr">
      <vt:lpstr>SRN FD</vt:lpstr>
      <vt:lpstr>Water Graph data</vt:lpstr>
      <vt:lpstr>Sewerage Graph data</vt:lpstr>
      <vt:lpstr>WI</vt:lpstr>
      <vt:lpstr>WNI</vt:lpstr>
      <vt:lpstr>SI</vt:lpstr>
      <vt:lpstr>CLEAR_SHEET</vt:lpstr>
      <vt:lpstr>SNI</vt:lpstr>
      <vt:lpstr>SRN BY</vt:lpstr>
      <vt:lpstr>SRN Srvcblty asssmnt</vt:lpstr>
      <vt:lpstr>'SRN BY'!Print_Area</vt:lpstr>
      <vt:lpstr>'SRN FD'!Print_Area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2014-12-15T11:56:48Z</dcterms:created>
  <dcterms:modified xsi:type="dcterms:W3CDTF">2016-09-30T11:36:58Z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