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1652"/>
  </bookViews>
  <sheets>
    <sheet name="WSH FD14 BY" sheetId="1" r:id="rId1"/>
  </sheets>
  <definedNames>
    <definedName name="_xlnm.Print_Area" localSheetId="0">'WSH FD14 BY'!$A$1:$H$61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O60" i="1"/>
  <c r="Q60" i="1"/>
  <c r="P60" i="1"/>
  <c r="P59" i="1"/>
  <c r="R59" i="1"/>
  <c r="O59" i="1"/>
  <c r="P58" i="1"/>
  <c r="R57" i="1"/>
  <c r="P57" i="1"/>
  <c r="Q57" i="1"/>
  <c r="R56" i="1"/>
  <c r="O56" i="1"/>
  <c r="Q56" i="1"/>
  <c r="P56" i="1"/>
  <c r="M55" i="1"/>
  <c r="C51" i="1"/>
  <c r="D51" i="1" s="1"/>
  <c r="E51" i="1" s="1"/>
  <c r="P45" i="1"/>
  <c r="O45" i="1"/>
  <c r="R43" i="1"/>
  <c r="O43" i="1"/>
  <c r="Q43" i="1"/>
  <c r="R42" i="1"/>
  <c r="Q42" i="1"/>
  <c r="P42" i="1"/>
  <c r="O42" i="1"/>
  <c r="R41" i="1"/>
  <c r="Q41" i="1"/>
  <c r="P41" i="1"/>
  <c r="O41" i="1"/>
  <c r="O40" i="1"/>
  <c r="C35" i="1"/>
  <c r="D35" i="1" s="1"/>
  <c r="E35" i="1" s="1"/>
  <c r="Q29" i="1"/>
  <c r="R28" i="1"/>
  <c r="O28" i="1"/>
  <c r="Q28" i="1"/>
  <c r="P28" i="1"/>
  <c r="P27" i="1"/>
  <c r="R27" i="1"/>
  <c r="O27" i="1"/>
  <c r="C22" i="1"/>
  <c r="R16" i="1"/>
  <c r="O16" i="1"/>
  <c r="R15" i="1"/>
  <c r="O15" i="1"/>
  <c r="P15" i="1"/>
  <c r="O14" i="1"/>
  <c r="R14" i="1"/>
  <c r="Q14" i="1"/>
  <c r="P13" i="1"/>
  <c r="O12" i="1"/>
  <c r="R12" i="1"/>
  <c r="P12" i="1"/>
  <c r="Q12" i="1"/>
  <c r="R11" i="1"/>
  <c r="D6" i="1"/>
  <c r="E6" i="1" s="1"/>
  <c r="I13" i="1" s="1"/>
  <c r="C6" i="1"/>
  <c r="L10" i="1" l="1"/>
  <c r="Q40" i="1"/>
  <c r="I15" i="1"/>
  <c r="P11" i="1"/>
  <c r="R13" i="1"/>
  <c r="P16" i="1"/>
  <c r="Q16" i="1"/>
  <c r="D22" i="1"/>
  <c r="E22" i="1" s="1"/>
  <c r="O44" i="1"/>
  <c r="P44" i="1"/>
  <c r="R44" i="1"/>
  <c r="M59" i="1"/>
  <c r="W59" i="1" s="1"/>
  <c r="AC59" i="1" s="1"/>
  <c r="M58" i="1"/>
  <c r="M60" i="1"/>
  <c r="W60" i="1" s="1"/>
  <c r="AC60" i="1" s="1"/>
  <c r="M57" i="1"/>
  <c r="W57" i="1" s="1"/>
  <c r="AC57" i="1" s="1"/>
  <c r="M56" i="1"/>
  <c r="W56" i="1" s="1"/>
  <c r="Q58" i="1"/>
  <c r="I14" i="1"/>
  <c r="K10" i="1"/>
  <c r="I16" i="1"/>
  <c r="I12" i="1"/>
  <c r="M10" i="1"/>
  <c r="Q13" i="1"/>
  <c r="Q11" i="1"/>
  <c r="I45" i="1"/>
  <c r="I40" i="1"/>
  <c r="L39" i="1"/>
  <c r="I44" i="1"/>
  <c r="K39" i="1"/>
  <c r="M39" i="1"/>
  <c r="I43" i="1"/>
  <c r="I42" i="1"/>
  <c r="I41" i="1"/>
  <c r="J39" i="1"/>
  <c r="O13" i="1"/>
  <c r="J10" i="1"/>
  <c r="O11" i="1"/>
  <c r="I11" i="1"/>
  <c r="P14" i="1"/>
  <c r="Q15" i="1"/>
  <c r="R29" i="1"/>
  <c r="P40" i="1"/>
  <c r="Q44" i="1"/>
  <c r="I59" i="1"/>
  <c r="K55" i="1"/>
  <c r="I58" i="1"/>
  <c r="J55" i="1"/>
  <c r="I57" i="1"/>
  <c r="I56" i="1"/>
  <c r="L55" i="1"/>
  <c r="I60" i="1"/>
  <c r="O29" i="1"/>
  <c r="R40" i="1"/>
  <c r="R58" i="1"/>
  <c r="P29" i="1"/>
  <c r="Q45" i="1"/>
  <c r="O58" i="1"/>
  <c r="Q27" i="1"/>
  <c r="P43" i="1"/>
  <c r="R45" i="1"/>
  <c r="O57" i="1"/>
  <c r="Q59" i="1"/>
  <c r="AC56" i="1" l="1"/>
  <c r="I27" i="1"/>
  <c r="L26" i="1"/>
  <c r="K26" i="1"/>
  <c r="M26" i="1"/>
  <c r="I29" i="1"/>
  <c r="I28" i="1"/>
  <c r="J26" i="1"/>
  <c r="L42" i="1"/>
  <c r="V42" i="1" s="1"/>
  <c r="AB42" i="1" s="1"/>
  <c r="L41" i="1"/>
  <c r="L45" i="1"/>
  <c r="V45" i="1" s="1"/>
  <c r="AB45" i="1" s="1"/>
  <c r="L40" i="1"/>
  <c r="V40" i="1" s="1"/>
  <c r="L43" i="1"/>
  <c r="V43" i="1" s="1"/>
  <c r="AB43" i="1" s="1"/>
  <c r="L44" i="1"/>
  <c r="V44" i="1" s="1"/>
  <c r="AB44" i="1" s="1"/>
  <c r="M45" i="1"/>
  <c r="W45" i="1" s="1"/>
  <c r="AC45" i="1" s="1"/>
  <c r="M40" i="1"/>
  <c r="W40" i="1" s="1"/>
  <c r="M44" i="1"/>
  <c r="W44" i="1" s="1"/>
  <c r="AC44" i="1" s="1"/>
  <c r="M42" i="1"/>
  <c r="W42" i="1" s="1"/>
  <c r="AC42" i="1" s="1"/>
  <c r="M43" i="1"/>
  <c r="W43" i="1" s="1"/>
  <c r="AC43" i="1" s="1"/>
  <c r="M41" i="1"/>
  <c r="M14" i="1"/>
  <c r="W14" i="1" s="1"/>
  <c r="AC14" i="1" s="1"/>
  <c r="M16" i="1"/>
  <c r="W16" i="1" s="1"/>
  <c r="AC16" i="1" s="1"/>
  <c r="M12" i="1"/>
  <c r="W12" i="1" s="1"/>
  <c r="AC12" i="1" s="1"/>
  <c r="M15" i="1"/>
  <c r="W15" i="1" s="1"/>
  <c r="AC15" i="1" s="1"/>
  <c r="M11" i="1"/>
  <c r="W11" i="1" s="1"/>
  <c r="M13" i="1"/>
  <c r="W13" i="1" s="1"/>
  <c r="AC13" i="1" s="1"/>
  <c r="J13" i="1"/>
  <c r="T13" i="1" s="1"/>
  <c r="J16" i="1"/>
  <c r="T16" i="1" s="1"/>
  <c r="J15" i="1"/>
  <c r="T15" i="1" s="1"/>
  <c r="J11" i="1"/>
  <c r="T11" i="1" s="1"/>
  <c r="J12" i="1"/>
  <c r="T12" i="1" s="1"/>
  <c r="J14" i="1"/>
  <c r="T14" i="1" s="1"/>
  <c r="J58" i="1"/>
  <c r="T58" i="1" s="1"/>
  <c r="J57" i="1"/>
  <c r="T57" i="1" s="1"/>
  <c r="J60" i="1"/>
  <c r="T60" i="1" s="1"/>
  <c r="J59" i="1"/>
  <c r="T59" i="1" s="1"/>
  <c r="J56" i="1"/>
  <c r="T56" i="1" s="1"/>
  <c r="K16" i="1"/>
  <c r="U16" i="1" s="1"/>
  <c r="AA16" i="1" s="1"/>
  <c r="K12" i="1"/>
  <c r="U12" i="1" s="1"/>
  <c r="AA12" i="1" s="1"/>
  <c r="K14" i="1"/>
  <c r="U14" i="1" s="1"/>
  <c r="AA14" i="1" s="1"/>
  <c r="K13" i="1"/>
  <c r="U13" i="1" s="1"/>
  <c r="AA13" i="1" s="1"/>
  <c r="K11" i="1"/>
  <c r="U11" i="1" s="1"/>
  <c r="K15" i="1"/>
  <c r="U15" i="1" s="1"/>
  <c r="AA15" i="1" s="1"/>
  <c r="L60" i="1"/>
  <c r="V60" i="1" s="1"/>
  <c r="AB60" i="1" s="1"/>
  <c r="L56" i="1"/>
  <c r="V56" i="1" s="1"/>
  <c r="L59" i="1"/>
  <c r="V59" i="1" s="1"/>
  <c r="AB59" i="1" s="1"/>
  <c r="L58" i="1"/>
  <c r="V58" i="1" s="1"/>
  <c r="AB58" i="1" s="1"/>
  <c r="L57" i="1"/>
  <c r="V57" i="1" s="1"/>
  <c r="AB57" i="1" s="1"/>
  <c r="J44" i="1"/>
  <c r="T44" i="1" s="1"/>
  <c r="J43" i="1"/>
  <c r="T43" i="1" s="1"/>
  <c r="J42" i="1"/>
  <c r="T42" i="1" s="1"/>
  <c r="J41" i="1"/>
  <c r="J40" i="1"/>
  <c r="T40" i="1" s="1"/>
  <c r="J45" i="1"/>
  <c r="T45" i="1" s="1"/>
  <c r="K57" i="1"/>
  <c r="U57" i="1" s="1"/>
  <c r="AA57" i="1" s="1"/>
  <c r="K60" i="1"/>
  <c r="U60" i="1" s="1"/>
  <c r="AA60" i="1" s="1"/>
  <c r="K56" i="1"/>
  <c r="U56" i="1" s="1"/>
  <c r="K59" i="1"/>
  <c r="U59" i="1" s="1"/>
  <c r="AA59" i="1" s="1"/>
  <c r="K58" i="1"/>
  <c r="U58" i="1" s="1"/>
  <c r="AA58" i="1" s="1"/>
  <c r="K43" i="1"/>
  <c r="U43" i="1" s="1"/>
  <c r="AA43" i="1" s="1"/>
  <c r="K42" i="1"/>
  <c r="U42" i="1" s="1"/>
  <c r="AA42" i="1" s="1"/>
  <c r="K41" i="1"/>
  <c r="K40" i="1"/>
  <c r="U40" i="1" s="1"/>
  <c r="K45" i="1"/>
  <c r="U45" i="1" s="1"/>
  <c r="AA45" i="1" s="1"/>
  <c r="K44" i="1"/>
  <c r="U44" i="1" s="1"/>
  <c r="AA44" i="1" s="1"/>
  <c r="W58" i="1"/>
  <c r="AC58" i="1" s="1"/>
  <c r="L15" i="1"/>
  <c r="V15" i="1" s="1"/>
  <c r="AB15" i="1" s="1"/>
  <c r="L11" i="1"/>
  <c r="V11" i="1" s="1"/>
  <c r="L13" i="1"/>
  <c r="V13" i="1" s="1"/>
  <c r="AB13" i="1" s="1"/>
  <c r="L14" i="1"/>
  <c r="V14" i="1" s="1"/>
  <c r="AB14" i="1" s="1"/>
  <c r="L16" i="1"/>
  <c r="V16" i="1" s="1"/>
  <c r="AB16" i="1" s="1"/>
  <c r="L12" i="1"/>
  <c r="V12" i="1" s="1"/>
  <c r="AB12" i="1" s="1"/>
  <c r="Z42" i="1" l="1"/>
  <c r="AD42" i="1" s="1"/>
  <c r="X42" i="1"/>
  <c r="Z12" i="1"/>
  <c r="AD12" i="1" s="1"/>
  <c r="X12" i="1"/>
  <c r="L28" i="1"/>
  <c r="V28" i="1" s="1"/>
  <c r="AB28" i="1" s="1"/>
  <c r="L27" i="1"/>
  <c r="V27" i="1" s="1"/>
  <c r="L29" i="1"/>
  <c r="AA41" i="1"/>
  <c r="AG41" i="1" s="1"/>
  <c r="U41" i="1"/>
  <c r="Z45" i="1"/>
  <c r="AD45" i="1" s="1"/>
  <c r="X45" i="1"/>
  <c r="Z43" i="1"/>
  <c r="AD43" i="1" s="1"/>
  <c r="X43" i="1"/>
  <c r="AA11" i="1"/>
  <c r="AA17" i="1" s="1"/>
  <c r="U17" i="1"/>
  <c r="Z57" i="1"/>
  <c r="AD57" i="1" s="1"/>
  <c r="X57" i="1"/>
  <c r="X11" i="1"/>
  <c r="T17" i="1"/>
  <c r="Z11" i="1"/>
  <c r="V41" i="1"/>
  <c r="AB41" i="1"/>
  <c r="AH41" i="1" s="1"/>
  <c r="U46" i="1"/>
  <c r="AA40" i="1"/>
  <c r="AA46" i="1" s="1"/>
  <c r="Z40" i="1"/>
  <c r="X40" i="1"/>
  <c r="X44" i="1"/>
  <c r="Z44" i="1"/>
  <c r="AD44" i="1" s="1"/>
  <c r="AB56" i="1"/>
  <c r="AB61" i="1" s="1"/>
  <c r="V61" i="1"/>
  <c r="T61" i="1"/>
  <c r="Z56" i="1"/>
  <c r="X56" i="1"/>
  <c r="X58" i="1"/>
  <c r="Z58" i="1"/>
  <c r="AD58" i="1" s="1"/>
  <c r="Z15" i="1"/>
  <c r="AD15" i="1" s="1"/>
  <c r="X15" i="1"/>
  <c r="W17" i="1"/>
  <c r="AC11" i="1"/>
  <c r="AC17" i="1" s="1"/>
  <c r="M27" i="1"/>
  <c r="W27" i="1" s="1"/>
  <c r="M29" i="1"/>
  <c r="M28" i="1"/>
  <c r="W28" i="1" s="1"/>
  <c r="AC28" i="1" s="1"/>
  <c r="AC61" i="1"/>
  <c r="Z60" i="1"/>
  <c r="AD60" i="1" s="1"/>
  <c r="X60" i="1"/>
  <c r="X13" i="1"/>
  <c r="Z13" i="1"/>
  <c r="AD13" i="1" s="1"/>
  <c r="AA56" i="1"/>
  <c r="AA61" i="1" s="1"/>
  <c r="U61" i="1"/>
  <c r="V17" i="1"/>
  <c r="AB11" i="1"/>
  <c r="AB17" i="1" s="1"/>
  <c r="Z41" i="1"/>
  <c r="T41" i="1"/>
  <c r="X59" i="1"/>
  <c r="Z59" i="1"/>
  <c r="AD59" i="1" s="1"/>
  <c r="Z14" i="1"/>
  <c r="AD14" i="1" s="1"/>
  <c r="X14" i="1"/>
  <c r="Z16" i="1"/>
  <c r="AD16" i="1" s="1"/>
  <c r="X16" i="1"/>
  <c r="AC41" i="1"/>
  <c r="AI41" i="1" s="1"/>
  <c r="W41" i="1"/>
  <c r="W46" i="1" s="1"/>
  <c r="AC40" i="1"/>
  <c r="AC46" i="1" s="1"/>
  <c r="AB40" i="1"/>
  <c r="AB46" i="1" s="1"/>
  <c r="V46" i="1"/>
  <c r="J29" i="1"/>
  <c r="J28" i="1"/>
  <c r="T28" i="1" s="1"/>
  <c r="J27" i="1"/>
  <c r="T27" i="1" s="1"/>
  <c r="K29" i="1"/>
  <c r="K28" i="1"/>
  <c r="U28" i="1" s="1"/>
  <c r="AA28" i="1" s="1"/>
  <c r="K27" i="1"/>
  <c r="U27" i="1" s="1"/>
  <c r="W61" i="1"/>
  <c r="AA27" i="1" l="1"/>
  <c r="Z28" i="1"/>
  <c r="AD28" i="1" s="1"/>
  <c r="X28" i="1"/>
  <c r="Z17" i="1"/>
  <c r="AD11" i="1"/>
  <c r="AD17" i="1" s="1"/>
  <c r="AG46" i="1"/>
  <c r="AM41" i="1"/>
  <c r="Z29" i="1"/>
  <c r="T29" i="1"/>
  <c r="V29" i="1"/>
  <c r="AB29" i="1"/>
  <c r="Z46" i="1"/>
  <c r="AD40" i="1"/>
  <c r="AD46" i="1" s="1"/>
  <c r="AH46" i="1"/>
  <c r="AN41" i="1"/>
  <c r="X17" i="1"/>
  <c r="AB27" i="1"/>
  <c r="AB30" i="1" s="1"/>
  <c r="V30" i="1"/>
  <c r="U29" i="1"/>
  <c r="U30" i="1" s="1"/>
  <c r="AA29" i="1"/>
  <c r="X41" i="1"/>
  <c r="X46" i="1" s="1"/>
  <c r="AC29" i="1"/>
  <c r="W29" i="1"/>
  <c r="X61" i="1"/>
  <c r="X27" i="1"/>
  <c r="T30" i="1"/>
  <c r="Z27" i="1"/>
  <c r="AI46" i="1"/>
  <c r="AO41" i="1"/>
  <c r="AF41" i="1"/>
  <c r="AD41" i="1"/>
  <c r="W30" i="1"/>
  <c r="AC27" i="1"/>
  <c r="AD56" i="1"/>
  <c r="AD61" i="1" s="1"/>
  <c r="Z61" i="1"/>
  <c r="T46" i="1"/>
  <c r="AJ41" i="1" l="1"/>
  <c r="AF46" i="1"/>
  <c r="AJ46" i="1" s="1"/>
  <c r="AL41" i="1"/>
  <c r="X30" i="1"/>
  <c r="X29" i="1"/>
  <c r="AM46" i="1"/>
  <c r="AS41" i="1"/>
  <c r="AS46" i="1" s="1"/>
  <c r="AC30" i="1"/>
  <c r="AO46" i="1"/>
  <c r="AU41" i="1"/>
  <c r="AU46" i="1" s="1"/>
  <c r="AD27" i="1"/>
  <c r="Z30" i="1"/>
  <c r="AN46" i="1"/>
  <c r="AT41" i="1"/>
  <c r="AT46" i="1" s="1"/>
  <c r="AD29" i="1"/>
  <c r="AA30" i="1"/>
  <c r="AD30" i="1" l="1"/>
  <c r="AL46" i="1"/>
  <c r="AP46" i="1" s="1"/>
  <c r="AR41" i="1"/>
  <c r="AP41" i="1"/>
  <c r="AR46" i="1" l="1"/>
  <c r="AV46" i="1" s="1"/>
  <c r="AV41" i="1"/>
</calcChain>
</file>

<file path=xl/comments1.xml><?xml version="1.0" encoding="utf-8"?>
<comments xmlns="http://schemas.openxmlformats.org/spreadsheetml/2006/main">
  <authors>
    <author>Author</author>
  </authors>
  <commentList>
    <comment ref="P12" authorId="0" shapeId="0">
      <text>
        <r>
          <rPr>
            <sz val="12"/>
            <color indexed="81"/>
            <rFont val="Tahoma"/>
            <family val="2"/>
          </rPr>
          <t>Highlight values &gt;1</t>
        </r>
      </text>
    </comment>
    <comment ref="O28" authorId="0" shapeId="0">
      <text>
        <r>
          <rPr>
            <sz val="12"/>
            <color indexed="81"/>
            <rFont val="Tahoma"/>
            <family val="2"/>
          </rPr>
          <t>Highlight any values &gt;1</t>
        </r>
      </text>
    </comment>
    <comment ref="Z29" authorId="0" shapeId="0">
      <text>
        <r>
          <rPr>
            <sz val="12"/>
            <color indexed="81"/>
            <rFont val="Tahoma"/>
            <family val="2"/>
          </rPr>
          <t>Moderate the value of shortfall</t>
        </r>
      </text>
    </comment>
    <comment ref="Z41" authorId="0" shapeId="0">
      <text>
        <r>
          <rPr>
            <sz val="12"/>
            <color indexed="81"/>
            <rFont val="Tahoma"/>
            <family val="2"/>
          </rPr>
          <t>Moderate the value of shortfall to 1 standard deviation.</t>
        </r>
      </text>
    </comment>
  </commentList>
</comments>
</file>

<file path=xl/sharedStrings.xml><?xml version="1.0" encoding="utf-8"?>
<sst xmlns="http://schemas.openxmlformats.org/spreadsheetml/2006/main" count="295" uniqueCount="66">
  <si>
    <t xml:space="preserve">Serviceability - Shortfall Calculator - WSH Blind Year Reconciliation draft proposals </t>
  </si>
  <si>
    <t>Sewerage infrastructure</t>
  </si>
  <si>
    <t>OFWAT FD09 BASELINE (£m)</t>
  </si>
  <si>
    <t>Maximum value for shortfall adjustment (50%) £(m)</t>
  </si>
  <si>
    <t>Indexation</t>
  </si>
  <si>
    <t>line 11 (OFWAT baseline before efficiency)</t>
  </si>
  <si>
    <t>line 16 (OFWAT view of Grants &amp; Contributions)</t>
  </si>
  <si>
    <t>2007-08 prices</t>
  </si>
  <si>
    <t>2012-13 prices</t>
  </si>
  <si>
    <t>COPI 2007-08</t>
  </si>
  <si>
    <t>COPI 2012-13</t>
  </si>
  <si>
    <t>Performance and measures</t>
  </si>
  <si>
    <t>Step I: Unscaled yearly shortfall value (£m)</t>
  </si>
  <si>
    <t>Step II: Scaling factor based on the distance of performance of the indicator above the upper control limit</t>
  </si>
  <si>
    <t>Step III: Calculate the value of the shortfall (£m)</t>
  </si>
  <si>
    <t>Step IV: Moderate the value of shortfall where actual serviceablity performance as represented by the scaling factor is above 1 standard deviation by capping the scaling factor at 1 standard deviation (£m)</t>
  </si>
  <si>
    <t>Step V: Shortfall values (£m) 
pre-efficiency; where shortfall is applied</t>
  </si>
  <si>
    <t>Step VI: Apply volatility factor where applicable
(£m)</t>
  </si>
  <si>
    <t>Step VII: Step VI in post efficiency; where shortfall is applied
(£m)</t>
  </si>
  <si>
    <t xml:space="preserve">Actual Performance </t>
  </si>
  <si>
    <t>2011/12</t>
  </si>
  <si>
    <t>2012/13</t>
  </si>
  <si>
    <t>2013/14</t>
  </si>
  <si>
    <t>2014/15</t>
  </si>
  <si>
    <t>Measure</t>
  </si>
  <si>
    <t>Ref level</t>
  </si>
  <si>
    <t>UCL</t>
  </si>
  <si>
    <t>Total Shortfall value (non scaled)</t>
  </si>
  <si>
    <t>Total</t>
  </si>
  <si>
    <t>Sewer collapses</t>
  </si>
  <si>
    <t>no shortfall applied</t>
  </si>
  <si>
    <t>Pollution Incidents</t>
  </si>
  <si>
    <t>Flooding other causes</t>
  </si>
  <si>
    <t>Flooding overloaded sewers</t>
  </si>
  <si>
    <t>Sewer Blockages</t>
  </si>
  <si>
    <t>Equipment failures</t>
  </si>
  <si>
    <t>Sewerage Non-infrastructure</t>
  </si>
  <si>
    <t xml:space="preserve">Step V: Shortfall values
pre-efficiency; where shortfall is applied
(£m) </t>
  </si>
  <si>
    <t>% of sewage treatment works discharges failing numeric consents</t>
  </si>
  <si>
    <t>% of total p.e. served by sewage treatment works in breach of WRA or UWWTD consent (LUT)</t>
  </si>
  <si>
    <t>Unplanned non-infrastructure maintenance</t>
  </si>
  <si>
    <t>Water infrastructure</t>
  </si>
  <si>
    <t>WSH FD09 efficiency - WI</t>
  </si>
  <si>
    <t>2011-12</t>
  </si>
  <si>
    <t>2012-13</t>
  </si>
  <si>
    <t>2013-14</t>
  </si>
  <si>
    <t>2014-15</t>
  </si>
  <si>
    <t>Number of burst mains</t>
  </si>
  <si>
    <t>DG3 unplanned interruption to supply exceeding 12 hours</t>
  </si>
  <si>
    <t>Shortfall applied.</t>
  </si>
  <si>
    <t>Iron non-compliance (as 100-Mean Zonal Compliance) (%)</t>
  </si>
  <si>
    <t>DG2 Properties at risk of receiving low pressure</t>
  </si>
  <si>
    <t>Customer contacts per 1,000 population supplied – discolouration (orange/brown/black)</t>
  </si>
  <si>
    <t>Distribution index TIM</t>
  </si>
  <si>
    <t>Water Non-infrastructure</t>
  </si>
  <si>
    <t>Water treatment works coliform non-compliance (% samples failing for coliforms leaving WTW)</t>
  </si>
  <si>
    <t>Service reservoir coliform non-compliance (% service reservoirs having more than 5% of coliform samples failing)</t>
  </si>
  <si>
    <t>Number of WTW where turbidity 95%ile greater than or equal to 0.5NTU</t>
  </si>
  <si>
    <t>Enforcement actions considered for microbiological standards</t>
  </si>
  <si>
    <t>Undertaken by:</t>
  </si>
  <si>
    <t>Date:</t>
  </si>
  <si>
    <t>Ambrat Virwani</t>
  </si>
  <si>
    <t>Checked by</t>
  </si>
  <si>
    <t>Salim Lorgat</t>
  </si>
  <si>
    <t>Signed off</t>
  </si>
  <si>
    <t>Jeremy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</si>
</sst>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%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99">
    <xf numFmtId="0" fontId="0" fillId="0" borderId="0" xfId="0"/>
    <xf numFmtId="0" fontId="2" fillId="0" borderId="0" xfId="2" applyFill="1"/>
    <xf numFmtId="0" fontId="2" fillId="0" borderId="5" xfId="2" applyFont="1" applyFill="1" applyBorder="1" applyAlignment="1">
      <alignment wrapText="1"/>
    </xf>
    <xf numFmtId="0" fontId="2" fillId="0" borderId="6" xfId="2" applyFont="1" applyFill="1" applyBorder="1" applyAlignment="1">
      <alignment wrapText="1"/>
    </xf>
    <xf numFmtId="0" fontId="2" fillId="0" borderId="7" xfId="2" applyFont="1" applyFill="1" applyBorder="1" applyAlignment="1">
      <alignment wrapText="1"/>
    </xf>
    <xf numFmtId="0" fontId="2" fillId="0" borderId="9" xfId="2" applyFont="1" applyFill="1" applyBorder="1" applyAlignment="1">
      <alignment wrapText="1"/>
    </xf>
    <xf numFmtId="0" fontId="2" fillId="0" borderId="10" xfId="2" applyFont="1" applyFill="1" applyBorder="1" applyAlignment="1">
      <alignment wrapText="1"/>
    </xf>
    <xf numFmtId="0" fontId="3" fillId="0" borderId="0" xfId="2" applyFont="1" applyFill="1" applyAlignment="1">
      <alignment horizontal="left"/>
    </xf>
    <xf numFmtId="164" fontId="2" fillId="0" borderId="11" xfId="2" applyNumberFormat="1" applyFont="1" applyFill="1" applyBorder="1"/>
    <xf numFmtId="164" fontId="2" fillId="0" borderId="12" xfId="2" applyNumberFormat="1" applyFont="1" applyFill="1" applyBorder="1"/>
    <xf numFmtId="164" fontId="2" fillId="0" borderId="13" xfId="2" applyNumberFormat="1" applyFont="1" applyFill="1" applyBorder="1"/>
    <xf numFmtId="0" fontId="2" fillId="0" borderId="0" xfId="2" applyFont="1" applyFill="1"/>
    <xf numFmtId="0" fontId="4" fillId="0" borderId="0" xfId="3" applyFont="1" applyFill="1" applyBorder="1" applyAlignment="1">
      <alignment horizontal="center" vertical="top" wrapText="1"/>
    </xf>
    <xf numFmtId="0" fontId="2" fillId="0" borderId="0" xfId="2" applyFont="1" applyFill="1" applyBorder="1"/>
    <xf numFmtId="0" fontId="2" fillId="0" borderId="25" xfId="2" applyFont="1" applyFill="1" applyBorder="1"/>
    <xf numFmtId="0" fontId="5" fillId="0" borderId="26" xfId="3" applyFont="1" applyFill="1" applyBorder="1" applyAlignment="1">
      <alignment wrapText="1"/>
    </xf>
    <xf numFmtId="0" fontId="5" fillId="0" borderId="26" xfId="3" applyFont="1" applyFill="1" applyBorder="1"/>
    <xf numFmtId="0" fontId="5" fillId="0" borderId="27" xfId="3" applyFont="1" applyFill="1" applyBorder="1"/>
    <xf numFmtId="0" fontId="4" fillId="0" borderId="25" xfId="3" applyFont="1" applyFill="1" applyBorder="1"/>
    <xf numFmtId="0" fontId="4" fillId="0" borderId="26" xfId="3" applyFont="1" applyFill="1" applyBorder="1"/>
    <xf numFmtId="0" fontId="4" fillId="0" borderId="26" xfId="3" applyFont="1" applyFill="1" applyBorder="1" applyAlignment="1">
      <alignment wrapText="1"/>
    </xf>
    <xf numFmtId="0" fontId="4" fillId="0" borderId="27" xfId="3" applyFont="1" applyFill="1" applyBorder="1"/>
    <xf numFmtId="164" fontId="2" fillId="0" borderId="25" xfId="2" applyNumberFormat="1" applyFont="1" applyFill="1" applyBorder="1" applyAlignment="1">
      <alignment wrapText="1"/>
    </xf>
    <xf numFmtId="164" fontId="2" fillId="0" borderId="26" xfId="2" applyNumberFormat="1" applyFont="1" applyFill="1" applyBorder="1"/>
    <xf numFmtId="164" fontId="2" fillId="0" borderId="27" xfId="2" applyNumberFormat="1" applyFont="1" applyFill="1" applyBorder="1"/>
    <xf numFmtId="0" fontId="5" fillId="0" borderId="25" xfId="3" applyFont="1" applyFill="1" applyBorder="1" applyAlignment="1">
      <alignment wrapText="1"/>
    </xf>
    <xf numFmtId="0" fontId="5" fillId="0" borderId="0" xfId="3" applyFont="1" applyFill="1" applyBorder="1"/>
    <xf numFmtId="0" fontId="5" fillId="0" borderId="34" xfId="3" applyFont="1" applyFill="1" applyBorder="1" applyAlignment="1">
      <alignment wrapText="1"/>
    </xf>
    <xf numFmtId="0" fontId="5" fillId="0" borderId="35" xfId="3" applyFont="1" applyFill="1" applyBorder="1"/>
    <xf numFmtId="0" fontId="5" fillId="0" borderId="36" xfId="3" applyFont="1" applyFill="1" applyBorder="1"/>
    <xf numFmtId="1" fontId="2" fillId="0" borderId="26" xfId="0" applyNumberFormat="1" applyFont="1" applyFill="1" applyBorder="1"/>
    <xf numFmtId="1" fontId="2" fillId="0" borderId="27" xfId="0" applyNumberFormat="1" applyFont="1" applyFill="1" applyBorder="1"/>
    <xf numFmtId="164" fontId="2" fillId="0" borderId="25" xfId="3" applyNumberFormat="1" applyFont="1" applyFill="1" applyBorder="1"/>
    <xf numFmtId="164" fontId="2" fillId="0" borderId="26" xfId="3" applyNumberFormat="1" applyFont="1" applyFill="1" applyBorder="1"/>
    <xf numFmtId="164" fontId="6" fillId="0" borderId="26" xfId="3" applyNumberFormat="1" applyFont="1" applyFill="1" applyBorder="1"/>
    <xf numFmtId="164" fontId="6" fillId="0" borderId="27" xfId="3" applyNumberFormat="1" applyFont="1" applyFill="1" applyBorder="1"/>
    <xf numFmtId="2" fontId="2" fillId="0" borderId="25" xfId="3" applyNumberFormat="1" applyFont="1" applyFill="1" applyBorder="1"/>
    <xf numFmtId="2" fontId="2" fillId="0" borderId="26" xfId="3" applyNumberFormat="1" applyFont="1" applyFill="1" applyBorder="1"/>
    <xf numFmtId="2" fontId="2" fillId="0" borderId="27" xfId="3" applyNumberFormat="1" applyFont="1" applyFill="1" applyBorder="1"/>
    <xf numFmtId="164" fontId="6" fillId="0" borderId="25" xfId="3" applyNumberFormat="1" applyFont="1" applyFill="1" applyBorder="1"/>
    <xf numFmtId="164" fontId="2" fillId="0" borderId="0" xfId="2" applyNumberFormat="1" applyFont="1" applyFill="1" applyBorder="1"/>
    <xf numFmtId="164" fontId="6" fillId="0" borderId="20" xfId="3" applyNumberFormat="1" applyFont="1" applyFill="1" applyBorder="1"/>
    <xf numFmtId="165" fontId="7" fillId="0" borderId="25" xfId="0" applyNumberFormat="1" applyFont="1" applyFill="1" applyBorder="1"/>
    <xf numFmtId="165" fontId="7" fillId="0" borderId="26" xfId="0" applyNumberFormat="1" applyFont="1" applyFill="1" applyBorder="1"/>
    <xf numFmtId="165" fontId="2" fillId="0" borderId="27" xfId="2" applyNumberFormat="1" applyFont="1" applyFill="1" applyBorder="1"/>
    <xf numFmtId="164" fontId="2" fillId="0" borderId="0" xfId="2" applyNumberFormat="1" applyFill="1" applyBorder="1"/>
    <xf numFmtId="0" fontId="2" fillId="0" borderId="5" xfId="2" applyFill="1" applyBorder="1"/>
    <xf numFmtId="0" fontId="2" fillId="0" borderId="6" xfId="2" applyFill="1" applyBorder="1"/>
    <xf numFmtId="164" fontId="2" fillId="0" borderId="10" xfId="2" applyNumberFormat="1" applyFill="1" applyBorder="1"/>
    <xf numFmtId="165" fontId="2" fillId="0" borderId="25" xfId="2" applyNumberFormat="1" applyFill="1" applyBorder="1"/>
    <xf numFmtId="165" fontId="2" fillId="0" borderId="26" xfId="2" applyNumberFormat="1" applyFill="1" applyBorder="1"/>
    <xf numFmtId="165" fontId="2" fillId="0" borderId="27" xfId="2" applyNumberFormat="1" applyFill="1" applyBorder="1"/>
    <xf numFmtId="0" fontId="8" fillId="0" borderId="0" xfId="2" applyFont="1" applyFill="1"/>
    <xf numFmtId="165" fontId="2" fillId="0" borderId="25" xfId="2" applyNumberFormat="1" applyFont="1" applyFill="1" applyBorder="1"/>
    <xf numFmtId="165" fontId="2" fillId="0" borderId="26" xfId="2" applyNumberFormat="1" applyFont="1" applyFill="1" applyBorder="1"/>
    <xf numFmtId="0" fontId="2" fillId="0" borderId="11" xfId="2" applyFont="1" applyFill="1" applyBorder="1"/>
    <xf numFmtId="1" fontId="2" fillId="0" borderId="12" xfId="0" applyNumberFormat="1" applyFont="1" applyFill="1" applyBorder="1"/>
    <xf numFmtId="3" fontId="2" fillId="0" borderId="37" xfId="0" applyNumberFormat="1" applyFont="1" applyFill="1" applyBorder="1"/>
    <xf numFmtId="164" fontId="2" fillId="0" borderId="11" xfId="3" applyNumberFormat="1" applyFont="1" applyFill="1" applyBorder="1"/>
    <xf numFmtId="164" fontId="2" fillId="0" borderId="12" xfId="3" applyNumberFormat="1" applyFont="1" applyFill="1" applyBorder="1"/>
    <xf numFmtId="164" fontId="6" fillId="0" borderId="12" xfId="3" applyNumberFormat="1" applyFont="1" applyFill="1" applyBorder="1"/>
    <xf numFmtId="164" fontId="6" fillId="0" borderId="37" xfId="3" applyNumberFormat="1" applyFont="1" applyFill="1" applyBorder="1"/>
    <xf numFmtId="2" fontId="2" fillId="0" borderId="11" xfId="3" applyNumberFormat="1" applyFont="1" applyFill="1" applyBorder="1"/>
    <xf numFmtId="2" fontId="2" fillId="0" borderId="12" xfId="3" applyNumberFormat="1" applyFont="1" applyFill="1" applyBorder="1"/>
    <xf numFmtId="2" fontId="2" fillId="0" borderId="37" xfId="3" applyNumberFormat="1" applyFont="1" applyFill="1" applyBorder="1"/>
    <xf numFmtId="164" fontId="6" fillId="0" borderId="34" xfId="3" applyNumberFormat="1" applyFont="1" applyFill="1" applyBorder="1"/>
    <xf numFmtId="164" fontId="6" fillId="0" borderId="35" xfId="3" applyNumberFormat="1" applyFont="1" applyFill="1" applyBorder="1"/>
    <xf numFmtId="164" fontId="2" fillId="0" borderId="36" xfId="2" applyNumberFormat="1" applyFont="1" applyFill="1" applyBorder="1"/>
    <xf numFmtId="164" fontId="6" fillId="0" borderId="38" xfId="3" applyNumberFormat="1" applyFont="1" applyFill="1" applyBorder="1"/>
    <xf numFmtId="165" fontId="7" fillId="0" borderId="34" xfId="0" applyNumberFormat="1" applyFont="1" applyFill="1" applyBorder="1"/>
    <xf numFmtId="165" fontId="7" fillId="0" borderId="35" xfId="0" applyNumberFormat="1" applyFont="1" applyFill="1" applyBorder="1"/>
    <xf numFmtId="165" fontId="2" fillId="0" borderId="36" xfId="2" applyNumberFormat="1" applyFont="1" applyFill="1" applyBorder="1"/>
    <xf numFmtId="165" fontId="2" fillId="0" borderId="11" xfId="2" applyNumberFormat="1" applyFont="1" applyFill="1" applyBorder="1"/>
    <xf numFmtId="165" fontId="2" fillId="0" borderId="12" xfId="2" applyNumberFormat="1" applyFont="1" applyFill="1" applyBorder="1"/>
    <xf numFmtId="165" fontId="2" fillId="0" borderId="37" xfId="2" applyNumberFormat="1" applyFont="1" applyFill="1" applyBorder="1"/>
    <xf numFmtId="164" fontId="2" fillId="0" borderId="39" xfId="3" applyNumberFormat="1" applyFont="1" applyFill="1" applyBorder="1"/>
    <xf numFmtId="164" fontId="2" fillId="0" borderId="40" xfId="3" applyNumberFormat="1" applyFont="1" applyFill="1" applyBorder="1"/>
    <xf numFmtId="164" fontId="2" fillId="0" borderId="41" xfId="3" applyNumberFormat="1" applyFont="1" applyFill="1" applyBorder="1"/>
    <xf numFmtId="164" fontId="2" fillId="0" borderId="0" xfId="3" applyNumberFormat="1" applyFont="1" applyFill="1" applyBorder="1"/>
    <xf numFmtId="165" fontId="2" fillId="0" borderId="39" xfId="2" applyNumberFormat="1" applyFont="1" applyFill="1" applyBorder="1"/>
    <xf numFmtId="165" fontId="2" fillId="0" borderId="40" xfId="2" applyNumberFormat="1" applyFont="1" applyFill="1" applyBorder="1"/>
    <xf numFmtId="165" fontId="2" fillId="0" borderId="41" xfId="2" applyNumberFormat="1" applyFont="1" applyFill="1" applyBorder="1"/>
    <xf numFmtId="165" fontId="2" fillId="0" borderId="0" xfId="2" applyNumberFormat="1" applyFont="1" applyFill="1" applyBorder="1"/>
    <xf numFmtId="0" fontId="2" fillId="0" borderId="0" xfId="2" applyFont="1" applyFill="1" applyBorder="1" applyAlignment="1">
      <alignment wrapText="1"/>
    </xf>
    <xf numFmtId="166" fontId="0" fillId="0" borderId="0" xfId="1" applyNumberFormat="1" applyFont="1"/>
    <xf numFmtId="0" fontId="2" fillId="0" borderId="0" xfId="2" applyFill="1" applyBorder="1"/>
    <xf numFmtId="0" fontId="9" fillId="0" borderId="0" xfId="2" applyFont="1" applyFill="1" applyBorder="1" applyAlignment="1">
      <alignment wrapText="1"/>
    </xf>
    <xf numFmtId="165" fontId="2" fillId="0" borderId="0" xfId="2" applyNumberFormat="1" applyFill="1"/>
    <xf numFmtId="0" fontId="2" fillId="0" borderId="12" xfId="2" applyFont="1" applyFill="1" applyBorder="1"/>
    <xf numFmtId="0" fontId="2" fillId="0" borderId="37" xfId="2" applyFont="1" applyFill="1" applyBorder="1"/>
    <xf numFmtId="0" fontId="2" fillId="0" borderId="5" xfId="2" applyFont="1" applyFill="1" applyBorder="1"/>
    <xf numFmtId="0" fontId="5" fillId="0" borderId="6" xfId="3" applyFont="1" applyFill="1" applyBorder="1" applyAlignment="1">
      <alignment wrapText="1"/>
    </xf>
    <xf numFmtId="0" fontId="5" fillId="0" borderId="6" xfId="3" applyFont="1" applyFill="1" applyBorder="1"/>
    <xf numFmtId="0" fontId="5" fillId="0" borderId="10" xfId="3" applyFont="1" applyFill="1" applyBorder="1"/>
    <xf numFmtId="0" fontId="5" fillId="0" borderId="5" xfId="3" applyFont="1" applyFill="1" applyBorder="1" applyAlignment="1">
      <alignment wrapText="1"/>
    </xf>
    <xf numFmtId="0" fontId="5" fillId="0" borderId="5" xfId="3" applyFont="1" applyFill="1" applyBorder="1"/>
    <xf numFmtId="0" fontId="7" fillId="0" borderId="25" xfId="2" applyFont="1" applyFill="1" applyBorder="1" applyAlignment="1">
      <alignment wrapText="1"/>
    </xf>
    <xf numFmtId="2" fontId="2" fillId="0" borderId="26" xfId="0" applyNumberFormat="1" applyFont="1" applyFill="1" applyBorder="1"/>
    <xf numFmtId="2" fontId="2" fillId="0" borderId="27" xfId="0" applyNumberFormat="1" applyFont="1" applyFill="1" applyBorder="1"/>
    <xf numFmtId="164" fontId="2" fillId="0" borderId="27" xfId="3" applyNumberFormat="1" applyFont="1" applyFill="1" applyBorder="1"/>
    <xf numFmtId="164" fontId="2" fillId="0" borderId="0" xfId="2" applyNumberFormat="1" applyFill="1"/>
    <xf numFmtId="165" fontId="2" fillId="0" borderId="0" xfId="2" applyNumberFormat="1" applyFill="1" applyBorder="1"/>
    <xf numFmtId="0" fontId="7" fillId="0" borderId="11" xfId="2" applyFont="1" applyFill="1" applyBorder="1" applyAlignment="1">
      <alignment wrapText="1"/>
    </xf>
    <xf numFmtId="1" fontId="2" fillId="0" borderId="37" xfId="0" applyNumberFormat="1" applyFont="1" applyFill="1" applyBorder="1"/>
    <xf numFmtId="164" fontId="2" fillId="0" borderId="37" xfId="3" applyNumberFormat="1" applyFont="1" applyFill="1" applyBorder="1"/>
    <xf numFmtId="164" fontId="6" fillId="0" borderId="42" xfId="3" applyNumberFormat="1" applyFont="1" applyFill="1" applyBorder="1"/>
    <xf numFmtId="164" fontId="2" fillId="0" borderId="42" xfId="3" applyNumberFormat="1" applyFont="1" applyFill="1" applyBorder="1"/>
    <xf numFmtId="164" fontId="2" fillId="0" borderId="43" xfId="3" applyNumberFormat="1" applyFont="1" applyFill="1" applyBorder="1"/>
    <xf numFmtId="164" fontId="10" fillId="0" borderId="34" xfId="3" applyNumberFormat="1" applyFont="1" applyFill="1" applyBorder="1"/>
    <xf numFmtId="164" fontId="10" fillId="0" borderId="13" xfId="3" applyNumberFormat="1" applyFont="1" applyFill="1" applyBorder="1"/>
    <xf numFmtId="164" fontId="10" fillId="0" borderId="12" xfId="3" applyNumberFormat="1" applyFont="1" applyFill="1" applyBorder="1"/>
    <xf numFmtId="164" fontId="2" fillId="0" borderId="0" xfId="2" applyNumberFormat="1" applyFont="1" applyFill="1"/>
    <xf numFmtId="0" fontId="2" fillId="4" borderId="26" xfId="0" applyFont="1" applyFill="1" applyBorder="1" applyAlignment="1">
      <alignment horizontal="center"/>
    </xf>
    <xf numFmtId="10" fontId="2" fillId="3" borderId="26" xfId="2" applyNumberFormat="1" applyFill="1" applyBorder="1"/>
    <xf numFmtId="0" fontId="4" fillId="0" borderId="0" xfId="2" applyFont="1" applyFill="1"/>
    <xf numFmtId="0" fontId="4" fillId="0" borderId="0" xfId="3" applyFont="1" applyFill="1"/>
    <xf numFmtId="0" fontId="4" fillId="0" borderId="0" xfId="3" applyFont="1" applyFill="1" applyBorder="1" applyAlignment="1">
      <alignment horizontal="left" vertical="top" wrapText="1"/>
    </xf>
    <xf numFmtId="1" fontId="2" fillId="0" borderId="26" xfId="2" applyNumberFormat="1" applyFont="1" applyFill="1" applyBorder="1"/>
    <xf numFmtId="165" fontId="2" fillId="0" borderId="20" xfId="2" applyNumberFormat="1" applyFill="1" applyBorder="1"/>
    <xf numFmtId="164" fontId="2" fillId="0" borderId="25" xfId="2" applyNumberFormat="1" applyFill="1" applyBorder="1"/>
    <xf numFmtId="164" fontId="2" fillId="0" borderId="26" xfId="2" applyNumberFormat="1" applyFill="1" applyBorder="1"/>
    <xf numFmtId="164" fontId="2" fillId="0" borderId="27" xfId="2" applyNumberFormat="1" applyFill="1" applyBorder="1"/>
    <xf numFmtId="0" fontId="8" fillId="3" borderId="0" xfId="2" applyFont="1" applyFill="1" applyBorder="1"/>
    <xf numFmtId="164" fontId="10" fillId="0" borderId="25" xfId="3" applyNumberFormat="1" applyFont="1" applyFill="1" applyBorder="1"/>
    <xf numFmtId="164" fontId="10" fillId="0" borderId="26" xfId="3" applyNumberFormat="1" applyFont="1" applyFill="1" applyBorder="1"/>
    <xf numFmtId="164" fontId="2" fillId="0" borderId="20" xfId="2" applyNumberFormat="1" applyFill="1" applyBorder="1"/>
    <xf numFmtId="164" fontId="4" fillId="0" borderId="0" xfId="2" applyNumberFormat="1" applyFont="1" applyFill="1" applyBorder="1"/>
    <xf numFmtId="2" fontId="2" fillId="0" borderId="26" xfId="2" applyNumberFormat="1" applyFont="1" applyFill="1" applyBorder="1"/>
    <xf numFmtId="0" fontId="8" fillId="0" borderId="0" xfId="2" applyFont="1" applyFill="1" applyBorder="1"/>
    <xf numFmtId="2" fontId="2" fillId="0" borderId="12" xfId="2" applyNumberFormat="1" applyFont="1" applyFill="1" applyBorder="1"/>
    <xf numFmtId="164" fontId="2" fillId="0" borderId="37" xfId="2" applyNumberFormat="1" applyFont="1" applyFill="1" applyBorder="1"/>
    <xf numFmtId="165" fontId="2" fillId="0" borderId="35" xfId="2" applyNumberFormat="1" applyFill="1" applyBorder="1"/>
    <xf numFmtId="165" fontId="2" fillId="0" borderId="11" xfId="2" applyNumberFormat="1" applyFill="1" applyBorder="1"/>
    <xf numFmtId="165" fontId="2" fillId="0" borderId="12" xfId="2" applyNumberFormat="1" applyFill="1" applyBorder="1"/>
    <xf numFmtId="165" fontId="2" fillId="0" borderId="37" xfId="2" applyNumberFormat="1" applyFill="1" applyBorder="1"/>
    <xf numFmtId="164" fontId="2" fillId="0" borderId="39" xfId="2" applyNumberFormat="1" applyFont="1" applyFill="1" applyBorder="1"/>
    <xf numFmtId="164" fontId="2" fillId="0" borderId="40" xfId="2" applyNumberFormat="1" applyFont="1" applyFill="1" applyBorder="1"/>
    <xf numFmtId="164" fontId="2" fillId="0" borderId="41" xfId="2" applyNumberFormat="1" applyFont="1" applyFill="1" applyBorder="1"/>
    <xf numFmtId="164" fontId="2" fillId="0" borderId="39" xfId="2" applyNumberFormat="1" applyFill="1" applyBorder="1"/>
    <xf numFmtId="164" fontId="2" fillId="0" borderId="40" xfId="2" applyNumberFormat="1" applyFill="1" applyBorder="1"/>
    <xf numFmtId="164" fontId="2" fillId="0" borderId="41" xfId="2" applyNumberFormat="1" applyFill="1" applyBorder="1"/>
    <xf numFmtId="0" fontId="5" fillId="0" borderId="7" xfId="3" applyFont="1" applyFill="1" applyBorder="1"/>
    <xf numFmtId="2" fontId="2" fillId="0" borderId="27" xfId="2" applyNumberFormat="1" applyFont="1" applyFill="1" applyBorder="1"/>
    <xf numFmtId="1" fontId="2" fillId="0" borderId="27" xfId="2" applyNumberFormat="1" applyFont="1" applyFill="1" applyBorder="1"/>
    <xf numFmtId="1" fontId="2" fillId="0" borderId="12" xfId="2" applyNumberFormat="1" applyFont="1" applyFill="1" applyBorder="1"/>
    <xf numFmtId="1" fontId="2" fillId="0" borderId="37" xfId="2" applyNumberFormat="1" applyFont="1" applyFill="1" applyBorder="1"/>
    <xf numFmtId="164" fontId="6" fillId="0" borderId="11" xfId="3" applyNumberFormat="1" applyFont="1" applyFill="1" applyBorder="1"/>
    <xf numFmtId="165" fontId="2" fillId="0" borderId="34" xfId="2" applyNumberFormat="1" applyFont="1" applyFill="1" applyBorder="1"/>
    <xf numFmtId="165" fontId="2" fillId="0" borderId="35" xfId="2" applyNumberFormat="1" applyFont="1" applyFill="1" applyBorder="1"/>
    <xf numFmtId="165" fontId="2" fillId="0" borderId="34" xfId="2" applyNumberFormat="1" applyFill="1" applyBorder="1"/>
    <xf numFmtId="165" fontId="2" fillId="0" borderId="39" xfId="2" applyNumberFormat="1" applyFill="1" applyBorder="1"/>
    <xf numFmtId="165" fontId="2" fillId="0" borderId="40" xfId="2" applyNumberFormat="1" applyFill="1" applyBorder="1"/>
    <xf numFmtId="0" fontId="6" fillId="0" borderId="26" xfId="3" applyFont="1" applyFill="1" applyBorder="1"/>
    <xf numFmtId="0" fontId="2" fillId="0" borderId="26" xfId="0" applyFont="1" applyFill="1" applyBorder="1"/>
    <xf numFmtId="14" fontId="2" fillId="0" borderId="26" xfId="0" applyNumberFormat="1" applyFont="1" applyFill="1" applyBorder="1"/>
    <xf numFmtId="0" fontId="4" fillId="0" borderId="17" xfId="3" applyFont="1" applyFill="1" applyBorder="1" applyAlignment="1">
      <alignment horizontal="center" vertical="top" wrapText="1"/>
    </xf>
    <xf numFmtId="0" fontId="4" fillId="0" borderId="18" xfId="3" applyFont="1" applyFill="1" applyBorder="1" applyAlignment="1">
      <alignment horizontal="center" vertical="top" wrapText="1"/>
    </xf>
    <xf numFmtId="0" fontId="4" fillId="0" borderId="19" xfId="3" applyFont="1" applyFill="1" applyBorder="1" applyAlignment="1">
      <alignment horizontal="center" vertical="top" wrapText="1"/>
    </xf>
    <xf numFmtId="0" fontId="4" fillId="0" borderId="31" xfId="3" applyFont="1" applyFill="1" applyBorder="1" applyAlignment="1">
      <alignment horizontal="center" vertical="top" wrapText="1"/>
    </xf>
    <xf numFmtId="0" fontId="4" fillId="0" borderId="32" xfId="3" applyFont="1" applyFill="1" applyBorder="1" applyAlignment="1">
      <alignment horizontal="center" vertical="top" wrapText="1"/>
    </xf>
    <xf numFmtId="0" fontId="4" fillId="0" borderId="33" xfId="3" applyFont="1" applyFill="1" applyBorder="1" applyAlignment="1">
      <alignment horizontal="center" vertical="top" wrapText="1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left"/>
    </xf>
    <xf numFmtId="0" fontId="4" fillId="0" borderId="15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left"/>
    </xf>
    <xf numFmtId="0" fontId="4" fillId="0" borderId="14" xfId="3" applyFont="1" applyFill="1" applyBorder="1" applyAlignment="1">
      <alignment horizontal="center"/>
    </xf>
    <xf numFmtId="0" fontId="4" fillId="0" borderId="15" xfId="3" applyFont="1" applyFill="1" applyBorder="1" applyAlignment="1">
      <alignment horizontal="center"/>
    </xf>
    <xf numFmtId="0" fontId="4" fillId="0" borderId="16" xfId="3" applyFont="1" applyFill="1" applyBorder="1" applyAlignment="1">
      <alignment horizontal="center"/>
    </xf>
    <xf numFmtId="0" fontId="4" fillId="0" borderId="28" xfId="3" applyFont="1" applyFill="1" applyBorder="1" applyAlignment="1">
      <alignment horizontal="center" vertical="top" wrapText="1"/>
    </xf>
    <xf numFmtId="0" fontId="4" fillId="0" borderId="29" xfId="3" applyFont="1" applyFill="1" applyBorder="1" applyAlignment="1">
      <alignment horizontal="center" vertical="top" wrapText="1"/>
    </xf>
    <xf numFmtId="0" fontId="4" fillId="0" borderId="30" xfId="3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left" wrapText="1"/>
    </xf>
    <xf numFmtId="0" fontId="2" fillId="0" borderId="17" xfId="2" applyFont="1" applyFill="1" applyBorder="1" applyAlignment="1">
      <alignment horizontal="center"/>
    </xf>
    <xf numFmtId="0" fontId="2" fillId="0" borderId="18" xfId="2" applyFont="1" applyFill="1" applyBorder="1" applyAlignment="1">
      <alignment horizontal="center"/>
    </xf>
    <xf numFmtId="0" fontId="2" fillId="0" borderId="19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 wrapText="1"/>
    </xf>
    <xf numFmtId="0" fontId="2" fillId="0" borderId="8" xfId="2" applyFont="1" applyFill="1" applyBorder="1" applyAlignment="1">
      <alignment horizontal="center" wrapText="1"/>
    </xf>
    <xf numFmtId="0" fontId="2" fillId="0" borderId="1" xfId="2" applyFill="1" applyBorder="1" applyAlignment="1">
      <alignment horizontal="center"/>
    </xf>
    <xf numFmtId="0" fontId="2" fillId="0" borderId="4" xfId="2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 wrapText="1"/>
    </xf>
    <xf numFmtId="0" fontId="2" fillId="3" borderId="23" xfId="2" applyFill="1" applyBorder="1" applyAlignment="1">
      <alignment horizontal="center"/>
    </xf>
    <xf numFmtId="0" fontId="2" fillId="3" borderId="21" xfId="2" applyFill="1" applyBorder="1" applyAlignment="1">
      <alignment horizontal="center"/>
    </xf>
    <xf numFmtId="0" fontId="2" fillId="3" borderId="22" xfId="2" applyFill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2" fillId="0" borderId="21" xfId="2" applyFont="1" applyFill="1" applyBorder="1" applyAlignment="1">
      <alignment horizontal="center"/>
    </xf>
    <xf numFmtId="0" fontId="2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2" xfId="2" applyFill="1" applyBorder="1" applyAlignment="1">
      <alignment horizontal="center"/>
    </xf>
  </cellXfs>
  <cellStyles count="4">
    <cellStyle name="Bold text" xfId="3"/>
    <cellStyle name="Normal" xfId="0" builtinId="0"/>
    <cellStyle name="Normal 2" xfId="2"/>
    <cellStyle name="Percent" xfId="1" builtinId="5"/>
  </cellStyles>
  <dxfs count="2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W67"/>
  <sheetViews>
    <sheetView tabSelected="1" zoomScale="55" zoomScaleNormal="55" zoomScalePageLayoutView="150" workbookViewId="0">
      <selection sqref="A1:I1"/>
    </sheetView>
  </sheetViews>
  <sheetFormatPr defaultColWidth="7.69921875" defaultRowHeight="13.2" x14ac:dyDescent="0.25"/>
  <cols>
    <col min="1" max="1" width="25.796875" style="1" bestFit="1" customWidth="1"/>
    <col min="2" max="2" width="16.69921875" style="1" bestFit="1" customWidth="1"/>
    <col min="3" max="4" width="9.09765625" style="1" customWidth="1"/>
    <col min="5" max="5" width="17.796875" style="1" customWidth="1"/>
    <col min="6" max="6" width="10.19921875" style="1" customWidth="1"/>
    <col min="7" max="7" width="10.09765625" style="1" customWidth="1"/>
    <col min="8" max="8" width="1.5" style="1" customWidth="1"/>
    <col min="9" max="9" width="14.796875" style="1" customWidth="1"/>
    <col min="10" max="10" width="9.59765625" style="1" customWidth="1"/>
    <col min="11" max="11" width="9" style="1" customWidth="1"/>
    <col min="12" max="13" width="7.69921875" style="1"/>
    <col min="14" max="14" width="1.5" style="1" customWidth="1"/>
    <col min="15" max="15" width="7.69921875" style="1"/>
    <col min="16" max="17" width="11" style="1" bestFit="1" customWidth="1"/>
    <col min="18" max="18" width="11.19921875" style="1" customWidth="1"/>
    <col min="19" max="19" width="1.5" style="1" customWidth="1"/>
    <col min="20" max="23" width="7.69921875" style="1"/>
    <col min="24" max="24" width="8.796875" style="1" customWidth="1"/>
    <col min="25" max="25" width="1.296875" style="1" customWidth="1"/>
    <col min="26" max="28" width="7.69921875" style="1"/>
    <col min="29" max="29" width="11.19921875" style="1" customWidth="1"/>
    <col min="30" max="30" width="13.796875" style="1" customWidth="1"/>
    <col min="31" max="31" width="1.5" style="1" customWidth="1"/>
    <col min="32" max="36" width="7.69921875" style="1"/>
    <col min="37" max="37" width="1.296875" style="1" customWidth="1"/>
    <col min="38" max="42" width="7.69921875" style="1"/>
    <col min="43" max="43" width="1.5" style="1" customWidth="1"/>
    <col min="44" max="16384" width="7.69921875" style="1"/>
  </cols>
  <sheetData>
    <row r="1" spans="1:49" ht="15.6" x14ac:dyDescent="0.3">
      <c r="A1" s="195" t="s">
        <v>0</v>
      </c>
      <c r="B1" s="195"/>
      <c r="C1" s="195"/>
      <c r="D1" s="195"/>
      <c r="E1" s="195"/>
      <c r="F1" s="195"/>
      <c r="G1" s="195"/>
      <c r="H1" s="195"/>
      <c r="I1" s="195"/>
    </row>
    <row r="3" spans="1:49" ht="16.2" thickBot="1" x14ac:dyDescent="0.35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9" ht="13.8" thickBot="1" x14ac:dyDescent="0.3">
      <c r="A4" s="196" t="s">
        <v>2</v>
      </c>
      <c r="B4" s="197"/>
      <c r="C4" s="197"/>
      <c r="D4" s="197"/>
      <c r="E4" s="178" t="s">
        <v>3</v>
      </c>
      <c r="F4" s="198" t="s">
        <v>4</v>
      </c>
      <c r="G4" s="181"/>
    </row>
    <row r="5" spans="1:49" ht="28.5" customHeight="1" thickBot="1" x14ac:dyDescent="0.35">
      <c r="A5" s="2" t="s">
        <v>5</v>
      </c>
      <c r="B5" s="3" t="s">
        <v>6</v>
      </c>
      <c r="C5" s="3" t="s">
        <v>7</v>
      </c>
      <c r="D5" s="4" t="s">
        <v>8</v>
      </c>
      <c r="E5" s="179"/>
      <c r="F5" s="5" t="s">
        <v>9</v>
      </c>
      <c r="G5" s="6" t="s">
        <v>10</v>
      </c>
      <c r="H5" s="7"/>
    </row>
    <row r="6" spans="1:49" ht="16.2" thickBot="1" x14ac:dyDescent="0.35">
      <c r="A6" s="8">
        <v>139.58609017032097</v>
      </c>
      <c r="B6" s="9">
        <v>4.4700000000000006</v>
      </c>
      <c r="C6" s="9">
        <f>A6-B6</f>
        <v>135.11609017032097</v>
      </c>
      <c r="D6" s="9">
        <f>C6*G6/F6</f>
        <v>137.9082465709655</v>
      </c>
      <c r="E6" s="10">
        <f>D6*0.5</f>
        <v>68.954123285482751</v>
      </c>
      <c r="F6" s="8">
        <v>111.30000000000001</v>
      </c>
      <c r="G6" s="9">
        <v>113.6</v>
      </c>
      <c r="H6" s="7"/>
    </row>
    <row r="7" spans="1:49" ht="13.8" thickBot="1" x14ac:dyDescent="0.3"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49" ht="12.75" customHeight="1" x14ac:dyDescent="0.25">
      <c r="A8" s="165" t="s">
        <v>11</v>
      </c>
      <c r="B8" s="166"/>
      <c r="C8" s="166"/>
      <c r="D8" s="166"/>
      <c r="E8" s="166"/>
      <c r="F8" s="166"/>
      <c r="G8" s="167"/>
      <c r="H8" s="11"/>
      <c r="I8" s="168" t="s">
        <v>12</v>
      </c>
      <c r="J8" s="169"/>
      <c r="K8" s="169"/>
      <c r="L8" s="169"/>
      <c r="M8" s="170"/>
      <c r="N8" s="11"/>
      <c r="O8" s="155" t="s">
        <v>13</v>
      </c>
      <c r="P8" s="156"/>
      <c r="Q8" s="156"/>
      <c r="R8" s="157"/>
      <c r="S8" s="11"/>
      <c r="T8" s="155" t="s">
        <v>14</v>
      </c>
      <c r="U8" s="156"/>
      <c r="V8" s="156"/>
      <c r="W8" s="156"/>
      <c r="X8" s="157"/>
      <c r="Y8" s="12"/>
      <c r="Z8" s="155" t="s">
        <v>15</v>
      </c>
      <c r="AA8" s="156"/>
      <c r="AB8" s="156"/>
      <c r="AC8" s="156"/>
      <c r="AD8" s="157"/>
      <c r="AF8" s="155" t="s">
        <v>16</v>
      </c>
      <c r="AG8" s="156"/>
      <c r="AH8" s="156"/>
      <c r="AI8" s="156"/>
      <c r="AJ8" s="157"/>
      <c r="AK8" s="12"/>
      <c r="AL8" s="155" t="s">
        <v>17</v>
      </c>
      <c r="AM8" s="156"/>
      <c r="AN8" s="156"/>
      <c r="AO8" s="156"/>
      <c r="AP8" s="157"/>
      <c r="AQ8" s="12"/>
      <c r="AR8" s="155" t="s">
        <v>18</v>
      </c>
      <c r="AS8" s="156"/>
      <c r="AT8" s="156"/>
      <c r="AU8" s="156"/>
      <c r="AV8" s="157"/>
    </row>
    <row r="9" spans="1:49" ht="36.75" customHeight="1" thickBot="1" x14ac:dyDescent="0.3">
      <c r="A9" s="189"/>
      <c r="B9" s="190"/>
      <c r="C9" s="191"/>
      <c r="D9" s="192" t="s">
        <v>19</v>
      </c>
      <c r="E9" s="193"/>
      <c r="F9" s="193"/>
      <c r="G9" s="194"/>
      <c r="H9" s="13"/>
      <c r="I9" s="14"/>
      <c r="J9" s="15" t="s">
        <v>20</v>
      </c>
      <c r="K9" s="16" t="s">
        <v>21</v>
      </c>
      <c r="L9" s="16" t="s">
        <v>22</v>
      </c>
      <c r="M9" s="17" t="s">
        <v>23</v>
      </c>
      <c r="N9" s="13"/>
      <c r="O9" s="171"/>
      <c r="P9" s="172"/>
      <c r="Q9" s="172"/>
      <c r="R9" s="173"/>
      <c r="S9" s="13"/>
      <c r="T9" s="171"/>
      <c r="U9" s="172"/>
      <c r="V9" s="172"/>
      <c r="W9" s="172"/>
      <c r="X9" s="173"/>
      <c r="Y9" s="13"/>
      <c r="Z9" s="171"/>
      <c r="AA9" s="172"/>
      <c r="AB9" s="172"/>
      <c r="AC9" s="172"/>
      <c r="AD9" s="173"/>
      <c r="AF9" s="171"/>
      <c r="AG9" s="172"/>
      <c r="AH9" s="172"/>
      <c r="AI9" s="172"/>
      <c r="AJ9" s="173"/>
      <c r="AK9" s="13"/>
      <c r="AL9" s="158"/>
      <c r="AM9" s="159"/>
      <c r="AN9" s="159"/>
      <c r="AO9" s="159"/>
      <c r="AP9" s="160"/>
      <c r="AQ9" s="13"/>
      <c r="AR9" s="158"/>
      <c r="AS9" s="159"/>
      <c r="AT9" s="159"/>
      <c r="AU9" s="159"/>
      <c r="AV9" s="160"/>
    </row>
    <row r="10" spans="1:49" ht="27" thickBot="1" x14ac:dyDescent="0.3">
      <c r="A10" s="18" t="s">
        <v>24</v>
      </c>
      <c r="B10" s="19" t="s">
        <v>25</v>
      </c>
      <c r="C10" s="19" t="s">
        <v>26</v>
      </c>
      <c r="D10" s="20" t="s">
        <v>20</v>
      </c>
      <c r="E10" s="19" t="s">
        <v>21</v>
      </c>
      <c r="F10" s="19" t="s">
        <v>22</v>
      </c>
      <c r="G10" s="21" t="s">
        <v>23</v>
      </c>
      <c r="H10" s="13"/>
      <c r="I10" s="22" t="s">
        <v>27</v>
      </c>
      <c r="J10" s="23">
        <f>$E$6/4</f>
        <v>17.238530821370688</v>
      </c>
      <c r="K10" s="23">
        <f>$E$6/4</f>
        <v>17.238530821370688</v>
      </c>
      <c r="L10" s="23">
        <f>$E$6/4</f>
        <v>17.238530821370688</v>
      </c>
      <c r="M10" s="24">
        <f>$E$6/4</f>
        <v>17.238530821370688</v>
      </c>
      <c r="N10" s="13"/>
      <c r="O10" s="25" t="s">
        <v>20</v>
      </c>
      <c r="P10" s="16" t="s">
        <v>21</v>
      </c>
      <c r="Q10" s="16" t="s">
        <v>22</v>
      </c>
      <c r="R10" s="17" t="s">
        <v>23</v>
      </c>
      <c r="S10" s="13"/>
      <c r="T10" s="25" t="s">
        <v>20</v>
      </c>
      <c r="U10" s="16" t="s">
        <v>21</v>
      </c>
      <c r="V10" s="16" t="s">
        <v>22</v>
      </c>
      <c r="W10" s="16" t="s">
        <v>23</v>
      </c>
      <c r="X10" s="17" t="s">
        <v>28</v>
      </c>
      <c r="Y10" s="26"/>
      <c r="Z10" s="25" t="s">
        <v>20</v>
      </c>
      <c r="AA10" s="16" t="s">
        <v>21</v>
      </c>
      <c r="AB10" s="16" t="s">
        <v>22</v>
      </c>
      <c r="AC10" s="16" t="s">
        <v>23</v>
      </c>
      <c r="AD10" s="17" t="s">
        <v>28</v>
      </c>
      <c r="AF10" s="27" t="s">
        <v>20</v>
      </c>
      <c r="AG10" s="28" t="s">
        <v>21</v>
      </c>
      <c r="AH10" s="28" t="s">
        <v>22</v>
      </c>
      <c r="AI10" s="28" t="s">
        <v>23</v>
      </c>
      <c r="AJ10" s="29" t="s">
        <v>28</v>
      </c>
      <c r="AK10" s="26"/>
      <c r="AL10" s="27" t="s">
        <v>20</v>
      </c>
      <c r="AM10" s="28" t="s">
        <v>21</v>
      </c>
      <c r="AN10" s="28" t="s">
        <v>22</v>
      </c>
      <c r="AO10" s="28" t="s">
        <v>23</v>
      </c>
      <c r="AP10" s="29" t="s">
        <v>28</v>
      </c>
      <c r="AQ10" s="26"/>
      <c r="AR10" s="27" t="s">
        <v>20</v>
      </c>
      <c r="AS10" s="28" t="s">
        <v>21</v>
      </c>
      <c r="AT10" s="28" t="s">
        <v>22</v>
      </c>
      <c r="AU10" s="28" t="s">
        <v>23</v>
      </c>
      <c r="AV10" s="29" t="s">
        <v>28</v>
      </c>
    </row>
    <row r="11" spans="1:49" x14ac:dyDescent="0.25">
      <c r="A11" s="14" t="s">
        <v>29</v>
      </c>
      <c r="B11" s="30">
        <v>504</v>
      </c>
      <c r="C11" s="30">
        <v>603</v>
      </c>
      <c r="D11" s="30">
        <v>546</v>
      </c>
      <c r="E11" s="30">
        <v>460</v>
      </c>
      <c r="F11" s="30">
        <v>450</v>
      </c>
      <c r="G11" s="31">
        <v>358</v>
      </c>
      <c r="H11" s="13"/>
      <c r="I11" s="32">
        <f t="shared" ref="I11:I16" si="0">$E$6/6</f>
        <v>11.492353880913791</v>
      </c>
      <c r="J11" s="33">
        <f t="shared" ref="J11:M16" si="1">J$10/6</f>
        <v>2.8730884702284478</v>
      </c>
      <c r="K11" s="34">
        <f t="shared" si="1"/>
        <v>2.8730884702284478</v>
      </c>
      <c r="L11" s="34">
        <f t="shared" si="1"/>
        <v>2.8730884702284478</v>
      </c>
      <c r="M11" s="35">
        <f t="shared" si="1"/>
        <v>2.8730884702284478</v>
      </c>
      <c r="N11" s="13"/>
      <c r="O11" s="36">
        <f>((D11-$C11)/($C11-$B11))</f>
        <v>-0.5757575757575758</v>
      </c>
      <c r="P11" s="37">
        <f t="shared" ref="O11:R16" si="2">((E11-$C11)/($C11-$B11))</f>
        <v>-1.4444444444444444</v>
      </c>
      <c r="Q11" s="37">
        <f t="shared" si="2"/>
        <v>-1.5454545454545454</v>
      </c>
      <c r="R11" s="38">
        <f t="shared" si="2"/>
        <v>-2.4747474747474749</v>
      </c>
      <c r="S11" s="13"/>
      <c r="T11" s="39">
        <f t="shared" ref="T11:W16" si="3">J11*O11</f>
        <v>-1.654202452555773</v>
      </c>
      <c r="U11" s="34">
        <f t="shared" si="3"/>
        <v>-4.1500166792188686</v>
      </c>
      <c r="V11" s="34">
        <f t="shared" si="3"/>
        <v>-4.4402276358076014</v>
      </c>
      <c r="W11" s="34">
        <f t="shared" si="3"/>
        <v>-7.1101684364239368</v>
      </c>
      <c r="X11" s="24">
        <f>SUMIF(T11:W11,"&gt;0")</f>
        <v>0</v>
      </c>
      <c r="Y11" s="40"/>
      <c r="Z11" s="41">
        <f t="shared" ref="Z11:AC16" si="4">IF(T11&gt;0,T11,0)</f>
        <v>0</v>
      </c>
      <c r="AA11" s="34">
        <f t="shared" si="4"/>
        <v>0</v>
      </c>
      <c r="AB11" s="34">
        <f t="shared" si="4"/>
        <v>0</v>
      </c>
      <c r="AC11" s="34">
        <f t="shared" si="4"/>
        <v>0</v>
      </c>
      <c r="AD11" s="24">
        <f>SUMIF(Z11:AC11,"&gt;0")</f>
        <v>0</v>
      </c>
      <c r="AF11" s="42"/>
      <c r="AG11" s="43"/>
      <c r="AH11" s="43"/>
      <c r="AI11" s="43"/>
      <c r="AJ11" s="44"/>
      <c r="AK11" s="45"/>
      <c r="AL11" s="46"/>
      <c r="AM11" s="47"/>
      <c r="AN11" s="47"/>
      <c r="AO11" s="47"/>
      <c r="AP11" s="48"/>
      <c r="AQ11" s="45"/>
      <c r="AR11" s="46"/>
      <c r="AS11" s="47"/>
      <c r="AT11" s="47"/>
      <c r="AU11" s="47"/>
      <c r="AV11" s="48"/>
      <c r="AW11" s="1" t="s">
        <v>30</v>
      </c>
    </row>
    <row r="12" spans="1:49" x14ac:dyDescent="0.25">
      <c r="A12" s="14" t="s">
        <v>31</v>
      </c>
      <c r="B12" s="30">
        <v>155</v>
      </c>
      <c r="C12" s="30">
        <v>229</v>
      </c>
      <c r="D12" s="30">
        <v>178</v>
      </c>
      <c r="E12" s="30">
        <v>146</v>
      </c>
      <c r="F12" s="30">
        <v>88</v>
      </c>
      <c r="G12" s="31">
        <v>72</v>
      </c>
      <c r="H12" s="13"/>
      <c r="I12" s="32">
        <f t="shared" si="0"/>
        <v>11.492353880913791</v>
      </c>
      <c r="J12" s="33">
        <f t="shared" si="1"/>
        <v>2.8730884702284478</v>
      </c>
      <c r="K12" s="34">
        <f t="shared" si="1"/>
        <v>2.8730884702284478</v>
      </c>
      <c r="L12" s="34">
        <f t="shared" si="1"/>
        <v>2.8730884702284478</v>
      </c>
      <c r="M12" s="35">
        <f t="shared" si="1"/>
        <v>2.8730884702284478</v>
      </c>
      <c r="N12" s="13"/>
      <c r="O12" s="36">
        <f>((D12-$C12)/($C12-$B12))</f>
        <v>-0.68918918918918914</v>
      </c>
      <c r="P12" s="37">
        <f t="shared" si="2"/>
        <v>-1.1216216216216217</v>
      </c>
      <c r="Q12" s="37">
        <f t="shared" si="2"/>
        <v>-1.9054054054054055</v>
      </c>
      <c r="R12" s="38">
        <f t="shared" si="2"/>
        <v>-2.1216216216216215</v>
      </c>
      <c r="S12" s="13"/>
      <c r="T12" s="39">
        <f t="shared" si="3"/>
        <v>-1.9801015132655517</v>
      </c>
      <c r="U12" s="34">
        <f t="shared" si="3"/>
        <v>-3.2225181490400159</v>
      </c>
      <c r="V12" s="34">
        <f t="shared" si="3"/>
        <v>-5.4743983013812318</v>
      </c>
      <c r="W12" s="34">
        <f t="shared" si="3"/>
        <v>-6.0956066192684633</v>
      </c>
      <c r="X12" s="24">
        <f>SUMIF(T12:W12,"&gt;0")</f>
        <v>0</v>
      </c>
      <c r="Y12" s="40"/>
      <c r="Z12" s="41">
        <f t="shared" si="4"/>
        <v>0</v>
      </c>
      <c r="AA12" s="34">
        <f t="shared" si="4"/>
        <v>0</v>
      </c>
      <c r="AB12" s="34">
        <f t="shared" si="4"/>
        <v>0</v>
      </c>
      <c r="AC12" s="34">
        <f t="shared" si="4"/>
        <v>0</v>
      </c>
      <c r="AD12" s="24">
        <f>SUMIF(Z12:AC12,"&gt;0")</f>
        <v>0</v>
      </c>
      <c r="AF12" s="42"/>
      <c r="AG12" s="43"/>
      <c r="AH12" s="43"/>
      <c r="AI12" s="43"/>
      <c r="AJ12" s="44"/>
      <c r="AK12" s="45"/>
      <c r="AL12" s="49"/>
      <c r="AM12" s="50"/>
      <c r="AN12" s="50"/>
      <c r="AO12" s="50"/>
      <c r="AP12" s="51"/>
      <c r="AQ12" s="52"/>
      <c r="AR12" s="49"/>
      <c r="AS12" s="50"/>
      <c r="AT12" s="50"/>
      <c r="AU12" s="50"/>
      <c r="AV12" s="51"/>
      <c r="AW12" s="1" t="s">
        <v>30</v>
      </c>
    </row>
    <row r="13" spans="1:49" x14ac:dyDescent="0.25">
      <c r="A13" s="14" t="s">
        <v>32</v>
      </c>
      <c r="B13" s="30">
        <v>120</v>
      </c>
      <c r="C13" s="30">
        <v>170</v>
      </c>
      <c r="D13" s="30">
        <v>156</v>
      </c>
      <c r="E13" s="30">
        <v>151</v>
      </c>
      <c r="F13" s="30">
        <v>137</v>
      </c>
      <c r="G13" s="31">
        <v>113</v>
      </c>
      <c r="H13" s="13"/>
      <c r="I13" s="32">
        <f t="shared" si="0"/>
        <v>11.492353880913791</v>
      </c>
      <c r="J13" s="33">
        <f t="shared" si="1"/>
        <v>2.8730884702284478</v>
      </c>
      <c r="K13" s="34">
        <f t="shared" si="1"/>
        <v>2.8730884702284478</v>
      </c>
      <c r="L13" s="34">
        <f t="shared" si="1"/>
        <v>2.8730884702284478</v>
      </c>
      <c r="M13" s="35">
        <f t="shared" si="1"/>
        <v>2.8730884702284478</v>
      </c>
      <c r="N13" s="13"/>
      <c r="O13" s="36">
        <f t="shared" si="2"/>
        <v>-0.28000000000000003</v>
      </c>
      <c r="P13" s="37">
        <f t="shared" si="2"/>
        <v>-0.38</v>
      </c>
      <c r="Q13" s="37">
        <f t="shared" si="2"/>
        <v>-0.66</v>
      </c>
      <c r="R13" s="38">
        <f t="shared" si="2"/>
        <v>-1.1399999999999999</v>
      </c>
      <c r="S13" s="13"/>
      <c r="T13" s="39">
        <f t="shared" si="3"/>
        <v>-0.80446477166396546</v>
      </c>
      <c r="U13" s="34">
        <f t="shared" si="3"/>
        <v>-1.0917736186868101</v>
      </c>
      <c r="V13" s="34">
        <f t="shared" si="3"/>
        <v>-1.8962383903507756</v>
      </c>
      <c r="W13" s="34">
        <f t="shared" si="3"/>
        <v>-3.2753208560604303</v>
      </c>
      <c r="X13" s="24">
        <f t="shared" ref="X13:X16" si="5">SUMIF(T13:W13,"&gt;0")</f>
        <v>0</v>
      </c>
      <c r="Y13" s="40"/>
      <c r="Z13" s="41">
        <f t="shared" si="4"/>
        <v>0</v>
      </c>
      <c r="AA13" s="34">
        <f t="shared" si="4"/>
        <v>0</v>
      </c>
      <c r="AB13" s="34">
        <f t="shared" si="4"/>
        <v>0</v>
      </c>
      <c r="AC13" s="34">
        <f t="shared" si="4"/>
        <v>0</v>
      </c>
      <c r="AD13" s="24">
        <f t="shared" ref="AD13:AD16" si="6">SUMIF(Z13:AC13,"&gt;0")</f>
        <v>0</v>
      </c>
      <c r="AF13" s="42"/>
      <c r="AG13" s="43"/>
      <c r="AH13" s="43"/>
      <c r="AI13" s="43"/>
      <c r="AJ13" s="44"/>
      <c r="AK13" s="40"/>
      <c r="AL13" s="49"/>
      <c r="AM13" s="50"/>
      <c r="AN13" s="50"/>
      <c r="AO13" s="50"/>
      <c r="AP13" s="51"/>
      <c r="AQ13" s="52"/>
      <c r="AR13" s="49"/>
      <c r="AS13" s="50"/>
      <c r="AT13" s="50"/>
      <c r="AU13" s="50"/>
      <c r="AV13" s="51"/>
      <c r="AW13" s="1" t="s">
        <v>30</v>
      </c>
    </row>
    <row r="14" spans="1:49" x14ac:dyDescent="0.25">
      <c r="A14" s="14" t="s">
        <v>33</v>
      </c>
      <c r="B14" s="30">
        <v>92</v>
      </c>
      <c r="C14" s="30">
        <v>132</v>
      </c>
      <c r="D14" s="30">
        <v>30</v>
      </c>
      <c r="E14" s="30">
        <v>68</v>
      </c>
      <c r="F14" s="30">
        <v>53</v>
      </c>
      <c r="G14" s="31">
        <v>38</v>
      </c>
      <c r="H14" s="13"/>
      <c r="I14" s="32">
        <f t="shared" si="0"/>
        <v>11.492353880913791</v>
      </c>
      <c r="J14" s="33">
        <f t="shared" si="1"/>
        <v>2.8730884702284478</v>
      </c>
      <c r="K14" s="34">
        <f t="shared" si="1"/>
        <v>2.8730884702284478</v>
      </c>
      <c r="L14" s="34">
        <f t="shared" si="1"/>
        <v>2.8730884702284478</v>
      </c>
      <c r="M14" s="35">
        <f t="shared" si="1"/>
        <v>2.8730884702284478</v>
      </c>
      <c r="N14" s="13"/>
      <c r="O14" s="36">
        <f t="shared" si="2"/>
        <v>-2.5499999999999998</v>
      </c>
      <c r="P14" s="37">
        <f t="shared" si="2"/>
        <v>-1.6</v>
      </c>
      <c r="Q14" s="37">
        <f t="shared" si="2"/>
        <v>-1.9750000000000001</v>
      </c>
      <c r="R14" s="38">
        <f t="shared" si="2"/>
        <v>-2.35</v>
      </c>
      <c r="S14" s="13"/>
      <c r="T14" s="39">
        <f t="shared" si="3"/>
        <v>-7.3263755990825414</v>
      </c>
      <c r="U14" s="34">
        <f t="shared" si="3"/>
        <v>-4.596941552365517</v>
      </c>
      <c r="V14" s="34">
        <f t="shared" si="3"/>
        <v>-5.674349728701185</v>
      </c>
      <c r="W14" s="34">
        <f t="shared" si="3"/>
        <v>-6.751757905036853</v>
      </c>
      <c r="X14" s="24">
        <f t="shared" si="5"/>
        <v>0</v>
      </c>
      <c r="Y14" s="40"/>
      <c r="Z14" s="41">
        <f t="shared" si="4"/>
        <v>0</v>
      </c>
      <c r="AA14" s="34">
        <f t="shared" si="4"/>
        <v>0</v>
      </c>
      <c r="AB14" s="34">
        <f t="shared" si="4"/>
        <v>0</v>
      </c>
      <c r="AC14" s="34">
        <f t="shared" si="4"/>
        <v>0</v>
      </c>
      <c r="AD14" s="24">
        <f t="shared" si="6"/>
        <v>0</v>
      </c>
      <c r="AF14" s="42"/>
      <c r="AG14" s="43"/>
      <c r="AH14" s="43"/>
      <c r="AI14" s="43"/>
      <c r="AJ14" s="44"/>
      <c r="AK14" s="40"/>
      <c r="AL14" s="53"/>
      <c r="AM14" s="54"/>
      <c r="AN14" s="54"/>
      <c r="AO14" s="54"/>
      <c r="AP14" s="44"/>
      <c r="AQ14" s="52"/>
      <c r="AR14" s="53"/>
      <c r="AS14" s="54"/>
      <c r="AT14" s="54"/>
      <c r="AU14" s="54"/>
      <c r="AV14" s="44"/>
      <c r="AW14" s="1" t="s">
        <v>30</v>
      </c>
    </row>
    <row r="15" spans="1:49" x14ac:dyDescent="0.25">
      <c r="A15" s="14" t="s">
        <v>34</v>
      </c>
      <c r="B15" s="30">
        <v>13589</v>
      </c>
      <c r="C15" s="30">
        <v>14501</v>
      </c>
      <c r="D15" s="30">
        <v>13965</v>
      </c>
      <c r="E15" s="30">
        <v>14011</v>
      </c>
      <c r="F15" s="30">
        <v>12300</v>
      </c>
      <c r="G15" s="31">
        <v>9487</v>
      </c>
      <c r="H15" s="13"/>
      <c r="I15" s="32">
        <f t="shared" si="0"/>
        <v>11.492353880913791</v>
      </c>
      <c r="J15" s="33">
        <f t="shared" si="1"/>
        <v>2.8730884702284478</v>
      </c>
      <c r="K15" s="34">
        <f t="shared" si="1"/>
        <v>2.8730884702284478</v>
      </c>
      <c r="L15" s="34">
        <f t="shared" si="1"/>
        <v>2.8730884702284478</v>
      </c>
      <c r="M15" s="35">
        <f t="shared" si="1"/>
        <v>2.8730884702284478</v>
      </c>
      <c r="N15" s="13"/>
      <c r="O15" s="36">
        <f t="shared" si="2"/>
        <v>-0.58771929824561409</v>
      </c>
      <c r="P15" s="37">
        <f t="shared" si="2"/>
        <v>-0.53728070175438591</v>
      </c>
      <c r="Q15" s="37">
        <f t="shared" si="2"/>
        <v>-2.4133771929824563</v>
      </c>
      <c r="R15" s="38">
        <f t="shared" si="2"/>
        <v>-5.4978070175438596</v>
      </c>
      <c r="S15" s="13"/>
      <c r="T15" s="39">
        <f t="shared" si="3"/>
        <v>-1.6885695395202283</v>
      </c>
      <c r="U15" s="34">
        <f t="shared" si="3"/>
        <v>-1.5436549894867755</v>
      </c>
      <c r="V15" s="34">
        <f t="shared" si="3"/>
        <v>-6.9338461874701913</v>
      </c>
      <c r="W15" s="34">
        <f t="shared" si="3"/>
        <v>-15.795685953646313</v>
      </c>
      <c r="X15" s="24">
        <f t="shared" si="5"/>
        <v>0</v>
      </c>
      <c r="Y15" s="40"/>
      <c r="Z15" s="41">
        <f t="shared" si="4"/>
        <v>0</v>
      </c>
      <c r="AA15" s="34">
        <f t="shared" si="4"/>
        <v>0</v>
      </c>
      <c r="AB15" s="34">
        <f t="shared" si="4"/>
        <v>0</v>
      </c>
      <c r="AC15" s="34">
        <f t="shared" si="4"/>
        <v>0</v>
      </c>
      <c r="AD15" s="24">
        <f t="shared" si="6"/>
        <v>0</v>
      </c>
      <c r="AF15" s="42"/>
      <c r="AG15" s="43"/>
      <c r="AH15" s="43"/>
      <c r="AI15" s="43"/>
      <c r="AJ15" s="44"/>
      <c r="AK15" s="40"/>
      <c r="AL15" s="53"/>
      <c r="AM15" s="54"/>
      <c r="AN15" s="54"/>
      <c r="AO15" s="54"/>
      <c r="AP15" s="44"/>
      <c r="AQ15" s="52"/>
      <c r="AR15" s="53"/>
      <c r="AS15" s="54"/>
      <c r="AT15" s="54"/>
      <c r="AU15" s="54"/>
      <c r="AV15" s="44"/>
      <c r="AW15" s="1" t="s">
        <v>30</v>
      </c>
    </row>
    <row r="16" spans="1:49" ht="13.8" thickBot="1" x14ac:dyDescent="0.3">
      <c r="A16" s="55" t="s">
        <v>35</v>
      </c>
      <c r="B16" s="56">
        <v>250</v>
      </c>
      <c r="C16" s="56">
        <v>311</v>
      </c>
      <c r="D16" s="56">
        <v>94</v>
      </c>
      <c r="E16" s="56">
        <v>79</v>
      </c>
      <c r="F16" s="56">
        <v>81</v>
      </c>
      <c r="G16" s="57">
        <v>46</v>
      </c>
      <c r="H16" s="13"/>
      <c r="I16" s="58">
        <f t="shared" si="0"/>
        <v>11.492353880913791</v>
      </c>
      <c r="J16" s="59">
        <f t="shared" si="1"/>
        <v>2.8730884702284478</v>
      </c>
      <c r="K16" s="60">
        <f t="shared" si="1"/>
        <v>2.8730884702284478</v>
      </c>
      <c r="L16" s="60">
        <f t="shared" si="1"/>
        <v>2.8730884702284478</v>
      </c>
      <c r="M16" s="61">
        <f t="shared" si="1"/>
        <v>2.8730884702284478</v>
      </c>
      <c r="N16" s="13"/>
      <c r="O16" s="62">
        <f t="shared" si="2"/>
        <v>-3.557377049180328</v>
      </c>
      <c r="P16" s="63">
        <f t="shared" si="2"/>
        <v>-3.8032786885245899</v>
      </c>
      <c r="Q16" s="63">
        <f t="shared" si="2"/>
        <v>-3.7704918032786887</v>
      </c>
      <c r="R16" s="64">
        <f t="shared" si="2"/>
        <v>-4.3442622950819674</v>
      </c>
      <c r="S16" s="13"/>
      <c r="T16" s="65">
        <f t="shared" si="3"/>
        <v>-10.220658984255298</v>
      </c>
      <c r="U16" s="66">
        <f t="shared" si="3"/>
        <v>-10.927156149065571</v>
      </c>
      <c r="V16" s="66">
        <f t="shared" si="3"/>
        <v>-10.83295652709087</v>
      </c>
      <c r="W16" s="66">
        <f t="shared" si="3"/>
        <v>-12.481449911648175</v>
      </c>
      <c r="X16" s="67">
        <f t="shared" si="5"/>
        <v>0</v>
      </c>
      <c r="Y16" s="40"/>
      <c r="Z16" s="68">
        <f t="shared" si="4"/>
        <v>0</v>
      </c>
      <c r="AA16" s="60">
        <f t="shared" si="4"/>
        <v>0</v>
      </c>
      <c r="AB16" s="66">
        <f t="shared" si="4"/>
        <v>0</v>
      </c>
      <c r="AC16" s="66">
        <f t="shared" si="4"/>
        <v>0</v>
      </c>
      <c r="AD16" s="67">
        <f t="shared" si="6"/>
        <v>0</v>
      </c>
      <c r="AF16" s="69"/>
      <c r="AG16" s="70"/>
      <c r="AH16" s="70"/>
      <c r="AI16" s="70"/>
      <c r="AJ16" s="71"/>
      <c r="AK16" s="40"/>
      <c r="AL16" s="72"/>
      <c r="AM16" s="73"/>
      <c r="AN16" s="73"/>
      <c r="AO16" s="73"/>
      <c r="AP16" s="74"/>
      <c r="AQ16" s="52"/>
      <c r="AR16" s="72"/>
      <c r="AS16" s="73"/>
      <c r="AT16" s="73"/>
      <c r="AU16" s="73"/>
      <c r="AV16" s="74"/>
      <c r="AW16" s="1" t="s">
        <v>30</v>
      </c>
    </row>
    <row r="17" spans="1:49" ht="13.8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5">
        <f>SUMIF(T11:T16,"&gt;0")</f>
        <v>0</v>
      </c>
      <c r="U17" s="76">
        <f t="shared" ref="U17:X17" si="7">SUMIF(U11:U16,"&gt;0")</f>
        <v>0</v>
      </c>
      <c r="V17" s="76">
        <f t="shared" si="7"/>
        <v>0</v>
      </c>
      <c r="W17" s="76">
        <f t="shared" si="7"/>
        <v>0</v>
      </c>
      <c r="X17" s="77">
        <f t="shared" si="7"/>
        <v>0</v>
      </c>
      <c r="Y17" s="78"/>
      <c r="Z17" s="75">
        <f>SUM(Z11:Z16)</f>
        <v>0</v>
      </c>
      <c r="AA17" s="76">
        <f t="shared" ref="AA17:AD17" si="8">SUM(AA11:AA16)</f>
        <v>0</v>
      </c>
      <c r="AB17" s="76">
        <f t="shared" si="8"/>
        <v>0</v>
      </c>
      <c r="AC17" s="76">
        <f t="shared" si="8"/>
        <v>0</v>
      </c>
      <c r="AD17" s="77">
        <f t="shared" si="8"/>
        <v>0</v>
      </c>
      <c r="AF17" s="79"/>
      <c r="AG17" s="80"/>
      <c r="AH17" s="80"/>
      <c r="AI17" s="80"/>
      <c r="AJ17" s="81"/>
      <c r="AK17" s="40"/>
      <c r="AL17" s="79"/>
      <c r="AM17" s="80"/>
      <c r="AN17" s="80"/>
      <c r="AO17" s="80"/>
      <c r="AP17" s="81"/>
      <c r="AQ17" s="45"/>
      <c r="AR17" s="79"/>
      <c r="AS17" s="80"/>
      <c r="AT17" s="80"/>
      <c r="AU17" s="80"/>
      <c r="AV17" s="81"/>
    </row>
    <row r="18" spans="1:4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F18" s="40"/>
      <c r="AG18" s="40"/>
      <c r="AH18" s="40"/>
      <c r="AI18" s="40"/>
      <c r="AJ18" s="82"/>
      <c r="AK18" s="40"/>
      <c r="AL18" s="13"/>
      <c r="AM18" s="13"/>
      <c r="AN18" s="13"/>
      <c r="AO18" s="13"/>
      <c r="AP18" s="40"/>
      <c r="AQ18" s="45"/>
    </row>
    <row r="19" spans="1:49" ht="16.2" thickBot="1" x14ac:dyDescent="0.35">
      <c r="A19" s="174" t="s">
        <v>36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</row>
    <row r="20" spans="1:49" ht="14.4" thickBot="1" x14ac:dyDescent="0.3">
      <c r="A20" s="175" t="s">
        <v>2</v>
      </c>
      <c r="B20" s="176"/>
      <c r="C20" s="176"/>
      <c r="D20" s="177"/>
      <c r="E20" s="178" t="s">
        <v>3</v>
      </c>
      <c r="F20" s="180" t="s">
        <v>4</v>
      </c>
      <c r="G20" s="181"/>
      <c r="H20" s="11"/>
      <c r="I20" s="11"/>
      <c r="K20" s="83"/>
      <c r="L20" s="83"/>
      <c r="M20" s="13"/>
      <c r="N20" s="13"/>
      <c r="O20" s="182"/>
      <c r="P20" s="18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F20" s="84"/>
      <c r="AG20" s="84"/>
      <c r="AH20" s="84"/>
      <c r="AI20" s="84"/>
      <c r="AL20" s="84"/>
      <c r="AM20" s="84"/>
      <c r="AN20" s="84"/>
      <c r="AO20" s="84"/>
    </row>
    <row r="21" spans="1:49" ht="40.200000000000003" thickBot="1" x14ac:dyDescent="0.3">
      <c r="A21" s="2" t="s">
        <v>5</v>
      </c>
      <c r="B21" s="3" t="s">
        <v>6</v>
      </c>
      <c r="C21" s="3" t="s">
        <v>7</v>
      </c>
      <c r="D21" s="3" t="s">
        <v>8</v>
      </c>
      <c r="E21" s="179"/>
      <c r="F21" s="3" t="s">
        <v>9</v>
      </c>
      <c r="G21" s="6" t="s">
        <v>10</v>
      </c>
      <c r="H21" s="11"/>
      <c r="I21" s="11"/>
      <c r="K21" s="85"/>
      <c r="L21" s="40"/>
      <c r="M21" s="13"/>
      <c r="N21" s="13"/>
      <c r="O21" s="86"/>
      <c r="P21" s="86"/>
      <c r="Q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F21" s="87"/>
      <c r="AG21" s="87"/>
      <c r="AH21" s="87"/>
      <c r="AI21" s="87"/>
      <c r="AL21" s="87"/>
      <c r="AM21" s="87"/>
      <c r="AN21" s="87"/>
      <c r="AO21" s="87"/>
      <c r="AP21" s="87"/>
    </row>
    <row r="22" spans="1:49" ht="13.8" thickBot="1" x14ac:dyDescent="0.3">
      <c r="A22" s="8">
        <v>274.41783873733976</v>
      </c>
      <c r="B22" s="9">
        <v>0</v>
      </c>
      <c r="C22" s="9">
        <f>A22-B22</f>
        <v>274.41783873733976</v>
      </c>
      <c r="D22" s="9">
        <f>C22*G22/F22</f>
        <v>280.08864762409519</v>
      </c>
      <c r="E22" s="9">
        <f>D22*0.5</f>
        <v>140.04432381204759</v>
      </c>
      <c r="F22" s="88">
        <v>111.30000000000001</v>
      </c>
      <c r="G22" s="89">
        <v>113.6</v>
      </c>
      <c r="H22" s="11"/>
      <c r="I22" s="13"/>
      <c r="L22" s="11"/>
      <c r="M22" s="11"/>
      <c r="N22" s="11"/>
      <c r="Q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49" ht="13.8" thickBo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49" ht="62.25" customHeight="1" thickBot="1" x14ac:dyDescent="0.3">
      <c r="A24" s="165" t="s">
        <v>11</v>
      </c>
      <c r="B24" s="166"/>
      <c r="C24" s="166"/>
      <c r="D24" s="166"/>
      <c r="E24" s="166"/>
      <c r="F24" s="166"/>
      <c r="G24" s="167"/>
      <c r="H24" s="11"/>
      <c r="I24" s="168" t="s">
        <v>12</v>
      </c>
      <c r="J24" s="169"/>
      <c r="K24" s="169"/>
      <c r="L24" s="169"/>
      <c r="M24" s="170"/>
      <c r="N24" s="11"/>
      <c r="O24" s="155" t="s">
        <v>13</v>
      </c>
      <c r="P24" s="156"/>
      <c r="Q24" s="156"/>
      <c r="R24" s="157"/>
      <c r="S24" s="11"/>
      <c r="T24" s="155" t="s">
        <v>14</v>
      </c>
      <c r="U24" s="156"/>
      <c r="V24" s="156"/>
      <c r="W24" s="156"/>
      <c r="X24" s="157"/>
      <c r="Y24" s="12"/>
      <c r="Z24" s="155" t="s">
        <v>15</v>
      </c>
      <c r="AA24" s="156"/>
      <c r="AB24" s="156"/>
      <c r="AC24" s="156"/>
      <c r="AD24" s="157"/>
      <c r="AF24" s="155" t="s">
        <v>37</v>
      </c>
      <c r="AG24" s="156"/>
      <c r="AH24" s="156"/>
      <c r="AI24" s="156"/>
      <c r="AJ24" s="157"/>
      <c r="AK24" s="12"/>
      <c r="AL24" s="155" t="s">
        <v>17</v>
      </c>
      <c r="AM24" s="156"/>
      <c r="AN24" s="156"/>
      <c r="AO24" s="156"/>
      <c r="AP24" s="157"/>
      <c r="AQ24" s="12"/>
      <c r="AR24" s="155" t="s">
        <v>18</v>
      </c>
      <c r="AS24" s="156"/>
      <c r="AT24" s="156"/>
      <c r="AU24" s="156"/>
      <c r="AV24" s="157"/>
    </row>
    <row r="25" spans="1:49" ht="13.8" thickBot="1" x14ac:dyDescent="0.3">
      <c r="A25" s="161"/>
      <c r="B25" s="162"/>
      <c r="C25" s="162"/>
      <c r="D25" s="163" t="s">
        <v>19</v>
      </c>
      <c r="E25" s="163"/>
      <c r="F25" s="163"/>
      <c r="G25" s="164"/>
      <c r="H25" s="13"/>
      <c r="I25" s="90"/>
      <c r="J25" s="91" t="s">
        <v>20</v>
      </c>
      <c r="K25" s="92" t="s">
        <v>21</v>
      </c>
      <c r="L25" s="92" t="s">
        <v>22</v>
      </c>
      <c r="M25" s="93" t="s">
        <v>23</v>
      </c>
      <c r="N25" s="13"/>
      <c r="O25" s="158"/>
      <c r="P25" s="159"/>
      <c r="Q25" s="159"/>
      <c r="R25" s="160"/>
      <c r="S25" s="13"/>
      <c r="T25" s="158"/>
      <c r="U25" s="159"/>
      <c r="V25" s="159"/>
      <c r="W25" s="159"/>
      <c r="X25" s="160"/>
      <c r="Y25" s="26"/>
      <c r="Z25" s="171"/>
      <c r="AA25" s="172"/>
      <c r="AB25" s="172"/>
      <c r="AC25" s="172"/>
      <c r="AD25" s="173"/>
      <c r="AF25" s="171"/>
      <c r="AG25" s="172"/>
      <c r="AH25" s="172"/>
      <c r="AI25" s="172"/>
      <c r="AJ25" s="173"/>
      <c r="AK25" s="26"/>
      <c r="AL25" s="158"/>
      <c r="AM25" s="159"/>
      <c r="AN25" s="159"/>
      <c r="AO25" s="159"/>
      <c r="AP25" s="160"/>
      <c r="AQ25" s="26"/>
      <c r="AR25" s="158"/>
      <c r="AS25" s="159"/>
      <c r="AT25" s="159"/>
      <c r="AU25" s="159"/>
      <c r="AV25" s="160"/>
    </row>
    <row r="26" spans="1:49" ht="26.4" x14ac:dyDescent="0.25">
      <c r="A26" s="18" t="s">
        <v>24</v>
      </c>
      <c r="B26" s="19" t="s">
        <v>25</v>
      </c>
      <c r="C26" s="19" t="s">
        <v>26</v>
      </c>
      <c r="D26" s="20" t="s">
        <v>20</v>
      </c>
      <c r="E26" s="19" t="s">
        <v>21</v>
      </c>
      <c r="F26" s="19" t="s">
        <v>22</v>
      </c>
      <c r="G26" s="21" t="s">
        <v>23</v>
      </c>
      <c r="H26" s="13"/>
      <c r="I26" s="22" t="s">
        <v>27</v>
      </c>
      <c r="J26" s="23">
        <f>$E$22/4</f>
        <v>35.011080953011898</v>
      </c>
      <c r="K26" s="23">
        <f>$E$22/4</f>
        <v>35.011080953011898</v>
      </c>
      <c r="L26" s="23">
        <f>$E$22/4</f>
        <v>35.011080953011898</v>
      </c>
      <c r="M26" s="24">
        <f>$E$22/4</f>
        <v>35.011080953011898</v>
      </c>
      <c r="N26" s="13"/>
      <c r="O26" s="94" t="s">
        <v>20</v>
      </c>
      <c r="P26" s="92" t="s">
        <v>21</v>
      </c>
      <c r="Q26" s="92" t="s">
        <v>22</v>
      </c>
      <c r="R26" s="93" t="s">
        <v>23</v>
      </c>
      <c r="S26" s="13"/>
      <c r="T26" s="94" t="s">
        <v>20</v>
      </c>
      <c r="U26" s="92" t="s">
        <v>21</v>
      </c>
      <c r="V26" s="92" t="s">
        <v>22</v>
      </c>
      <c r="W26" s="92" t="s">
        <v>23</v>
      </c>
      <c r="X26" s="93" t="s">
        <v>28</v>
      </c>
      <c r="Y26" s="13"/>
      <c r="Z26" s="95" t="s">
        <v>20</v>
      </c>
      <c r="AA26" s="92" t="s">
        <v>21</v>
      </c>
      <c r="AB26" s="92" t="s">
        <v>22</v>
      </c>
      <c r="AC26" s="92" t="s">
        <v>23</v>
      </c>
      <c r="AD26" s="93" t="s">
        <v>28</v>
      </c>
      <c r="AF26" s="94" t="s">
        <v>20</v>
      </c>
      <c r="AG26" s="92" t="s">
        <v>21</v>
      </c>
      <c r="AH26" s="92" t="s">
        <v>22</v>
      </c>
      <c r="AI26" s="92" t="s">
        <v>23</v>
      </c>
      <c r="AJ26" s="93" t="s">
        <v>28</v>
      </c>
      <c r="AK26" s="13"/>
      <c r="AL26" s="94" t="s">
        <v>20</v>
      </c>
      <c r="AM26" s="92" t="s">
        <v>21</v>
      </c>
      <c r="AN26" s="92" t="s">
        <v>22</v>
      </c>
      <c r="AO26" s="92" t="s">
        <v>23</v>
      </c>
      <c r="AP26" s="93" t="s">
        <v>28</v>
      </c>
      <c r="AQ26" s="13"/>
      <c r="AR26" s="94" t="s">
        <v>20</v>
      </c>
      <c r="AS26" s="92" t="s">
        <v>21</v>
      </c>
      <c r="AT26" s="92" t="s">
        <v>22</v>
      </c>
      <c r="AU26" s="92" t="s">
        <v>23</v>
      </c>
      <c r="AV26" s="93" t="s">
        <v>28</v>
      </c>
    </row>
    <row r="27" spans="1:49" ht="39.6" x14ac:dyDescent="0.25">
      <c r="A27" s="96" t="s">
        <v>38</v>
      </c>
      <c r="B27" s="97">
        <v>2.44</v>
      </c>
      <c r="C27" s="97">
        <v>3.42</v>
      </c>
      <c r="D27" s="97">
        <v>3.73</v>
      </c>
      <c r="E27" s="97">
        <v>2.21</v>
      </c>
      <c r="F27" s="97">
        <v>2.1</v>
      </c>
      <c r="G27" s="98">
        <v>0.86999999999999988</v>
      </c>
      <c r="H27" s="13"/>
      <c r="I27" s="32">
        <f>$E$22/3</f>
        <v>46.681441270682534</v>
      </c>
      <c r="J27" s="33">
        <f>J$26/3</f>
        <v>11.670360317670633</v>
      </c>
      <c r="K27" s="33">
        <f t="shared" ref="K27:M29" si="9">K$26/3</f>
        <v>11.670360317670633</v>
      </c>
      <c r="L27" s="33">
        <f t="shared" si="9"/>
        <v>11.670360317670633</v>
      </c>
      <c r="M27" s="99">
        <f t="shared" si="9"/>
        <v>11.670360317670633</v>
      </c>
      <c r="N27" s="13"/>
      <c r="O27" s="36">
        <f t="shared" ref="O27:R29" si="10">((D27-$C27)/($C27-$B27))</f>
        <v>0.31632653061224497</v>
      </c>
      <c r="P27" s="37">
        <f t="shared" si="10"/>
        <v>-1.2346938775510203</v>
      </c>
      <c r="Q27" s="37">
        <f t="shared" si="10"/>
        <v>-1.346938775510204</v>
      </c>
      <c r="R27" s="38">
        <f t="shared" si="10"/>
        <v>-2.6020408163265305</v>
      </c>
      <c r="S27" s="13"/>
      <c r="T27" s="39">
        <f>J27*O27</f>
        <v>3.6916445902835684</v>
      </c>
      <c r="U27" s="34">
        <f>K27*P27</f>
        <v>-14.409322433042313</v>
      </c>
      <c r="V27" s="34">
        <f t="shared" ref="V27:W29" si="11">L27*Q27</f>
        <v>-15.719260836046159</v>
      </c>
      <c r="W27" s="34">
        <f t="shared" si="11"/>
        <v>-30.366753887816444</v>
      </c>
      <c r="X27" s="24">
        <f>SUMIF(T27:W27,"&gt;0")</f>
        <v>3.6916445902835684</v>
      </c>
      <c r="Y27" s="40"/>
      <c r="Z27" s="41">
        <f t="shared" ref="Z27:AC28" si="12">IF(T27&gt;0,T27,0)</f>
        <v>3.6916445902835684</v>
      </c>
      <c r="AA27" s="34">
        <f t="shared" si="12"/>
        <v>0</v>
      </c>
      <c r="AB27" s="34">
        <f t="shared" si="12"/>
        <v>0</v>
      </c>
      <c r="AC27" s="34">
        <f t="shared" si="12"/>
        <v>0</v>
      </c>
      <c r="AD27" s="24">
        <f t="shared" ref="AD27:AD29" si="13">SUMIF(Z27:AC27,"&gt;0")</f>
        <v>3.6916445902835684</v>
      </c>
      <c r="AE27" s="100"/>
      <c r="AF27" s="42"/>
      <c r="AG27" s="43"/>
      <c r="AH27" s="43"/>
      <c r="AI27" s="43"/>
      <c r="AJ27" s="44"/>
      <c r="AK27" s="101"/>
      <c r="AL27" s="49"/>
      <c r="AM27" s="50"/>
      <c r="AN27" s="50"/>
      <c r="AO27" s="50"/>
      <c r="AP27" s="51"/>
      <c r="AR27" s="49"/>
      <c r="AS27" s="50"/>
      <c r="AT27" s="50"/>
      <c r="AU27" s="50"/>
      <c r="AV27" s="51"/>
      <c r="AW27" s="1" t="s">
        <v>30</v>
      </c>
    </row>
    <row r="28" spans="1:49" ht="39.6" x14ac:dyDescent="0.25">
      <c r="A28" s="96" t="s">
        <v>39</v>
      </c>
      <c r="B28" s="97">
        <v>0.1</v>
      </c>
      <c r="C28" s="97">
        <v>0.19</v>
      </c>
      <c r="D28" s="97">
        <v>0.28000000000000003</v>
      </c>
      <c r="E28" s="97">
        <v>0</v>
      </c>
      <c r="F28" s="97">
        <v>0.04</v>
      </c>
      <c r="G28" s="98">
        <v>0.1</v>
      </c>
      <c r="H28" s="13"/>
      <c r="I28" s="32">
        <f>$E$22/3</f>
        <v>46.681441270682534</v>
      </c>
      <c r="J28" s="33">
        <f t="shared" ref="J28:J29" si="14">J$26/3</f>
        <v>11.670360317670633</v>
      </c>
      <c r="K28" s="33">
        <f t="shared" si="9"/>
        <v>11.670360317670633</v>
      </c>
      <c r="L28" s="33">
        <f t="shared" si="9"/>
        <v>11.670360317670633</v>
      </c>
      <c r="M28" s="99">
        <f t="shared" si="9"/>
        <v>11.670360317670633</v>
      </c>
      <c r="N28" s="13"/>
      <c r="O28" s="36">
        <f t="shared" si="10"/>
        <v>1.0000000000000002</v>
      </c>
      <c r="P28" s="37">
        <f t="shared" si="10"/>
        <v>-2.1111111111111112</v>
      </c>
      <c r="Q28" s="37">
        <f t="shared" si="10"/>
        <v>-1.6666666666666667</v>
      </c>
      <c r="R28" s="38">
        <f t="shared" si="10"/>
        <v>-1</v>
      </c>
      <c r="S28" s="13"/>
      <c r="T28" s="39">
        <f t="shared" ref="T28:T29" si="15">J28*O28</f>
        <v>11.670360317670635</v>
      </c>
      <c r="U28" s="34">
        <f>K28*P28</f>
        <v>-24.637427337304672</v>
      </c>
      <c r="V28" s="34">
        <f t="shared" si="11"/>
        <v>-19.450600529451055</v>
      </c>
      <c r="W28" s="34">
        <f t="shared" si="11"/>
        <v>-11.670360317670633</v>
      </c>
      <c r="X28" s="67">
        <f>SUMIF(T28:W28,"&gt;0")</f>
        <v>11.670360317670635</v>
      </c>
      <c r="Y28" s="40"/>
      <c r="Z28" s="41">
        <f t="shared" si="12"/>
        <v>11.670360317670635</v>
      </c>
      <c r="AA28" s="34">
        <f t="shared" si="12"/>
        <v>0</v>
      </c>
      <c r="AB28" s="34">
        <f t="shared" si="12"/>
        <v>0</v>
      </c>
      <c r="AC28" s="34">
        <f t="shared" si="12"/>
        <v>0</v>
      </c>
      <c r="AD28" s="24">
        <f t="shared" si="13"/>
        <v>11.670360317670635</v>
      </c>
      <c r="AE28" s="100"/>
      <c r="AF28" s="42"/>
      <c r="AG28" s="43"/>
      <c r="AH28" s="43"/>
      <c r="AI28" s="43"/>
      <c r="AJ28" s="44"/>
      <c r="AK28" s="82"/>
      <c r="AL28" s="53"/>
      <c r="AM28" s="54"/>
      <c r="AN28" s="54"/>
      <c r="AO28" s="54"/>
      <c r="AP28" s="44"/>
      <c r="AR28" s="53"/>
      <c r="AS28" s="54"/>
      <c r="AT28" s="54"/>
      <c r="AU28" s="54"/>
      <c r="AV28" s="44"/>
      <c r="AW28" s="1" t="s">
        <v>30</v>
      </c>
    </row>
    <row r="29" spans="1:49" ht="27" thickBot="1" x14ac:dyDescent="0.3">
      <c r="A29" s="102" t="s">
        <v>40</v>
      </c>
      <c r="B29" s="56">
        <v>27493</v>
      </c>
      <c r="C29" s="56">
        <v>29627</v>
      </c>
      <c r="D29" s="56">
        <v>38601</v>
      </c>
      <c r="E29" s="56">
        <v>43169</v>
      </c>
      <c r="F29" s="56">
        <v>47000</v>
      </c>
      <c r="G29" s="103">
        <v>45547</v>
      </c>
      <c r="H29" s="13"/>
      <c r="I29" s="58">
        <f>$E$22/3</f>
        <v>46.681441270682534</v>
      </c>
      <c r="J29" s="59">
        <f t="shared" si="14"/>
        <v>11.670360317670633</v>
      </c>
      <c r="K29" s="59">
        <f t="shared" si="9"/>
        <v>11.670360317670633</v>
      </c>
      <c r="L29" s="59">
        <f t="shared" si="9"/>
        <v>11.670360317670633</v>
      </c>
      <c r="M29" s="104">
        <f t="shared" si="9"/>
        <v>11.670360317670633</v>
      </c>
      <c r="N29" s="13"/>
      <c r="O29" s="62">
        <f t="shared" si="10"/>
        <v>4.205248359887535</v>
      </c>
      <c r="P29" s="63">
        <f t="shared" si="10"/>
        <v>6.3458294283036549</v>
      </c>
      <c r="Q29" s="63">
        <f t="shared" si="10"/>
        <v>8.1410496719775072</v>
      </c>
      <c r="R29" s="64">
        <f t="shared" si="10"/>
        <v>7.4601686972820991</v>
      </c>
      <c r="S29" s="13"/>
      <c r="T29" s="65">
        <f t="shared" si="15"/>
        <v>49.076763585181006</v>
      </c>
      <c r="U29" s="66">
        <f>K29*P29</f>
        <v>74.058115942781498</v>
      </c>
      <c r="V29" s="66">
        <f t="shared" si="11"/>
        <v>95.008983036031822</v>
      </c>
      <c r="W29" s="105">
        <f t="shared" si="11"/>
        <v>87.062856727889638</v>
      </c>
      <c r="X29" s="106">
        <f>SUMIF(T29:W29,"&gt;0")</f>
        <v>305.20671929188399</v>
      </c>
      <c r="Y29" s="107"/>
      <c r="Z29" s="108">
        <f>J29*1</f>
        <v>11.670360317670633</v>
      </c>
      <c r="AA29" s="109">
        <f>K29*1</f>
        <v>11.670360317670633</v>
      </c>
      <c r="AB29" s="110">
        <f t="shared" ref="AB29:AC29" si="16">L29*1</f>
        <v>11.670360317670633</v>
      </c>
      <c r="AC29" s="110">
        <f t="shared" si="16"/>
        <v>11.670360317670633</v>
      </c>
      <c r="AD29" s="67">
        <f t="shared" si="13"/>
        <v>46.681441270682534</v>
      </c>
      <c r="AE29" s="100"/>
      <c r="AF29" s="69"/>
      <c r="AG29" s="70"/>
      <c r="AH29" s="70"/>
      <c r="AI29" s="70"/>
      <c r="AJ29" s="71"/>
      <c r="AK29" s="82"/>
      <c r="AL29" s="72"/>
      <c r="AM29" s="73"/>
      <c r="AN29" s="73"/>
      <c r="AO29" s="73"/>
      <c r="AP29" s="74"/>
      <c r="AR29" s="72"/>
      <c r="AS29" s="73"/>
      <c r="AT29" s="73"/>
      <c r="AU29" s="73"/>
      <c r="AV29" s="74"/>
      <c r="AW29" s="1" t="s">
        <v>30</v>
      </c>
    </row>
    <row r="30" spans="1:49" ht="13.8" thickBot="1" x14ac:dyDescent="0.3">
      <c r="A30" s="11"/>
      <c r="B30" s="11"/>
      <c r="C30" s="11"/>
      <c r="D30" s="11"/>
      <c r="E30" s="11"/>
      <c r="F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5">
        <f>SUMIF(T27:T29,"&gt;0")</f>
        <v>64.438768493135214</v>
      </c>
      <c r="U30" s="76">
        <f t="shared" ref="U30:W30" si="17">SUMIF(U27:U29,"&gt;0")</f>
        <v>74.058115942781498</v>
      </c>
      <c r="V30" s="76">
        <f t="shared" si="17"/>
        <v>95.008983036031822</v>
      </c>
      <c r="W30" s="76">
        <f t="shared" si="17"/>
        <v>87.062856727889638</v>
      </c>
      <c r="X30" s="77">
        <f>SUMIF(X27:X29,"&gt;0")</f>
        <v>320.56872419983819</v>
      </c>
      <c r="Y30" s="111"/>
      <c r="Z30" s="75">
        <f>SUMIF(Z27:Z29,"&gt;0")</f>
        <v>27.032365225624837</v>
      </c>
      <c r="AA30" s="76">
        <f t="shared" ref="AA30:AC30" si="18">SUMIF(AA27:AA29,"&gt;0")</f>
        <v>11.670360317670633</v>
      </c>
      <c r="AB30" s="76">
        <f t="shared" si="18"/>
        <v>11.670360317670633</v>
      </c>
      <c r="AC30" s="76">
        <f t="shared" si="18"/>
        <v>11.670360317670633</v>
      </c>
      <c r="AD30" s="77">
        <f>SUMIF(AD27:AD29,"&gt;0")</f>
        <v>62.043446178636735</v>
      </c>
      <c r="AE30" s="100"/>
      <c r="AF30" s="79"/>
      <c r="AG30" s="80"/>
      <c r="AH30" s="80"/>
      <c r="AI30" s="80"/>
      <c r="AJ30" s="81"/>
      <c r="AK30" s="82"/>
      <c r="AL30" s="79"/>
      <c r="AM30" s="80"/>
      <c r="AN30" s="80"/>
      <c r="AO30" s="80"/>
      <c r="AP30" s="81"/>
      <c r="AQ30" s="85"/>
      <c r="AR30" s="79"/>
      <c r="AS30" s="80"/>
      <c r="AT30" s="80"/>
      <c r="AU30" s="80"/>
      <c r="AV30" s="81"/>
    </row>
    <row r="31" spans="1:49" x14ac:dyDescent="0.25">
      <c r="A31" s="11"/>
      <c r="B31" s="11"/>
      <c r="C31" s="11"/>
      <c r="D31" s="11"/>
      <c r="E31" s="11"/>
      <c r="F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8"/>
      <c r="U31" s="78"/>
      <c r="V31" s="78"/>
      <c r="W31" s="78"/>
      <c r="X31" s="78"/>
      <c r="Y31" s="111"/>
      <c r="Z31" s="78"/>
      <c r="AA31" s="78"/>
      <c r="AB31" s="78"/>
      <c r="AC31" s="78"/>
      <c r="AD31" s="78"/>
      <c r="AE31" s="10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85"/>
    </row>
    <row r="32" spans="1:49" ht="16.2" thickBot="1" x14ac:dyDescent="0.35">
      <c r="A32" s="174" t="s">
        <v>41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</row>
    <row r="33" spans="1:49" ht="13.8" thickBot="1" x14ac:dyDescent="0.3">
      <c r="A33" s="175" t="s">
        <v>2</v>
      </c>
      <c r="B33" s="176"/>
      <c r="C33" s="176"/>
      <c r="D33" s="177"/>
      <c r="E33" s="178" t="s">
        <v>3</v>
      </c>
      <c r="F33" s="180" t="s">
        <v>4</v>
      </c>
      <c r="G33" s="18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8"/>
      <c r="U33" s="78"/>
      <c r="V33" s="78"/>
      <c r="W33" s="78"/>
      <c r="X33" s="78"/>
      <c r="Y33" s="111"/>
      <c r="Z33" s="78"/>
      <c r="AA33" s="78"/>
      <c r="AB33" s="78"/>
      <c r="AC33" s="78"/>
      <c r="AD33" s="78"/>
      <c r="AE33" s="10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85"/>
      <c r="AR33" s="186" t="s">
        <v>42</v>
      </c>
      <c r="AS33" s="187"/>
      <c r="AT33" s="187"/>
      <c r="AU33" s="188"/>
    </row>
    <row r="34" spans="1:49" ht="40.200000000000003" thickBot="1" x14ac:dyDescent="0.3">
      <c r="A34" s="2" t="s">
        <v>5</v>
      </c>
      <c r="B34" s="3" t="s">
        <v>6</v>
      </c>
      <c r="C34" s="3" t="s">
        <v>7</v>
      </c>
      <c r="D34" s="3" t="s">
        <v>8</v>
      </c>
      <c r="E34" s="179"/>
      <c r="F34" s="3" t="s">
        <v>9</v>
      </c>
      <c r="G34" s="6" t="s">
        <v>10</v>
      </c>
      <c r="H34" s="11"/>
      <c r="I34" s="11"/>
      <c r="J34" s="182"/>
      <c r="K34" s="183"/>
      <c r="L34" s="13"/>
      <c r="M34" s="13"/>
      <c r="N34" s="13"/>
      <c r="O34" s="83"/>
      <c r="P34" s="83"/>
      <c r="Q34" s="13"/>
      <c r="R34" s="13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R34" s="112" t="s">
        <v>43</v>
      </c>
      <c r="AS34" s="112" t="s">
        <v>44</v>
      </c>
      <c r="AT34" s="112" t="s">
        <v>45</v>
      </c>
      <c r="AU34" s="112" t="s">
        <v>46</v>
      </c>
    </row>
    <row r="35" spans="1:49" ht="13.8" thickBot="1" x14ac:dyDescent="0.3">
      <c r="A35" s="8">
        <v>207.08488940375915</v>
      </c>
      <c r="B35" s="9">
        <v>0</v>
      </c>
      <c r="C35" s="9">
        <f>A35-B35</f>
        <v>207.08488940375915</v>
      </c>
      <c r="D35" s="9">
        <f>C35*G35/F35</f>
        <v>211.36427166457355</v>
      </c>
      <c r="E35" s="9">
        <f>D35*0.5</f>
        <v>105.68213583228678</v>
      </c>
      <c r="F35" s="88">
        <v>111.30000000000001</v>
      </c>
      <c r="G35" s="89">
        <v>113.6</v>
      </c>
      <c r="H35" s="11"/>
      <c r="I35" s="11"/>
      <c r="J35" s="86"/>
      <c r="K35" s="86"/>
      <c r="L35" s="13"/>
      <c r="M35" s="13"/>
      <c r="N35" s="13"/>
      <c r="O35" s="85"/>
      <c r="P35" s="40"/>
      <c r="Q35" s="13"/>
      <c r="R35" s="1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R35" s="113">
        <v>3.7050068799999947E-2</v>
      </c>
      <c r="AS35" s="113">
        <v>4.0901868524799934E-2</v>
      </c>
      <c r="AT35" s="113">
        <v>4.4738261050700778E-2</v>
      </c>
      <c r="AU35" s="113">
        <v>4.8559308006497992E-2</v>
      </c>
    </row>
    <row r="36" spans="1:49" ht="13.8" thickBot="1" x14ac:dyDescent="0.3">
      <c r="A36" s="114"/>
      <c r="B36" s="11"/>
      <c r="C36" s="11"/>
      <c r="D36" s="11"/>
      <c r="E36" s="11"/>
      <c r="F36" s="11"/>
      <c r="G36" s="11"/>
      <c r="H36" s="11"/>
      <c r="I36" s="115"/>
      <c r="J36" s="11"/>
      <c r="K36" s="11"/>
      <c r="L36" s="11"/>
      <c r="M36" s="11"/>
      <c r="N36" s="11"/>
      <c r="O36" s="184"/>
      <c r="P36" s="184"/>
      <c r="Q36" s="184"/>
      <c r="R36" s="184"/>
      <c r="S36" s="11"/>
      <c r="T36" s="185"/>
      <c r="U36" s="185"/>
      <c r="V36" s="185"/>
      <c r="W36" s="185"/>
      <c r="X36" s="185"/>
      <c r="Y36" s="116"/>
      <c r="Z36" s="116"/>
      <c r="AA36" s="116"/>
      <c r="AB36" s="116"/>
      <c r="AC36" s="116"/>
      <c r="AD36" s="116"/>
    </row>
    <row r="37" spans="1:49" ht="55.5" customHeight="1" thickBot="1" x14ac:dyDescent="0.3">
      <c r="A37" s="165" t="s">
        <v>11</v>
      </c>
      <c r="B37" s="166"/>
      <c r="C37" s="166"/>
      <c r="D37" s="166"/>
      <c r="E37" s="166"/>
      <c r="F37" s="166"/>
      <c r="G37" s="167"/>
      <c r="H37" s="11"/>
      <c r="I37" s="168" t="s">
        <v>12</v>
      </c>
      <c r="J37" s="169"/>
      <c r="K37" s="169"/>
      <c r="L37" s="169"/>
      <c r="M37" s="170"/>
      <c r="N37" s="11"/>
      <c r="O37" s="155" t="s">
        <v>13</v>
      </c>
      <c r="P37" s="156"/>
      <c r="Q37" s="156"/>
      <c r="R37" s="157"/>
      <c r="S37" s="11"/>
      <c r="T37" s="155" t="s">
        <v>14</v>
      </c>
      <c r="U37" s="156"/>
      <c r="V37" s="156"/>
      <c r="W37" s="156"/>
      <c r="X37" s="157"/>
      <c r="Y37" s="11"/>
      <c r="Z37" s="155" t="s">
        <v>15</v>
      </c>
      <c r="AA37" s="156"/>
      <c r="AB37" s="156"/>
      <c r="AC37" s="156"/>
      <c r="AD37" s="157"/>
      <c r="AF37" s="155" t="s">
        <v>37</v>
      </c>
      <c r="AG37" s="156"/>
      <c r="AH37" s="156"/>
      <c r="AI37" s="156"/>
      <c r="AJ37" s="157"/>
      <c r="AK37" s="12"/>
      <c r="AL37" s="155" t="s">
        <v>17</v>
      </c>
      <c r="AM37" s="156"/>
      <c r="AN37" s="156"/>
      <c r="AO37" s="156"/>
      <c r="AP37" s="157"/>
      <c r="AQ37" s="12"/>
      <c r="AR37" s="155" t="s">
        <v>18</v>
      </c>
      <c r="AS37" s="156"/>
      <c r="AT37" s="156"/>
      <c r="AU37" s="156"/>
      <c r="AV37" s="157"/>
    </row>
    <row r="38" spans="1:49" ht="13.8" thickBot="1" x14ac:dyDescent="0.3">
      <c r="A38" s="161"/>
      <c r="B38" s="162"/>
      <c r="C38" s="162"/>
      <c r="D38" s="163" t="s">
        <v>19</v>
      </c>
      <c r="E38" s="163"/>
      <c r="F38" s="163"/>
      <c r="G38" s="164"/>
      <c r="H38" s="13"/>
      <c r="I38" s="90"/>
      <c r="J38" s="91" t="s">
        <v>20</v>
      </c>
      <c r="K38" s="92" t="s">
        <v>21</v>
      </c>
      <c r="L38" s="92" t="s">
        <v>22</v>
      </c>
      <c r="M38" s="93" t="s">
        <v>23</v>
      </c>
      <c r="N38" s="13"/>
      <c r="O38" s="158"/>
      <c r="P38" s="159"/>
      <c r="Q38" s="159"/>
      <c r="R38" s="160"/>
      <c r="S38" s="13"/>
      <c r="T38" s="158"/>
      <c r="U38" s="159"/>
      <c r="V38" s="159"/>
      <c r="W38" s="159"/>
      <c r="X38" s="160"/>
      <c r="Y38" s="26"/>
      <c r="Z38" s="171"/>
      <c r="AA38" s="172"/>
      <c r="AB38" s="172"/>
      <c r="AC38" s="172"/>
      <c r="AD38" s="173"/>
      <c r="AF38" s="171"/>
      <c r="AG38" s="172"/>
      <c r="AH38" s="172"/>
      <c r="AI38" s="172"/>
      <c r="AJ38" s="173"/>
      <c r="AK38" s="26"/>
      <c r="AL38" s="158"/>
      <c r="AM38" s="159"/>
      <c r="AN38" s="159"/>
      <c r="AO38" s="159"/>
      <c r="AP38" s="160"/>
      <c r="AQ38" s="26"/>
      <c r="AR38" s="158"/>
      <c r="AS38" s="159"/>
      <c r="AT38" s="159"/>
      <c r="AU38" s="159"/>
      <c r="AV38" s="160"/>
    </row>
    <row r="39" spans="1:49" ht="26.4" x14ac:dyDescent="0.25">
      <c r="A39" s="18" t="s">
        <v>24</v>
      </c>
      <c r="B39" s="19" t="s">
        <v>25</v>
      </c>
      <c r="C39" s="19" t="s">
        <v>26</v>
      </c>
      <c r="D39" s="20" t="s">
        <v>20</v>
      </c>
      <c r="E39" s="19" t="s">
        <v>21</v>
      </c>
      <c r="F39" s="19" t="s">
        <v>22</v>
      </c>
      <c r="G39" s="21" t="s">
        <v>23</v>
      </c>
      <c r="H39" s="13"/>
      <c r="I39" s="22" t="s">
        <v>27</v>
      </c>
      <c r="J39" s="23">
        <f>$E$35/4</f>
        <v>26.420533958071694</v>
      </c>
      <c r="K39" s="23">
        <f t="shared" ref="K39:M39" si="19">$E$35/4</f>
        <v>26.420533958071694</v>
      </c>
      <c r="L39" s="23">
        <f t="shared" si="19"/>
        <v>26.420533958071694</v>
      </c>
      <c r="M39" s="23">
        <f t="shared" si="19"/>
        <v>26.420533958071694</v>
      </c>
      <c r="N39" s="13"/>
      <c r="O39" s="94" t="s">
        <v>20</v>
      </c>
      <c r="P39" s="92" t="s">
        <v>21</v>
      </c>
      <c r="Q39" s="92" t="s">
        <v>22</v>
      </c>
      <c r="R39" s="93" t="s">
        <v>23</v>
      </c>
      <c r="S39" s="13"/>
      <c r="T39" s="94" t="s">
        <v>20</v>
      </c>
      <c r="U39" s="92" t="s">
        <v>21</v>
      </c>
      <c r="V39" s="92" t="s">
        <v>22</v>
      </c>
      <c r="W39" s="92" t="s">
        <v>23</v>
      </c>
      <c r="X39" s="93" t="s">
        <v>28</v>
      </c>
      <c r="Y39" s="13"/>
      <c r="Z39" s="94" t="s">
        <v>20</v>
      </c>
      <c r="AA39" s="92" t="s">
        <v>21</v>
      </c>
      <c r="AB39" s="92" t="s">
        <v>22</v>
      </c>
      <c r="AC39" s="92" t="s">
        <v>23</v>
      </c>
      <c r="AD39" s="93" t="s">
        <v>28</v>
      </c>
      <c r="AF39" s="94" t="s">
        <v>20</v>
      </c>
      <c r="AG39" s="92" t="s">
        <v>21</v>
      </c>
      <c r="AH39" s="92" t="s">
        <v>22</v>
      </c>
      <c r="AI39" s="92" t="s">
        <v>23</v>
      </c>
      <c r="AJ39" s="93" t="s">
        <v>28</v>
      </c>
      <c r="AK39" s="13"/>
      <c r="AL39" s="94" t="s">
        <v>20</v>
      </c>
      <c r="AM39" s="92" t="s">
        <v>21</v>
      </c>
      <c r="AN39" s="92" t="s">
        <v>22</v>
      </c>
      <c r="AO39" s="92" t="s">
        <v>23</v>
      </c>
      <c r="AP39" s="93" t="s">
        <v>28</v>
      </c>
      <c r="AQ39" s="13"/>
      <c r="AR39" s="94" t="s">
        <v>20</v>
      </c>
      <c r="AS39" s="92" t="s">
        <v>21</v>
      </c>
      <c r="AT39" s="92" t="s">
        <v>22</v>
      </c>
      <c r="AU39" s="92" t="s">
        <v>23</v>
      </c>
      <c r="AV39" s="93" t="s">
        <v>28</v>
      </c>
    </row>
    <row r="40" spans="1:49" x14ac:dyDescent="0.25">
      <c r="A40" s="96" t="s">
        <v>47</v>
      </c>
      <c r="B40" s="117">
        <v>4350</v>
      </c>
      <c r="C40" s="117">
        <v>4713</v>
      </c>
      <c r="D40" s="117">
        <v>4379</v>
      </c>
      <c r="E40" s="117">
        <v>3521</v>
      </c>
      <c r="F40" s="117">
        <v>3833</v>
      </c>
      <c r="G40" s="117">
        <v>3530</v>
      </c>
      <c r="H40" s="13"/>
      <c r="I40" s="32">
        <f>$E$35/6</f>
        <v>17.613689305381129</v>
      </c>
      <c r="J40" s="33">
        <f>J$39/6</f>
        <v>4.4034223263452823</v>
      </c>
      <c r="K40" s="33">
        <f t="shared" ref="K40:M45" si="20">K$39/6</f>
        <v>4.4034223263452823</v>
      </c>
      <c r="L40" s="33">
        <f t="shared" si="20"/>
        <v>4.4034223263452823</v>
      </c>
      <c r="M40" s="99">
        <f t="shared" si="20"/>
        <v>4.4034223263452823</v>
      </c>
      <c r="N40" s="13"/>
      <c r="O40" s="36">
        <f t="shared" ref="O40:R45" si="21">((D40-$C40)/($C40-$B40))</f>
        <v>-0.92011019283746553</v>
      </c>
      <c r="P40" s="37">
        <f t="shared" si="21"/>
        <v>-3.2837465564738291</v>
      </c>
      <c r="Q40" s="37">
        <f t="shared" si="21"/>
        <v>-2.4242424242424243</v>
      </c>
      <c r="R40" s="38">
        <f t="shared" si="21"/>
        <v>-3.2589531680440773</v>
      </c>
      <c r="S40" s="13"/>
      <c r="T40" s="39">
        <f t="shared" ref="T40:W45" si="22">J40*O40</f>
        <v>-4.0516337658383588</v>
      </c>
      <c r="U40" s="34">
        <f t="shared" si="22"/>
        <v>-14.459722900836299</v>
      </c>
      <c r="V40" s="34">
        <f t="shared" si="22"/>
        <v>-10.674963215382503</v>
      </c>
      <c r="W40" s="34">
        <f t="shared" si="22"/>
        <v>-14.350547140678978</v>
      </c>
      <c r="X40" s="24">
        <f>SUMIF(T40:W40,"&gt;0")</f>
        <v>0</v>
      </c>
      <c r="Y40" s="40"/>
      <c r="Z40" s="39">
        <f t="shared" ref="Z40:AC45" si="23">IF(T40&gt;0,T40,0)</f>
        <v>0</v>
      </c>
      <c r="AA40" s="39">
        <f t="shared" si="23"/>
        <v>0</v>
      </c>
      <c r="AB40" s="34">
        <f t="shared" si="23"/>
        <v>0</v>
      </c>
      <c r="AC40" s="34">
        <f t="shared" si="23"/>
        <v>0</v>
      </c>
      <c r="AD40" s="24">
        <f>SUMIF(Z40:AC40,"&gt;0")</f>
        <v>0</v>
      </c>
      <c r="AE40" s="100"/>
      <c r="AF40" s="118"/>
      <c r="AG40" s="50"/>
      <c r="AH40" s="50"/>
      <c r="AI40" s="50"/>
      <c r="AJ40" s="44"/>
      <c r="AK40" s="85"/>
      <c r="AL40" s="119"/>
      <c r="AM40" s="120"/>
      <c r="AN40" s="120"/>
      <c r="AO40" s="120"/>
      <c r="AP40" s="121"/>
      <c r="AQ40" s="122"/>
      <c r="AR40" s="119"/>
      <c r="AS40" s="120"/>
      <c r="AT40" s="120"/>
      <c r="AU40" s="120"/>
      <c r="AV40" s="121"/>
      <c r="AW40" s="1" t="s">
        <v>30</v>
      </c>
    </row>
    <row r="41" spans="1:49" ht="26.4" x14ac:dyDescent="0.25">
      <c r="A41" s="96" t="s">
        <v>48</v>
      </c>
      <c r="B41" s="117">
        <v>93</v>
      </c>
      <c r="C41" s="117">
        <v>298</v>
      </c>
      <c r="D41" s="117">
        <v>5106</v>
      </c>
      <c r="E41" s="117">
        <v>3958</v>
      </c>
      <c r="F41" s="117">
        <v>664</v>
      </c>
      <c r="G41" s="117">
        <v>2375</v>
      </c>
      <c r="H41" s="13"/>
      <c r="I41" s="32">
        <f t="shared" ref="I41:I45" si="24">$E$35/6</f>
        <v>17.613689305381129</v>
      </c>
      <c r="J41" s="33">
        <f t="shared" ref="J41:J45" si="25">J$39/6</f>
        <v>4.4034223263452823</v>
      </c>
      <c r="K41" s="33">
        <f t="shared" si="20"/>
        <v>4.4034223263452823</v>
      </c>
      <c r="L41" s="33">
        <f t="shared" si="20"/>
        <v>4.4034223263452823</v>
      </c>
      <c r="M41" s="99">
        <f t="shared" si="20"/>
        <v>4.4034223263452823</v>
      </c>
      <c r="N41" s="13"/>
      <c r="O41" s="36">
        <f t="shared" si="21"/>
        <v>23.453658536585365</v>
      </c>
      <c r="P41" s="37">
        <f t="shared" si="21"/>
        <v>17.853658536585368</v>
      </c>
      <c r="Q41" s="37">
        <f t="shared" si="21"/>
        <v>1.7853658536585366</v>
      </c>
      <c r="R41" s="38">
        <f t="shared" si="21"/>
        <v>10.13170731707317</v>
      </c>
      <c r="S41" s="13"/>
      <c r="T41" s="39">
        <f t="shared" si="22"/>
        <v>103.27636363447861</v>
      </c>
      <c r="U41" s="34">
        <f t="shared" si="22"/>
        <v>78.617198606945053</v>
      </c>
      <c r="V41" s="34">
        <f t="shared" si="22"/>
        <v>7.861719860694504</v>
      </c>
      <c r="W41" s="34">
        <f>M41*R41</f>
        <v>44.614186203995857</v>
      </c>
      <c r="X41" s="24">
        <f t="shared" ref="X41:X45" si="26">SUMIF(T41:W41,"&gt;0")</f>
        <v>234.36946830611402</v>
      </c>
      <c r="Y41" s="40"/>
      <c r="Z41" s="123">
        <f>J41*1</f>
        <v>4.4034223263452823</v>
      </c>
      <c r="AA41" s="124">
        <f>K41*1</f>
        <v>4.4034223263452823</v>
      </c>
      <c r="AB41" s="124">
        <f>L41*1</f>
        <v>4.4034223263452823</v>
      </c>
      <c r="AC41" s="124">
        <f>M41*1</f>
        <v>4.4034223263452823</v>
      </c>
      <c r="AD41" s="24">
        <f>SUMIF(Z41:AC41,"&gt;0")</f>
        <v>17.613689305381129</v>
      </c>
      <c r="AE41" s="100"/>
      <c r="AF41" s="125">
        <f t="shared" ref="AF41:AI41" si="27">IF(Z41&gt;0,Z41,0)</f>
        <v>4.4034223263452823</v>
      </c>
      <c r="AG41" s="120">
        <f t="shared" si="27"/>
        <v>4.4034223263452823</v>
      </c>
      <c r="AH41" s="120">
        <f t="shared" si="27"/>
        <v>4.4034223263452823</v>
      </c>
      <c r="AI41" s="120">
        <f t="shared" si="27"/>
        <v>4.4034223263452823</v>
      </c>
      <c r="AJ41" s="24">
        <f>SUM(AF41:AI41)</f>
        <v>17.613689305381129</v>
      </c>
      <c r="AK41" s="126"/>
      <c r="AL41" s="125">
        <f>AF41*0.75</f>
        <v>3.3025667447589617</v>
      </c>
      <c r="AM41" s="120">
        <f t="shared" ref="AM41:AO41" si="28">AG41*0.75</f>
        <v>3.3025667447589617</v>
      </c>
      <c r="AN41" s="120">
        <f t="shared" si="28"/>
        <v>3.3025667447589617</v>
      </c>
      <c r="AO41" s="120">
        <f t="shared" si="28"/>
        <v>3.3025667447589617</v>
      </c>
      <c r="AP41" s="24">
        <f>SUM(AL41:AO41)</f>
        <v>13.210266979035847</v>
      </c>
      <c r="AQ41" s="100"/>
      <c r="AR41" s="125">
        <f>AL41*(1-AR35)</f>
        <v>3.1802064196490503</v>
      </c>
      <c r="AS41" s="120">
        <f>AM41*(1-AS35)</f>
        <v>3.1674855939704543</v>
      </c>
      <c r="AT41" s="120">
        <f>AN41*(1-AT35)</f>
        <v>3.1548156515945722</v>
      </c>
      <c r="AU41" s="120">
        <f>AO41*(1-AU35)</f>
        <v>3.1421963889881939</v>
      </c>
      <c r="AV41" s="24">
        <f>SUM(AR41:AU41)</f>
        <v>12.644704054202268</v>
      </c>
      <c r="AW41" s="52" t="s">
        <v>49</v>
      </c>
    </row>
    <row r="42" spans="1:49" ht="26.4" x14ac:dyDescent="0.25">
      <c r="A42" s="96" t="s">
        <v>50</v>
      </c>
      <c r="B42" s="127">
        <v>0.29999999999999716</v>
      </c>
      <c r="C42" s="127">
        <v>0.63999999999999724</v>
      </c>
      <c r="D42" s="127">
        <v>0.2</v>
      </c>
      <c r="E42" s="127">
        <v>0.47</v>
      </c>
      <c r="F42" s="127">
        <v>0.46</v>
      </c>
      <c r="G42" s="127">
        <v>0.59000000000000341</v>
      </c>
      <c r="H42" s="13"/>
      <c r="I42" s="32">
        <f t="shared" si="24"/>
        <v>17.613689305381129</v>
      </c>
      <c r="J42" s="33">
        <f t="shared" si="25"/>
        <v>4.4034223263452823</v>
      </c>
      <c r="K42" s="33">
        <f t="shared" si="20"/>
        <v>4.4034223263452823</v>
      </c>
      <c r="L42" s="33">
        <f t="shared" si="20"/>
        <v>4.4034223263452823</v>
      </c>
      <c r="M42" s="99">
        <f t="shared" si="20"/>
        <v>4.4034223263452823</v>
      </c>
      <c r="N42" s="13"/>
      <c r="O42" s="36">
        <f t="shared" si="21"/>
        <v>-1.2941176470588152</v>
      </c>
      <c r="P42" s="37">
        <f t="shared" si="21"/>
        <v>-0.49999999999999184</v>
      </c>
      <c r="Q42" s="37">
        <f t="shared" si="21"/>
        <v>-0.52941176470587403</v>
      </c>
      <c r="R42" s="38">
        <f t="shared" si="21"/>
        <v>-0.14705882352939356</v>
      </c>
      <c r="S42" s="13"/>
      <c r="T42" s="39">
        <f>J42*O42</f>
        <v>-5.6985465399762107</v>
      </c>
      <c r="U42" s="34">
        <f>K42*P42</f>
        <v>-2.2017111631726052</v>
      </c>
      <c r="V42" s="34">
        <f t="shared" si="22"/>
        <v>-2.3312235845357012</v>
      </c>
      <c r="W42" s="34">
        <f t="shared" si="22"/>
        <v>-0.64756210681540249</v>
      </c>
      <c r="X42" s="24">
        <f t="shared" si="26"/>
        <v>0</v>
      </c>
      <c r="Y42" s="40"/>
      <c r="Z42" s="41">
        <f t="shared" si="23"/>
        <v>0</v>
      </c>
      <c r="AA42" s="34">
        <f t="shared" si="23"/>
        <v>0</v>
      </c>
      <c r="AB42" s="34">
        <f t="shared" si="23"/>
        <v>0</v>
      </c>
      <c r="AC42" s="34">
        <f t="shared" si="23"/>
        <v>0</v>
      </c>
      <c r="AD42" s="24">
        <f t="shared" ref="AD42:AD45" si="29">SUMIF(Z42:AC42,"&gt;0")</f>
        <v>0</v>
      </c>
      <c r="AE42" s="100"/>
      <c r="AF42" s="118"/>
      <c r="AG42" s="50"/>
      <c r="AH42" s="50"/>
      <c r="AI42" s="50"/>
      <c r="AJ42" s="44"/>
      <c r="AK42" s="101"/>
      <c r="AL42" s="49"/>
      <c r="AM42" s="50"/>
      <c r="AN42" s="50"/>
      <c r="AO42" s="50"/>
      <c r="AP42" s="51"/>
      <c r="AQ42" s="128"/>
      <c r="AR42" s="49"/>
      <c r="AS42" s="50"/>
      <c r="AT42" s="50"/>
      <c r="AU42" s="50"/>
      <c r="AV42" s="51"/>
      <c r="AW42" s="1" t="s">
        <v>30</v>
      </c>
    </row>
    <row r="43" spans="1:49" ht="26.4" x14ac:dyDescent="0.25">
      <c r="A43" s="96" t="s">
        <v>51</v>
      </c>
      <c r="B43" s="117">
        <v>220</v>
      </c>
      <c r="C43" s="117">
        <v>296</v>
      </c>
      <c r="D43" s="117">
        <v>151</v>
      </c>
      <c r="E43" s="117">
        <v>131</v>
      </c>
      <c r="F43" s="117">
        <v>130</v>
      </c>
      <c r="G43" s="117">
        <v>116</v>
      </c>
      <c r="H43" s="13"/>
      <c r="I43" s="32">
        <f t="shared" si="24"/>
        <v>17.613689305381129</v>
      </c>
      <c r="J43" s="33">
        <f t="shared" si="25"/>
        <v>4.4034223263452823</v>
      </c>
      <c r="K43" s="33">
        <f t="shared" si="20"/>
        <v>4.4034223263452823</v>
      </c>
      <c r="L43" s="33">
        <f t="shared" si="20"/>
        <v>4.4034223263452823</v>
      </c>
      <c r="M43" s="99">
        <f t="shared" si="20"/>
        <v>4.4034223263452823</v>
      </c>
      <c r="N43" s="13"/>
      <c r="O43" s="36">
        <f t="shared" si="21"/>
        <v>-1.9078947368421053</v>
      </c>
      <c r="P43" s="37">
        <f t="shared" si="21"/>
        <v>-2.1710526315789473</v>
      </c>
      <c r="Q43" s="37">
        <f t="shared" si="21"/>
        <v>-2.1842105263157894</v>
      </c>
      <c r="R43" s="38">
        <f t="shared" si="21"/>
        <v>-2.3684210526315788</v>
      </c>
      <c r="S43" s="13"/>
      <c r="T43" s="39">
        <f t="shared" ref="T43:U45" si="30">J43*O43</f>
        <v>-8.4012662805271834</v>
      </c>
      <c r="U43" s="34">
        <f t="shared" si="30"/>
        <v>-9.5600616295654159</v>
      </c>
      <c r="V43" s="34">
        <f t="shared" si="22"/>
        <v>-9.618001397017327</v>
      </c>
      <c r="W43" s="34">
        <f t="shared" si="22"/>
        <v>-10.429158141344089</v>
      </c>
      <c r="X43" s="24">
        <f t="shared" si="26"/>
        <v>0</v>
      </c>
      <c r="Y43" s="40"/>
      <c r="Z43" s="41">
        <f t="shared" si="23"/>
        <v>0</v>
      </c>
      <c r="AA43" s="34">
        <f t="shared" si="23"/>
        <v>0</v>
      </c>
      <c r="AB43" s="34">
        <f t="shared" si="23"/>
        <v>0</v>
      </c>
      <c r="AC43" s="34">
        <f t="shared" si="23"/>
        <v>0</v>
      </c>
      <c r="AD43" s="24">
        <f t="shared" si="29"/>
        <v>0</v>
      </c>
      <c r="AE43" s="100"/>
      <c r="AF43" s="118"/>
      <c r="AG43" s="50"/>
      <c r="AH43" s="50"/>
      <c r="AI43" s="50"/>
      <c r="AJ43" s="44"/>
      <c r="AK43" s="101"/>
      <c r="AL43" s="49"/>
      <c r="AM43" s="50"/>
      <c r="AN43" s="50"/>
      <c r="AO43" s="50"/>
      <c r="AP43" s="51"/>
      <c r="AQ43" s="85"/>
      <c r="AR43" s="49"/>
      <c r="AS43" s="50"/>
      <c r="AT43" s="50"/>
      <c r="AU43" s="50"/>
      <c r="AV43" s="51"/>
      <c r="AW43" s="1" t="s">
        <v>30</v>
      </c>
    </row>
    <row r="44" spans="1:49" ht="52.8" x14ac:dyDescent="0.25">
      <c r="A44" s="96" t="s">
        <v>52</v>
      </c>
      <c r="B44" s="127">
        <v>3.085</v>
      </c>
      <c r="C44" s="127">
        <v>3.7450000000000001</v>
      </c>
      <c r="D44" s="127">
        <v>1.96</v>
      </c>
      <c r="E44" s="127">
        <v>2.14</v>
      </c>
      <c r="F44" s="127">
        <v>2.02</v>
      </c>
      <c r="G44" s="127">
        <v>2.34</v>
      </c>
      <c r="H44" s="13"/>
      <c r="I44" s="32">
        <f t="shared" si="24"/>
        <v>17.613689305381129</v>
      </c>
      <c r="J44" s="33">
        <f t="shared" si="25"/>
        <v>4.4034223263452823</v>
      </c>
      <c r="K44" s="33">
        <f t="shared" si="20"/>
        <v>4.4034223263452823</v>
      </c>
      <c r="L44" s="33">
        <f t="shared" si="20"/>
        <v>4.4034223263452823</v>
      </c>
      <c r="M44" s="99">
        <f t="shared" si="20"/>
        <v>4.4034223263452823</v>
      </c>
      <c r="N44" s="13"/>
      <c r="O44" s="36">
        <f t="shared" si="21"/>
        <v>-2.7045454545454541</v>
      </c>
      <c r="P44" s="37">
        <f t="shared" si="21"/>
        <v>-2.4318181818181812</v>
      </c>
      <c r="Q44" s="37">
        <f t="shared" si="21"/>
        <v>-2.6136363636363633</v>
      </c>
      <c r="R44" s="38">
        <f t="shared" si="21"/>
        <v>-2.1287878787878789</v>
      </c>
      <c r="S44" s="13"/>
      <c r="T44" s="39">
        <f t="shared" si="30"/>
        <v>-11.909255837161103</v>
      </c>
      <c r="U44" s="34">
        <f t="shared" si="30"/>
        <v>-10.70832247543057</v>
      </c>
      <c r="V44" s="34">
        <f t="shared" si="22"/>
        <v>-11.50894471658426</v>
      </c>
      <c r="W44" s="34">
        <f t="shared" si="22"/>
        <v>-9.3739520735077608</v>
      </c>
      <c r="X44" s="24">
        <f t="shared" si="26"/>
        <v>0</v>
      </c>
      <c r="Y44" s="40"/>
      <c r="Z44" s="41">
        <f t="shared" si="23"/>
        <v>0</v>
      </c>
      <c r="AA44" s="34">
        <f t="shared" si="23"/>
        <v>0</v>
      </c>
      <c r="AB44" s="34">
        <f t="shared" si="23"/>
        <v>0</v>
      </c>
      <c r="AC44" s="34">
        <f t="shared" si="23"/>
        <v>0</v>
      </c>
      <c r="AD44" s="24">
        <f t="shared" si="29"/>
        <v>0</v>
      </c>
      <c r="AE44" s="100"/>
      <c r="AF44" s="118"/>
      <c r="AG44" s="50"/>
      <c r="AH44" s="50"/>
      <c r="AI44" s="50"/>
      <c r="AJ44" s="44"/>
      <c r="AK44" s="101"/>
      <c r="AL44" s="49"/>
      <c r="AM44" s="50"/>
      <c r="AN44" s="50"/>
      <c r="AO44" s="50"/>
      <c r="AP44" s="51"/>
      <c r="AQ44" s="85"/>
      <c r="AR44" s="49"/>
      <c r="AS44" s="50"/>
      <c r="AT44" s="50"/>
      <c r="AU44" s="50"/>
      <c r="AV44" s="51"/>
      <c r="AW44" s="1" t="s">
        <v>30</v>
      </c>
    </row>
    <row r="45" spans="1:49" ht="13.8" thickBot="1" x14ac:dyDescent="0.3">
      <c r="A45" s="102" t="s">
        <v>53</v>
      </c>
      <c r="B45" s="129">
        <v>0.23</v>
      </c>
      <c r="C45" s="129">
        <v>0.33</v>
      </c>
      <c r="D45" s="129">
        <v>0.1</v>
      </c>
      <c r="E45" s="129">
        <v>0.16</v>
      </c>
      <c r="F45" s="129">
        <v>0.2</v>
      </c>
      <c r="G45" s="129">
        <v>0.25</v>
      </c>
      <c r="H45" s="13"/>
      <c r="I45" s="58">
        <f t="shared" si="24"/>
        <v>17.613689305381129</v>
      </c>
      <c r="J45" s="59">
        <f t="shared" si="25"/>
        <v>4.4034223263452823</v>
      </c>
      <c r="K45" s="59">
        <f t="shared" si="20"/>
        <v>4.4034223263452823</v>
      </c>
      <c r="L45" s="59">
        <f t="shared" si="20"/>
        <v>4.4034223263452823</v>
      </c>
      <c r="M45" s="104">
        <f t="shared" si="20"/>
        <v>4.4034223263452823</v>
      </c>
      <c r="N45" s="13"/>
      <c r="O45" s="62">
        <f t="shared" si="21"/>
        <v>-2.2999999999999998</v>
      </c>
      <c r="P45" s="63">
        <f t="shared" si="21"/>
        <v>-1.7</v>
      </c>
      <c r="Q45" s="63">
        <f t="shared" si="21"/>
        <v>-1.3</v>
      </c>
      <c r="R45" s="64">
        <f t="shared" si="21"/>
        <v>-0.80000000000000016</v>
      </c>
      <c r="S45" s="13"/>
      <c r="T45" s="65">
        <f t="shared" si="30"/>
        <v>-10.127871350594148</v>
      </c>
      <c r="U45" s="66">
        <f t="shared" si="30"/>
        <v>-7.4858179547869801</v>
      </c>
      <c r="V45" s="66">
        <f t="shared" si="22"/>
        <v>-5.7244490242488668</v>
      </c>
      <c r="W45" s="66">
        <f t="shared" si="22"/>
        <v>-3.5227378610762266</v>
      </c>
      <c r="X45" s="67">
        <f t="shared" si="26"/>
        <v>0</v>
      </c>
      <c r="Y45" s="40"/>
      <c r="Z45" s="41">
        <f t="shared" si="23"/>
        <v>0</v>
      </c>
      <c r="AA45" s="60">
        <f t="shared" si="23"/>
        <v>0</v>
      </c>
      <c r="AB45" s="60">
        <f t="shared" si="23"/>
        <v>0</v>
      </c>
      <c r="AC45" s="60">
        <f t="shared" si="23"/>
        <v>0</v>
      </c>
      <c r="AD45" s="130">
        <f t="shared" si="29"/>
        <v>0</v>
      </c>
      <c r="AE45" s="100"/>
      <c r="AF45" s="118"/>
      <c r="AG45" s="131"/>
      <c r="AH45" s="131"/>
      <c r="AI45" s="131"/>
      <c r="AJ45" s="44"/>
      <c r="AK45" s="101"/>
      <c r="AL45" s="132"/>
      <c r="AM45" s="133"/>
      <c r="AN45" s="133"/>
      <c r="AO45" s="133"/>
      <c r="AP45" s="134"/>
      <c r="AQ45" s="128"/>
      <c r="AR45" s="132"/>
      <c r="AS45" s="133"/>
      <c r="AT45" s="133"/>
      <c r="AU45" s="133"/>
      <c r="AV45" s="134"/>
      <c r="AW45" s="1" t="s">
        <v>30</v>
      </c>
    </row>
    <row r="46" spans="1:49" ht="13.8" thickBot="1" x14ac:dyDescent="0.3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5">
        <f>SUMIF(T40:T45,"&gt;0")</f>
        <v>103.27636363447861</v>
      </c>
      <c r="U46" s="136">
        <f t="shared" ref="U46:W46" si="31">SUMIF(U40:U45,"&gt;0")</f>
        <v>78.617198606945053</v>
      </c>
      <c r="V46" s="136">
        <f t="shared" si="31"/>
        <v>7.861719860694504</v>
      </c>
      <c r="W46" s="136">
        <f t="shared" si="31"/>
        <v>44.614186203995857</v>
      </c>
      <c r="X46" s="137">
        <f>SUMIF(X40:X45,"&gt;0")</f>
        <v>234.36946830611402</v>
      </c>
      <c r="Y46" s="111"/>
      <c r="Z46" s="135">
        <f>SUMIF(Z40:Z45,"&gt;0")</f>
        <v>4.4034223263452823</v>
      </c>
      <c r="AA46" s="136">
        <f t="shared" ref="AA46:AC46" si="32">SUMIF(AA40:AA45,"&gt;0")</f>
        <v>4.4034223263452823</v>
      </c>
      <c r="AB46" s="136">
        <f t="shared" si="32"/>
        <v>4.4034223263452823</v>
      </c>
      <c r="AC46" s="136">
        <f t="shared" si="32"/>
        <v>4.4034223263452823</v>
      </c>
      <c r="AD46" s="137">
        <f>SUMIF(AD40:AD45,"&gt;0")</f>
        <v>17.613689305381129</v>
      </c>
      <c r="AE46" s="100"/>
      <c r="AF46" s="138">
        <f>SUM(AF40:AF45)</f>
        <v>4.4034223263452823</v>
      </c>
      <c r="AG46" s="139">
        <f t="shared" ref="AG46:AI46" si="33">SUM(AG40:AG45)</f>
        <v>4.4034223263452823</v>
      </c>
      <c r="AH46" s="139">
        <f t="shared" si="33"/>
        <v>4.4034223263452823</v>
      </c>
      <c r="AI46" s="139">
        <f t="shared" si="33"/>
        <v>4.4034223263452823</v>
      </c>
      <c r="AJ46" s="140">
        <f>SUM(AF46:AI46)</f>
        <v>17.613689305381129</v>
      </c>
      <c r="AK46" s="45"/>
      <c r="AL46" s="138">
        <f>SUM(AL40:AL45)</f>
        <v>3.3025667447589617</v>
      </c>
      <c r="AM46" s="139">
        <f t="shared" ref="AM46:AO46" si="34">SUM(AM40:AM45)</f>
        <v>3.3025667447589617</v>
      </c>
      <c r="AN46" s="139">
        <f t="shared" si="34"/>
        <v>3.3025667447589617</v>
      </c>
      <c r="AO46" s="139">
        <f t="shared" si="34"/>
        <v>3.3025667447589617</v>
      </c>
      <c r="AP46" s="140">
        <f>SUM(AL46:AO46)</f>
        <v>13.210266979035847</v>
      </c>
      <c r="AQ46" s="45"/>
      <c r="AR46" s="138">
        <f>SUM(AR40:AR45)</f>
        <v>3.1802064196490503</v>
      </c>
      <c r="AS46" s="139">
        <f t="shared" ref="AS46:AU46" si="35">SUM(AS40:AS45)</f>
        <v>3.1674855939704543</v>
      </c>
      <c r="AT46" s="139">
        <f t="shared" si="35"/>
        <v>3.1548156515945722</v>
      </c>
      <c r="AU46" s="139">
        <f t="shared" si="35"/>
        <v>3.1421963889881939</v>
      </c>
      <c r="AV46" s="140">
        <f>SUM(AR46:AU46)</f>
        <v>12.644704054202268</v>
      </c>
    </row>
    <row r="47" spans="1:49" x14ac:dyDescent="0.25"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00"/>
      <c r="AF47" s="45"/>
      <c r="AG47" s="45"/>
      <c r="AH47" s="45"/>
      <c r="AI47" s="45"/>
      <c r="AJ47" s="45"/>
      <c r="AK47" s="85"/>
      <c r="AL47" s="45"/>
      <c r="AM47" s="45"/>
      <c r="AN47" s="45"/>
      <c r="AO47" s="45"/>
      <c r="AP47" s="45"/>
      <c r="AQ47" s="85"/>
    </row>
    <row r="48" spans="1:49" ht="16.2" thickBot="1" x14ac:dyDescent="0.35">
      <c r="A48" s="174" t="s">
        <v>54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</row>
    <row r="49" spans="1:49" ht="13.8" thickBot="1" x14ac:dyDescent="0.3">
      <c r="A49" s="175" t="s">
        <v>2</v>
      </c>
      <c r="B49" s="176"/>
      <c r="C49" s="176"/>
      <c r="D49" s="177"/>
      <c r="E49" s="178" t="s">
        <v>3</v>
      </c>
      <c r="F49" s="180" t="s">
        <v>4</v>
      </c>
      <c r="G49" s="181"/>
      <c r="H49" s="11"/>
      <c r="I49" s="11"/>
      <c r="J49" s="182"/>
      <c r="K49" s="183"/>
      <c r="L49" s="83"/>
      <c r="M49" s="83"/>
      <c r="N49" s="13"/>
      <c r="O49" s="13"/>
      <c r="P49" s="13"/>
      <c r="Q49" s="13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49" ht="40.200000000000003" thickBot="1" x14ac:dyDescent="0.3">
      <c r="A50" s="2" t="s">
        <v>5</v>
      </c>
      <c r="B50" s="3" t="s">
        <v>6</v>
      </c>
      <c r="C50" s="3" t="s">
        <v>7</v>
      </c>
      <c r="D50" s="3" t="s">
        <v>8</v>
      </c>
      <c r="E50" s="179"/>
      <c r="F50" s="3" t="s">
        <v>9</v>
      </c>
      <c r="G50" s="6" t="s">
        <v>10</v>
      </c>
      <c r="H50" s="11"/>
      <c r="I50" s="11"/>
      <c r="J50" s="86"/>
      <c r="K50" s="86"/>
      <c r="L50" s="85"/>
      <c r="M50" s="40"/>
      <c r="N50" s="13"/>
      <c r="O50" s="13"/>
      <c r="P50" s="13"/>
      <c r="Q50" s="13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L50" s="84"/>
      <c r="AM50" s="84"/>
      <c r="AN50" s="84"/>
      <c r="AO50" s="84"/>
    </row>
    <row r="51" spans="1:49" ht="13.8" thickBot="1" x14ac:dyDescent="0.3">
      <c r="A51" s="8">
        <v>237.54226015025682</v>
      </c>
      <c r="B51" s="9">
        <v>0</v>
      </c>
      <c r="C51" s="9">
        <f>A51-B51</f>
        <v>237.54226015025682</v>
      </c>
      <c r="D51" s="9">
        <f>C51*G51/F51</f>
        <v>242.4510400096062</v>
      </c>
      <c r="E51" s="9">
        <f>D51*0.5</f>
        <v>121.2255200048031</v>
      </c>
      <c r="F51" s="88">
        <v>111.30000000000001</v>
      </c>
      <c r="G51" s="89">
        <v>113.6</v>
      </c>
      <c r="H51" s="11"/>
      <c r="I51" s="11"/>
      <c r="J51" s="85"/>
      <c r="K51" s="85"/>
      <c r="L51" s="40"/>
      <c r="M51" s="13"/>
      <c r="N51" s="13"/>
      <c r="O51" s="13"/>
      <c r="P51" s="13"/>
      <c r="Q51" s="13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49" ht="13.8" thickBot="1" x14ac:dyDescent="0.3">
      <c r="A52" s="114"/>
      <c r="B52" s="11"/>
      <c r="C52" s="11"/>
      <c r="D52" s="11"/>
      <c r="E52" s="11"/>
      <c r="F52" s="11"/>
      <c r="G52" s="11"/>
      <c r="H52" s="11"/>
      <c r="I52" s="115"/>
      <c r="J52" s="11"/>
      <c r="K52" s="11"/>
      <c r="L52" s="11"/>
      <c r="M52" s="11"/>
      <c r="N52" s="11"/>
      <c r="O52" s="184"/>
      <c r="P52" s="184"/>
      <c r="Q52" s="184"/>
      <c r="R52" s="184"/>
      <c r="S52" s="11"/>
      <c r="T52" s="185"/>
      <c r="U52" s="185"/>
      <c r="V52" s="185"/>
      <c r="W52" s="185"/>
      <c r="X52" s="185"/>
      <c r="Y52" s="116"/>
      <c r="Z52" s="116"/>
      <c r="AA52" s="116"/>
      <c r="AB52" s="116"/>
      <c r="AC52" s="116"/>
      <c r="AD52" s="116"/>
    </row>
    <row r="53" spans="1:49" ht="78" customHeight="1" thickBot="1" x14ac:dyDescent="0.3">
      <c r="A53" s="165" t="s">
        <v>11</v>
      </c>
      <c r="B53" s="166"/>
      <c r="C53" s="166"/>
      <c r="D53" s="166"/>
      <c r="E53" s="166"/>
      <c r="F53" s="166"/>
      <c r="G53" s="167"/>
      <c r="H53" s="11"/>
      <c r="I53" s="168" t="s">
        <v>12</v>
      </c>
      <c r="J53" s="169"/>
      <c r="K53" s="169"/>
      <c r="L53" s="169"/>
      <c r="M53" s="170"/>
      <c r="N53" s="11"/>
      <c r="O53" s="155" t="s">
        <v>13</v>
      </c>
      <c r="P53" s="156"/>
      <c r="Q53" s="156"/>
      <c r="R53" s="157"/>
      <c r="S53" s="11"/>
      <c r="T53" s="155" t="s">
        <v>14</v>
      </c>
      <c r="U53" s="156"/>
      <c r="V53" s="156"/>
      <c r="W53" s="156"/>
      <c r="X53" s="157"/>
      <c r="Y53" s="11"/>
      <c r="Z53" s="155" t="s">
        <v>15</v>
      </c>
      <c r="AA53" s="156"/>
      <c r="AB53" s="156"/>
      <c r="AC53" s="156"/>
      <c r="AD53" s="157"/>
      <c r="AF53" s="155" t="s">
        <v>37</v>
      </c>
      <c r="AG53" s="156"/>
      <c r="AH53" s="156"/>
      <c r="AI53" s="156"/>
      <c r="AJ53" s="157"/>
      <c r="AK53" s="12"/>
      <c r="AL53" s="155" t="s">
        <v>17</v>
      </c>
      <c r="AM53" s="156"/>
      <c r="AN53" s="156"/>
      <c r="AO53" s="156"/>
      <c r="AP53" s="157"/>
      <c r="AQ53" s="12"/>
      <c r="AR53" s="155" t="s">
        <v>18</v>
      </c>
      <c r="AS53" s="156"/>
      <c r="AT53" s="156"/>
      <c r="AU53" s="156"/>
      <c r="AV53" s="157"/>
    </row>
    <row r="54" spans="1:49" ht="13.8" thickBot="1" x14ac:dyDescent="0.3">
      <c r="A54" s="161"/>
      <c r="B54" s="162"/>
      <c r="C54" s="162"/>
      <c r="D54" s="163" t="s">
        <v>19</v>
      </c>
      <c r="E54" s="163"/>
      <c r="F54" s="163"/>
      <c r="G54" s="164"/>
      <c r="H54" s="13"/>
      <c r="I54" s="90"/>
      <c r="J54" s="91" t="s">
        <v>20</v>
      </c>
      <c r="K54" s="92" t="s">
        <v>21</v>
      </c>
      <c r="L54" s="92" t="s">
        <v>22</v>
      </c>
      <c r="M54" s="93" t="s">
        <v>23</v>
      </c>
      <c r="N54" s="13"/>
      <c r="O54" s="158"/>
      <c r="P54" s="159"/>
      <c r="Q54" s="159"/>
      <c r="R54" s="160"/>
      <c r="S54" s="13"/>
      <c r="T54" s="158"/>
      <c r="U54" s="159"/>
      <c r="V54" s="159"/>
      <c r="W54" s="159"/>
      <c r="X54" s="160"/>
      <c r="Y54" s="26"/>
      <c r="Z54" s="171"/>
      <c r="AA54" s="172"/>
      <c r="AB54" s="172"/>
      <c r="AC54" s="172"/>
      <c r="AD54" s="173"/>
      <c r="AF54" s="158"/>
      <c r="AG54" s="159"/>
      <c r="AH54" s="159"/>
      <c r="AI54" s="159"/>
      <c r="AJ54" s="160"/>
      <c r="AK54" s="26"/>
      <c r="AL54" s="158"/>
      <c r="AM54" s="159"/>
      <c r="AN54" s="159"/>
      <c r="AO54" s="159"/>
      <c r="AP54" s="160"/>
      <c r="AQ54" s="26"/>
      <c r="AR54" s="158"/>
      <c r="AS54" s="159"/>
      <c r="AT54" s="159"/>
      <c r="AU54" s="159"/>
      <c r="AV54" s="160"/>
    </row>
    <row r="55" spans="1:49" ht="26.4" x14ac:dyDescent="0.25">
      <c r="A55" s="18" t="s">
        <v>24</v>
      </c>
      <c r="B55" s="19" t="s">
        <v>25</v>
      </c>
      <c r="C55" s="19" t="s">
        <v>26</v>
      </c>
      <c r="D55" s="20" t="s">
        <v>20</v>
      </c>
      <c r="E55" s="19" t="s">
        <v>21</v>
      </c>
      <c r="F55" s="19" t="s">
        <v>22</v>
      </c>
      <c r="G55" s="21" t="s">
        <v>23</v>
      </c>
      <c r="H55" s="13"/>
      <c r="I55" s="22" t="s">
        <v>27</v>
      </c>
      <c r="J55" s="23">
        <f>$E$51/4</f>
        <v>30.306380001200775</v>
      </c>
      <c r="K55" s="23">
        <f t="shared" ref="K55:M55" si="36">$E$51/4</f>
        <v>30.306380001200775</v>
      </c>
      <c r="L55" s="23">
        <f t="shared" si="36"/>
        <v>30.306380001200775</v>
      </c>
      <c r="M55" s="24">
        <f t="shared" si="36"/>
        <v>30.306380001200775</v>
      </c>
      <c r="N55" s="13"/>
      <c r="O55" s="94" t="s">
        <v>20</v>
      </c>
      <c r="P55" s="92" t="s">
        <v>21</v>
      </c>
      <c r="Q55" s="92" t="s">
        <v>22</v>
      </c>
      <c r="R55" s="93" t="s">
        <v>23</v>
      </c>
      <c r="S55" s="13"/>
      <c r="T55" s="94" t="s">
        <v>20</v>
      </c>
      <c r="U55" s="92" t="s">
        <v>21</v>
      </c>
      <c r="V55" s="92" t="s">
        <v>22</v>
      </c>
      <c r="W55" s="141" t="s">
        <v>23</v>
      </c>
      <c r="X55" s="93" t="s">
        <v>28</v>
      </c>
      <c r="Y55" s="13"/>
      <c r="Z55" s="94" t="s">
        <v>20</v>
      </c>
      <c r="AA55" s="92" t="s">
        <v>21</v>
      </c>
      <c r="AB55" s="92" t="s">
        <v>22</v>
      </c>
      <c r="AC55" s="92" t="s">
        <v>23</v>
      </c>
      <c r="AD55" s="93" t="s">
        <v>28</v>
      </c>
      <c r="AF55" s="94" t="s">
        <v>20</v>
      </c>
      <c r="AG55" s="92" t="s">
        <v>21</v>
      </c>
      <c r="AH55" s="92" t="s">
        <v>22</v>
      </c>
      <c r="AI55" s="92" t="s">
        <v>23</v>
      </c>
      <c r="AJ55" s="93" t="s">
        <v>28</v>
      </c>
      <c r="AK55" s="13"/>
      <c r="AL55" s="94" t="s">
        <v>20</v>
      </c>
      <c r="AM55" s="92" t="s">
        <v>21</v>
      </c>
      <c r="AN55" s="92" t="s">
        <v>22</v>
      </c>
      <c r="AO55" s="92" t="s">
        <v>23</v>
      </c>
      <c r="AP55" s="93" t="s">
        <v>28</v>
      </c>
      <c r="AQ55" s="13"/>
      <c r="AR55" s="94" t="s">
        <v>20</v>
      </c>
      <c r="AS55" s="92" t="s">
        <v>21</v>
      </c>
      <c r="AT55" s="92" t="s">
        <v>22</v>
      </c>
      <c r="AU55" s="92" t="s">
        <v>23</v>
      </c>
      <c r="AV55" s="93" t="s">
        <v>28</v>
      </c>
    </row>
    <row r="56" spans="1:49" ht="52.8" x14ac:dyDescent="0.25">
      <c r="A56" s="96" t="s">
        <v>55</v>
      </c>
      <c r="B56" s="127">
        <v>0.04</v>
      </c>
      <c r="C56" s="127">
        <v>7.0000000000000007E-2</v>
      </c>
      <c r="D56" s="127">
        <v>0.04</v>
      </c>
      <c r="E56" s="127">
        <v>0.05</v>
      </c>
      <c r="F56" s="127">
        <v>0.02</v>
      </c>
      <c r="G56" s="142">
        <v>0</v>
      </c>
      <c r="H56" s="13"/>
      <c r="I56" s="32">
        <f>$E$51/5</f>
        <v>24.24510400096062</v>
      </c>
      <c r="J56" s="33">
        <f>J$55/5</f>
        <v>6.0612760002401549</v>
      </c>
      <c r="K56" s="33">
        <f t="shared" ref="K56:M60" si="37">K$55/5</f>
        <v>6.0612760002401549</v>
      </c>
      <c r="L56" s="33">
        <f t="shared" si="37"/>
        <v>6.0612760002401549</v>
      </c>
      <c r="M56" s="99">
        <f t="shared" si="37"/>
        <v>6.0612760002401549</v>
      </c>
      <c r="N56" s="13"/>
      <c r="O56" s="36">
        <f t="shared" ref="O56:R60" si="38">((D56-$C56)/($C56-$B56))</f>
        <v>-1</v>
      </c>
      <c r="P56" s="37">
        <f t="shared" si="38"/>
        <v>-0.66666666666666663</v>
      </c>
      <c r="Q56" s="37">
        <f t="shared" si="38"/>
        <v>-1.6666666666666665</v>
      </c>
      <c r="R56" s="38">
        <f t="shared" si="38"/>
        <v>-2.333333333333333</v>
      </c>
      <c r="S56" s="13"/>
      <c r="T56" s="39">
        <f t="shared" ref="T56:W60" si="39">J56*O56</f>
        <v>-6.0612760002401549</v>
      </c>
      <c r="U56" s="34">
        <f t="shared" si="39"/>
        <v>-4.0408506668267696</v>
      </c>
      <c r="V56" s="34">
        <f t="shared" si="39"/>
        <v>-10.102126667066925</v>
      </c>
      <c r="W56" s="34">
        <f t="shared" si="39"/>
        <v>-14.142977333893693</v>
      </c>
      <c r="X56" s="24">
        <f>SUMIF(T56:W56,"&gt;0")</f>
        <v>0</v>
      </c>
      <c r="Y56" s="40"/>
      <c r="Z56" s="39">
        <f t="shared" ref="Z56:AC60" si="40">IF(T56&gt;0,T56,0)</f>
        <v>0</v>
      </c>
      <c r="AA56" s="34">
        <f t="shared" si="40"/>
        <v>0</v>
      </c>
      <c r="AB56" s="34">
        <f t="shared" si="40"/>
        <v>0</v>
      </c>
      <c r="AC56" s="34">
        <f t="shared" si="40"/>
        <v>0</v>
      </c>
      <c r="AD56" s="24">
        <f>SUMIF(Z56:AC56,"&gt;0")</f>
        <v>0</v>
      </c>
      <c r="AF56" s="53"/>
      <c r="AG56" s="54"/>
      <c r="AH56" s="54"/>
      <c r="AI56" s="54"/>
      <c r="AJ56" s="44"/>
      <c r="AK56" s="101"/>
      <c r="AL56" s="49"/>
      <c r="AM56" s="50"/>
      <c r="AN56" s="50"/>
      <c r="AO56" s="50"/>
      <c r="AP56" s="44"/>
      <c r="AR56" s="49"/>
      <c r="AS56" s="50"/>
      <c r="AT56" s="50"/>
      <c r="AU56" s="50"/>
      <c r="AV56" s="44"/>
      <c r="AW56" s="1" t="s">
        <v>30</v>
      </c>
    </row>
    <row r="57" spans="1:49" ht="52.8" x14ac:dyDescent="0.25">
      <c r="A57" s="96" t="s">
        <v>56</v>
      </c>
      <c r="B57" s="127">
        <v>0</v>
      </c>
      <c r="C57" s="127">
        <v>0.34</v>
      </c>
      <c r="D57" s="127">
        <v>0</v>
      </c>
      <c r="E57" s="127">
        <v>0</v>
      </c>
      <c r="F57" s="127">
        <v>0</v>
      </c>
      <c r="G57" s="142">
        <v>0</v>
      </c>
      <c r="H57" s="13"/>
      <c r="I57" s="32">
        <f t="shared" ref="I57:I60" si="41">$E$51/5</f>
        <v>24.24510400096062</v>
      </c>
      <c r="J57" s="33">
        <f t="shared" ref="J57:J60" si="42">J$55/5</f>
        <v>6.0612760002401549</v>
      </c>
      <c r="K57" s="33">
        <f t="shared" si="37"/>
        <v>6.0612760002401549</v>
      </c>
      <c r="L57" s="33">
        <f t="shared" si="37"/>
        <v>6.0612760002401549</v>
      </c>
      <c r="M57" s="99">
        <f t="shared" si="37"/>
        <v>6.0612760002401549</v>
      </c>
      <c r="N57" s="13"/>
      <c r="O57" s="36">
        <f t="shared" si="38"/>
        <v>-1</v>
      </c>
      <c r="P57" s="37">
        <f t="shared" si="38"/>
        <v>-1</v>
      </c>
      <c r="Q57" s="37">
        <f t="shared" si="38"/>
        <v>-1</v>
      </c>
      <c r="R57" s="38">
        <f t="shared" si="38"/>
        <v>-1</v>
      </c>
      <c r="S57" s="13"/>
      <c r="T57" s="39">
        <f t="shared" si="39"/>
        <v>-6.0612760002401549</v>
      </c>
      <c r="U57" s="34">
        <f t="shared" si="39"/>
        <v>-6.0612760002401549</v>
      </c>
      <c r="V57" s="34">
        <f t="shared" si="39"/>
        <v>-6.0612760002401549</v>
      </c>
      <c r="W57" s="34">
        <f t="shared" si="39"/>
        <v>-6.0612760002401549</v>
      </c>
      <c r="X57" s="24">
        <f t="shared" ref="X57:X60" si="43">SUMIF(T57:W57,"&gt;0")</f>
        <v>0</v>
      </c>
      <c r="Y57" s="40"/>
      <c r="Z57" s="39">
        <f t="shared" si="40"/>
        <v>0</v>
      </c>
      <c r="AA57" s="34">
        <f t="shared" si="40"/>
        <v>0</v>
      </c>
      <c r="AB57" s="34">
        <f t="shared" si="40"/>
        <v>0</v>
      </c>
      <c r="AC57" s="34">
        <f t="shared" si="40"/>
        <v>0</v>
      </c>
      <c r="AD57" s="24">
        <f t="shared" ref="AD57:AD60" si="44">SUMIF(Z57:AC57,"&gt;0")</f>
        <v>0</v>
      </c>
      <c r="AF57" s="53"/>
      <c r="AG57" s="54"/>
      <c r="AH57" s="54"/>
      <c r="AI57" s="54"/>
      <c r="AJ57" s="44"/>
      <c r="AK57" s="101"/>
      <c r="AL57" s="49"/>
      <c r="AM57" s="50"/>
      <c r="AN57" s="50"/>
      <c r="AO57" s="50"/>
      <c r="AP57" s="44"/>
      <c r="AQ57" s="52"/>
      <c r="AR57" s="49"/>
      <c r="AS57" s="50"/>
      <c r="AT57" s="50"/>
      <c r="AU57" s="50"/>
      <c r="AV57" s="44"/>
      <c r="AW57" s="1" t="s">
        <v>30</v>
      </c>
    </row>
    <row r="58" spans="1:49" ht="39.6" x14ac:dyDescent="0.25">
      <c r="A58" s="96" t="s">
        <v>57</v>
      </c>
      <c r="B58" s="117">
        <v>5</v>
      </c>
      <c r="C58" s="117">
        <v>11</v>
      </c>
      <c r="D58" s="117">
        <v>0</v>
      </c>
      <c r="E58" s="117">
        <v>1</v>
      </c>
      <c r="F58" s="117">
        <v>0</v>
      </c>
      <c r="G58" s="143">
        <v>0</v>
      </c>
      <c r="H58" s="13"/>
      <c r="I58" s="32">
        <f t="shared" si="41"/>
        <v>24.24510400096062</v>
      </c>
      <c r="J58" s="33">
        <f t="shared" si="42"/>
        <v>6.0612760002401549</v>
      </c>
      <c r="K58" s="33">
        <f t="shared" si="37"/>
        <v>6.0612760002401549</v>
      </c>
      <c r="L58" s="33">
        <f t="shared" si="37"/>
        <v>6.0612760002401549</v>
      </c>
      <c r="M58" s="99">
        <f t="shared" si="37"/>
        <v>6.0612760002401549</v>
      </c>
      <c r="N58" s="13"/>
      <c r="O58" s="36">
        <f t="shared" si="38"/>
        <v>-1.8333333333333333</v>
      </c>
      <c r="P58" s="37">
        <f t="shared" si="38"/>
        <v>-1.6666666666666667</v>
      </c>
      <c r="Q58" s="37">
        <f t="shared" si="38"/>
        <v>-1.8333333333333333</v>
      </c>
      <c r="R58" s="38">
        <f t="shared" si="38"/>
        <v>-1.8333333333333333</v>
      </c>
      <c r="S58" s="13"/>
      <c r="T58" s="39">
        <f>J58*O58</f>
        <v>-11.112339333773617</v>
      </c>
      <c r="U58" s="34">
        <f>K58*P58</f>
        <v>-10.102126667066925</v>
      </c>
      <c r="V58" s="34">
        <f t="shared" si="39"/>
        <v>-11.112339333773617</v>
      </c>
      <c r="W58" s="34">
        <f t="shared" si="39"/>
        <v>-11.112339333773617</v>
      </c>
      <c r="X58" s="24">
        <f t="shared" si="43"/>
        <v>0</v>
      </c>
      <c r="Y58" s="40"/>
      <c r="Z58" s="39">
        <f t="shared" si="40"/>
        <v>0</v>
      </c>
      <c r="AA58" s="34">
        <f t="shared" si="40"/>
        <v>0</v>
      </c>
      <c r="AB58" s="34">
        <f t="shared" si="40"/>
        <v>0</v>
      </c>
      <c r="AC58" s="34">
        <f t="shared" si="40"/>
        <v>0</v>
      </c>
      <c r="AD58" s="24">
        <f t="shared" si="44"/>
        <v>0</v>
      </c>
      <c r="AF58" s="53"/>
      <c r="AG58" s="54"/>
      <c r="AH58" s="54"/>
      <c r="AI58" s="54"/>
      <c r="AJ58" s="44"/>
      <c r="AK58" s="101"/>
      <c r="AL58" s="49"/>
      <c r="AM58" s="50"/>
      <c r="AN58" s="50"/>
      <c r="AO58" s="50"/>
      <c r="AP58" s="44"/>
      <c r="AQ58" s="85"/>
      <c r="AR58" s="49"/>
      <c r="AS58" s="50"/>
      <c r="AT58" s="50"/>
      <c r="AU58" s="50"/>
      <c r="AV58" s="44"/>
      <c r="AW58" s="1" t="s">
        <v>30</v>
      </c>
    </row>
    <row r="59" spans="1:49" ht="26.4" x14ac:dyDescent="0.25">
      <c r="A59" s="96" t="s">
        <v>58</v>
      </c>
      <c r="B59" s="117">
        <v>0</v>
      </c>
      <c r="C59" s="117">
        <v>1</v>
      </c>
      <c r="D59" s="117">
        <v>0</v>
      </c>
      <c r="E59" s="117">
        <v>0</v>
      </c>
      <c r="F59" s="117">
        <v>0</v>
      </c>
      <c r="G59" s="143">
        <v>0</v>
      </c>
      <c r="H59" s="13"/>
      <c r="I59" s="32">
        <f t="shared" si="41"/>
        <v>24.24510400096062</v>
      </c>
      <c r="J59" s="33">
        <f t="shared" si="42"/>
        <v>6.0612760002401549</v>
      </c>
      <c r="K59" s="33">
        <f t="shared" si="37"/>
        <v>6.0612760002401549</v>
      </c>
      <c r="L59" s="33">
        <f t="shared" si="37"/>
        <v>6.0612760002401549</v>
      </c>
      <c r="M59" s="99">
        <f t="shared" si="37"/>
        <v>6.0612760002401549</v>
      </c>
      <c r="N59" s="13"/>
      <c r="O59" s="36">
        <f t="shared" si="38"/>
        <v>-1</v>
      </c>
      <c r="P59" s="37">
        <f t="shared" si="38"/>
        <v>-1</v>
      </c>
      <c r="Q59" s="37">
        <f t="shared" si="38"/>
        <v>-1</v>
      </c>
      <c r="R59" s="38">
        <f t="shared" si="38"/>
        <v>-1</v>
      </c>
      <c r="S59" s="13"/>
      <c r="T59" s="39">
        <f t="shared" ref="T59:U60" si="45">J59*O59</f>
        <v>-6.0612760002401549</v>
      </c>
      <c r="U59" s="34">
        <f t="shared" si="45"/>
        <v>-6.0612760002401549</v>
      </c>
      <c r="V59" s="34">
        <f t="shared" si="39"/>
        <v>-6.0612760002401549</v>
      </c>
      <c r="W59" s="34">
        <f t="shared" si="39"/>
        <v>-6.0612760002401549</v>
      </c>
      <c r="X59" s="24">
        <f t="shared" si="43"/>
        <v>0</v>
      </c>
      <c r="Y59" s="40"/>
      <c r="Z59" s="39">
        <f t="shared" si="40"/>
        <v>0</v>
      </c>
      <c r="AA59" s="34">
        <f t="shared" si="40"/>
        <v>0</v>
      </c>
      <c r="AB59" s="34">
        <f t="shared" si="40"/>
        <v>0</v>
      </c>
      <c r="AC59" s="34">
        <f t="shared" si="40"/>
        <v>0</v>
      </c>
      <c r="AD59" s="24">
        <f t="shared" si="44"/>
        <v>0</v>
      </c>
      <c r="AF59" s="53"/>
      <c r="AG59" s="54"/>
      <c r="AH59" s="54"/>
      <c r="AI59" s="54"/>
      <c r="AJ59" s="44"/>
      <c r="AK59" s="101"/>
      <c r="AL59" s="49"/>
      <c r="AM59" s="50"/>
      <c r="AN59" s="50"/>
      <c r="AO59" s="50"/>
      <c r="AP59" s="44"/>
      <c r="AQ59" s="85"/>
      <c r="AR59" s="49"/>
      <c r="AS59" s="50"/>
      <c r="AT59" s="50"/>
      <c r="AU59" s="50"/>
      <c r="AV59" s="44"/>
      <c r="AW59" s="1" t="s">
        <v>30</v>
      </c>
    </row>
    <row r="60" spans="1:49" ht="27" thickBot="1" x14ac:dyDescent="0.3">
      <c r="A60" s="102" t="s">
        <v>40</v>
      </c>
      <c r="B60" s="144">
        <v>11150</v>
      </c>
      <c r="C60" s="144">
        <v>12416</v>
      </c>
      <c r="D60" s="129">
        <v>10219</v>
      </c>
      <c r="E60" s="129">
        <v>11881</v>
      </c>
      <c r="F60" s="129">
        <v>10638</v>
      </c>
      <c r="G60" s="145">
        <v>7805</v>
      </c>
      <c r="H60" s="13"/>
      <c r="I60" s="58">
        <f t="shared" si="41"/>
        <v>24.24510400096062</v>
      </c>
      <c r="J60" s="59">
        <f t="shared" si="42"/>
        <v>6.0612760002401549</v>
      </c>
      <c r="K60" s="59">
        <f t="shared" si="37"/>
        <v>6.0612760002401549</v>
      </c>
      <c r="L60" s="59">
        <f t="shared" si="37"/>
        <v>6.0612760002401549</v>
      </c>
      <c r="M60" s="104">
        <f t="shared" si="37"/>
        <v>6.0612760002401549</v>
      </c>
      <c r="N60" s="13"/>
      <c r="O60" s="62">
        <f t="shared" si="38"/>
        <v>-1.735387045813586</v>
      </c>
      <c r="P60" s="63">
        <f t="shared" si="38"/>
        <v>-0.42259083728278041</v>
      </c>
      <c r="Q60" s="63">
        <f t="shared" si="38"/>
        <v>-1.4044233807266984</v>
      </c>
      <c r="R60" s="64">
        <f t="shared" si="38"/>
        <v>-3.6421800947867298</v>
      </c>
      <c r="S60" s="13"/>
      <c r="T60" s="146">
        <f t="shared" si="45"/>
        <v>-10.518659851917551</v>
      </c>
      <c r="U60" s="60">
        <f t="shared" si="45"/>
        <v>-2.5614396999435094</v>
      </c>
      <c r="V60" s="60">
        <f t="shared" si="39"/>
        <v>-8.5125977317748784</v>
      </c>
      <c r="W60" s="60">
        <f t="shared" si="39"/>
        <v>-22.076258797083216</v>
      </c>
      <c r="X60" s="24">
        <f t="shared" si="43"/>
        <v>0</v>
      </c>
      <c r="Y60" s="40"/>
      <c r="Z60" s="146">
        <f t="shared" si="40"/>
        <v>0</v>
      </c>
      <c r="AA60" s="60">
        <f t="shared" si="40"/>
        <v>0</v>
      </c>
      <c r="AB60" s="60">
        <f t="shared" si="40"/>
        <v>0</v>
      </c>
      <c r="AC60" s="60">
        <f t="shared" si="40"/>
        <v>0</v>
      </c>
      <c r="AD60" s="67">
        <f t="shared" si="44"/>
        <v>0</v>
      </c>
      <c r="AF60" s="147"/>
      <c r="AG60" s="148"/>
      <c r="AH60" s="148"/>
      <c r="AI60" s="148"/>
      <c r="AJ60" s="71"/>
      <c r="AK60" s="101"/>
      <c r="AL60" s="149"/>
      <c r="AM60" s="131"/>
      <c r="AN60" s="131"/>
      <c r="AO60" s="131"/>
      <c r="AP60" s="71"/>
      <c r="AQ60" s="85"/>
      <c r="AR60" s="149"/>
      <c r="AS60" s="131"/>
      <c r="AT60" s="131"/>
      <c r="AU60" s="131"/>
      <c r="AV60" s="71"/>
      <c r="AW60" s="1" t="s">
        <v>30</v>
      </c>
    </row>
    <row r="61" spans="1:49" ht="13.8" thickBo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35">
        <f>SUMIF(T55:T60,"&gt;0")</f>
        <v>0</v>
      </c>
      <c r="U61" s="136">
        <f t="shared" ref="U61:W61" si="46">SUMIF(U55:U60,"&gt;0")</f>
        <v>0</v>
      </c>
      <c r="V61" s="136">
        <f t="shared" si="46"/>
        <v>0</v>
      </c>
      <c r="W61" s="136">
        <f t="shared" si="46"/>
        <v>0</v>
      </c>
      <c r="X61" s="137">
        <f>SUMIF(X55:X60,"&gt;0")</f>
        <v>0</v>
      </c>
      <c r="Y61" s="11"/>
      <c r="Z61" s="135">
        <f>SUMIF(Z56:Z60,"&gt;0")</f>
        <v>0</v>
      </c>
      <c r="AA61" s="136">
        <f t="shared" ref="AA61:AD61" si="47">SUMIF(AA56:AA60,"&gt;0")</f>
        <v>0</v>
      </c>
      <c r="AB61" s="136">
        <f t="shared" si="47"/>
        <v>0</v>
      </c>
      <c r="AC61" s="136">
        <f t="shared" si="47"/>
        <v>0</v>
      </c>
      <c r="AD61" s="137">
        <f t="shared" si="47"/>
        <v>0</v>
      </c>
      <c r="AF61" s="79"/>
      <c r="AG61" s="80"/>
      <c r="AH61" s="80"/>
      <c r="AI61" s="80"/>
      <c r="AJ61" s="81"/>
      <c r="AK61" s="101"/>
      <c r="AL61" s="150"/>
      <c r="AM61" s="151"/>
      <c r="AN61" s="151"/>
      <c r="AO61" s="151"/>
      <c r="AP61" s="81"/>
      <c r="AQ61" s="85"/>
      <c r="AR61" s="150"/>
      <c r="AS61" s="151"/>
      <c r="AT61" s="151"/>
      <c r="AU61" s="151"/>
      <c r="AV61" s="81"/>
    </row>
    <row r="62" spans="1:49" x14ac:dyDescent="0.25">
      <c r="A62" s="152" t="s">
        <v>59</v>
      </c>
      <c r="B62" s="153" t="s">
        <v>60</v>
      </c>
    </row>
    <row r="63" spans="1:49" x14ac:dyDescent="0.25">
      <c r="A63" s="152" t="s">
        <v>61</v>
      </c>
      <c r="B63" s="154">
        <v>42433</v>
      </c>
    </row>
    <row r="64" spans="1:49" x14ac:dyDescent="0.25">
      <c r="A64" s="152" t="s">
        <v>62</v>
      </c>
      <c r="B64" s="153" t="s">
        <v>60</v>
      </c>
    </row>
    <row r="65" spans="1:2" x14ac:dyDescent="0.25">
      <c r="A65" s="152" t="s">
        <v>63</v>
      </c>
      <c r="B65" s="154">
        <v>42485</v>
      </c>
    </row>
    <row r="66" spans="1:2" x14ac:dyDescent="0.25">
      <c r="A66" s="152" t="s">
        <v>64</v>
      </c>
      <c r="B66" s="153" t="s">
        <v>60</v>
      </c>
    </row>
    <row r="67" spans="1:2" x14ac:dyDescent="0.25">
      <c r="A67" s="152" t="s">
        <v>65</v>
      </c>
      <c r="B67" s="154">
        <v>42508</v>
      </c>
    </row>
  </sheetData>
  <mergeCells count="65">
    <mergeCell ref="A1:I1"/>
    <mergeCell ref="A3:AV3"/>
    <mergeCell ref="A4:D4"/>
    <mergeCell ref="E4:E5"/>
    <mergeCell ref="F4:G4"/>
    <mergeCell ref="AL8:AP9"/>
    <mergeCell ref="AR8:AV9"/>
    <mergeCell ref="A9:C9"/>
    <mergeCell ref="D9:G9"/>
    <mergeCell ref="A19:AV19"/>
    <mergeCell ref="A8:G8"/>
    <mergeCell ref="I8:M8"/>
    <mergeCell ref="O8:R9"/>
    <mergeCell ref="T8:X9"/>
    <mergeCell ref="Z8:AD9"/>
    <mergeCell ref="O20:P20"/>
    <mergeCell ref="A24:G24"/>
    <mergeCell ref="I24:M24"/>
    <mergeCell ref="O24:R25"/>
    <mergeCell ref="AF8:AJ9"/>
    <mergeCell ref="A25:C25"/>
    <mergeCell ref="D25:G25"/>
    <mergeCell ref="A20:D20"/>
    <mergeCell ref="E20:E21"/>
    <mergeCell ref="F20:G20"/>
    <mergeCell ref="T24:X25"/>
    <mergeCell ref="Z24:AD25"/>
    <mergeCell ref="AF24:AJ25"/>
    <mergeCell ref="AL24:AP25"/>
    <mergeCell ref="AR24:AV25"/>
    <mergeCell ref="A32:AV32"/>
    <mergeCell ref="A33:D33"/>
    <mergeCell ref="E33:E34"/>
    <mergeCell ref="F33:G33"/>
    <mergeCell ref="AR33:AU33"/>
    <mergeCell ref="J34:K34"/>
    <mergeCell ref="AR37:AV38"/>
    <mergeCell ref="A38:C38"/>
    <mergeCell ref="D38:G38"/>
    <mergeCell ref="O36:R36"/>
    <mergeCell ref="T36:X36"/>
    <mergeCell ref="A37:G37"/>
    <mergeCell ref="I37:M37"/>
    <mergeCell ref="O37:R38"/>
    <mergeCell ref="T37:X38"/>
    <mergeCell ref="O52:R52"/>
    <mergeCell ref="T52:X52"/>
    <mergeCell ref="Z37:AD38"/>
    <mergeCell ref="AF37:AJ38"/>
    <mergeCell ref="AL37:AP38"/>
    <mergeCell ref="A48:AV48"/>
    <mergeCell ref="A49:D49"/>
    <mergeCell ref="E49:E50"/>
    <mergeCell ref="F49:G49"/>
    <mergeCell ref="J49:K49"/>
    <mergeCell ref="AL53:AP54"/>
    <mergeCell ref="AR53:AV54"/>
    <mergeCell ref="A54:C54"/>
    <mergeCell ref="D54:G54"/>
    <mergeCell ref="A53:G53"/>
    <mergeCell ref="I53:M53"/>
    <mergeCell ref="O53:R54"/>
    <mergeCell ref="T53:X54"/>
    <mergeCell ref="Z53:AD54"/>
    <mergeCell ref="AF53:AJ54"/>
  </mergeCells>
  <conditionalFormatting sqref="AQ17:AQ18">
    <cfRule type="cellIs" dxfId="24" priority="25" operator="greaterThan">
      <formula>0</formula>
    </cfRule>
  </conditionalFormatting>
  <conditionalFormatting sqref="AK30:AK31 AQ30:AQ31 AK33 AQ33">
    <cfRule type="cellIs" dxfId="23" priority="24" operator="greaterThan">
      <formula>0</formula>
    </cfRule>
  </conditionalFormatting>
  <conditionalFormatting sqref="AK46:AK47 AQ46:AQ47">
    <cfRule type="cellIs" dxfId="22" priority="23" operator="greaterThan">
      <formula>0</formula>
    </cfRule>
  </conditionalFormatting>
  <conditionalFormatting sqref="AK61 AQ61">
    <cfRule type="cellIs" dxfId="21" priority="22" operator="greaterThan">
      <formula>0</formula>
    </cfRule>
  </conditionalFormatting>
  <conditionalFormatting sqref="O11:R16">
    <cfRule type="cellIs" dxfId="20" priority="1" operator="greaterThan">
      <formula>1</formula>
    </cfRule>
    <cfRule type="cellIs" dxfId="19" priority="5" operator="greaterThan">
      <formula>1</formula>
    </cfRule>
    <cfRule type="cellIs" dxfId="18" priority="6" operator="greaterThan">
      <formula>2</formula>
    </cfRule>
    <cfRule type="cellIs" dxfId="17" priority="10" operator="greaterThan">
      <formula>2</formula>
    </cfRule>
    <cfRule type="cellIs" dxfId="16" priority="15" operator="greaterThan">
      <formula>2</formula>
    </cfRule>
    <cfRule type="cellIs" dxfId="15" priority="21" operator="greaterThan">
      <formula>2</formula>
    </cfRule>
  </conditionalFormatting>
  <conditionalFormatting sqref="O27:R29">
    <cfRule type="cellIs" dxfId="14" priority="4" operator="greaterThan">
      <formula>1</formula>
    </cfRule>
    <cfRule type="cellIs" dxfId="13" priority="14" operator="greaterThan">
      <formula>2</formula>
    </cfRule>
    <cfRule type="cellIs" dxfId="12" priority="20" operator="greaterThan">
      <formula>2</formula>
    </cfRule>
  </conditionalFormatting>
  <conditionalFormatting sqref="O40:R45 O56:R60">
    <cfRule type="cellIs" dxfId="11" priority="19" operator="greaterThan">
      <formula>2</formula>
    </cfRule>
  </conditionalFormatting>
  <conditionalFormatting sqref="O40:R45">
    <cfRule type="cellIs" dxfId="10" priority="3" operator="greaterThan">
      <formula>1</formula>
    </cfRule>
    <cfRule type="cellIs" dxfId="9" priority="7" operator="greaterThan">
      <formula>2</formula>
    </cfRule>
    <cfRule type="cellIs" dxfId="8" priority="9" operator="greaterThan">
      <formula>2</formula>
    </cfRule>
    <cfRule type="cellIs" dxfId="7" priority="13" operator="greaterThan">
      <formula>2</formula>
    </cfRule>
    <cfRule type="cellIs" dxfId="6" priority="16" operator="greaterThan">
      <formula>"&gt;2"</formula>
    </cfRule>
    <cfRule type="cellIs" dxfId="5" priority="18" operator="greaterThan">
      <formula>"&gt;2"</formula>
    </cfRule>
  </conditionalFormatting>
  <conditionalFormatting sqref="O56:R60">
    <cfRule type="cellIs" dxfId="4" priority="2" operator="greaterThan">
      <formula>1</formula>
    </cfRule>
    <cfRule type="cellIs" dxfId="3" priority="8" operator="greaterThan">
      <formula>2</formula>
    </cfRule>
    <cfRule type="cellIs" dxfId="2" priority="11" operator="greaterThan">
      <formula>2</formula>
    </cfRule>
    <cfRule type="cellIs" dxfId="1" priority="12" operator="greaterThan">
      <formula>2</formula>
    </cfRule>
    <cfRule type="cellIs" dxfId="0" priority="17" operator="greaterThan">
      <formula>"&gt;2"</formula>
    </cfRule>
  </conditionalFormatting>
  <pageMargins left="0.74803149606299213" right="0.74803149606299213" top="0.98425196850393704" bottom="0.98425196850393704" header="0.51181102362204722" footer="0.51181102362204722"/>
  <pageSetup paperSize="8" scale="42" orientation="landscape" cellComments="asDisplayed" r:id="rId1"/>
  <headerFooter>
    <oddHeader>&amp;A</oddHeader>
    <oddFooter>Page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WSH FD14 BY</vt:lpstr>
      <vt:lpstr>'WSH FD14 BY'!Print_Area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2016-09-30T13:20:58Z</dcterms:created>
  <dcterms:modified xsi:type="dcterms:W3CDTF">2016-09-30T13:21:07Z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