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<sst xmlns="http://schemas.openxmlformats.org/spreadsheetml/2006/main" count="1297" uniqueCount="227">
  <si>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</si>
  <si>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</si>
  <si>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</si>
  <si>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</si>
  <si>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</si>
  <si>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</si>
  <si>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</si>
  <si>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</si>
  <si>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</si>
  <si>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</si>
  <si>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</si>
  <si>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</si>
  <si>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</si>
  <si>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</si>
  <si>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</si>
  <si>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</si>
  <si>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</si>
  <si>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</si>
  <si>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</si>
  <si>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</si>
  <si>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</si>
  <si>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</si>
  <si>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</si>
  <si>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</si>
  <si>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</si>
  <si>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</si>
  <si>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</si>
  <si>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</si>
  <si>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</si>
  <si>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</si>
  <si>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</si>
  <si>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</si>
  <si>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</si>
  <si>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</si>
  <si>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</si>
  <si>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</si>
  <si>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</si>
  <si>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</si>
  <si>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</si>
  <si>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</si>
  <si>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</si>
  <si>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</si>
  <si>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</si>
  <si>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</si>
  <si>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</si>
  <si>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</si>
  <si>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</si>
  <si>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</si>
  <si>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</si>
  <si>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</si>
  <si>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</si>
  <si>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</si>
  <si>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</si>
  <si>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</si>
  <si>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</si>
  <si>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</si>
  <si>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</si>
  <si>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</si>
  <si>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</si>
  <si>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</si>
  <si>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</si>
  <si>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</si>
  <si>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</si>
  <si>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</si>
  <si>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</si>
  <si>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</si>
  <si>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</si>
  <si>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</si>
  <si>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</si>
  <si>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</si>
  <si>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</si>
  <si>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</si>
  <si>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</si>
  <si>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</si>
  <si>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</si>
  <si>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</si>
  <si>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</si>
  <si>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</si>
  <si>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</si>
  <si>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</si>
  <si>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</si>
  <si>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</si>
  <si>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</si>
  <si>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</si>
  <si>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</si>
  <si>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</si>
  <si>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</si>
  <si>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</si>
  <si>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</si>
  <si>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</si>
  <si>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</si>
  <si>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</si>
  <si>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</si>
  <si>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</si>
  <si>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</si>
  <si>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</si>
  <si>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</si>
  <si>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</si>
  <si>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</si>
  <si>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</si>
  <si>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</si>
  <si>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</si>
  <si>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</si>
  <si>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</si>
  <si>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</si>
  <si>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</si>
  <si>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</si>
  <si>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</si>
  <si>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</si>
  <si>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</si>
  <si>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</si>
  <si>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</si>
  <si>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</si>
  <si>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</si>
  <si>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</si>
  <si>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</si>
  <si>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</si>
  <si>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</si>
  <si>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</si>
  <si>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</si>
  <si>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</si>
  <si>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</si>
  <si>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</si>
  <si>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</si>
  <si>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</si>
  <si>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</si>
  <si>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</si>
  <si>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</si>
  <si>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</si>
  <si>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</si>
  <si>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</si>
  <si>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</si>
  <si>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</si>
  <si>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</si>
  <si>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</si>
  <si>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</si>
  <si>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</si>
  <si>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</si>
  <si>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</si>
  <si>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</si>
  <si>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</si>
  <si>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</si>
  <si>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</si>
  <si>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</si>
  <si>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</si>
  <si>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</si>
  <si>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</si>
  <si>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</si>
  <si>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</si>
  <si>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</si>
  <si>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</si>
  <si>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</si>
  <si>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</si>
  <si>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</si>
  <si>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</si>
  <si>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</si>
  <si>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</si>
  <si>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</si>
  <si>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</si>
  <si>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</si>
  <si>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</si>
  <si>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</si>
  <si>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</si>
  <si>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</si>
  <si>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</si>
  <si>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</si>
  <si>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</si>
  <si>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</si>
  <si>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</si>
  <si>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</si>
  <si>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</si>
  <si>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</si>
  <si>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</si>
  <si>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</si>
  <si>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</si>
  <si>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</si>
  <si>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</si>
  <si>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</si>
  <si>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</si>
  <si>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</si>
  <si>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</si>
  <si>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</si>
  <si>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</si>
  <si>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</si>
  <si>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</si>
  <si>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</si>
  <si>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</si>
  <si>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</si>
  <si>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</si>
  <si>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</si>
  <si>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</si>
  <si>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</si>
  <si>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</si>
  <si>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</si>
  <si>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</si>
  <si>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</si>
  <si>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</si>
  <si>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</si>
  <si>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</si>
  <si>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</si>
  <si>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</si>
  <si>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</si>
  <si>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</si>
  <si>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</si>
  <si>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</si>
  <si>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</si>
  <si>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</si>
  <si>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</si>
  <si>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</si>
  <si>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</si>
  <si>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</si>
  <si>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</si>
  <si>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</si>
  <si>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</si>
  <si>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</si>
  <si>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</si>
  <si>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</si>
  <si>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</si>
  <si>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</si>
  <si>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</si>
  <si>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</si>
  <si>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</si>
  <si>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OFWAT\Jenny.Ngai_XLSPF</t>
  </si>
  <si>
    <t>52_XLSPF</t>
  </si>
  <si>
    <t>Sutton &amp; East Surrey Water Ltd_XLSPF</t>
  </si>
  <si>
    <t>28/09/2016 09:49:58_XLSPF</t>
  </si>
  <si>
    <t>28/09/2016 09:57:17_XLSPF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</si>
</sst>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-0.84775266442290054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0.21458788440396015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6.6178533347544199E-2</v>
      </c>
      <c r="J15" s="143">
        <f>RCM.Outturn.RevCorrection.Water-RCM.FD.RevCorrection.Water</f>
        <v>6.6178533347544199E-2</v>
      </c>
      <c r="K15" s="143">
        <f>RCM.Outturn.RevCorrection.Water-RCM.FD.RevCorrection.Water</f>
        <v>6.6178533347544199E-2</v>
      </c>
      <c r="L15" s="143">
        <f>RCM.Outturn.RevCorrection.Water-RCM.FD.RevCorrection.Water</f>
        <v>6.6178533347544199E-2</v>
      </c>
      <c r="M15" s="143">
        <f>RCM.Outturn.RevCorrection.Water-RCM.FD.RevCorrection.Water</f>
        <v>6.6178533347544199E-2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-2.2993238384223624E-2</v>
      </c>
      <c r="J16" s="143">
        <f>RCM.Outturn.BillingAdj.Water-RCM.FD.BillingAdj.Water</f>
        <v>-2.2993238384223624E-2</v>
      </c>
      <c r="K16" s="143">
        <f>RCM.Outturn.BillingAdj.Water-RCM.FD.BillingAdj.Water</f>
        <v>-2.2993238384223624E-2</v>
      </c>
      <c r="L16" s="143">
        <f>RCM.Outturn.BillingAdj.Water-RCM.FD.BillingAdj.Water</f>
        <v>-2.2993238384223624E-2</v>
      </c>
      <c r="M16" s="143">
        <f>RCM.Outturn.BillingAdj.Water-RCM.FD.BillingAdj.Water</f>
        <v>-2.2993238384223624E-2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4.3185294963320575E-2</v>
      </c>
      <c r="J17" s="145">
        <f>SUM(J15:J16)</f>
        <v>4.3185294963320575E-2</v>
      </c>
      <c r="K17" s="145">
        <f>SUM(K15:K16)</f>
        <v>4.3185294963320575E-2</v>
      </c>
      <c r="L17" s="145">
        <f>SUM(L15:L16)</f>
        <v>4.3185294963320575E-2</v>
      </c>
      <c r="M17" s="146">
        <f>SUM(M15:M16)</f>
        <v>4.3185294963320575E-2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-0.84775266442290054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4.3185294963320575E-2</v>
      </c>
      <c r="J26" s="142">
        <f t="shared" ref="J26" si="4" xml:space="preserve"> I26 + J12 + J17</f>
        <v>8.637058992664115E-2</v>
      </c>
      <c r="K26" s="142">
        <f t="shared" ref="K26" si="5" xml:space="preserve"> J26 + K12 + K17</f>
        <v>0.12955588488996173</v>
      </c>
      <c r="L26" s="142">
        <f t="shared" ref="L26" si="6" xml:space="preserve"> K26 + L12 + L17</f>
        <v>0.1727411798532823</v>
      </c>
      <c r="M26" s="142">
        <f xml:space="preserve"> L26 + M12 + M17</f>
        <v>0.43051435922056303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-0.41723830520233751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-0.41723830520233751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-0.84775266442290054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0.21458788440396015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-0.87827176034212495</v>
      </c>
      <c r="O39" s="142">
        <f>N39*(1+Financing.Rate)</f>
        <v>-0.90988954371444153</v>
      </c>
      <c r="P39" s="133">
        <f>O39*(1+Financing.Rate)</f>
        <v>-0.9426455672881614</v>
      </c>
      <c r="Q39" s="142">
        <f>P39*(1+Financing.Rate)</f>
        <v>-0.97658080771053524</v>
      </c>
      <c r="R39" s="142">
        <f>Q39*(1+Financing.Rate)</f>
        <v>-1.0117377167881145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-0.16398505236521399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0.22231304824250273</v>
      </c>
      <c r="O42" s="142">
        <f>N42*(1+Financing.Rate)</f>
        <v>0.23031631797923283</v>
      </c>
      <c r="P42" s="133">
        <f>O42*(1+Financing.Rate)</f>
        <v>0.23860770542648521</v>
      </c>
      <c r="Q42" s="133">
        <f>P42*(1+Financing.Rate)</f>
        <v>0.24719758282183868</v>
      </c>
      <c r="R42" s="133">
        <f>Q42*(1+Financing.Rate)</f>
        <v>0.25609669580342487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4.1508811399464718E-2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-0.12247624096574927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-1.0117377167881145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0.25609669580342487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-0.75564102098468966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0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0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0</v>
      </c>
      <c r="J15" s="143">
        <f>RCM.Outturn.RevCorrection.Waste-RCM.FD.RevCorrection.Waste</f>
        <v>0</v>
      </c>
      <c r="K15" s="143">
        <f>RCM.Outturn.RevCorrection.Waste-RCM.FD.RevCorrection.Waste</f>
        <v>0</v>
      </c>
      <c r="L15" s="143">
        <f>RCM.Outturn.RevCorrection.Waste-RCM.FD.RevCorrection.Waste</f>
        <v>0</v>
      </c>
      <c r="M15" s="143">
        <f>RCM.Outturn.RevCorrection.Waste-RCM.FD.RevCorrection.Waste</f>
        <v>0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0</v>
      </c>
      <c r="J16" s="143">
        <f>RCM.Outturn.BillingAdj.Waste-RCM.FD.BillingAdj.Waste</f>
        <v>0</v>
      </c>
      <c r="K16" s="143">
        <f>RCM.Outturn.BillingAdj.Waste-RCM.FD.BillingAdj.Waste</f>
        <v>0</v>
      </c>
      <c r="L16" s="143">
        <f>RCM.Outturn.BillingAdj.Waste-RCM.FD.BillingAdj.Waste</f>
        <v>0</v>
      </c>
      <c r="M16" s="143">
        <f>RCM.Outturn.BillingAdj.Waste-RCM.FD.BillingAdj.Waste</f>
        <v>0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0</v>
      </c>
      <c r="J17" s="145">
        <f>SUM(J15:J16)</f>
        <v>0</v>
      </c>
      <c r="K17" s="145">
        <f>SUM(K15:K16)</f>
        <v>0</v>
      </c>
      <c r="L17" s="145">
        <f>SUM(L15:L16)</f>
        <v>0</v>
      </c>
      <c r="M17" s="146">
        <f>SUM(M15:M16)</f>
        <v>0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0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0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0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</v>
      </c>
      <c r="O39" s="142">
        <f>N39*(1+Financing.Rate)</f>
        <v>0</v>
      </c>
      <c r="P39" s="133">
        <f>O39*(1+Financing.Rate)</f>
        <v>0</v>
      </c>
      <c r="Q39" s="142">
        <f>P39*(1+Financing.Rate)</f>
        <v>0</v>
      </c>
      <c r="R39" s="142">
        <f>Q39*(1+Financing.Rate)</f>
        <v>0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0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</v>
      </c>
      <c r="O42" s="142">
        <f>N42*(1+Financing.Rate)</f>
        <v>0</v>
      </c>
      <c r="P42" s="133">
        <f>O42*(1+Financing.Rate)</f>
        <v>0</v>
      </c>
      <c r="Q42" s="133">
        <f>P42*(1+Financing.Rate)</f>
        <v>0</v>
      </c>
      <c r="R42" s="133">
        <f>Q42*(1+Financing.Rate)</f>
        <v>0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0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-1.0117377167881145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0.25609669580342487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0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0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0.330892666737721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-0.11496619192111812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0.21592647481660288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0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0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SES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225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223</v>
      </c>
    </row>
    <row r="6" spans="1:2">
      <c r="A6" t="s">
        <v>143</v>
      </c>
      <c r="B6" t="s">
        <v>224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222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3.66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125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-13.207856594281999</v>
      </c>
      <c r="Q4" s="120"/>
    </row>
    <row r="5" spans="1:17">
      <c r="A5" t="s">
        <v>125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-3.2951843042602702</v>
      </c>
      <c r="Q5" s="120"/>
    </row>
    <row r="6" spans="1:17">
      <c r="A6" t="s">
        <v>125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0</v>
      </c>
      <c r="Q6" s="120"/>
    </row>
    <row r="7" spans="1:17">
      <c r="A7" t="s">
        <v>125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0</v>
      </c>
      <c r="Q7" s="120"/>
    </row>
    <row r="8" spans="1:17">
      <c r="A8" t="s">
        <v>125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3.5999999999999997E-2</v>
      </c>
    </row>
    <row r="9" spans="1:17">
      <c r="A9" t="s">
        <v>125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-14.0556092587049</v>
      </c>
      <c r="Q9" s="120"/>
    </row>
    <row r="10" spans="1:17">
      <c r="A10" t="s">
        <v>125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-3.0805964198563101</v>
      </c>
      <c r="Q10" s="120"/>
    </row>
    <row r="11" spans="1:17">
      <c r="A11" t="s">
        <v>125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0</v>
      </c>
      <c r="Q11" s="120"/>
    </row>
    <row r="12" spans="1:17">
      <c r="A12" t="s">
        <v>125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0</v>
      </c>
      <c r="Q12" s="120"/>
    </row>
    <row r="13" spans="1:17">
      <c r="A13" t="s">
        <v>125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3.5999999999999997E-2</v>
      </c>
    </row>
    <row r="14" spans="1:17">
      <c r="A14" t="s">
        <v>125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2.1289516623705902</v>
      </c>
      <c r="L14" s="120">
        <v>2.1289516623705902</v>
      </c>
      <c r="M14" s="120">
        <v>2.1289516623705902</v>
      </c>
      <c r="N14" s="120">
        <v>2.1289516623705902</v>
      </c>
      <c r="O14" s="120">
        <v>2.1289516623705902</v>
      </c>
      <c r="P14" s="120"/>
      <c r="Q14" s="120"/>
    </row>
    <row r="15" spans="1:17">
      <c r="A15" t="s">
        <v>125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-0.235613350230753</v>
      </c>
      <c r="L15" s="120">
        <v>-0.235613350230753</v>
      </c>
      <c r="M15" s="120">
        <v>-0.235613350230753</v>
      </c>
      <c r="N15" s="120">
        <v>-0.235613350230753</v>
      </c>
      <c r="O15" s="120">
        <v>-0.235613350230753</v>
      </c>
      <c r="P15" s="120"/>
      <c r="Q15" s="120"/>
    </row>
    <row r="16" spans="1:17">
      <c r="A16" t="s">
        <v>125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/>
      <c r="Q16" s="120"/>
    </row>
    <row r="17" spans="1:17">
      <c r="A17" t="s">
        <v>125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/>
      <c r="Q17" s="120"/>
    </row>
    <row r="18" spans="1:17">
      <c r="A18" t="s">
        <v>125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125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125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-13.207856594281999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-3.2951843042602702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-16.50304089854227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-14.0556092587049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-3.0805964198563101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-17.136205678561211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2.062773129023046</v>
      </c>
      <c r="J24" s="128">
        <f>VLOOKUP($T$1&amp;$B24,'RCM PR14'!$B$4:$K$99,COLUMN(H1)-1,FALSE)</f>
        <v>2.062773129023046</v>
      </c>
      <c r="K24" s="128">
        <f>VLOOKUP($T$1&amp;$B24,'RCM PR14'!$B$4:$K$99,COLUMN(I1)-1,FALSE)</f>
        <v>2.062773129023046</v>
      </c>
      <c r="L24" s="128">
        <f>VLOOKUP($T$1&amp;$B24,'RCM PR14'!$B$4:$K$99,COLUMN(J1)-1,FALSE)</f>
        <v>2.062773129023046</v>
      </c>
      <c r="M24" s="128">
        <f>VLOOKUP($T$1&amp;$B24,'RCM PR14'!$B$4:$K$99,COLUMN(K1)-1,FALSE)</f>
        <v>2.062773129023046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-0.21262011184652937</v>
      </c>
      <c r="J25" s="128">
        <f>VLOOKUP($T$1&amp;$B25,'RCM PR14'!$B$4:$K$99,COLUMN(H2)-1,FALSE)</f>
        <v>-0.21262011184652937</v>
      </c>
      <c r="K25" s="128">
        <f>VLOOKUP($T$1&amp;$B25,'RCM PR14'!$B$4:$K$99,COLUMN(I2)-1,FALSE)</f>
        <v>-0.21262011184652937</v>
      </c>
      <c r="L25" s="128">
        <f>VLOOKUP($T$1&amp;$B25,'RCM PR14'!$B$4:$K$99,COLUMN(J2)-1,FALSE)</f>
        <v>-0.21262011184652937</v>
      </c>
      <c r="M25" s="128">
        <f>VLOOKUP($T$1&amp;$B25,'RCM PR14'!$B$4:$K$99,COLUMN(K2)-1,FALSE)</f>
        <v>-0.21262011184652937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2.1289516623705902</v>
      </c>
      <c r="J28" s="128">
        <f>+F_Inputs!L14</f>
        <v>2.1289516623705902</v>
      </c>
      <c r="K28" s="128">
        <f>+F_Inputs!M14</f>
        <v>2.1289516623705902</v>
      </c>
      <c r="L28" s="128">
        <f>+F_Inputs!N14</f>
        <v>2.1289516623705902</v>
      </c>
      <c r="M28" s="128">
        <f>+F_Inputs!O14</f>
        <v>2.1289516623705902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-0.235613350230753</v>
      </c>
      <c r="J29" s="128">
        <f>+F_Inputs!L15</f>
        <v>-0.235613350230753</v>
      </c>
      <c r="K29" s="128">
        <f>+F_Inputs!M15</f>
        <v>-0.235613350230753</v>
      </c>
      <c r="L29" s="128">
        <f>+F_Inputs!N15</f>
        <v>-0.235613350230753</v>
      </c>
      <c r="M29" s="128">
        <f>+F_Inputs!O15</f>
        <v>-0.235613350230753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0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0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0</v>
      </c>
      <c r="K38" s="128">
        <f>F_Inputs!H18</f>
        <v>0</v>
      </c>
      <c r="L38" s="128">
        <f>F_Inputs!I18</f>
        <v>0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SES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0</v>
      </c>
      <c r="J24" s="137">
        <f>VLOOKUP($T$1&amp;$B24,'RCM PR14'!$B$4:$K$99,COLUMN(H1)-1,FALSE)</f>
        <v>0</v>
      </c>
      <c r="K24" s="137">
        <f>VLOOKUP($T$1&amp;$B24,'RCM PR14'!$B$4:$K$99,COLUMN(I1)-1,FALSE)</f>
        <v>0</v>
      </c>
      <c r="L24" s="137">
        <f>VLOOKUP($T$1&amp;$B24,'RCM PR14'!$B$4:$K$99,COLUMN(J1)-1,FALSE)</f>
        <v>0</v>
      </c>
      <c r="M24" s="137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0</v>
      </c>
      <c r="J25" s="137">
        <f>VLOOKUP($T$1&amp;$B25,'RCM PR14'!$B$4:$K$99,COLUMN(H2)-1,FALSE)</f>
        <v>0</v>
      </c>
      <c r="K25" s="137">
        <f>VLOOKUP($T$1&amp;$B25,'RCM PR14'!$B$4:$K$99,COLUMN(I2)-1,FALSE)</f>
        <v>0</v>
      </c>
      <c r="L25" s="137">
        <f>VLOOKUP($T$1&amp;$B25,'RCM PR14'!$B$4:$K$99,COLUMN(J2)-1,FALSE)</f>
        <v>0</v>
      </c>
      <c r="M25" s="137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0</v>
      </c>
      <c r="J28" s="137">
        <f>+F_Inputs!L16</f>
        <v>0</v>
      </c>
      <c r="K28" s="137">
        <f>+F_Inputs!M16</f>
        <v>0</v>
      </c>
      <c r="L28" s="137">
        <f>+F_Inputs!N16</f>
        <v>0</v>
      </c>
      <c r="M28" s="137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0</v>
      </c>
      <c r="J29" s="137">
        <f>+F_Inputs!L17</f>
        <v>0</v>
      </c>
      <c r="K29" s="137">
        <f>+F_Inputs!M17</f>
        <v>0</v>
      </c>
      <c r="L29" s="137">
        <f>+F_Inputs!N17</f>
        <v>0</v>
      </c>
      <c r="M29" s="137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0</v>
      </c>
      <c r="K35" s="137">
        <f>VLOOKUP($T$1&amp;$B35,'Serviceability FD'!$B$4:$K$51,COLUMN(I12)-1,FALSE)</f>
        <v>0</v>
      </c>
      <c r="L35" s="137">
        <f>VLOOKUP($T$1&amp;$B35,'Serviceability FD'!$B$4:$K$51,COLUMN(J12)-1,FALSE)</f>
        <v>0</v>
      </c>
      <c r="M35" s="137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0</v>
      </c>
      <c r="K38" s="137">
        <f>F_Inputs!H19</f>
        <v>0</v>
      </c>
      <c r="L38" s="137">
        <f>F_Inputs!I19</f>
        <v>0</v>
      </c>
      <c r="M38" s="137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2016-09-30T10:50:44Z</dcterms:created>
  <dcterms:modified xsi:type="dcterms:W3CDTF">2016-09-30T10:50:49Z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