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 yWindow="-12" windowWidth="12504" windowHeight="4668" tabRatio="702" firstSheet="23" activeTab="29"/>
  </bookViews>
  <sheets>
    <sheet name="Cover" sheetId="10" r:id="rId1"/>
    <sheet name="Flow chart" sheetId="14" r:id="rId2"/>
    <sheet name="Matrix" sheetId="6" r:id="rId3"/>
    <sheet name="Step 1" sheetId="36" r:id="rId4"/>
    <sheet name="CLEAR_SHEET" sheetId="37" state="hidden" r:id="rId5"/>
    <sheet name="F_Inputs" sheetId="38" r:id="rId6"/>
    <sheet name="F_Inputs FD" sheetId="16" r:id="rId7"/>
    <sheet name="Input FD" sheetId="3" r:id="rId8"/>
    <sheet name="Calc" sheetId="4" r:id="rId9"/>
    <sheet name="Profiling" sheetId="18" r:id="rId10"/>
    <sheet name="Exante outputs" sheetId="8" r:id="rId11"/>
    <sheet name="Rec exante to expost" sheetId="11" r:id="rId12"/>
    <sheet name="Ex post outputs" sheetId="9" r:id="rId13"/>
    <sheet name="Step 2" sheetId="35" r:id="rId14"/>
    <sheet name="Formulae changes in Calc2" sheetId="25" r:id="rId15"/>
    <sheet name="Calc2 FD" sheetId="20" r:id="rId16"/>
    <sheet name="Profiling2 FD" sheetId="21" r:id="rId17"/>
    <sheet name="Exante outputs2 FD" sheetId="22" r:id="rId18"/>
    <sheet name="Rec exante to expost2 FD" sheetId="23" r:id="rId19"/>
    <sheet name="Ex post outputs2 FD" sheetId="24" r:id="rId20"/>
    <sheet name="Step 4" sheetId="34" r:id="rId21"/>
    <sheet name="F_Inputs BYR" sheetId="27" r:id="rId22"/>
    <sheet name="Input BYR" sheetId="28" r:id="rId23"/>
    <sheet name="Calc2 BYR" sheetId="29" r:id="rId24"/>
    <sheet name="Profiling2 BYR" sheetId="30" r:id="rId25"/>
    <sheet name="Exante outputs2 BYR" sheetId="31" r:id="rId26"/>
    <sheet name="Rec exante to expost2 BYR" sheetId="32" r:id="rId27"/>
    <sheet name="Ex post outputs2 BYR" sheetId="33" r:id="rId28"/>
    <sheet name="Outputs comparison" sheetId="26" r:id="rId29"/>
    <sheet name="F_Outputs" sheetId="17" r:id="rId30"/>
  </sheets>
  <definedNames>
    <definedName name="Baseyear">'Input FD'!$G$2</definedName>
    <definedName name="IDoK_submissions_for_claim_under_RCC4">Cover!$A$74</definedName>
    <definedName name="_xlnm.Print_Area" localSheetId="8">Calc!$A$1:$S$220</definedName>
    <definedName name="_xlnm.Print_Area" localSheetId="23">'Calc2 BYR'!$A$1:$S$220</definedName>
    <definedName name="_xlnm.Print_Area" localSheetId="15">'Calc2 FD'!$A$1:$S$220</definedName>
    <definedName name="_xlnm.Print_Area" localSheetId="1">'Flow chart'!$A$1:$V$103</definedName>
    <definedName name="_xlnm.Print_Area" localSheetId="2">Matrix!$A$1:$O$19</definedName>
    <definedName name="_xlnm.Print_Area" localSheetId="9">Profiling!$A$1:$S$160</definedName>
    <definedName name="_xlnm.Print_Area" localSheetId="24">'Profiling2 BYR'!$A$1:$S$160</definedName>
    <definedName name="_xlnm.Print_Area" localSheetId="16">'Profiling2 FD'!$A$1:$S$160</definedName>
    <definedName name="_xlnm.Print_Area" localSheetId="11">'Rec exante to expost'!$A$1:$U$70</definedName>
    <definedName name="_xlnm.Print_Area" localSheetId="26">'Rec exante to expost2 BYR'!$A$1:$U$70</definedName>
    <definedName name="_xlnm.Print_Area" localSheetId="18">'Rec exante to expost2 FD'!$A$1:$U$70</definedName>
    <definedName name="Z_3FDF7207_004C_4A93_86DD_71ED7363ED58_.wvu.Cols" localSheetId="9" hidden="1">Profiling!$F:$F</definedName>
    <definedName name="Z_3FDF7207_004C_4A93_86DD_71ED7363ED58_.wvu.Cols" localSheetId="24" hidden="1">'Profiling2 BYR'!$F:$F</definedName>
    <definedName name="Z_3FDF7207_004C_4A93_86DD_71ED7363ED58_.wvu.Cols" localSheetId="16" hidden="1">'Profiling2 FD'!$F:$F</definedName>
  </definedNames>
  <calcPr calcId="152511" calcMode="manual" calcOnSave="0"/>
</workbook>
</file>

<file path=xl/calcChain.xml><?xml version="1.0" encoding="utf-8"?>
<calcChain xmlns="http://schemas.openxmlformats.org/spreadsheetml/2006/main">
  <c r="O155" i="28" l="1"/>
  <c r="O154" i="28"/>
  <c r="O153" i="28" l="1"/>
  <c r="AO8" i="26" l="1"/>
  <c r="M35" i="17"/>
  <c r="O153" i="3"/>
  <c r="O152" i="3"/>
  <c r="O151" i="3"/>
  <c r="O146" i="3"/>
  <c r="O145" i="3"/>
  <c r="O143" i="3"/>
  <c r="O140" i="3"/>
  <c r="O139" i="3"/>
  <c r="O138" i="3"/>
  <c r="O137" i="3"/>
  <c r="O136" i="3"/>
  <c r="O135" i="3"/>
  <c r="O134" i="3"/>
  <c r="O131" i="3"/>
  <c r="O130" i="3"/>
  <c r="O129" i="3"/>
  <c r="O128" i="3"/>
  <c r="O127" i="3"/>
  <c r="O126" i="3"/>
  <c r="O125" i="3"/>
  <c r="G117" i="3"/>
  <c r="G116" i="3"/>
  <c r="N114" i="3"/>
  <c r="M114" i="3"/>
  <c r="L114" i="3"/>
  <c r="K114" i="3"/>
  <c r="J114" i="3"/>
  <c r="I114" i="3"/>
  <c r="H114" i="3"/>
  <c r="G114" i="3"/>
  <c r="N113" i="3"/>
  <c r="M113" i="3"/>
  <c r="L113" i="3"/>
  <c r="K113" i="3"/>
  <c r="J113" i="3"/>
  <c r="I113" i="3"/>
  <c r="H113" i="3"/>
  <c r="G113" i="3"/>
  <c r="N111" i="3"/>
  <c r="M111" i="3"/>
  <c r="L111" i="3"/>
  <c r="K111" i="3"/>
  <c r="J111" i="3"/>
  <c r="I111" i="3"/>
  <c r="H111" i="3"/>
  <c r="G111" i="3"/>
  <c r="N107" i="3"/>
  <c r="M107" i="3"/>
  <c r="L107" i="3"/>
  <c r="K107" i="3"/>
  <c r="J107" i="3"/>
  <c r="I107" i="3"/>
  <c r="H107" i="3"/>
  <c r="G107" i="3"/>
  <c r="N106" i="3"/>
  <c r="M106" i="3"/>
  <c r="L106" i="3"/>
  <c r="K106" i="3"/>
  <c r="J106" i="3"/>
  <c r="I106" i="3"/>
  <c r="H106" i="3"/>
  <c r="G106" i="3"/>
  <c r="N104" i="3"/>
  <c r="M104" i="3"/>
  <c r="L104" i="3"/>
  <c r="K104" i="3"/>
  <c r="J104" i="3"/>
  <c r="I104" i="3"/>
  <c r="H104" i="3"/>
  <c r="G104" i="3"/>
  <c r="N103" i="3"/>
  <c r="M103" i="3"/>
  <c r="L103" i="3"/>
  <c r="K103" i="3"/>
  <c r="J103" i="3"/>
  <c r="I103" i="3"/>
  <c r="H103" i="3"/>
  <c r="G103" i="3"/>
  <c r="N96" i="3"/>
  <c r="M96" i="3"/>
  <c r="L96" i="3"/>
  <c r="K96" i="3"/>
  <c r="J96" i="3"/>
  <c r="N94" i="3"/>
  <c r="M94" i="3"/>
  <c r="L94" i="3"/>
  <c r="K94" i="3"/>
  <c r="J94" i="3"/>
  <c r="N93" i="3"/>
  <c r="M93" i="3"/>
  <c r="L93" i="3"/>
  <c r="K93" i="3"/>
  <c r="J93" i="3"/>
  <c r="N91" i="3"/>
  <c r="M91" i="3"/>
  <c r="L91" i="3"/>
  <c r="K91" i="3"/>
  <c r="J91" i="3"/>
  <c r="N90" i="3"/>
  <c r="M90" i="3"/>
  <c r="L90" i="3"/>
  <c r="K90" i="3"/>
  <c r="J90" i="3"/>
  <c r="N88" i="3"/>
  <c r="M88" i="3"/>
  <c r="L88" i="3"/>
  <c r="K88" i="3"/>
  <c r="J88" i="3"/>
  <c r="N86" i="3"/>
  <c r="M86" i="3"/>
  <c r="L86" i="3"/>
  <c r="K86" i="3"/>
  <c r="J86" i="3"/>
  <c r="N85" i="3"/>
  <c r="M85" i="3"/>
  <c r="L85" i="3"/>
  <c r="K85" i="3"/>
  <c r="J85" i="3"/>
  <c r="N83" i="3"/>
  <c r="M83" i="3"/>
  <c r="L83" i="3"/>
  <c r="K83" i="3"/>
  <c r="J83" i="3"/>
  <c r="N82" i="3"/>
  <c r="M82" i="3"/>
  <c r="L82" i="3"/>
  <c r="K82" i="3"/>
  <c r="J82" i="3"/>
  <c r="N77" i="3"/>
  <c r="M77" i="3"/>
  <c r="L77" i="3"/>
  <c r="K77" i="3"/>
  <c r="J77" i="3"/>
  <c r="N76" i="3"/>
  <c r="M76" i="3"/>
  <c r="L76" i="3"/>
  <c r="K76" i="3"/>
  <c r="J76" i="3"/>
  <c r="N75" i="3"/>
  <c r="M75" i="3"/>
  <c r="L75" i="3"/>
  <c r="K75" i="3"/>
  <c r="J75" i="3"/>
  <c r="N74" i="3"/>
  <c r="M74" i="3"/>
  <c r="L74" i="3"/>
  <c r="K74" i="3"/>
  <c r="J74" i="3"/>
  <c r="N73" i="3"/>
  <c r="M73" i="3"/>
  <c r="L73" i="3"/>
  <c r="K73" i="3"/>
  <c r="J73" i="3"/>
  <c r="N72" i="3"/>
  <c r="M72" i="3"/>
  <c r="L72" i="3"/>
  <c r="K72" i="3"/>
  <c r="J72" i="3"/>
  <c r="N70" i="3"/>
  <c r="M70" i="3"/>
  <c r="L70" i="3"/>
  <c r="K70" i="3"/>
  <c r="J70" i="3"/>
  <c r="N69" i="3"/>
  <c r="M69" i="3"/>
  <c r="L69" i="3"/>
  <c r="K69" i="3"/>
  <c r="J69" i="3"/>
  <c r="N68" i="3"/>
  <c r="M68" i="3"/>
  <c r="L68" i="3"/>
  <c r="K68" i="3"/>
  <c r="J68" i="3"/>
  <c r="N67" i="3"/>
  <c r="M67" i="3"/>
  <c r="L67" i="3"/>
  <c r="K67" i="3"/>
  <c r="J67" i="3"/>
  <c r="N66" i="3"/>
  <c r="M66" i="3"/>
  <c r="L66" i="3"/>
  <c r="K66" i="3"/>
  <c r="J66" i="3"/>
  <c r="N65" i="3"/>
  <c r="M65" i="3"/>
  <c r="L65" i="3"/>
  <c r="K65" i="3"/>
  <c r="J65" i="3"/>
  <c r="O60" i="3"/>
  <c r="O59" i="3"/>
  <c r="N55" i="3"/>
  <c r="M55" i="3"/>
  <c r="L55" i="3"/>
  <c r="K55" i="3"/>
  <c r="J55" i="3"/>
  <c r="I55" i="3"/>
  <c r="N54" i="3"/>
  <c r="M54" i="3"/>
  <c r="L54" i="3"/>
  <c r="K54" i="3"/>
  <c r="J54" i="3"/>
  <c r="I54" i="3"/>
  <c r="N50" i="3"/>
  <c r="M50" i="3"/>
  <c r="L50" i="3"/>
  <c r="K50" i="3"/>
  <c r="J50" i="3"/>
  <c r="N49" i="3"/>
  <c r="M49" i="3"/>
  <c r="L49" i="3"/>
  <c r="K49" i="3"/>
  <c r="J49" i="3"/>
  <c r="O47" i="3"/>
  <c r="O46" i="3"/>
  <c r="N42" i="3"/>
  <c r="M42" i="3"/>
  <c r="L42" i="3"/>
  <c r="K42" i="3"/>
  <c r="J42" i="3"/>
  <c r="N41" i="3"/>
  <c r="M41" i="3"/>
  <c r="L41" i="3"/>
  <c r="K41" i="3"/>
  <c r="J41" i="3"/>
  <c r="N40" i="3"/>
  <c r="M40" i="3"/>
  <c r="L40" i="3"/>
  <c r="K40" i="3"/>
  <c r="J40" i="3"/>
  <c r="N39" i="3"/>
  <c r="M39" i="3"/>
  <c r="L39" i="3"/>
  <c r="K39" i="3"/>
  <c r="J39" i="3"/>
  <c r="N38" i="3"/>
  <c r="M38" i="3"/>
  <c r="L38" i="3"/>
  <c r="K38" i="3"/>
  <c r="J38" i="3"/>
  <c r="N37" i="3"/>
  <c r="M37" i="3"/>
  <c r="L37" i="3"/>
  <c r="K37" i="3"/>
  <c r="J37" i="3"/>
  <c r="N35" i="3"/>
  <c r="M35" i="3"/>
  <c r="L35" i="3"/>
  <c r="K35" i="3"/>
  <c r="J35" i="3"/>
  <c r="N34" i="3"/>
  <c r="M34" i="3"/>
  <c r="L34" i="3"/>
  <c r="K34" i="3"/>
  <c r="J34" i="3"/>
  <c r="N33" i="3"/>
  <c r="M33" i="3"/>
  <c r="L33" i="3"/>
  <c r="K33" i="3"/>
  <c r="J33" i="3"/>
  <c r="N32" i="3"/>
  <c r="M32" i="3"/>
  <c r="L32" i="3"/>
  <c r="K32" i="3"/>
  <c r="J32" i="3"/>
  <c r="N31" i="3"/>
  <c r="M31" i="3"/>
  <c r="L31" i="3"/>
  <c r="K31" i="3"/>
  <c r="J31" i="3"/>
  <c r="N30" i="3"/>
  <c r="M30" i="3"/>
  <c r="L30" i="3"/>
  <c r="K30" i="3"/>
  <c r="J30" i="3"/>
  <c r="N26" i="3"/>
  <c r="M26" i="3"/>
  <c r="L26" i="3"/>
  <c r="K26" i="3"/>
  <c r="J26" i="3"/>
  <c r="N25" i="3"/>
  <c r="M25" i="3"/>
  <c r="L25" i="3"/>
  <c r="K25" i="3"/>
  <c r="J25" i="3"/>
  <c r="N24" i="3"/>
  <c r="M24" i="3"/>
  <c r="L24" i="3"/>
  <c r="K24" i="3"/>
  <c r="J24" i="3"/>
  <c r="N23" i="3"/>
  <c r="M23" i="3"/>
  <c r="L23" i="3"/>
  <c r="K23" i="3"/>
  <c r="J23" i="3"/>
  <c r="N22" i="3"/>
  <c r="M22" i="3"/>
  <c r="L22" i="3"/>
  <c r="K22" i="3"/>
  <c r="J22" i="3"/>
  <c r="N21" i="3"/>
  <c r="M21" i="3"/>
  <c r="L21" i="3"/>
  <c r="K21" i="3"/>
  <c r="J21" i="3"/>
  <c r="N20" i="3"/>
  <c r="M20" i="3"/>
  <c r="L20" i="3"/>
  <c r="K20" i="3"/>
  <c r="J20" i="3"/>
  <c r="N19" i="3"/>
  <c r="M19" i="3"/>
  <c r="L19" i="3"/>
  <c r="K19" i="3"/>
  <c r="J19" i="3"/>
  <c r="N17" i="3"/>
  <c r="M17" i="3"/>
  <c r="L17" i="3"/>
  <c r="K17" i="3"/>
  <c r="J17" i="3"/>
  <c r="N16" i="3"/>
  <c r="M16" i="3"/>
  <c r="L16" i="3"/>
  <c r="K16" i="3"/>
  <c r="J16" i="3"/>
  <c r="N15" i="3"/>
  <c r="M15" i="3"/>
  <c r="L15" i="3"/>
  <c r="K15" i="3"/>
  <c r="J15" i="3"/>
  <c r="N14" i="3"/>
  <c r="M14" i="3"/>
  <c r="L14" i="3"/>
  <c r="K14" i="3"/>
  <c r="J14" i="3"/>
  <c r="N13" i="3"/>
  <c r="M13" i="3"/>
  <c r="L13" i="3"/>
  <c r="K13" i="3"/>
  <c r="J13" i="3"/>
  <c r="N12" i="3"/>
  <c r="M12" i="3"/>
  <c r="L12" i="3"/>
  <c r="K12" i="3"/>
  <c r="J12" i="3"/>
  <c r="N11" i="3"/>
  <c r="M11" i="3"/>
  <c r="L11" i="3"/>
  <c r="K11" i="3"/>
  <c r="J11" i="3"/>
  <c r="N10" i="3"/>
  <c r="M10" i="3"/>
  <c r="L10" i="3"/>
  <c r="K10" i="3"/>
  <c r="J10" i="3"/>
  <c r="O152" i="28" l="1"/>
  <c r="O151" i="28"/>
  <c r="O146" i="28"/>
  <c r="O145" i="28"/>
  <c r="O143" i="28"/>
  <c r="O140" i="28"/>
  <c r="O139" i="28"/>
  <c r="O138" i="28"/>
  <c r="O137" i="28"/>
  <c r="O136" i="28"/>
  <c r="O135" i="28"/>
  <c r="O134" i="28"/>
  <c r="O131" i="28"/>
  <c r="O130" i="28"/>
  <c r="O129" i="28"/>
  <c r="O128" i="28"/>
  <c r="O127" i="28"/>
  <c r="O126" i="28"/>
  <c r="O125" i="28"/>
  <c r="G117" i="28"/>
  <c r="G116" i="28"/>
  <c r="N114" i="28"/>
  <c r="M114" i="28"/>
  <c r="L114" i="28"/>
  <c r="K114" i="28"/>
  <c r="J114" i="28"/>
  <c r="I114" i="28"/>
  <c r="H114" i="28"/>
  <c r="G114" i="28"/>
  <c r="N113" i="28"/>
  <c r="M113" i="28"/>
  <c r="L113" i="28"/>
  <c r="K113" i="28"/>
  <c r="J113" i="28"/>
  <c r="I113" i="28"/>
  <c r="H113" i="28"/>
  <c r="G113" i="28"/>
  <c r="G28" i="29" s="1"/>
  <c r="N111" i="28"/>
  <c r="M111" i="28"/>
  <c r="L111" i="28"/>
  <c r="K111" i="28"/>
  <c r="J111" i="28"/>
  <c r="I111" i="28"/>
  <c r="H111" i="28"/>
  <c r="G111" i="28"/>
  <c r="N107" i="28"/>
  <c r="M107" i="28"/>
  <c r="L107" i="28"/>
  <c r="K107" i="28"/>
  <c r="J107" i="28"/>
  <c r="I107" i="28"/>
  <c r="H107" i="28"/>
  <c r="G107" i="28"/>
  <c r="N106" i="28"/>
  <c r="M106" i="28"/>
  <c r="L106" i="28"/>
  <c r="K106" i="28"/>
  <c r="J106" i="28"/>
  <c r="I106" i="28"/>
  <c r="H106" i="28"/>
  <c r="G106" i="28"/>
  <c r="G17" i="29" s="1"/>
  <c r="N104" i="28"/>
  <c r="M104" i="28"/>
  <c r="L104" i="28"/>
  <c r="K104" i="28"/>
  <c r="J104" i="28"/>
  <c r="I104" i="28"/>
  <c r="H104" i="28"/>
  <c r="G104" i="28"/>
  <c r="N103" i="28"/>
  <c r="M103" i="28"/>
  <c r="L103" i="28"/>
  <c r="K103" i="28"/>
  <c r="J103" i="28"/>
  <c r="I103" i="28"/>
  <c r="H103" i="28"/>
  <c r="G103" i="28"/>
  <c r="G13" i="29" s="1"/>
  <c r="N96" i="28"/>
  <c r="M96" i="28"/>
  <c r="L96" i="28"/>
  <c r="K96" i="28"/>
  <c r="J96" i="28"/>
  <c r="N94" i="28"/>
  <c r="M94" i="28"/>
  <c r="L94" i="28"/>
  <c r="K94" i="28"/>
  <c r="J94" i="28"/>
  <c r="N93" i="28"/>
  <c r="M93" i="28"/>
  <c r="L93" i="28"/>
  <c r="K93" i="28"/>
  <c r="J93" i="28"/>
  <c r="N91" i="28"/>
  <c r="M91" i="28"/>
  <c r="L91" i="28"/>
  <c r="K91" i="28"/>
  <c r="J91" i="28"/>
  <c r="N90" i="28"/>
  <c r="M90" i="28"/>
  <c r="L90" i="28"/>
  <c r="K90" i="28"/>
  <c r="J90" i="28"/>
  <c r="N88" i="28"/>
  <c r="M88" i="28"/>
  <c r="L88" i="28"/>
  <c r="K88" i="28"/>
  <c r="J88" i="28"/>
  <c r="N86" i="28"/>
  <c r="M86" i="28"/>
  <c r="L86" i="28"/>
  <c r="K86" i="28"/>
  <c r="J86" i="28"/>
  <c r="N85" i="28"/>
  <c r="M85" i="28"/>
  <c r="L85" i="28"/>
  <c r="K85" i="28"/>
  <c r="J85" i="28"/>
  <c r="N83" i="28"/>
  <c r="M83" i="28"/>
  <c r="L83" i="28"/>
  <c r="K83" i="28"/>
  <c r="J83" i="28"/>
  <c r="N82" i="28"/>
  <c r="M82" i="28"/>
  <c r="L82" i="28"/>
  <c r="K82" i="28"/>
  <c r="J82" i="28"/>
  <c r="N77" i="28"/>
  <c r="M77" i="28"/>
  <c r="L77" i="28"/>
  <c r="K77" i="28"/>
  <c r="J77" i="28"/>
  <c r="N76" i="28"/>
  <c r="M76" i="28"/>
  <c r="L76" i="28"/>
  <c r="K76" i="28"/>
  <c r="J76" i="28"/>
  <c r="N75" i="28"/>
  <c r="M75" i="28"/>
  <c r="L75" i="28"/>
  <c r="K75" i="28"/>
  <c r="J75" i="28"/>
  <c r="N74" i="28"/>
  <c r="M74" i="28"/>
  <c r="L74" i="28"/>
  <c r="K74" i="28"/>
  <c r="J74" i="28"/>
  <c r="N73" i="28"/>
  <c r="M73" i="28"/>
  <c r="L73" i="28"/>
  <c r="K73" i="28"/>
  <c r="J73" i="28"/>
  <c r="N72" i="28"/>
  <c r="M72" i="28"/>
  <c r="L72" i="28"/>
  <c r="K72" i="28"/>
  <c r="J72" i="28"/>
  <c r="N70" i="28"/>
  <c r="M70" i="28"/>
  <c r="L70" i="28"/>
  <c r="K70" i="28"/>
  <c r="J70" i="28"/>
  <c r="N69" i="28"/>
  <c r="M69" i="28"/>
  <c r="L69" i="28"/>
  <c r="K69" i="28"/>
  <c r="J69" i="28"/>
  <c r="N68" i="28"/>
  <c r="M68" i="28"/>
  <c r="L68" i="28"/>
  <c r="K68" i="28"/>
  <c r="J68" i="28"/>
  <c r="N67" i="28"/>
  <c r="M67" i="28"/>
  <c r="L67" i="28"/>
  <c r="K67" i="28"/>
  <c r="J67" i="28"/>
  <c r="N66" i="28"/>
  <c r="M66" i="28"/>
  <c r="L66" i="28"/>
  <c r="K66" i="28"/>
  <c r="J66" i="28"/>
  <c r="N65" i="28"/>
  <c r="M65" i="28"/>
  <c r="L65" i="28"/>
  <c r="K65" i="28"/>
  <c r="J65" i="28"/>
  <c r="O60" i="28"/>
  <c r="O59" i="28"/>
  <c r="N55" i="28"/>
  <c r="N152" i="29" s="1"/>
  <c r="M55" i="28"/>
  <c r="M152" i="29" s="1"/>
  <c r="L55" i="28"/>
  <c r="L152" i="29" s="1"/>
  <c r="K55" i="28"/>
  <c r="K152" i="29" s="1"/>
  <c r="J55" i="28"/>
  <c r="J152" i="29" s="1"/>
  <c r="I55" i="28"/>
  <c r="I152" i="29" s="1"/>
  <c r="N54" i="28"/>
  <c r="N148" i="29" s="1"/>
  <c r="M54" i="28"/>
  <c r="M148" i="29" s="1"/>
  <c r="L54" i="28"/>
  <c r="L148" i="29" s="1"/>
  <c r="K54" i="28"/>
  <c r="K148" i="29" s="1"/>
  <c r="J54" i="28"/>
  <c r="J148" i="29" s="1"/>
  <c r="I54" i="28"/>
  <c r="I148" i="29" s="1"/>
  <c r="N50" i="28"/>
  <c r="M50" i="28"/>
  <c r="L50" i="28"/>
  <c r="K50" i="28"/>
  <c r="J50" i="28"/>
  <c r="N49" i="28"/>
  <c r="M49" i="28"/>
  <c r="L49" i="28"/>
  <c r="K49" i="28"/>
  <c r="J49" i="28"/>
  <c r="O47" i="28"/>
  <c r="O46" i="28"/>
  <c r="N42" i="28"/>
  <c r="N50" i="31" s="1"/>
  <c r="M42" i="28"/>
  <c r="M50" i="31" s="1"/>
  <c r="L42" i="28"/>
  <c r="L50" i="31" s="1"/>
  <c r="K42" i="28"/>
  <c r="K50" i="31" s="1"/>
  <c r="J42" i="28"/>
  <c r="J50" i="31" s="1"/>
  <c r="N41" i="28"/>
  <c r="N49" i="31" s="1"/>
  <c r="M41" i="28"/>
  <c r="M49" i="31" s="1"/>
  <c r="L41" i="28"/>
  <c r="L49" i="31" s="1"/>
  <c r="K41" i="28"/>
  <c r="K49" i="31" s="1"/>
  <c r="J41" i="28"/>
  <c r="J49" i="31" s="1"/>
  <c r="N40" i="28"/>
  <c r="N48" i="31" s="1"/>
  <c r="M40" i="28"/>
  <c r="M48" i="31" s="1"/>
  <c r="L40" i="28"/>
  <c r="L48" i="31" s="1"/>
  <c r="K40" i="28"/>
  <c r="K48" i="31" s="1"/>
  <c r="J40" i="28"/>
  <c r="J48" i="31" s="1"/>
  <c r="N39" i="28"/>
  <c r="N47" i="31" s="1"/>
  <c r="M39" i="28"/>
  <c r="M47" i="31" s="1"/>
  <c r="L39" i="28"/>
  <c r="L47" i="31" s="1"/>
  <c r="K39" i="28"/>
  <c r="K47" i="31" s="1"/>
  <c r="J39" i="28"/>
  <c r="J47" i="31" s="1"/>
  <c r="N38" i="28"/>
  <c r="N46" i="31" s="1"/>
  <c r="M38" i="28"/>
  <c r="M46" i="31" s="1"/>
  <c r="L38" i="28"/>
  <c r="L46" i="31" s="1"/>
  <c r="K38" i="28"/>
  <c r="K46" i="31" s="1"/>
  <c r="J38" i="28"/>
  <c r="J46" i="31" s="1"/>
  <c r="N37" i="28"/>
  <c r="N45" i="31" s="1"/>
  <c r="M37" i="28"/>
  <c r="M45" i="31" s="1"/>
  <c r="L37" i="28"/>
  <c r="L45" i="31" s="1"/>
  <c r="K37" i="28"/>
  <c r="K45" i="31" s="1"/>
  <c r="J37" i="28"/>
  <c r="J45" i="31" s="1"/>
  <c r="N35" i="28"/>
  <c r="N42" i="31" s="1"/>
  <c r="M35" i="28"/>
  <c r="M42" i="31" s="1"/>
  <c r="L35" i="28"/>
  <c r="L42" i="31" s="1"/>
  <c r="K35" i="28"/>
  <c r="K42" i="31" s="1"/>
  <c r="J35" i="28"/>
  <c r="J42" i="31" s="1"/>
  <c r="N34" i="28"/>
  <c r="N41" i="31" s="1"/>
  <c r="M34" i="28"/>
  <c r="M41" i="31" s="1"/>
  <c r="L34" i="28"/>
  <c r="L41" i="31" s="1"/>
  <c r="K34" i="28"/>
  <c r="K41" i="31" s="1"/>
  <c r="J34" i="28"/>
  <c r="J41" i="31" s="1"/>
  <c r="N33" i="28"/>
  <c r="N40" i="31" s="1"/>
  <c r="M33" i="28"/>
  <c r="M40" i="31" s="1"/>
  <c r="L33" i="28"/>
  <c r="L40" i="31" s="1"/>
  <c r="K33" i="28"/>
  <c r="K40" i="31" s="1"/>
  <c r="J33" i="28"/>
  <c r="J40" i="31" s="1"/>
  <c r="N32" i="28"/>
  <c r="N39" i="31" s="1"/>
  <c r="M32" i="28"/>
  <c r="M39" i="31" s="1"/>
  <c r="L32" i="28"/>
  <c r="L39" i="31" s="1"/>
  <c r="K32" i="28"/>
  <c r="K39" i="31" s="1"/>
  <c r="J32" i="28"/>
  <c r="N31" i="28"/>
  <c r="N38" i="31" s="1"/>
  <c r="M31" i="28"/>
  <c r="M38" i="31" s="1"/>
  <c r="L31" i="28"/>
  <c r="L38" i="31" s="1"/>
  <c r="K31" i="28"/>
  <c r="K38" i="31" s="1"/>
  <c r="J31" i="28"/>
  <c r="J38" i="31" s="1"/>
  <c r="N30" i="28"/>
  <c r="N37" i="31" s="1"/>
  <c r="M30" i="28"/>
  <c r="L30" i="28"/>
  <c r="K30" i="28"/>
  <c r="J30" i="28"/>
  <c r="J37" i="31" s="1"/>
  <c r="N26" i="28"/>
  <c r="N31" i="31" s="1"/>
  <c r="M26" i="28"/>
  <c r="M31" i="31" s="1"/>
  <c r="L26" i="28"/>
  <c r="L31" i="31" s="1"/>
  <c r="K26" i="28"/>
  <c r="K31" i="31" s="1"/>
  <c r="J26" i="28"/>
  <c r="J31" i="31" s="1"/>
  <c r="N25" i="28"/>
  <c r="N33" i="31" s="1"/>
  <c r="M25" i="28"/>
  <c r="M33" i="31" s="1"/>
  <c r="L25" i="28"/>
  <c r="L33" i="31" s="1"/>
  <c r="K25" i="28"/>
  <c r="K33" i="31" s="1"/>
  <c r="J25" i="28"/>
  <c r="J33" i="31" s="1"/>
  <c r="N24" i="28"/>
  <c r="N32" i="31" s="1"/>
  <c r="M24" i="28"/>
  <c r="M32" i="31" s="1"/>
  <c r="L24" i="28"/>
  <c r="L32" i="31" s="1"/>
  <c r="K24" i="28"/>
  <c r="K32" i="31" s="1"/>
  <c r="J24" i="28"/>
  <c r="J32" i="31" s="1"/>
  <c r="N23" i="28"/>
  <c r="N30" i="31" s="1"/>
  <c r="M23" i="28"/>
  <c r="M30" i="31" s="1"/>
  <c r="L23" i="28"/>
  <c r="L30" i="31" s="1"/>
  <c r="K23" i="28"/>
  <c r="K30" i="31" s="1"/>
  <c r="J23" i="28"/>
  <c r="J30" i="31" s="1"/>
  <c r="N22" i="28"/>
  <c r="N29" i="31" s="1"/>
  <c r="M22" i="28"/>
  <c r="L22" i="28"/>
  <c r="L29" i="31" s="1"/>
  <c r="K22" i="28"/>
  <c r="K29" i="31" s="1"/>
  <c r="J22" i="28"/>
  <c r="J29" i="31" s="1"/>
  <c r="N21" i="28"/>
  <c r="N28" i="31" s="1"/>
  <c r="M21" i="28"/>
  <c r="M28" i="31" s="1"/>
  <c r="L21" i="28"/>
  <c r="L28" i="31" s="1"/>
  <c r="K21" i="28"/>
  <c r="K28" i="31" s="1"/>
  <c r="J21" i="28"/>
  <c r="J28" i="31" s="1"/>
  <c r="N20" i="28"/>
  <c r="N27" i="31" s="1"/>
  <c r="M20" i="28"/>
  <c r="M27" i="31" s="1"/>
  <c r="L20" i="28"/>
  <c r="L27" i="31" s="1"/>
  <c r="K20" i="28"/>
  <c r="K27" i="31" s="1"/>
  <c r="J20" i="28"/>
  <c r="J27" i="31" s="1"/>
  <c r="N19" i="28"/>
  <c r="N26" i="31" s="1"/>
  <c r="M19" i="28"/>
  <c r="M26" i="31" s="1"/>
  <c r="L19" i="28"/>
  <c r="L26" i="31" s="1"/>
  <c r="K19" i="28"/>
  <c r="K26" i="31" s="1"/>
  <c r="J19" i="28"/>
  <c r="J26" i="31" s="1"/>
  <c r="N17" i="28"/>
  <c r="N21" i="31" s="1"/>
  <c r="M17" i="28"/>
  <c r="M21" i="31" s="1"/>
  <c r="L17" i="28"/>
  <c r="L21" i="31" s="1"/>
  <c r="K17" i="28"/>
  <c r="K21" i="31" s="1"/>
  <c r="J17" i="28"/>
  <c r="J21" i="31" s="1"/>
  <c r="N16" i="28"/>
  <c r="N23" i="31" s="1"/>
  <c r="M16" i="28"/>
  <c r="M23" i="31" s="1"/>
  <c r="L16" i="28"/>
  <c r="L23" i="31" s="1"/>
  <c r="K16" i="28"/>
  <c r="K23" i="31" s="1"/>
  <c r="J16" i="28"/>
  <c r="J23" i="31" s="1"/>
  <c r="N15" i="28"/>
  <c r="N22" i="31" s="1"/>
  <c r="M15" i="28"/>
  <c r="M22" i="31" s="1"/>
  <c r="L15" i="28"/>
  <c r="L22" i="31" s="1"/>
  <c r="K15" i="28"/>
  <c r="K22" i="31" s="1"/>
  <c r="J15" i="28"/>
  <c r="J22" i="31" s="1"/>
  <c r="N14" i="28"/>
  <c r="M14" i="28"/>
  <c r="M20" i="31" s="1"/>
  <c r="L14" i="28"/>
  <c r="K14" i="28"/>
  <c r="K20" i="31" s="1"/>
  <c r="J14" i="28"/>
  <c r="N13" i="28"/>
  <c r="N19" i="31" s="1"/>
  <c r="M13" i="28"/>
  <c r="M19" i="31" s="1"/>
  <c r="L13" i="28"/>
  <c r="L19" i="31" s="1"/>
  <c r="K13" i="28"/>
  <c r="K19" i="31" s="1"/>
  <c r="J13" i="28"/>
  <c r="J19" i="31" s="1"/>
  <c r="N12" i="28"/>
  <c r="N18" i="31" s="1"/>
  <c r="M12" i="28"/>
  <c r="M18" i="31" s="1"/>
  <c r="L12" i="28"/>
  <c r="L18" i="31" s="1"/>
  <c r="K12" i="28"/>
  <c r="K18" i="31" s="1"/>
  <c r="J12" i="28"/>
  <c r="J18" i="31" s="1"/>
  <c r="N11" i="28"/>
  <c r="N17" i="31" s="1"/>
  <c r="M11" i="28"/>
  <c r="M17" i="31" s="1"/>
  <c r="L11" i="28"/>
  <c r="L17" i="31" s="1"/>
  <c r="K11" i="28"/>
  <c r="K17" i="31" s="1"/>
  <c r="J11" i="28"/>
  <c r="J17" i="31" s="1"/>
  <c r="N10" i="28"/>
  <c r="N16" i="31" s="1"/>
  <c r="M10" i="28"/>
  <c r="M16" i="31" s="1"/>
  <c r="L10" i="28"/>
  <c r="L16" i="31" s="1"/>
  <c r="K10" i="28"/>
  <c r="K16" i="31" s="1"/>
  <c r="J10" i="28"/>
  <c r="J16" i="31" s="1"/>
  <c r="P18" i="30"/>
  <c r="E20" i="33"/>
  <c r="E19" i="33"/>
  <c r="E17" i="33"/>
  <c r="E16" i="33"/>
  <c r="E14" i="33"/>
  <c r="C14" i="33"/>
  <c r="E13" i="33"/>
  <c r="C13" i="33"/>
  <c r="E2" i="33"/>
  <c r="E68" i="32"/>
  <c r="E67" i="32"/>
  <c r="E66" i="32"/>
  <c r="E63" i="32"/>
  <c r="E62" i="32"/>
  <c r="E61" i="32"/>
  <c r="E60" i="32"/>
  <c r="E59" i="32"/>
  <c r="E56" i="32"/>
  <c r="E55" i="32"/>
  <c r="E54" i="32"/>
  <c r="E53" i="32"/>
  <c r="E51" i="32"/>
  <c r="E50" i="32"/>
  <c r="E48" i="32"/>
  <c r="E47" i="32"/>
  <c r="E46" i="32"/>
  <c r="E45" i="32"/>
  <c r="E39" i="32"/>
  <c r="E38" i="32"/>
  <c r="E37" i="32"/>
  <c r="E34" i="32"/>
  <c r="E33" i="32"/>
  <c r="E32" i="32"/>
  <c r="E31" i="32"/>
  <c r="E30" i="32"/>
  <c r="E27" i="32"/>
  <c r="E26" i="32"/>
  <c r="E25" i="32"/>
  <c r="E24" i="32"/>
  <c r="E22" i="32"/>
  <c r="E21" i="32"/>
  <c r="E19" i="32"/>
  <c r="E18" i="32"/>
  <c r="E17" i="32"/>
  <c r="E16" i="32"/>
  <c r="E2" i="32"/>
  <c r="E76" i="31"/>
  <c r="E75" i="31"/>
  <c r="E73" i="31"/>
  <c r="E72" i="31"/>
  <c r="E68" i="31"/>
  <c r="E67" i="31"/>
  <c r="E66" i="31"/>
  <c r="E65" i="31"/>
  <c r="E64" i="31"/>
  <c r="E63" i="31"/>
  <c r="E62" i="31"/>
  <c r="E60" i="31"/>
  <c r="E59" i="31"/>
  <c r="E58" i="31"/>
  <c r="E57" i="31"/>
  <c r="E56" i="31"/>
  <c r="E55" i="31"/>
  <c r="E54" i="31"/>
  <c r="E51" i="31"/>
  <c r="E50" i="31"/>
  <c r="E49" i="31"/>
  <c r="E48" i="31"/>
  <c r="E47" i="31"/>
  <c r="E46" i="31"/>
  <c r="E45" i="31"/>
  <c r="E43" i="31"/>
  <c r="E42" i="31"/>
  <c r="E41" i="31"/>
  <c r="E40" i="31"/>
  <c r="E39" i="31"/>
  <c r="E38" i="31"/>
  <c r="E37" i="31"/>
  <c r="E34" i="31"/>
  <c r="E33" i="31"/>
  <c r="E32" i="31"/>
  <c r="E31" i="31"/>
  <c r="E30" i="31"/>
  <c r="E29" i="31"/>
  <c r="E28" i="31"/>
  <c r="E27" i="31"/>
  <c r="E26" i="31"/>
  <c r="E24" i="31"/>
  <c r="E23" i="31"/>
  <c r="E22" i="31"/>
  <c r="E21" i="31"/>
  <c r="E20" i="31"/>
  <c r="E19" i="31"/>
  <c r="E18" i="31"/>
  <c r="E17" i="31"/>
  <c r="E16" i="31"/>
  <c r="E2" i="31"/>
  <c r="E150" i="30"/>
  <c r="D150" i="30"/>
  <c r="C150" i="30"/>
  <c r="E149" i="30"/>
  <c r="D149" i="30"/>
  <c r="E148" i="30"/>
  <c r="D148" i="30"/>
  <c r="E147" i="30"/>
  <c r="D147" i="30"/>
  <c r="E146" i="30"/>
  <c r="D146" i="30"/>
  <c r="V145" i="30"/>
  <c r="U145" i="30"/>
  <c r="T145" i="30"/>
  <c r="S145" i="30"/>
  <c r="E145" i="30"/>
  <c r="D145" i="30"/>
  <c r="E142" i="30"/>
  <c r="D142" i="30"/>
  <c r="C142" i="30"/>
  <c r="E141" i="30"/>
  <c r="D141" i="30"/>
  <c r="E140" i="30"/>
  <c r="D140" i="30"/>
  <c r="E139" i="30"/>
  <c r="D139" i="30"/>
  <c r="E138" i="30"/>
  <c r="D138" i="30"/>
  <c r="V137" i="30"/>
  <c r="U137" i="30"/>
  <c r="T137" i="30"/>
  <c r="S137" i="30"/>
  <c r="E137" i="30"/>
  <c r="D137" i="30"/>
  <c r="P135" i="30"/>
  <c r="E127" i="30"/>
  <c r="D127" i="30"/>
  <c r="D121" i="30"/>
  <c r="D120" i="30"/>
  <c r="E119" i="30"/>
  <c r="D119" i="30"/>
  <c r="E118" i="30"/>
  <c r="D118" i="30"/>
  <c r="E117" i="30"/>
  <c r="D117" i="30"/>
  <c r="E116" i="30"/>
  <c r="D116" i="30"/>
  <c r="E110" i="30"/>
  <c r="D110" i="30"/>
  <c r="E98" i="30"/>
  <c r="D98" i="30"/>
  <c r="C94" i="30"/>
  <c r="C141" i="30" s="1"/>
  <c r="E86" i="30"/>
  <c r="D86" i="30"/>
  <c r="C82" i="30"/>
  <c r="C140" i="30" s="1"/>
  <c r="E80" i="30"/>
  <c r="E79" i="30"/>
  <c r="D79" i="30"/>
  <c r="E78" i="30"/>
  <c r="D78" i="30"/>
  <c r="E77" i="30"/>
  <c r="D77" i="30"/>
  <c r="E76" i="30"/>
  <c r="D76" i="30"/>
  <c r="E68" i="30"/>
  <c r="D68" i="30"/>
  <c r="C64" i="30"/>
  <c r="C139" i="30" s="1"/>
  <c r="E62" i="30"/>
  <c r="E61" i="30"/>
  <c r="D61" i="30"/>
  <c r="E60" i="30"/>
  <c r="D60" i="30"/>
  <c r="E59" i="30"/>
  <c r="D59" i="30"/>
  <c r="E51" i="30"/>
  <c r="D51" i="30"/>
  <c r="C47" i="30"/>
  <c r="E45" i="30"/>
  <c r="D45" i="30"/>
  <c r="E44" i="30"/>
  <c r="D44" i="30"/>
  <c r="E43" i="30"/>
  <c r="D43" i="30"/>
  <c r="E35" i="30"/>
  <c r="D35" i="30"/>
  <c r="C31" i="30"/>
  <c r="P25" i="30"/>
  <c r="P78" i="30" s="1"/>
  <c r="F6" i="30"/>
  <c r="G5" i="30"/>
  <c r="E215" i="29"/>
  <c r="E214" i="29"/>
  <c r="E213" i="29"/>
  <c r="E212" i="29"/>
  <c r="E211" i="29"/>
  <c r="E210" i="29"/>
  <c r="E209" i="29"/>
  <c r="E207" i="29"/>
  <c r="E206" i="29"/>
  <c r="E205" i="29"/>
  <c r="E204" i="29"/>
  <c r="E203" i="29"/>
  <c r="E202" i="29"/>
  <c r="E201" i="29"/>
  <c r="J175" i="29"/>
  <c r="J171" i="29"/>
  <c r="J165" i="29"/>
  <c r="J161" i="29"/>
  <c r="F6" i="29"/>
  <c r="G5" i="29"/>
  <c r="H26" i="29" l="1"/>
  <c r="C83" i="30"/>
  <c r="C148" i="30" s="1"/>
  <c r="C95" i="30"/>
  <c r="C149" i="30" s="1"/>
  <c r="N26" i="29"/>
  <c r="P61" i="30"/>
  <c r="K70" i="29"/>
  <c r="K50" i="32" s="1"/>
  <c r="C65" i="30"/>
  <c r="C147" i="30" s="1"/>
  <c r="L56" i="29"/>
  <c r="L43" i="31" s="1"/>
  <c r="J139" i="29"/>
  <c r="N59" i="29"/>
  <c r="N21" i="32" s="1"/>
  <c r="L59" i="29"/>
  <c r="L21" i="32" s="1"/>
  <c r="K60" i="29"/>
  <c r="K22" i="32" s="1"/>
  <c r="J71" i="29"/>
  <c r="J51" i="32" s="1"/>
  <c r="N71" i="29"/>
  <c r="N51" i="32" s="1"/>
  <c r="M71" i="29"/>
  <c r="M51" i="32" s="1"/>
  <c r="M59" i="29"/>
  <c r="M21" i="32" s="1"/>
  <c r="N70" i="29"/>
  <c r="N50" i="32" s="1"/>
  <c r="U23" i="31"/>
  <c r="U45" i="31"/>
  <c r="U47" i="31"/>
  <c r="U49" i="31"/>
  <c r="U18" i="31"/>
  <c r="U32" i="31"/>
  <c r="M66" i="29"/>
  <c r="M45" i="32" s="1"/>
  <c r="L139" i="29"/>
  <c r="N139" i="29"/>
  <c r="L60" i="29"/>
  <c r="L22" i="32" s="1"/>
  <c r="L70" i="29"/>
  <c r="L50" i="32" s="1"/>
  <c r="K71" i="29"/>
  <c r="K51" i="32" s="1"/>
  <c r="J70" i="29"/>
  <c r="J50" i="32" s="1"/>
  <c r="H13" i="29"/>
  <c r="I13" i="29" s="1"/>
  <c r="H17" i="29"/>
  <c r="H18" i="29" s="1"/>
  <c r="H28" i="29"/>
  <c r="I28" i="29" s="1"/>
  <c r="J28" i="29" s="1"/>
  <c r="K28" i="29" s="1"/>
  <c r="L28" i="29" s="1"/>
  <c r="M28" i="29" s="1"/>
  <c r="N28" i="29" s="1"/>
  <c r="U42" i="31"/>
  <c r="U28" i="31"/>
  <c r="U33" i="31"/>
  <c r="L55" i="29"/>
  <c r="L20" i="31"/>
  <c r="M29" i="31"/>
  <c r="U29" i="31" s="1"/>
  <c r="M143" i="29"/>
  <c r="M55" i="29"/>
  <c r="L37" i="31"/>
  <c r="J39" i="31"/>
  <c r="U39" i="31" s="1"/>
  <c r="J56" i="29"/>
  <c r="J59" i="29"/>
  <c r="J21" i="32" s="1"/>
  <c r="M60" i="29"/>
  <c r="M22" i="32" s="1"/>
  <c r="U19" i="31"/>
  <c r="U40" i="31"/>
  <c r="U50" i="31"/>
  <c r="K139" i="29"/>
  <c r="C32" i="30"/>
  <c r="C145" i="30" s="1"/>
  <c r="C137" i="30"/>
  <c r="U16" i="31"/>
  <c r="J20" i="31"/>
  <c r="J55" i="29"/>
  <c r="N20" i="31"/>
  <c r="N55" i="29"/>
  <c r="U26" i="31"/>
  <c r="U30" i="31"/>
  <c r="U41" i="31"/>
  <c r="M70" i="29"/>
  <c r="M50" i="32" s="1"/>
  <c r="L71" i="29"/>
  <c r="L51" i="32" s="1"/>
  <c r="G15" i="29"/>
  <c r="G20" i="29"/>
  <c r="G21" i="29" s="1"/>
  <c r="G18" i="29"/>
  <c r="M26" i="29"/>
  <c r="I26" i="29"/>
  <c r="K26" i="29"/>
  <c r="G26" i="29"/>
  <c r="J26" i="29"/>
  <c r="L67" i="29"/>
  <c r="H5" i="30"/>
  <c r="G6" i="30"/>
  <c r="C138" i="30"/>
  <c r="C48" i="30"/>
  <c r="C146" i="30" s="1"/>
  <c r="U21" i="31"/>
  <c r="U31" i="31"/>
  <c r="M37" i="31"/>
  <c r="M56" i="29"/>
  <c r="U46" i="31"/>
  <c r="K143" i="29"/>
  <c r="L143" i="29"/>
  <c r="K67" i="29"/>
  <c r="L66" i="29"/>
  <c r="N143" i="29"/>
  <c r="M67" i="29"/>
  <c r="N66" i="29"/>
  <c r="J66" i="29"/>
  <c r="J67" i="29"/>
  <c r="J143" i="29"/>
  <c r="P79" i="30"/>
  <c r="U17" i="31"/>
  <c r="U22" i="31"/>
  <c r="U27" i="31"/>
  <c r="K37" i="31"/>
  <c r="K56" i="29"/>
  <c r="U38" i="31"/>
  <c r="U48" i="31"/>
  <c r="M139" i="29"/>
  <c r="K59" i="29"/>
  <c r="K21" i="32" s="1"/>
  <c r="J60" i="29"/>
  <c r="J22" i="32" s="1"/>
  <c r="N60" i="29"/>
  <c r="N22" i="32" s="1"/>
  <c r="G31" i="29"/>
  <c r="G32" i="29" s="1"/>
  <c r="G29" i="29"/>
  <c r="G25" i="29"/>
  <c r="G14" i="29"/>
  <c r="G6" i="29"/>
  <c r="H5" i="29"/>
  <c r="L26" i="29"/>
  <c r="K55" i="29"/>
  <c r="N56" i="29"/>
  <c r="K66" i="29"/>
  <c r="N67" i="29"/>
  <c r="E215" i="20"/>
  <c r="E214" i="20"/>
  <c r="E213" i="20"/>
  <c r="E212" i="20"/>
  <c r="E211" i="20"/>
  <c r="E210" i="20"/>
  <c r="E209" i="20"/>
  <c r="E207" i="20"/>
  <c r="E206" i="20"/>
  <c r="E205" i="20"/>
  <c r="E204" i="20"/>
  <c r="E203" i="20"/>
  <c r="E202" i="20"/>
  <c r="E201" i="20"/>
  <c r="J175" i="20"/>
  <c r="J171" i="20"/>
  <c r="J165" i="20"/>
  <c r="J161" i="20"/>
  <c r="F6" i="20"/>
  <c r="G5" i="20"/>
  <c r="H5" i="20" s="1"/>
  <c r="I5" i="20" s="1"/>
  <c r="J5" i="20" s="1"/>
  <c r="L17" i="32" l="1"/>
  <c r="H20" i="29"/>
  <c r="H21" i="29" s="1"/>
  <c r="M34" i="31"/>
  <c r="I17" i="29"/>
  <c r="I18" i="29" s="1"/>
  <c r="U37" i="31"/>
  <c r="U51" i="32"/>
  <c r="I15" i="29"/>
  <c r="J13" i="29"/>
  <c r="H15" i="29"/>
  <c r="L63" i="29"/>
  <c r="L25" i="32" s="1"/>
  <c r="U20" i="31"/>
  <c r="U50" i="32"/>
  <c r="U21" i="32"/>
  <c r="K43" i="31"/>
  <c r="K17" i="32"/>
  <c r="K63" i="29"/>
  <c r="J16" i="32"/>
  <c r="G94" i="29"/>
  <c r="AN9" i="26" s="1"/>
  <c r="J62" i="29"/>
  <c r="J24" i="31"/>
  <c r="M17" i="32"/>
  <c r="M43" i="31"/>
  <c r="M63" i="29"/>
  <c r="H6" i="30"/>
  <c r="I5" i="30"/>
  <c r="M73" i="29"/>
  <c r="N46" i="32"/>
  <c r="N51" i="31"/>
  <c r="N74" i="29"/>
  <c r="U22" i="32"/>
  <c r="J51" i="31"/>
  <c r="J46" i="32"/>
  <c r="J74" i="29"/>
  <c r="G99" i="29"/>
  <c r="AN13" i="26" s="1"/>
  <c r="N45" i="32"/>
  <c r="N34" i="31"/>
  <c r="N73" i="29"/>
  <c r="L34" i="31"/>
  <c r="L45" i="32"/>
  <c r="L73" i="29"/>
  <c r="N24" i="31"/>
  <c r="N16" i="32"/>
  <c r="N62" i="29"/>
  <c r="I20" i="29"/>
  <c r="I21" i="29" s="1"/>
  <c r="J17" i="32"/>
  <c r="J63" i="29"/>
  <c r="J43" i="31"/>
  <c r="L16" i="32"/>
  <c r="L24" i="31"/>
  <c r="L62" i="29"/>
  <c r="N17" i="32"/>
  <c r="N63" i="29"/>
  <c r="N43" i="31"/>
  <c r="K16" i="32"/>
  <c r="K24" i="31"/>
  <c r="K62" i="29"/>
  <c r="J45" i="32"/>
  <c r="J34" i="31"/>
  <c r="J73" i="29"/>
  <c r="L46" i="32"/>
  <c r="L51" i="31"/>
  <c r="L74" i="29"/>
  <c r="K45" i="32"/>
  <c r="K34" i="31"/>
  <c r="K73" i="29"/>
  <c r="H31" i="29"/>
  <c r="H32" i="29" s="1"/>
  <c r="H25" i="29"/>
  <c r="H14" i="29"/>
  <c r="H6" i="29"/>
  <c r="H29" i="29"/>
  <c r="I5" i="29"/>
  <c r="M46" i="32"/>
  <c r="M74" i="29"/>
  <c r="M51" i="31"/>
  <c r="K46" i="32"/>
  <c r="K51" i="31"/>
  <c r="K74" i="29"/>
  <c r="M24" i="31"/>
  <c r="M62" i="29"/>
  <c r="M16" i="32"/>
  <c r="J6" i="20"/>
  <c r="K5" i="20"/>
  <c r="G6" i="20"/>
  <c r="G14" i="20"/>
  <c r="G25" i="20"/>
  <c r="H6" i="20"/>
  <c r="I6" i="20"/>
  <c r="J17" i="29" l="1"/>
  <c r="K17" i="29" s="1"/>
  <c r="J15" i="29"/>
  <c r="K13" i="29"/>
  <c r="U51" i="31"/>
  <c r="U17" i="32"/>
  <c r="U16" i="32"/>
  <c r="M24" i="32"/>
  <c r="K54" i="32"/>
  <c r="L54" i="32"/>
  <c r="J53" i="32"/>
  <c r="N25" i="32"/>
  <c r="J20" i="29"/>
  <c r="J21" i="29" s="1"/>
  <c r="J84" i="29" s="1"/>
  <c r="J59" i="32" s="1"/>
  <c r="J18" i="29"/>
  <c r="G48" i="32"/>
  <c r="G75" i="31"/>
  <c r="L40" i="17"/>
  <c r="G101" i="29"/>
  <c r="G100" i="29"/>
  <c r="G102" i="29"/>
  <c r="M53" i="32"/>
  <c r="U24" i="31"/>
  <c r="K25" i="32"/>
  <c r="M54" i="32"/>
  <c r="K53" i="32"/>
  <c r="U34" i="31"/>
  <c r="U43" i="31"/>
  <c r="N24" i="32"/>
  <c r="N53" i="32"/>
  <c r="J54" i="32"/>
  <c r="G110" i="29"/>
  <c r="AN14" i="26" s="1"/>
  <c r="N54" i="32"/>
  <c r="J5" i="30"/>
  <c r="I6" i="30"/>
  <c r="J24" i="32"/>
  <c r="G106" i="29"/>
  <c r="AN10" i="26" s="1"/>
  <c r="I31" i="29"/>
  <c r="I32" i="29" s="1"/>
  <c r="I29" i="29"/>
  <c r="I25" i="29"/>
  <c r="I14" i="29"/>
  <c r="I6" i="29"/>
  <c r="J5" i="29"/>
  <c r="M25" i="32"/>
  <c r="U45" i="32"/>
  <c r="K24" i="32"/>
  <c r="L24" i="32"/>
  <c r="J25" i="32"/>
  <c r="L53" i="32"/>
  <c r="U46" i="32"/>
  <c r="L36" i="17"/>
  <c r="G19" i="32"/>
  <c r="G72" i="31"/>
  <c r="G96" i="29"/>
  <c r="G95" i="29"/>
  <c r="G97" i="29"/>
  <c r="K6" i="20"/>
  <c r="L5" i="20"/>
  <c r="J85" i="29" l="1"/>
  <c r="J60" i="32" s="1"/>
  <c r="K15" i="29"/>
  <c r="L13" i="29"/>
  <c r="J176" i="29"/>
  <c r="J82" i="29"/>
  <c r="J33" i="32" s="1"/>
  <c r="J87" i="29"/>
  <c r="J62" i="32" s="1"/>
  <c r="J172" i="29"/>
  <c r="U24" i="32"/>
  <c r="J80" i="29"/>
  <c r="J79" i="29"/>
  <c r="J30" i="32" s="1"/>
  <c r="J154" i="29"/>
  <c r="J150" i="29"/>
  <c r="J41" i="29"/>
  <c r="J56" i="31" s="1"/>
  <c r="J43" i="29"/>
  <c r="J58" i="31" s="1"/>
  <c r="J39" i="29"/>
  <c r="J40" i="29"/>
  <c r="J55" i="31" s="1"/>
  <c r="J31" i="29"/>
  <c r="J32" i="29" s="1"/>
  <c r="J29" i="29"/>
  <c r="J25" i="29"/>
  <c r="K5" i="29"/>
  <c r="J44" i="29"/>
  <c r="J59" i="31" s="1"/>
  <c r="J14" i="29"/>
  <c r="J51" i="29"/>
  <c r="J67" i="31" s="1"/>
  <c r="J6" i="29"/>
  <c r="J42" i="29"/>
  <c r="J57" i="31" s="1"/>
  <c r="J50" i="29"/>
  <c r="J66" i="31" s="1"/>
  <c r="J49" i="29"/>
  <c r="J65" i="31" s="1"/>
  <c r="J46" i="29"/>
  <c r="J47" i="29"/>
  <c r="J63" i="31" s="1"/>
  <c r="J48" i="29"/>
  <c r="J64" i="31" s="1"/>
  <c r="J127" i="29"/>
  <c r="L127" i="29"/>
  <c r="M127" i="29"/>
  <c r="N127" i="29"/>
  <c r="K127" i="29"/>
  <c r="J6" i="30"/>
  <c r="K5" i="30"/>
  <c r="L41" i="17"/>
  <c r="G56" i="32"/>
  <c r="G111" i="29"/>
  <c r="G112" i="29"/>
  <c r="U54" i="32"/>
  <c r="J128" i="29"/>
  <c r="L128" i="29"/>
  <c r="K128" i="29"/>
  <c r="N128" i="29"/>
  <c r="M128" i="29"/>
  <c r="K20" i="29"/>
  <c r="K21" i="29" s="1"/>
  <c r="K18" i="29"/>
  <c r="L17" i="29"/>
  <c r="U25" i="32"/>
  <c r="L37" i="17"/>
  <c r="G27" i="32"/>
  <c r="G108" i="29"/>
  <c r="G107" i="29"/>
  <c r="U53" i="32"/>
  <c r="L6" i="20"/>
  <c r="M5" i="20"/>
  <c r="J177" i="29" l="1"/>
  <c r="K175" i="29"/>
  <c r="K176" i="29" s="1"/>
  <c r="K171" i="29"/>
  <c r="K172" i="29" s="1"/>
  <c r="J173" i="29"/>
  <c r="L15" i="29"/>
  <c r="M13" i="29"/>
  <c r="K87" i="29"/>
  <c r="K62" i="32" s="1"/>
  <c r="K82" i="29"/>
  <c r="K33" i="32" s="1"/>
  <c r="J31" i="32"/>
  <c r="L20" i="29"/>
  <c r="L21" i="29" s="1"/>
  <c r="L18" i="29"/>
  <c r="M17" i="29"/>
  <c r="M73" i="31"/>
  <c r="M38" i="32"/>
  <c r="K85" i="29"/>
  <c r="K79" i="29"/>
  <c r="K30" i="32" s="1"/>
  <c r="K80" i="29"/>
  <c r="K31" i="32" s="1"/>
  <c r="K84" i="29"/>
  <c r="K59" i="32" s="1"/>
  <c r="M67" i="32"/>
  <c r="M76" i="31"/>
  <c r="J76" i="31"/>
  <c r="J67" i="32"/>
  <c r="P211" i="29"/>
  <c r="L38" i="32"/>
  <c r="L73" i="31"/>
  <c r="J62" i="31"/>
  <c r="J68" i="29"/>
  <c r="J218" i="29" s="1"/>
  <c r="K150" i="29"/>
  <c r="K44" i="29"/>
  <c r="K59" i="31" s="1"/>
  <c r="K40" i="29"/>
  <c r="K55" i="31" s="1"/>
  <c r="K42" i="29"/>
  <c r="K57" i="31" s="1"/>
  <c r="K31" i="29"/>
  <c r="K32" i="29" s="1"/>
  <c r="K29" i="29"/>
  <c r="K25" i="29"/>
  <c r="K14" i="29"/>
  <c r="K6" i="29"/>
  <c r="L5" i="29"/>
  <c r="K43" i="29"/>
  <c r="K58" i="31" s="1"/>
  <c r="K39" i="29"/>
  <c r="K41" i="29"/>
  <c r="K56" i="31" s="1"/>
  <c r="K154" i="29"/>
  <c r="K46" i="29"/>
  <c r="K48" i="29"/>
  <c r="K64" i="31" s="1"/>
  <c r="K50" i="29"/>
  <c r="K66" i="31" s="1"/>
  <c r="K47" i="29"/>
  <c r="K63" i="31" s="1"/>
  <c r="K49" i="29"/>
  <c r="K65" i="31" s="1"/>
  <c r="K51" i="29"/>
  <c r="K67" i="31" s="1"/>
  <c r="K67" i="32"/>
  <c r="K76" i="31"/>
  <c r="K75" i="29"/>
  <c r="J75" i="29"/>
  <c r="N75" i="29"/>
  <c r="L75" i="29"/>
  <c r="M75" i="29"/>
  <c r="N73" i="31"/>
  <c r="N38" i="32"/>
  <c r="L64" i="29"/>
  <c r="N64" i="29"/>
  <c r="K64" i="29"/>
  <c r="M64" i="29"/>
  <c r="J64" i="29"/>
  <c r="L76" i="31"/>
  <c r="L67" i="32"/>
  <c r="N76" i="31"/>
  <c r="N67" i="32"/>
  <c r="K6" i="30"/>
  <c r="L5" i="30"/>
  <c r="K38" i="32"/>
  <c r="K73" i="31"/>
  <c r="J38" i="32"/>
  <c r="J73" i="31"/>
  <c r="P203" i="29"/>
  <c r="J57" i="29"/>
  <c r="J217" i="29" s="1"/>
  <c r="J54" i="31"/>
  <c r="M6" i="20"/>
  <c r="N5" i="20"/>
  <c r="K60" i="32" l="1"/>
  <c r="U73" i="31"/>
  <c r="U38" i="32"/>
  <c r="L46" i="17"/>
  <c r="AN19" i="26"/>
  <c r="L53" i="17"/>
  <c r="AN26" i="26"/>
  <c r="M15" i="29"/>
  <c r="N13" i="29"/>
  <c r="N15" i="29" s="1"/>
  <c r="K177" i="29"/>
  <c r="L175" i="29"/>
  <c r="L176" i="29" s="1"/>
  <c r="K173" i="29"/>
  <c r="L171" i="29"/>
  <c r="L172" i="29" s="1"/>
  <c r="L87" i="29"/>
  <c r="L62" i="32" s="1"/>
  <c r="L82" i="29"/>
  <c r="L33" i="32" s="1"/>
  <c r="L26" i="32"/>
  <c r="L81" i="29"/>
  <c r="L32" i="32" s="1"/>
  <c r="M20" i="29"/>
  <c r="M21" i="29" s="1"/>
  <c r="M86" i="29" s="1"/>
  <c r="M61" i="32" s="1"/>
  <c r="M18" i="29"/>
  <c r="N17" i="29"/>
  <c r="K26" i="32"/>
  <c r="K81" i="29"/>
  <c r="K32" i="32" s="1"/>
  <c r="L55" i="32"/>
  <c r="L86" i="29"/>
  <c r="L61" i="32" s="1"/>
  <c r="K62" i="31"/>
  <c r="K68" i="29"/>
  <c r="K218" i="29" s="1"/>
  <c r="U67" i="32"/>
  <c r="J26" i="32"/>
  <c r="J81" i="29"/>
  <c r="J32" i="32" s="1"/>
  <c r="J55" i="32"/>
  <c r="J86" i="29"/>
  <c r="J61" i="32" s="1"/>
  <c r="J18" i="32"/>
  <c r="J60" i="31"/>
  <c r="J138" i="29"/>
  <c r="L6" i="30"/>
  <c r="M5" i="30"/>
  <c r="M26" i="32"/>
  <c r="M55" i="32"/>
  <c r="K55" i="32"/>
  <c r="K86" i="29"/>
  <c r="K61" i="32" s="1"/>
  <c r="K54" i="31"/>
  <c r="K57" i="29"/>
  <c r="K217" i="29" s="1"/>
  <c r="J68" i="31"/>
  <c r="J47" i="32"/>
  <c r="J142" i="29"/>
  <c r="N26" i="32"/>
  <c r="N55" i="32"/>
  <c r="L43" i="29"/>
  <c r="L58" i="31" s="1"/>
  <c r="L39" i="29"/>
  <c r="L154" i="29"/>
  <c r="L41" i="29"/>
  <c r="L56" i="31" s="1"/>
  <c r="L31" i="29"/>
  <c r="L32" i="29" s="1"/>
  <c r="L29" i="29"/>
  <c r="L25" i="29"/>
  <c r="M5" i="29"/>
  <c r="L42" i="29"/>
  <c r="L57" i="31" s="1"/>
  <c r="L44" i="29"/>
  <c r="L59" i="31" s="1"/>
  <c r="L14" i="29"/>
  <c r="L6" i="29"/>
  <c r="L40" i="29"/>
  <c r="L55" i="31" s="1"/>
  <c r="L150" i="29"/>
  <c r="L49" i="29"/>
  <c r="L65" i="31" s="1"/>
  <c r="L50" i="29"/>
  <c r="L66" i="31" s="1"/>
  <c r="L51" i="29"/>
  <c r="L67" i="31" s="1"/>
  <c r="L47" i="29"/>
  <c r="L63" i="31" s="1"/>
  <c r="L46" i="29"/>
  <c r="L48" i="29"/>
  <c r="L64" i="31" s="1"/>
  <c r="U76" i="31"/>
  <c r="L80" i="29"/>
  <c r="L31" i="32" s="1"/>
  <c r="L84" i="29"/>
  <c r="L59" i="32" s="1"/>
  <c r="L79" i="29"/>
  <c r="L30" i="32" s="1"/>
  <c r="L85" i="29"/>
  <c r="L60" i="32" s="1"/>
  <c r="N6" i="20"/>
  <c r="U26" i="32" l="1"/>
  <c r="L173" i="29"/>
  <c r="M171" i="29"/>
  <c r="M172" i="29" s="1"/>
  <c r="N87" i="29"/>
  <c r="N62" i="32" s="1"/>
  <c r="N82" i="29"/>
  <c r="N33" i="32" s="1"/>
  <c r="L177" i="29"/>
  <c r="M175" i="29"/>
  <c r="M176" i="29" s="1"/>
  <c r="M87" i="29"/>
  <c r="M62" i="32" s="1"/>
  <c r="U62" i="32" s="1"/>
  <c r="M82" i="29"/>
  <c r="M33" i="32" s="1"/>
  <c r="K60" i="31"/>
  <c r="K18" i="32"/>
  <c r="K138" i="29"/>
  <c r="M42" i="29"/>
  <c r="M57" i="31" s="1"/>
  <c r="M31" i="29"/>
  <c r="M32" i="29" s="1"/>
  <c r="M29" i="29"/>
  <c r="M25" i="29"/>
  <c r="M150" i="29"/>
  <c r="M44" i="29"/>
  <c r="M59" i="31" s="1"/>
  <c r="M40" i="29"/>
  <c r="M55" i="31" s="1"/>
  <c r="M41" i="29"/>
  <c r="M56" i="31" s="1"/>
  <c r="M39" i="29"/>
  <c r="M14" i="29"/>
  <c r="M6" i="29"/>
  <c r="M154" i="29"/>
  <c r="N5" i="29"/>
  <c r="M43" i="29"/>
  <c r="M58" i="31" s="1"/>
  <c r="M51" i="29"/>
  <c r="M67" i="31" s="1"/>
  <c r="M48" i="29"/>
  <c r="M64" i="31" s="1"/>
  <c r="M49" i="29"/>
  <c r="M65" i="31" s="1"/>
  <c r="M50" i="29"/>
  <c r="M66" i="31" s="1"/>
  <c r="M46" i="29"/>
  <c r="M47" i="29"/>
  <c r="M63" i="31" s="1"/>
  <c r="J166" i="29"/>
  <c r="J144" i="29"/>
  <c r="J182" i="29"/>
  <c r="K47" i="32"/>
  <c r="K68" i="31"/>
  <c r="K142" i="29"/>
  <c r="N20" i="29"/>
  <c r="N21" i="29" s="1"/>
  <c r="N18" i="29"/>
  <c r="L54" i="31"/>
  <c r="L57" i="29"/>
  <c r="L217" i="29" s="1"/>
  <c r="U55" i="32"/>
  <c r="M85" i="29"/>
  <c r="M60" i="32" s="1"/>
  <c r="M80" i="29"/>
  <c r="M31" i="32" s="1"/>
  <c r="M84" i="29"/>
  <c r="M59" i="32" s="1"/>
  <c r="M79" i="29"/>
  <c r="M30" i="32" s="1"/>
  <c r="N5" i="30"/>
  <c r="M6" i="30"/>
  <c r="L62" i="31"/>
  <c r="L68" i="29"/>
  <c r="L218" i="29" s="1"/>
  <c r="M81" i="29"/>
  <c r="M32" i="32" s="1"/>
  <c r="J162" i="29"/>
  <c r="J140" i="29"/>
  <c r="J181" i="29"/>
  <c r="V8" i="26"/>
  <c r="AX8" i="26" s="1"/>
  <c r="M8" i="26"/>
  <c r="U33" i="32" l="1"/>
  <c r="M177" i="29"/>
  <c r="N175" i="29"/>
  <c r="N176" i="29" s="1"/>
  <c r="N177" i="29" s="1"/>
  <c r="M173" i="29"/>
  <c r="N171" i="29"/>
  <c r="N172" i="29" s="1"/>
  <c r="N173" i="29" s="1"/>
  <c r="L68" i="31"/>
  <c r="L47" i="32"/>
  <c r="L142" i="29"/>
  <c r="K144" i="29"/>
  <c r="K182" i="29"/>
  <c r="J167" i="29"/>
  <c r="J185" i="29" s="1"/>
  <c r="K165" i="29"/>
  <c r="K166" i="29" s="1"/>
  <c r="N41" i="29"/>
  <c r="N56" i="31" s="1"/>
  <c r="U56" i="31" s="1"/>
  <c r="N43" i="29"/>
  <c r="N58" i="31" s="1"/>
  <c r="U58" i="31" s="1"/>
  <c r="N39" i="29"/>
  <c r="N44" i="29"/>
  <c r="N59" i="31" s="1"/>
  <c r="U59" i="31" s="1"/>
  <c r="N14" i="29"/>
  <c r="N6" i="29"/>
  <c r="N42" i="29"/>
  <c r="N57" i="31" s="1"/>
  <c r="U57" i="31" s="1"/>
  <c r="N40" i="29"/>
  <c r="N55" i="31" s="1"/>
  <c r="U55" i="31" s="1"/>
  <c r="N47" i="29"/>
  <c r="N63" i="31" s="1"/>
  <c r="U63" i="31" s="1"/>
  <c r="N25" i="29"/>
  <c r="N29" i="29"/>
  <c r="N31" i="29"/>
  <c r="N32" i="29" s="1"/>
  <c r="N46" i="29"/>
  <c r="N49" i="29"/>
  <c r="N65" i="31" s="1"/>
  <c r="U65" i="31" s="1"/>
  <c r="N51" i="29"/>
  <c r="N67" i="31" s="1"/>
  <c r="U67" i="31" s="1"/>
  <c r="N48" i="29"/>
  <c r="N64" i="31" s="1"/>
  <c r="U64" i="31" s="1"/>
  <c r="N50" i="29"/>
  <c r="N66" i="31" s="1"/>
  <c r="U66" i="31" s="1"/>
  <c r="M54" i="31"/>
  <c r="M57" i="29"/>
  <c r="M217" i="29" s="1"/>
  <c r="K181" i="29"/>
  <c r="K140" i="29"/>
  <c r="J163" i="29"/>
  <c r="J184" i="29" s="1"/>
  <c r="K161" i="29"/>
  <c r="K162" i="29" s="1"/>
  <c r="R5" i="30"/>
  <c r="N6" i="30"/>
  <c r="L18" i="32"/>
  <c r="L60" i="31"/>
  <c r="L138" i="29"/>
  <c r="N84" i="29"/>
  <c r="N59" i="32" s="1"/>
  <c r="U59" i="32" s="1"/>
  <c r="N85" i="29"/>
  <c r="N60" i="32" s="1"/>
  <c r="U60" i="32" s="1"/>
  <c r="N79" i="29"/>
  <c r="N30" i="32" s="1"/>
  <c r="U30" i="32" s="1"/>
  <c r="N80" i="29"/>
  <c r="N31" i="32" s="1"/>
  <c r="U31" i="32" s="1"/>
  <c r="N86" i="29"/>
  <c r="N61" i="32" s="1"/>
  <c r="U61" i="32" s="1"/>
  <c r="N81" i="29"/>
  <c r="N32" i="32" s="1"/>
  <c r="U32" i="32" s="1"/>
  <c r="M68" i="29"/>
  <c r="M218" i="29" s="1"/>
  <c r="M62" i="31"/>
  <c r="AE8" i="26"/>
  <c r="E76" i="22"/>
  <c r="E75" i="22"/>
  <c r="E73" i="22"/>
  <c r="E72" i="22"/>
  <c r="E68" i="22"/>
  <c r="E67" i="22"/>
  <c r="E66" i="22"/>
  <c r="E65" i="22"/>
  <c r="E64" i="22"/>
  <c r="E63" i="22"/>
  <c r="E62" i="22"/>
  <c r="E60" i="22"/>
  <c r="E59" i="22"/>
  <c r="E58" i="22"/>
  <c r="E57" i="22"/>
  <c r="E56" i="22"/>
  <c r="E55" i="22"/>
  <c r="E54" i="22"/>
  <c r="E51" i="22"/>
  <c r="E43" i="22"/>
  <c r="E34" i="22"/>
  <c r="E24" i="22"/>
  <c r="E68" i="23"/>
  <c r="E67" i="23"/>
  <c r="E66" i="23"/>
  <c r="E63" i="23"/>
  <c r="E62" i="23"/>
  <c r="E61" i="23"/>
  <c r="E60" i="23"/>
  <c r="E59" i="23"/>
  <c r="E56" i="23"/>
  <c r="E55" i="23"/>
  <c r="E54" i="23"/>
  <c r="E53" i="23"/>
  <c r="E51" i="23"/>
  <c r="E50" i="23"/>
  <c r="E48" i="23"/>
  <c r="E47" i="23"/>
  <c r="E46" i="23"/>
  <c r="E45" i="23"/>
  <c r="E39" i="23"/>
  <c r="E38" i="23"/>
  <c r="E37" i="23"/>
  <c r="E34" i="23"/>
  <c r="E33" i="23"/>
  <c r="E32" i="23"/>
  <c r="E31" i="23"/>
  <c r="E30" i="23"/>
  <c r="E27" i="23"/>
  <c r="E26" i="23"/>
  <c r="E25" i="23"/>
  <c r="E24" i="23"/>
  <c r="E22" i="23"/>
  <c r="E21" i="23"/>
  <c r="E19" i="23"/>
  <c r="E18" i="23"/>
  <c r="E17" i="23"/>
  <c r="E16" i="23"/>
  <c r="E20" i="24"/>
  <c r="E19" i="24"/>
  <c r="E17" i="24"/>
  <c r="E16" i="24"/>
  <c r="E14" i="24"/>
  <c r="C14" i="24"/>
  <c r="E13" i="24"/>
  <c r="C13" i="24"/>
  <c r="E2" i="24"/>
  <c r="E2" i="23"/>
  <c r="E50" i="22"/>
  <c r="E49" i="22"/>
  <c r="E48" i="22"/>
  <c r="E47" i="22"/>
  <c r="E46" i="22"/>
  <c r="E45" i="22"/>
  <c r="E42" i="22"/>
  <c r="E41" i="22"/>
  <c r="E40" i="22"/>
  <c r="E39" i="22"/>
  <c r="E38" i="22"/>
  <c r="E37" i="22"/>
  <c r="E33" i="22"/>
  <c r="E32" i="22"/>
  <c r="E31" i="22"/>
  <c r="E30" i="22"/>
  <c r="E29" i="22"/>
  <c r="E28" i="22"/>
  <c r="E27" i="22"/>
  <c r="E26" i="22"/>
  <c r="E23" i="22"/>
  <c r="E22" i="22"/>
  <c r="E21" i="22"/>
  <c r="E20" i="22"/>
  <c r="E19" i="22"/>
  <c r="E18" i="22"/>
  <c r="E17" i="22"/>
  <c r="E16" i="22"/>
  <c r="E2" i="22"/>
  <c r="E150" i="21"/>
  <c r="D150" i="21"/>
  <c r="C150" i="21"/>
  <c r="E149" i="21"/>
  <c r="D149" i="21"/>
  <c r="E148" i="21"/>
  <c r="D148" i="21"/>
  <c r="E147" i="21"/>
  <c r="D147" i="21"/>
  <c r="E146" i="21"/>
  <c r="D146" i="21"/>
  <c r="V145" i="21"/>
  <c r="U145" i="21"/>
  <c r="T145" i="21"/>
  <c r="S145" i="21"/>
  <c r="E145" i="21"/>
  <c r="D145" i="21"/>
  <c r="E142" i="21"/>
  <c r="D142" i="21"/>
  <c r="C142" i="21"/>
  <c r="E141" i="21"/>
  <c r="D141" i="21"/>
  <c r="E140" i="21"/>
  <c r="D140" i="21"/>
  <c r="E139" i="21"/>
  <c r="D139" i="21"/>
  <c r="E138" i="21"/>
  <c r="D138" i="21"/>
  <c r="V137" i="21"/>
  <c r="U137" i="21"/>
  <c r="T137" i="21"/>
  <c r="S137" i="21"/>
  <c r="E137" i="21"/>
  <c r="D137" i="21"/>
  <c r="P135" i="21"/>
  <c r="E127" i="21"/>
  <c r="D127" i="21"/>
  <c r="D121" i="21"/>
  <c r="D120" i="21"/>
  <c r="E119" i="21"/>
  <c r="D119" i="21"/>
  <c r="E118" i="21"/>
  <c r="D118" i="21"/>
  <c r="E117" i="21"/>
  <c r="D117" i="21"/>
  <c r="E116" i="21"/>
  <c r="D116" i="21"/>
  <c r="E110" i="21"/>
  <c r="D110" i="21"/>
  <c r="E98" i="21"/>
  <c r="D98" i="21"/>
  <c r="C94" i="21"/>
  <c r="E86" i="21"/>
  <c r="D86" i="21"/>
  <c r="C82" i="21"/>
  <c r="C140" i="21" s="1"/>
  <c r="E80" i="21"/>
  <c r="E79" i="21"/>
  <c r="D79" i="21"/>
  <c r="E78" i="21"/>
  <c r="D78" i="21"/>
  <c r="E77" i="21"/>
  <c r="D77" i="21"/>
  <c r="E76" i="21"/>
  <c r="D76" i="21"/>
  <c r="E68" i="21"/>
  <c r="D68" i="21"/>
  <c r="C64" i="21"/>
  <c r="E62" i="21"/>
  <c r="E61" i="21"/>
  <c r="D61" i="21"/>
  <c r="E60" i="21"/>
  <c r="D60" i="21"/>
  <c r="E59" i="21"/>
  <c r="D59" i="21"/>
  <c r="E51" i="21"/>
  <c r="D51" i="21"/>
  <c r="C47" i="21"/>
  <c r="C138" i="21" s="1"/>
  <c r="E45" i="21"/>
  <c r="D45" i="21"/>
  <c r="E44" i="21"/>
  <c r="D44" i="21"/>
  <c r="E43" i="21"/>
  <c r="D43" i="21"/>
  <c r="E35" i="21"/>
  <c r="D35" i="21"/>
  <c r="C31" i="21"/>
  <c r="C137" i="21" s="1"/>
  <c r="P25" i="21"/>
  <c r="P61" i="21" s="1"/>
  <c r="P18" i="21"/>
  <c r="F6" i="21"/>
  <c r="G5" i="21"/>
  <c r="H5" i="21" s="1"/>
  <c r="H6" i="21" s="1"/>
  <c r="G116" i="29" l="1"/>
  <c r="G119" i="29"/>
  <c r="C83" i="21"/>
  <c r="C148" i="21" s="1"/>
  <c r="I5" i="21"/>
  <c r="I6" i="21" s="1"/>
  <c r="C48" i="21"/>
  <c r="C146" i="21" s="1"/>
  <c r="G6" i="21"/>
  <c r="C32" i="21"/>
  <c r="C145" i="21" s="1"/>
  <c r="P78" i="21"/>
  <c r="L144" i="29"/>
  <c r="L182" i="29"/>
  <c r="K163" i="29"/>
  <c r="K184" i="29" s="1"/>
  <c r="L161" i="29"/>
  <c r="L162" i="29" s="1"/>
  <c r="L181" i="29"/>
  <c r="L140" i="29"/>
  <c r="R6" i="30"/>
  <c r="S5" i="30"/>
  <c r="M18" i="32"/>
  <c r="M60" i="31"/>
  <c r="M138" i="29"/>
  <c r="N54" i="31"/>
  <c r="U54" i="31" s="1"/>
  <c r="N57" i="29"/>
  <c r="N217" i="29" s="1"/>
  <c r="P217" i="29" s="1"/>
  <c r="N62" i="31"/>
  <c r="U62" i="31" s="1"/>
  <c r="N68" i="29"/>
  <c r="N218" i="29" s="1"/>
  <c r="P218" i="29" s="1"/>
  <c r="M47" i="32"/>
  <c r="M68" i="31"/>
  <c r="M142" i="29"/>
  <c r="L165" i="29"/>
  <c r="L166" i="29" s="1"/>
  <c r="K167" i="29"/>
  <c r="K185" i="29" s="1"/>
  <c r="C139" i="21"/>
  <c r="C65" i="21"/>
  <c r="C147" i="21" s="1"/>
  <c r="C141" i="21"/>
  <c r="C95" i="21"/>
  <c r="C149" i="21" s="1"/>
  <c r="P79" i="21"/>
  <c r="E212" i="4"/>
  <c r="E213" i="4"/>
  <c r="E205" i="4"/>
  <c r="E204" i="4"/>
  <c r="J5" i="21" l="1"/>
  <c r="AN15" i="26"/>
  <c r="G120" i="29"/>
  <c r="L42" i="17"/>
  <c r="G63" i="32"/>
  <c r="AN11" i="26"/>
  <c r="L38" i="17"/>
  <c r="G34" i="32"/>
  <c r="G117" i="29"/>
  <c r="M144" i="29"/>
  <c r="M182" i="29"/>
  <c r="N18" i="32"/>
  <c r="U18" i="32" s="1"/>
  <c r="N138" i="29"/>
  <c r="N60" i="31"/>
  <c r="U60" i="31" s="1"/>
  <c r="N68" i="31"/>
  <c r="U68" i="31" s="1"/>
  <c r="N47" i="32"/>
  <c r="U47" i="32" s="1"/>
  <c r="N142" i="29"/>
  <c r="S6" i="30"/>
  <c r="T5" i="30"/>
  <c r="M161" i="29"/>
  <c r="M162" i="29" s="1"/>
  <c r="L163" i="29"/>
  <c r="L184" i="29" s="1"/>
  <c r="L167" i="29"/>
  <c r="L185" i="29" s="1"/>
  <c r="M165" i="29"/>
  <c r="M166" i="29" s="1"/>
  <c r="M140" i="29"/>
  <c r="M181" i="29"/>
  <c r="R80" i="30"/>
  <c r="R62" i="30"/>
  <c r="R20" i="30"/>
  <c r="K5" i="21"/>
  <c r="J6" i="21"/>
  <c r="E215" i="4"/>
  <c r="E209" i="4"/>
  <c r="E214" i="4"/>
  <c r="E211" i="4"/>
  <c r="E210" i="4"/>
  <c r="E207" i="4"/>
  <c r="E201" i="4"/>
  <c r="E206" i="4"/>
  <c r="E203" i="4"/>
  <c r="E202" i="4"/>
  <c r="AN16" i="26" l="1"/>
  <c r="L43" i="17"/>
  <c r="P125" i="29"/>
  <c r="AN12" i="26"/>
  <c r="L39" i="17"/>
  <c r="P124" i="29"/>
  <c r="M163" i="29"/>
  <c r="M184" i="29" s="1"/>
  <c r="N161" i="29"/>
  <c r="N162" i="29" s="1"/>
  <c r="N163" i="29" s="1"/>
  <c r="N184" i="29" s="1"/>
  <c r="N165" i="29"/>
  <c r="N166" i="29" s="1"/>
  <c r="N167" i="29" s="1"/>
  <c r="N185" i="29" s="1"/>
  <c r="M167" i="29"/>
  <c r="M185" i="29" s="1"/>
  <c r="U5" i="30"/>
  <c r="T6" i="30"/>
  <c r="N140" i="29"/>
  <c r="P149" i="29" s="1"/>
  <c r="N181" i="29"/>
  <c r="R127" i="30"/>
  <c r="R51" i="30"/>
  <c r="R35" i="30"/>
  <c r="R98" i="30"/>
  <c r="R68" i="30"/>
  <c r="R110" i="30"/>
  <c r="R86" i="30"/>
  <c r="S62" i="30"/>
  <c r="S80" i="30"/>
  <c r="S20" i="30"/>
  <c r="N182" i="29"/>
  <c r="N144" i="29"/>
  <c r="P153" i="29" s="1"/>
  <c r="L5" i="21"/>
  <c r="K6" i="21"/>
  <c r="P135" i="18"/>
  <c r="P18" i="18"/>
  <c r="AH5" i="26" l="1"/>
  <c r="N154" i="29"/>
  <c r="P209" i="29"/>
  <c r="O14" i="33"/>
  <c r="F32" i="17"/>
  <c r="AH4" i="26"/>
  <c r="P201" i="29"/>
  <c r="N150" i="29"/>
  <c r="F31" i="17"/>
  <c r="O13" i="33"/>
  <c r="P210" i="29"/>
  <c r="P131" i="29"/>
  <c r="U66" i="32"/>
  <c r="P213" i="29"/>
  <c r="P205" i="29"/>
  <c r="U37" i="32"/>
  <c r="P202" i="29"/>
  <c r="P130" i="29"/>
  <c r="S110" i="30"/>
  <c r="S86" i="30"/>
  <c r="S51" i="30"/>
  <c r="S35" i="30"/>
  <c r="S98" i="30"/>
  <c r="S68" i="30"/>
  <c r="S127" i="30"/>
  <c r="V5" i="30"/>
  <c r="V6" i="30" s="1"/>
  <c r="U6" i="30"/>
  <c r="T80" i="30"/>
  <c r="T62" i="30"/>
  <c r="T20" i="30"/>
  <c r="L6" i="21"/>
  <c r="M5" i="21"/>
  <c r="E117" i="18"/>
  <c r="E116" i="18"/>
  <c r="D117" i="18"/>
  <c r="D116" i="18"/>
  <c r="V145" i="18"/>
  <c r="U145" i="18"/>
  <c r="T145" i="18"/>
  <c r="S145" i="18"/>
  <c r="V137" i="18"/>
  <c r="U137" i="18"/>
  <c r="T137" i="18"/>
  <c r="S137" i="18"/>
  <c r="E150" i="18"/>
  <c r="D150" i="18"/>
  <c r="E149" i="18"/>
  <c r="D149" i="18"/>
  <c r="E148" i="18"/>
  <c r="D148" i="18"/>
  <c r="E147" i="18"/>
  <c r="D147" i="18"/>
  <c r="E146" i="18"/>
  <c r="D146" i="18"/>
  <c r="E145" i="18"/>
  <c r="D145" i="18"/>
  <c r="C150" i="18"/>
  <c r="E142" i="18"/>
  <c r="D142" i="18"/>
  <c r="C142" i="18"/>
  <c r="E141" i="18"/>
  <c r="D141" i="18"/>
  <c r="E140" i="18"/>
  <c r="D140" i="18"/>
  <c r="E139" i="18"/>
  <c r="D139" i="18"/>
  <c r="E138" i="18"/>
  <c r="D138" i="18"/>
  <c r="E137" i="18"/>
  <c r="D137" i="18"/>
  <c r="E127" i="18"/>
  <c r="D127" i="18"/>
  <c r="D121" i="18"/>
  <c r="D120" i="18"/>
  <c r="D118" i="18"/>
  <c r="E118" i="18"/>
  <c r="D119" i="18"/>
  <c r="E119" i="18"/>
  <c r="E110" i="18"/>
  <c r="D110" i="18"/>
  <c r="L48" i="17" l="1"/>
  <c r="AN21" i="26"/>
  <c r="L44" i="17"/>
  <c r="AN17" i="26"/>
  <c r="AN24" i="26"/>
  <c r="L51" i="17"/>
  <c r="J187" i="29"/>
  <c r="K187" i="29"/>
  <c r="K190" i="29" s="1"/>
  <c r="K193" i="29" s="1"/>
  <c r="K196" i="29" s="1"/>
  <c r="M187" i="29"/>
  <c r="M190" i="29" s="1"/>
  <c r="M193" i="29" s="1"/>
  <c r="M196" i="29" s="1"/>
  <c r="L187" i="29"/>
  <c r="L190" i="29" s="1"/>
  <c r="L193" i="29" s="1"/>
  <c r="L196" i="29" s="1"/>
  <c r="N187" i="29"/>
  <c r="N190" i="29" s="1"/>
  <c r="N193" i="29" s="1"/>
  <c r="N196" i="29" s="1"/>
  <c r="J188" i="29"/>
  <c r="L188" i="29"/>
  <c r="L191" i="29" s="1"/>
  <c r="L194" i="29" s="1"/>
  <c r="L197" i="29" s="1"/>
  <c r="M188" i="29"/>
  <c r="M191" i="29" s="1"/>
  <c r="M194" i="29" s="1"/>
  <c r="M197" i="29" s="1"/>
  <c r="K188" i="29"/>
  <c r="K191" i="29" s="1"/>
  <c r="K194" i="29" s="1"/>
  <c r="K197" i="29" s="1"/>
  <c r="N188" i="29"/>
  <c r="N191" i="29" s="1"/>
  <c r="N194" i="29" s="1"/>
  <c r="N197" i="29" s="1"/>
  <c r="AN18" i="26"/>
  <c r="L45" i="17"/>
  <c r="L55" i="17"/>
  <c r="AN28" i="26"/>
  <c r="L52" i="17"/>
  <c r="AN25" i="26"/>
  <c r="S37" i="30"/>
  <c r="S36" i="30"/>
  <c r="T127" i="30"/>
  <c r="T98" i="30"/>
  <c r="T68" i="30"/>
  <c r="T110" i="30"/>
  <c r="T86" i="30"/>
  <c r="T51" i="30"/>
  <c r="T35" i="30"/>
  <c r="V80" i="30"/>
  <c r="V62" i="30"/>
  <c r="V20" i="30"/>
  <c r="U62" i="30"/>
  <c r="U80" i="30"/>
  <c r="U20" i="30"/>
  <c r="M6" i="21"/>
  <c r="N5" i="21"/>
  <c r="C94" i="18"/>
  <c r="E98" i="18"/>
  <c r="D98" i="18"/>
  <c r="C64" i="18"/>
  <c r="C47" i="18"/>
  <c r="C31" i="18"/>
  <c r="V107" i="30" l="1"/>
  <c r="V95" i="30"/>
  <c r="V149" i="30" s="1"/>
  <c r="U68" i="32"/>
  <c r="P212" i="29"/>
  <c r="J191" i="29"/>
  <c r="S106" i="30"/>
  <c r="S111" i="30" s="1"/>
  <c r="S94" i="30"/>
  <c r="S95" i="30"/>
  <c r="S107" i="30"/>
  <c r="S112" i="30" s="1"/>
  <c r="V94" i="30"/>
  <c r="V141" i="30" s="1"/>
  <c r="V106" i="30"/>
  <c r="P204" i="29"/>
  <c r="U39" i="32"/>
  <c r="J190" i="29"/>
  <c r="U107" i="30"/>
  <c r="U95" i="30"/>
  <c r="U149" i="30" s="1"/>
  <c r="T94" i="30"/>
  <c r="T141" i="30" s="1"/>
  <c r="T106" i="30"/>
  <c r="T111" i="30" s="1"/>
  <c r="T107" i="30"/>
  <c r="T112" i="30" s="1"/>
  <c r="T95" i="30"/>
  <c r="T149" i="30" s="1"/>
  <c r="U106" i="30"/>
  <c r="U94" i="30"/>
  <c r="U141" i="30" s="1"/>
  <c r="T37" i="30"/>
  <c r="T36" i="30"/>
  <c r="T99" i="30"/>
  <c r="U110" i="30"/>
  <c r="U98" i="30"/>
  <c r="U68" i="30"/>
  <c r="U127" i="30"/>
  <c r="U51" i="30"/>
  <c r="U35" i="30"/>
  <c r="U86" i="30"/>
  <c r="V127" i="30"/>
  <c r="V51" i="30"/>
  <c r="V35" i="30"/>
  <c r="V86" i="30"/>
  <c r="V110" i="30"/>
  <c r="V68" i="30"/>
  <c r="V98" i="30"/>
  <c r="P21" i="30"/>
  <c r="P45" i="30" s="1"/>
  <c r="R5" i="21"/>
  <c r="N6" i="21"/>
  <c r="C65" i="18"/>
  <c r="C147" i="18" s="1"/>
  <c r="C139" i="18"/>
  <c r="C32" i="18"/>
  <c r="C145" i="18" s="1"/>
  <c r="C137" i="18"/>
  <c r="C48" i="18"/>
  <c r="C146" i="18" s="1"/>
  <c r="C138" i="18"/>
  <c r="C95" i="18"/>
  <c r="C149" i="18" s="1"/>
  <c r="C141" i="18"/>
  <c r="C82" i="18"/>
  <c r="D79" i="18"/>
  <c r="E79" i="18"/>
  <c r="E80" i="18"/>
  <c r="D78" i="18"/>
  <c r="E78" i="18"/>
  <c r="E86" i="18"/>
  <c r="D86" i="18"/>
  <c r="E77" i="18"/>
  <c r="D77" i="18"/>
  <c r="E76" i="18"/>
  <c r="D76" i="18"/>
  <c r="E68" i="18"/>
  <c r="D68" i="18"/>
  <c r="E62" i="18"/>
  <c r="E61" i="18"/>
  <c r="D61" i="18"/>
  <c r="E60" i="18"/>
  <c r="D60" i="18"/>
  <c r="E59" i="18"/>
  <c r="D59" i="18"/>
  <c r="E44" i="18"/>
  <c r="D44" i="18"/>
  <c r="E43" i="18"/>
  <c r="D43" i="18"/>
  <c r="E51" i="18"/>
  <c r="D51" i="18"/>
  <c r="E35" i="18"/>
  <c r="D35" i="18"/>
  <c r="D45" i="18"/>
  <c r="E45" i="18"/>
  <c r="P25" i="18"/>
  <c r="P61" i="18" s="1"/>
  <c r="S149" i="30" l="1"/>
  <c r="S100" i="30"/>
  <c r="S141" i="30"/>
  <c r="S99" i="30"/>
  <c r="P206" i="29"/>
  <c r="J193" i="29"/>
  <c r="L47" i="17"/>
  <c r="AN20" i="26"/>
  <c r="L54" i="17"/>
  <c r="AN27" i="26"/>
  <c r="T100" i="30"/>
  <c r="J194" i="29"/>
  <c r="P214" i="29"/>
  <c r="V112" i="30"/>
  <c r="V111" i="30"/>
  <c r="V100" i="30"/>
  <c r="V99" i="30"/>
  <c r="V37" i="30"/>
  <c r="V36" i="30"/>
  <c r="U36" i="30"/>
  <c r="U37" i="30"/>
  <c r="U100" i="30"/>
  <c r="U99" i="30"/>
  <c r="U112" i="30"/>
  <c r="U111" i="30"/>
  <c r="S5" i="21"/>
  <c r="R6" i="21"/>
  <c r="C83" i="18"/>
  <c r="C148" i="18" s="1"/>
  <c r="C140" i="18"/>
  <c r="P78" i="18"/>
  <c r="P193" i="29" l="1"/>
  <c r="J196" i="29"/>
  <c r="P194" i="29"/>
  <c r="J197" i="29"/>
  <c r="AN29" i="26"/>
  <c r="L56" i="17"/>
  <c r="L49" i="17"/>
  <c r="AN22" i="26"/>
  <c r="R20" i="21"/>
  <c r="R80" i="21"/>
  <c r="R62" i="21"/>
  <c r="S6" i="21"/>
  <c r="T5" i="21"/>
  <c r="P79" i="18"/>
  <c r="F6" i="18"/>
  <c r="G5" i="18"/>
  <c r="M8" i="17"/>
  <c r="G28" i="20"/>
  <c r="H28" i="20" s="1"/>
  <c r="M25" i="20"/>
  <c r="K25" i="20"/>
  <c r="I25" i="20"/>
  <c r="G17" i="20"/>
  <c r="G13" i="20"/>
  <c r="N71" i="20"/>
  <c r="J71" i="20"/>
  <c r="K70" i="20"/>
  <c r="K60" i="20"/>
  <c r="L59" i="20"/>
  <c r="N152" i="20"/>
  <c r="M152" i="20"/>
  <c r="M154" i="20" s="1"/>
  <c r="L152" i="20"/>
  <c r="L154" i="20" s="1"/>
  <c r="K152" i="20"/>
  <c r="K154" i="20" s="1"/>
  <c r="J152" i="20"/>
  <c r="J154" i="20" s="1"/>
  <c r="I152" i="20"/>
  <c r="N148" i="20"/>
  <c r="M148" i="20"/>
  <c r="M150" i="20" s="1"/>
  <c r="L148" i="20"/>
  <c r="L150" i="20" s="1"/>
  <c r="K148" i="20"/>
  <c r="K150" i="20" s="1"/>
  <c r="J148" i="20"/>
  <c r="J150" i="20" s="1"/>
  <c r="I148" i="20"/>
  <c r="N50" i="22"/>
  <c r="M50" i="22"/>
  <c r="L50" i="22"/>
  <c r="K50" i="22"/>
  <c r="J50" i="22"/>
  <c r="N49" i="22"/>
  <c r="M49" i="22"/>
  <c r="L49" i="22"/>
  <c r="K49" i="22"/>
  <c r="J49" i="22"/>
  <c r="N48" i="22"/>
  <c r="M48" i="22"/>
  <c r="L48" i="22"/>
  <c r="K48" i="22"/>
  <c r="J48" i="22"/>
  <c r="N47" i="22"/>
  <c r="M47" i="22"/>
  <c r="L47" i="22"/>
  <c r="K47" i="22"/>
  <c r="J47" i="22"/>
  <c r="N46" i="22"/>
  <c r="M46" i="22"/>
  <c r="L46" i="22"/>
  <c r="K46" i="22"/>
  <c r="J46" i="22"/>
  <c r="N45" i="22"/>
  <c r="M45" i="22"/>
  <c r="L45" i="22"/>
  <c r="K45" i="22"/>
  <c r="J45" i="22"/>
  <c r="N31" i="22"/>
  <c r="M31" i="22"/>
  <c r="L31" i="22"/>
  <c r="K31" i="22"/>
  <c r="J31" i="22"/>
  <c r="N33" i="22"/>
  <c r="M33" i="22"/>
  <c r="L33" i="22"/>
  <c r="K33" i="22"/>
  <c r="J33" i="22"/>
  <c r="N32" i="22"/>
  <c r="M32" i="22"/>
  <c r="L32" i="22"/>
  <c r="K32" i="22"/>
  <c r="J32" i="22"/>
  <c r="N30" i="22"/>
  <c r="M30" i="22"/>
  <c r="L30" i="22"/>
  <c r="K30" i="22"/>
  <c r="J30" i="22"/>
  <c r="N29" i="22"/>
  <c r="M29" i="22"/>
  <c r="L29" i="22"/>
  <c r="K29" i="22"/>
  <c r="J29" i="22"/>
  <c r="N28" i="22"/>
  <c r="M28" i="22"/>
  <c r="L28" i="22"/>
  <c r="K28" i="22"/>
  <c r="J28" i="22"/>
  <c r="N27" i="22"/>
  <c r="M27" i="22"/>
  <c r="L27" i="22"/>
  <c r="K27" i="22"/>
  <c r="J27" i="22"/>
  <c r="N26" i="22"/>
  <c r="M26" i="22"/>
  <c r="L26" i="22"/>
  <c r="K26" i="22"/>
  <c r="J26" i="22"/>
  <c r="N21" i="22"/>
  <c r="M21" i="22"/>
  <c r="L21" i="22"/>
  <c r="K21" i="22"/>
  <c r="J21" i="22"/>
  <c r="N23" i="22"/>
  <c r="M23" i="22"/>
  <c r="L23" i="22"/>
  <c r="K23" i="22"/>
  <c r="J23" i="22"/>
  <c r="N22" i="22"/>
  <c r="M22" i="22"/>
  <c r="L22" i="22"/>
  <c r="K22" i="22"/>
  <c r="J22" i="22"/>
  <c r="N19" i="22"/>
  <c r="M19" i="22"/>
  <c r="L19" i="22"/>
  <c r="K19" i="22"/>
  <c r="J19" i="22"/>
  <c r="N18" i="22"/>
  <c r="M18" i="22"/>
  <c r="L18" i="22"/>
  <c r="K18" i="22"/>
  <c r="J18" i="22"/>
  <c r="N17" i="22"/>
  <c r="M17" i="22"/>
  <c r="L17" i="22"/>
  <c r="K17" i="22"/>
  <c r="J17" i="22"/>
  <c r="R107" i="30" l="1"/>
  <c r="R112" i="30" s="1"/>
  <c r="P114" i="30" s="1"/>
  <c r="P117" i="30" s="1"/>
  <c r="R95" i="30"/>
  <c r="O17" i="33"/>
  <c r="P197" i="29"/>
  <c r="R106" i="30"/>
  <c r="R111" i="30" s="1"/>
  <c r="P113" i="30" s="1"/>
  <c r="P116" i="30" s="1"/>
  <c r="R94" i="30"/>
  <c r="O16" i="33"/>
  <c r="P196" i="29"/>
  <c r="L56" i="20"/>
  <c r="N39" i="22"/>
  <c r="J139" i="20"/>
  <c r="N139" i="20"/>
  <c r="M16" i="22"/>
  <c r="M55" i="20"/>
  <c r="M56" i="20"/>
  <c r="N40" i="22"/>
  <c r="K139" i="20"/>
  <c r="M59" i="20"/>
  <c r="M21" i="23" s="1"/>
  <c r="L60" i="20"/>
  <c r="L22" i="23" s="1"/>
  <c r="L70" i="20"/>
  <c r="L50" i="23" s="1"/>
  <c r="K71" i="20"/>
  <c r="J25" i="20"/>
  <c r="N25" i="20"/>
  <c r="L143" i="20"/>
  <c r="L67" i="20"/>
  <c r="M66" i="20"/>
  <c r="K143" i="20"/>
  <c r="K67" i="20"/>
  <c r="L66" i="20"/>
  <c r="N143" i="20"/>
  <c r="J143" i="20"/>
  <c r="N67" i="20"/>
  <c r="N74" i="20" s="1"/>
  <c r="J67" i="20"/>
  <c r="K66" i="20"/>
  <c r="K73" i="20" s="1"/>
  <c r="J66" i="20"/>
  <c r="N66" i="20"/>
  <c r="M143" i="20"/>
  <c r="M67" i="20"/>
  <c r="L16" i="22"/>
  <c r="L55" i="20"/>
  <c r="L62" i="20" s="1"/>
  <c r="J16" i="22"/>
  <c r="J55" i="20"/>
  <c r="N16" i="22"/>
  <c r="N55" i="20"/>
  <c r="J56" i="20"/>
  <c r="N56" i="20"/>
  <c r="N41" i="22"/>
  <c r="L139" i="20"/>
  <c r="J59" i="20"/>
  <c r="J21" i="23" s="1"/>
  <c r="N59" i="20"/>
  <c r="N21" i="23" s="1"/>
  <c r="M60" i="20"/>
  <c r="M22" i="23" s="1"/>
  <c r="M70" i="20"/>
  <c r="M50" i="23" s="1"/>
  <c r="L71" i="20"/>
  <c r="L51" i="23" s="1"/>
  <c r="G15" i="20"/>
  <c r="G20" i="20"/>
  <c r="G21" i="20" s="1"/>
  <c r="G18" i="20"/>
  <c r="N26" i="20"/>
  <c r="J26" i="20"/>
  <c r="M26" i="20"/>
  <c r="I26" i="20"/>
  <c r="K26" i="20"/>
  <c r="H26" i="20"/>
  <c r="G26" i="20"/>
  <c r="L26" i="20"/>
  <c r="I28" i="20"/>
  <c r="J28" i="20" s="1"/>
  <c r="K28" i="20" s="1"/>
  <c r="L28" i="20" s="1"/>
  <c r="M28" i="20" s="1"/>
  <c r="N28" i="20" s="1"/>
  <c r="N29" i="20" s="1"/>
  <c r="G31" i="20"/>
  <c r="G32" i="20" s="1"/>
  <c r="H31" i="20"/>
  <c r="G29" i="20"/>
  <c r="H29" i="20"/>
  <c r="K16" i="22"/>
  <c r="K55" i="20"/>
  <c r="K56" i="20"/>
  <c r="K63" i="20" s="1"/>
  <c r="N38" i="22"/>
  <c r="N42" i="22"/>
  <c r="M139" i="20"/>
  <c r="K59" i="20"/>
  <c r="K21" i="23" s="1"/>
  <c r="J60" i="20"/>
  <c r="J22" i="23" s="1"/>
  <c r="N60" i="20"/>
  <c r="J70" i="20"/>
  <c r="J50" i="23" s="1"/>
  <c r="N70" i="20"/>
  <c r="N50" i="23" s="1"/>
  <c r="M71" i="20"/>
  <c r="M51" i="23" s="1"/>
  <c r="H13" i="20"/>
  <c r="H14" i="20" s="1"/>
  <c r="H17" i="20"/>
  <c r="H25" i="20"/>
  <c r="L25" i="20"/>
  <c r="U26" i="22"/>
  <c r="U30" i="22"/>
  <c r="U32" i="22"/>
  <c r="U48" i="22"/>
  <c r="N22" i="23"/>
  <c r="L21" i="23"/>
  <c r="K22" i="23"/>
  <c r="K50" i="23"/>
  <c r="J51" i="23"/>
  <c r="N51" i="23"/>
  <c r="K37" i="22"/>
  <c r="L40" i="22"/>
  <c r="J42" i="22"/>
  <c r="U22" i="22"/>
  <c r="U28" i="22"/>
  <c r="L37" i="22"/>
  <c r="J39" i="22"/>
  <c r="M40" i="22"/>
  <c r="K42" i="22"/>
  <c r="U18" i="22"/>
  <c r="U19" i="22"/>
  <c r="M20" i="22"/>
  <c r="U29" i="22"/>
  <c r="M37" i="22"/>
  <c r="L38" i="22"/>
  <c r="K39" i="22"/>
  <c r="J40" i="22"/>
  <c r="M41" i="22"/>
  <c r="L42" i="22"/>
  <c r="U45" i="22"/>
  <c r="U46" i="22"/>
  <c r="U49" i="22"/>
  <c r="U50" i="22"/>
  <c r="K20" i="22"/>
  <c r="J38" i="22"/>
  <c r="M39" i="22"/>
  <c r="K41" i="22"/>
  <c r="U17" i="22"/>
  <c r="L20" i="22"/>
  <c r="U23" i="22"/>
  <c r="U27" i="22"/>
  <c r="U33" i="22"/>
  <c r="K38" i="22"/>
  <c r="L41" i="22"/>
  <c r="J20" i="22"/>
  <c r="N20" i="22"/>
  <c r="U21" i="22"/>
  <c r="U31" i="22"/>
  <c r="J37" i="22"/>
  <c r="N37" i="22"/>
  <c r="M38" i="22"/>
  <c r="L39" i="22"/>
  <c r="K40" i="22"/>
  <c r="J41" i="22"/>
  <c r="M42" i="22"/>
  <c r="U47" i="22"/>
  <c r="S80" i="21"/>
  <c r="S62" i="21"/>
  <c r="S20" i="21"/>
  <c r="T6" i="21"/>
  <c r="U5" i="21"/>
  <c r="R98" i="21"/>
  <c r="R68" i="21"/>
  <c r="R127" i="21"/>
  <c r="R110" i="21"/>
  <c r="R86" i="21"/>
  <c r="R35" i="21"/>
  <c r="R51" i="21"/>
  <c r="G6" i="18"/>
  <c r="H5" i="18"/>
  <c r="F6" i="4"/>
  <c r="J31" i="20" l="1"/>
  <c r="J32" i="20" s="1"/>
  <c r="M29" i="20"/>
  <c r="L29" i="20"/>
  <c r="N31" i="20"/>
  <c r="N32" i="20" s="1"/>
  <c r="L31" i="20"/>
  <c r="L32" i="20" s="1"/>
  <c r="K29" i="20"/>
  <c r="P215" i="29"/>
  <c r="P14" i="30"/>
  <c r="O20" i="33"/>
  <c r="R141" i="30"/>
  <c r="R99" i="30"/>
  <c r="P101" i="30" s="1"/>
  <c r="R100" i="30"/>
  <c r="P102" i="30" s="1"/>
  <c r="R149" i="30"/>
  <c r="P13" i="30"/>
  <c r="P207" i="29"/>
  <c r="O19" i="33"/>
  <c r="U16" i="22"/>
  <c r="I29" i="20"/>
  <c r="J29" i="20"/>
  <c r="N62" i="20"/>
  <c r="J73" i="20"/>
  <c r="M62" i="20"/>
  <c r="H32" i="20"/>
  <c r="L73" i="20"/>
  <c r="H20" i="20"/>
  <c r="H21" i="20" s="1"/>
  <c r="H18" i="20"/>
  <c r="J74" i="20"/>
  <c r="G99" i="20"/>
  <c r="L13" i="17" s="1"/>
  <c r="L74" i="20"/>
  <c r="K62" i="20"/>
  <c r="M31" i="20"/>
  <c r="M32" i="20" s="1"/>
  <c r="K31" i="20"/>
  <c r="K32" i="20" s="1"/>
  <c r="I31" i="20"/>
  <c r="I32" i="20" s="1"/>
  <c r="H15" i="20"/>
  <c r="N63" i="20"/>
  <c r="N73" i="20"/>
  <c r="K74" i="20"/>
  <c r="M63" i="20"/>
  <c r="I17" i="20"/>
  <c r="G94" i="20"/>
  <c r="L9" i="17" s="1"/>
  <c r="J62" i="20"/>
  <c r="J63" i="20"/>
  <c r="M74" i="20"/>
  <c r="M73" i="20"/>
  <c r="I13" i="20"/>
  <c r="L63" i="20"/>
  <c r="U50" i="23"/>
  <c r="U22" i="23"/>
  <c r="U21" i="23"/>
  <c r="U41" i="22"/>
  <c r="J24" i="22"/>
  <c r="J16" i="23"/>
  <c r="L34" i="22"/>
  <c r="L45" i="23"/>
  <c r="L24" i="22"/>
  <c r="L16" i="23"/>
  <c r="M45" i="23"/>
  <c r="M34" i="22"/>
  <c r="M46" i="23"/>
  <c r="M51" i="22"/>
  <c r="J51" i="22"/>
  <c r="J46" i="23"/>
  <c r="U40" i="22"/>
  <c r="J43" i="22"/>
  <c r="J17" i="23"/>
  <c r="N24" i="22"/>
  <c r="N16" i="23"/>
  <c r="U38" i="22"/>
  <c r="J45" i="23"/>
  <c r="J34" i="22"/>
  <c r="N45" i="23"/>
  <c r="N34" i="22"/>
  <c r="N51" i="22"/>
  <c r="N46" i="23"/>
  <c r="U42" i="22"/>
  <c r="K17" i="23"/>
  <c r="K43" i="22"/>
  <c r="L51" i="22"/>
  <c r="L46" i="23"/>
  <c r="K53" i="23"/>
  <c r="K34" i="22"/>
  <c r="K45" i="23"/>
  <c r="K51" i="23"/>
  <c r="U51" i="23" s="1"/>
  <c r="M43" i="22"/>
  <c r="M17" i="23"/>
  <c r="K25" i="23"/>
  <c r="U39" i="22"/>
  <c r="U20" i="22"/>
  <c r="N43" i="22"/>
  <c r="N17" i="23"/>
  <c r="K24" i="22"/>
  <c r="K16" i="23"/>
  <c r="K51" i="22"/>
  <c r="K46" i="23"/>
  <c r="M24" i="22"/>
  <c r="M16" i="23"/>
  <c r="L17" i="23"/>
  <c r="L43" i="22"/>
  <c r="U37" i="22"/>
  <c r="T62" i="21"/>
  <c r="T80" i="21"/>
  <c r="T20" i="21"/>
  <c r="S127" i="21"/>
  <c r="S51" i="21"/>
  <c r="S35" i="21"/>
  <c r="S110" i="21"/>
  <c r="S86" i="21"/>
  <c r="S98" i="21"/>
  <c r="S68" i="21"/>
  <c r="V5" i="21"/>
  <c r="V6" i="21" s="1"/>
  <c r="U6" i="21"/>
  <c r="H6" i="18"/>
  <c r="I5" i="18"/>
  <c r="C14" i="9"/>
  <c r="C13" i="9"/>
  <c r="E19" i="9"/>
  <c r="E20" i="9"/>
  <c r="P119" i="30" l="1"/>
  <c r="P121" i="30" s="1"/>
  <c r="P60" i="30"/>
  <c r="P44" i="30"/>
  <c r="P77" i="30"/>
  <c r="R32" i="30"/>
  <c r="P43" i="30"/>
  <c r="P118" i="30"/>
  <c r="P120" i="30" s="1"/>
  <c r="P76" i="30"/>
  <c r="R31" i="30"/>
  <c r="P59" i="30"/>
  <c r="L50" i="17"/>
  <c r="AN23" i="26"/>
  <c r="AN30" i="26"/>
  <c r="L57" i="17"/>
  <c r="G106" i="20"/>
  <c r="L10" i="17" s="1"/>
  <c r="G100" i="20"/>
  <c r="G101" i="20"/>
  <c r="G102" i="20"/>
  <c r="I14" i="20"/>
  <c r="J13" i="20"/>
  <c r="I15" i="20"/>
  <c r="G97" i="20"/>
  <c r="G96" i="20"/>
  <c r="G95" i="20"/>
  <c r="I20" i="20"/>
  <c r="I21" i="20" s="1"/>
  <c r="I18" i="20"/>
  <c r="J17" i="20"/>
  <c r="G110" i="20"/>
  <c r="L14" i="17" s="1"/>
  <c r="L25" i="23"/>
  <c r="K54" i="23"/>
  <c r="L54" i="23"/>
  <c r="U17" i="23"/>
  <c r="M54" i="23"/>
  <c r="U9" i="26"/>
  <c r="AW9" i="26" s="1"/>
  <c r="G72" i="22"/>
  <c r="G19" i="23"/>
  <c r="U16" i="23"/>
  <c r="N54" i="23"/>
  <c r="U43" i="22"/>
  <c r="J54" i="23"/>
  <c r="M53" i="23"/>
  <c r="U34" i="22"/>
  <c r="M25" i="23"/>
  <c r="U51" i="22"/>
  <c r="U45" i="23"/>
  <c r="J25" i="23"/>
  <c r="L24" i="23"/>
  <c r="L53" i="23"/>
  <c r="U24" i="22"/>
  <c r="N25" i="23"/>
  <c r="N53" i="23"/>
  <c r="U13" i="26"/>
  <c r="AW13" i="26" s="1"/>
  <c r="G75" i="22"/>
  <c r="G48" i="23"/>
  <c r="M24" i="23"/>
  <c r="K24" i="23"/>
  <c r="J53" i="23"/>
  <c r="N24" i="23"/>
  <c r="U46" i="23"/>
  <c r="J24" i="23"/>
  <c r="T110" i="21"/>
  <c r="T86" i="21"/>
  <c r="T127" i="21"/>
  <c r="T51" i="21"/>
  <c r="T35" i="21"/>
  <c r="T98" i="21"/>
  <c r="T68" i="21"/>
  <c r="S36" i="21"/>
  <c r="S37" i="21"/>
  <c r="V62" i="21"/>
  <c r="V20" i="21"/>
  <c r="V80" i="21"/>
  <c r="U62" i="21"/>
  <c r="U80" i="21"/>
  <c r="U20" i="21"/>
  <c r="I6" i="18"/>
  <c r="J5" i="18"/>
  <c r="E17" i="9"/>
  <c r="E16" i="9"/>
  <c r="R82" i="30" l="1"/>
  <c r="S82" i="30"/>
  <c r="T82" i="30"/>
  <c r="U82" i="30"/>
  <c r="V82" i="30"/>
  <c r="R123" i="30"/>
  <c r="S123" i="30"/>
  <c r="V123" i="30"/>
  <c r="T123" i="30"/>
  <c r="U123" i="30"/>
  <c r="T48" i="30"/>
  <c r="U48" i="30"/>
  <c r="S48" i="30"/>
  <c r="R48" i="30"/>
  <c r="V48" i="30"/>
  <c r="R64" i="30"/>
  <c r="S64" i="30"/>
  <c r="T64" i="30"/>
  <c r="V64" i="30"/>
  <c r="U64" i="30"/>
  <c r="T47" i="30"/>
  <c r="R47" i="30"/>
  <c r="S47" i="30"/>
  <c r="V47" i="30"/>
  <c r="U47" i="30"/>
  <c r="R65" i="30"/>
  <c r="S65" i="30"/>
  <c r="T65" i="30"/>
  <c r="U65" i="30"/>
  <c r="V65" i="30"/>
  <c r="R83" i="30"/>
  <c r="S83" i="30"/>
  <c r="T83" i="30"/>
  <c r="V83" i="30"/>
  <c r="U83" i="30"/>
  <c r="R36" i="30"/>
  <c r="P38" i="30" s="1"/>
  <c r="R137" i="30"/>
  <c r="R145" i="30"/>
  <c r="R37" i="30"/>
  <c r="P39" i="30" s="1"/>
  <c r="S124" i="30"/>
  <c r="T124" i="30"/>
  <c r="V124" i="30"/>
  <c r="U124" i="30"/>
  <c r="R124" i="30"/>
  <c r="J20" i="20"/>
  <c r="J21" i="20" s="1"/>
  <c r="J18" i="20"/>
  <c r="K17" i="20"/>
  <c r="J127" i="20"/>
  <c r="M127" i="20"/>
  <c r="L127" i="20"/>
  <c r="N127" i="20"/>
  <c r="K127" i="20"/>
  <c r="K46" i="20"/>
  <c r="K50" i="20"/>
  <c r="K66" i="22" s="1"/>
  <c r="K51" i="20"/>
  <c r="K67" i="22" s="1"/>
  <c r="L51" i="20"/>
  <c r="L67" i="22" s="1"/>
  <c r="L46" i="20"/>
  <c r="M49" i="20"/>
  <c r="M65" i="22" s="1"/>
  <c r="N51" i="20"/>
  <c r="N46" i="20"/>
  <c r="K47" i="20"/>
  <c r="L48" i="20"/>
  <c r="L64" i="22" s="1"/>
  <c r="J46" i="20"/>
  <c r="L47" i="20"/>
  <c r="L63" i="22" s="1"/>
  <c r="J48" i="20"/>
  <c r="M47" i="20"/>
  <c r="M63" i="22" s="1"/>
  <c r="N48" i="20"/>
  <c r="N64" i="22" s="1"/>
  <c r="N47" i="20"/>
  <c r="N63" i="22" s="1"/>
  <c r="L49" i="20"/>
  <c r="L65" i="22" s="1"/>
  <c r="J47" i="20"/>
  <c r="J63" i="22" s="1"/>
  <c r="J50" i="20"/>
  <c r="M48" i="20"/>
  <c r="M64" i="22" s="1"/>
  <c r="M46" i="20"/>
  <c r="N50" i="20"/>
  <c r="K48" i="20"/>
  <c r="K64" i="22" s="1"/>
  <c r="K49" i="20"/>
  <c r="K65" i="22" s="1"/>
  <c r="L50" i="20"/>
  <c r="L66" i="22" s="1"/>
  <c r="J51" i="20"/>
  <c r="J67" i="22" s="1"/>
  <c r="J49" i="20"/>
  <c r="J65" i="22" s="1"/>
  <c r="M51" i="20"/>
  <c r="M67" i="22" s="1"/>
  <c r="M50" i="20"/>
  <c r="M66" i="22" s="1"/>
  <c r="N49" i="20"/>
  <c r="N65" i="22" s="1"/>
  <c r="G108" i="20"/>
  <c r="G107" i="20"/>
  <c r="G111" i="20"/>
  <c r="G112" i="20"/>
  <c r="J42" i="20"/>
  <c r="J57" i="22" s="1"/>
  <c r="K44" i="20"/>
  <c r="K59" i="22" s="1"/>
  <c r="L40" i="20"/>
  <c r="M43" i="20"/>
  <c r="M58" i="22" s="1"/>
  <c r="M40" i="20"/>
  <c r="M55" i="22" s="1"/>
  <c r="K39" i="20"/>
  <c r="M41" i="20"/>
  <c r="M56" i="22" s="1"/>
  <c r="L39" i="20"/>
  <c r="N41" i="20"/>
  <c r="N56" i="22" s="1"/>
  <c r="K41" i="20"/>
  <c r="K56" i="22" s="1"/>
  <c r="L44" i="20"/>
  <c r="L59" i="22" s="1"/>
  <c r="J39" i="20"/>
  <c r="L41" i="20"/>
  <c r="N43" i="20"/>
  <c r="N58" i="22" s="1"/>
  <c r="J40" i="20"/>
  <c r="L42" i="20"/>
  <c r="L57" i="22" s="1"/>
  <c r="N44" i="20"/>
  <c r="N59" i="22" s="1"/>
  <c r="K40" i="20"/>
  <c r="K55" i="22" s="1"/>
  <c r="M42" i="20"/>
  <c r="M57" i="22" s="1"/>
  <c r="K42" i="20"/>
  <c r="K57" i="22" s="1"/>
  <c r="M44" i="20"/>
  <c r="M59" i="22" s="1"/>
  <c r="K43" i="20"/>
  <c r="K58" i="22" s="1"/>
  <c r="J41" i="20"/>
  <c r="L43" i="20"/>
  <c r="L58" i="22" s="1"/>
  <c r="M39" i="20"/>
  <c r="N42" i="20"/>
  <c r="N57" i="22" s="1"/>
  <c r="N39" i="20"/>
  <c r="J43" i="20"/>
  <c r="J58" i="22" s="1"/>
  <c r="N40" i="20"/>
  <c r="N55" i="22" s="1"/>
  <c r="J44" i="20"/>
  <c r="J59" i="22" s="1"/>
  <c r="J14" i="20"/>
  <c r="K13" i="20"/>
  <c r="J15" i="20"/>
  <c r="K128" i="20"/>
  <c r="M128" i="20"/>
  <c r="L128" i="20"/>
  <c r="N128" i="20"/>
  <c r="J128" i="20"/>
  <c r="U53" i="23"/>
  <c r="U24" i="23"/>
  <c r="U54" i="23"/>
  <c r="U25" i="23"/>
  <c r="U10" i="26"/>
  <c r="AW10" i="26" s="1"/>
  <c r="G27" i="23"/>
  <c r="N67" i="22"/>
  <c r="J66" i="22"/>
  <c r="K63" i="22"/>
  <c r="N66" i="22"/>
  <c r="J64" i="22"/>
  <c r="U14" i="26"/>
  <c r="AW14" i="26" s="1"/>
  <c r="G56" i="23"/>
  <c r="J56" i="22"/>
  <c r="L56" i="22"/>
  <c r="L55" i="22"/>
  <c r="J55" i="22"/>
  <c r="U98" i="21"/>
  <c r="U68" i="21"/>
  <c r="U110" i="21"/>
  <c r="U86" i="21"/>
  <c r="U51" i="21"/>
  <c r="U127" i="21"/>
  <c r="U35" i="21"/>
  <c r="T36" i="21"/>
  <c r="T37" i="21"/>
  <c r="P21" i="21"/>
  <c r="P45" i="21" s="1"/>
  <c r="V98" i="21"/>
  <c r="V68" i="21"/>
  <c r="V51" i="21"/>
  <c r="V86" i="21"/>
  <c r="V35" i="21"/>
  <c r="V127" i="21"/>
  <c r="V110" i="21"/>
  <c r="J6" i="18"/>
  <c r="K5" i="18"/>
  <c r="J161" i="4"/>
  <c r="N143" i="4"/>
  <c r="M143" i="4"/>
  <c r="L143" i="4"/>
  <c r="K143" i="4"/>
  <c r="J143" i="4"/>
  <c r="N139" i="4"/>
  <c r="M139" i="4"/>
  <c r="L139" i="4"/>
  <c r="K139" i="4"/>
  <c r="J139" i="4"/>
  <c r="J66" i="4"/>
  <c r="N67" i="4"/>
  <c r="M67" i="4"/>
  <c r="L67" i="4"/>
  <c r="K67" i="4"/>
  <c r="N66" i="4"/>
  <c r="M66" i="4"/>
  <c r="L66" i="4"/>
  <c r="K66" i="4"/>
  <c r="J67" i="4"/>
  <c r="J165" i="4"/>
  <c r="G5" i="4"/>
  <c r="H5" i="4" s="1"/>
  <c r="H6" i="4" s="1"/>
  <c r="J175" i="4"/>
  <c r="U53" i="30" l="1"/>
  <c r="U146" i="30"/>
  <c r="U151" i="30" s="1"/>
  <c r="U157" i="30" s="1"/>
  <c r="S148" i="30"/>
  <c r="S88" i="30"/>
  <c r="V52" i="30"/>
  <c r="V138" i="30"/>
  <c r="V143" i="30" s="1"/>
  <c r="V156" i="30" s="1"/>
  <c r="R139" i="30"/>
  <c r="R69" i="30"/>
  <c r="V142" i="30"/>
  <c r="V128" i="30"/>
  <c r="U129" i="30"/>
  <c r="U150" i="30"/>
  <c r="U148" i="30"/>
  <c r="U88" i="30"/>
  <c r="R88" i="30"/>
  <c r="R148" i="30"/>
  <c r="S52" i="30"/>
  <c r="S138" i="30"/>
  <c r="S143" i="30" s="1"/>
  <c r="S156" i="30" s="1"/>
  <c r="V139" i="30"/>
  <c r="V69" i="30"/>
  <c r="V53" i="30"/>
  <c r="V146" i="30"/>
  <c r="V151" i="30" s="1"/>
  <c r="V157" i="30" s="1"/>
  <c r="T53" i="30"/>
  <c r="T146" i="30"/>
  <c r="T151" i="30" s="1"/>
  <c r="T157" i="30" s="1"/>
  <c r="S142" i="30"/>
  <c r="S128" i="30"/>
  <c r="T140" i="30"/>
  <c r="T87" i="30"/>
  <c r="V150" i="30"/>
  <c r="V129" i="30"/>
  <c r="V88" i="30"/>
  <c r="V148" i="30"/>
  <c r="V70" i="30"/>
  <c r="V147" i="30"/>
  <c r="R70" i="30"/>
  <c r="R147" i="30"/>
  <c r="R52" i="30"/>
  <c r="R138" i="30"/>
  <c r="R143" i="30" s="1"/>
  <c r="R156" i="30" s="1"/>
  <c r="T139" i="30"/>
  <c r="T69" i="30"/>
  <c r="R146" i="30"/>
  <c r="R151" i="30" s="1"/>
  <c r="R157" i="30" s="1"/>
  <c r="R53" i="30"/>
  <c r="U142" i="30"/>
  <c r="U128" i="30"/>
  <c r="R128" i="30"/>
  <c r="R142" i="30"/>
  <c r="S87" i="30"/>
  <c r="S140" i="30"/>
  <c r="R129" i="30"/>
  <c r="R150" i="30"/>
  <c r="S129" i="30"/>
  <c r="S150" i="30"/>
  <c r="T147" i="30"/>
  <c r="T70" i="30"/>
  <c r="U139" i="30"/>
  <c r="U69" i="30"/>
  <c r="U140" i="30"/>
  <c r="U87" i="30"/>
  <c r="S70" i="30"/>
  <c r="S147" i="30"/>
  <c r="T129" i="30"/>
  <c r="T150" i="30"/>
  <c r="T148" i="30"/>
  <c r="T88" i="30"/>
  <c r="U70" i="30"/>
  <c r="U147" i="30"/>
  <c r="U138" i="30"/>
  <c r="U143" i="30" s="1"/>
  <c r="U156" i="30" s="1"/>
  <c r="U52" i="30"/>
  <c r="T52" i="30"/>
  <c r="T138" i="30"/>
  <c r="T143" i="30" s="1"/>
  <c r="T156" i="30" s="1"/>
  <c r="S69" i="30"/>
  <c r="S139" i="30"/>
  <c r="S146" i="30"/>
  <c r="S151" i="30" s="1"/>
  <c r="S157" i="30" s="1"/>
  <c r="S53" i="30"/>
  <c r="T128" i="30"/>
  <c r="T142" i="30"/>
  <c r="V140" i="30"/>
  <c r="V87" i="30"/>
  <c r="R140" i="30"/>
  <c r="R87" i="30"/>
  <c r="M57" i="20"/>
  <c r="K57" i="20"/>
  <c r="J57" i="20"/>
  <c r="L57" i="20"/>
  <c r="N57" i="20"/>
  <c r="N75" i="20"/>
  <c r="K75" i="20"/>
  <c r="L75" i="20"/>
  <c r="J75" i="20"/>
  <c r="J86" i="20" s="1"/>
  <c r="M75" i="20"/>
  <c r="L68" i="20"/>
  <c r="J85" i="20"/>
  <c r="J60" i="23" s="1"/>
  <c r="J84" i="20"/>
  <c r="J59" i="23" s="1"/>
  <c r="J80" i="20"/>
  <c r="J31" i="23" s="1"/>
  <c r="J79" i="20"/>
  <c r="J30" i="23" s="1"/>
  <c r="J176" i="20"/>
  <c r="J82" i="20"/>
  <c r="J87" i="20"/>
  <c r="J62" i="23" s="1"/>
  <c r="J172" i="20"/>
  <c r="J68" i="20"/>
  <c r="M68" i="20"/>
  <c r="K68" i="20"/>
  <c r="K64" i="20"/>
  <c r="N64" i="20"/>
  <c r="M64" i="20"/>
  <c r="J64" i="20"/>
  <c r="J81" i="20" s="1"/>
  <c r="L64" i="20"/>
  <c r="N68" i="20"/>
  <c r="K14" i="20"/>
  <c r="K15" i="20"/>
  <c r="L13" i="20"/>
  <c r="K20" i="20"/>
  <c r="K21" i="20" s="1"/>
  <c r="K18" i="20"/>
  <c r="L17" i="20"/>
  <c r="U58" i="22"/>
  <c r="U56" i="22"/>
  <c r="U55" i="22"/>
  <c r="U65" i="22"/>
  <c r="U63" i="22"/>
  <c r="U59" i="22"/>
  <c r="J54" i="22"/>
  <c r="M67" i="23"/>
  <c r="M76" i="22"/>
  <c r="U64" i="22"/>
  <c r="N62" i="22"/>
  <c r="U67" i="22"/>
  <c r="J38" i="23"/>
  <c r="J73" i="22"/>
  <c r="J67" i="23"/>
  <c r="J76" i="22"/>
  <c r="L76" i="22"/>
  <c r="L67" i="23"/>
  <c r="K54" i="22"/>
  <c r="M54" i="22"/>
  <c r="U57" i="22"/>
  <c r="U66" i="22"/>
  <c r="J62" i="22"/>
  <c r="L73" i="22"/>
  <c r="L38" i="23"/>
  <c r="N67" i="23"/>
  <c r="N76" i="22"/>
  <c r="L54" i="22"/>
  <c r="N38" i="23"/>
  <c r="N73" i="22"/>
  <c r="N54" i="22"/>
  <c r="K62" i="22"/>
  <c r="M62" i="22"/>
  <c r="L62" i="22"/>
  <c r="M38" i="23"/>
  <c r="M73" i="22"/>
  <c r="K73" i="22"/>
  <c r="K38" i="23"/>
  <c r="K76" i="22"/>
  <c r="K67" i="23"/>
  <c r="V36" i="21"/>
  <c r="V37" i="21"/>
  <c r="U37" i="21"/>
  <c r="U36" i="21"/>
  <c r="K6" i="18"/>
  <c r="L5" i="18"/>
  <c r="I5" i="4"/>
  <c r="I6" i="4" s="1"/>
  <c r="J171" i="4"/>
  <c r="P211" i="20" l="1"/>
  <c r="K142" i="20"/>
  <c r="K144" i="20" s="1"/>
  <c r="K218" i="20"/>
  <c r="L142" i="20"/>
  <c r="L218" i="20"/>
  <c r="J138" i="20"/>
  <c r="J217" i="20"/>
  <c r="M142" i="20"/>
  <c r="M218" i="20"/>
  <c r="K138" i="20"/>
  <c r="K140" i="20" s="1"/>
  <c r="K217" i="20"/>
  <c r="L138" i="20"/>
  <c r="L217" i="20"/>
  <c r="N142" i="20"/>
  <c r="N218" i="20"/>
  <c r="J142" i="20"/>
  <c r="J166" i="20" s="1"/>
  <c r="J167" i="20" s="1"/>
  <c r="J218" i="20"/>
  <c r="N138" i="20"/>
  <c r="N217" i="20"/>
  <c r="M138" i="20"/>
  <c r="M217" i="20"/>
  <c r="P89" i="30"/>
  <c r="P55" i="30"/>
  <c r="P131" i="30"/>
  <c r="P130" i="30"/>
  <c r="G33" i="17"/>
  <c r="AI6" i="26"/>
  <c r="AI7" i="26"/>
  <c r="G34" i="17"/>
  <c r="AM6" i="26"/>
  <c r="K33" i="17"/>
  <c r="I33" i="17"/>
  <c r="AK6" i="26"/>
  <c r="P72" i="30"/>
  <c r="AK7" i="26"/>
  <c r="I34" i="17"/>
  <c r="P54" i="30"/>
  <c r="K34" i="17"/>
  <c r="AM7" i="26"/>
  <c r="AJ7" i="26"/>
  <c r="H34" i="17"/>
  <c r="P90" i="30"/>
  <c r="AJ6" i="26"/>
  <c r="H33" i="17"/>
  <c r="AL7" i="26"/>
  <c r="J34" i="17"/>
  <c r="J33" i="17"/>
  <c r="AL6" i="26"/>
  <c r="P71" i="30"/>
  <c r="P203" i="20"/>
  <c r="U19" i="26" s="1"/>
  <c r="AW19" i="26" s="1"/>
  <c r="U26" i="26"/>
  <c r="AW26" i="26" s="1"/>
  <c r="L26" i="17"/>
  <c r="K86" i="20"/>
  <c r="K61" i="23" s="1"/>
  <c r="L14" i="20"/>
  <c r="M13" i="20"/>
  <c r="L15" i="20"/>
  <c r="J33" i="23"/>
  <c r="L20" i="20"/>
  <c r="L21" i="20" s="1"/>
  <c r="L81" i="20" s="1"/>
  <c r="L32" i="23" s="1"/>
  <c r="L18" i="20"/>
  <c r="M17" i="20"/>
  <c r="K84" i="20"/>
  <c r="K59" i="23" s="1"/>
  <c r="K80" i="20"/>
  <c r="K31" i="23" s="1"/>
  <c r="K79" i="20"/>
  <c r="K30" i="23" s="1"/>
  <c r="K85" i="20"/>
  <c r="K60" i="23" s="1"/>
  <c r="K87" i="20"/>
  <c r="K82" i="20"/>
  <c r="K33" i="23" s="1"/>
  <c r="K181" i="20"/>
  <c r="K81" i="20"/>
  <c r="K32" i="23" s="1"/>
  <c r="K165" i="20"/>
  <c r="K171" i="20"/>
  <c r="K172" i="20" s="1"/>
  <c r="J173" i="20"/>
  <c r="J177" i="20"/>
  <c r="K175" i="20"/>
  <c r="K176" i="20" s="1"/>
  <c r="U38" i="23"/>
  <c r="U54" i="22"/>
  <c r="U73" i="22"/>
  <c r="M47" i="23"/>
  <c r="M68" i="22"/>
  <c r="N55" i="23"/>
  <c r="J32" i="23"/>
  <c r="J26" i="23"/>
  <c r="L68" i="22"/>
  <c r="L47" i="23"/>
  <c r="K68" i="22"/>
  <c r="K47" i="23"/>
  <c r="K55" i="23"/>
  <c r="K26" i="23"/>
  <c r="M60" i="22"/>
  <c r="M18" i="23"/>
  <c r="U76" i="22"/>
  <c r="U62" i="22"/>
  <c r="M55" i="23"/>
  <c r="N26" i="23"/>
  <c r="J47" i="23"/>
  <c r="J68" i="22"/>
  <c r="K18" i="23"/>
  <c r="K60" i="22"/>
  <c r="J60" i="22"/>
  <c r="J18" i="23"/>
  <c r="N60" i="22"/>
  <c r="N18" i="23"/>
  <c r="L26" i="23"/>
  <c r="J61" i="23"/>
  <c r="J55" i="23"/>
  <c r="L55" i="23"/>
  <c r="M26" i="23"/>
  <c r="L60" i="22"/>
  <c r="L18" i="23"/>
  <c r="U67" i="23"/>
  <c r="N47" i="23"/>
  <c r="N68" i="22"/>
  <c r="M5" i="18"/>
  <c r="L6" i="18"/>
  <c r="J5" i="4"/>
  <c r="J6" i="4" s="1"/>
  <c r="P217" i="20" l="1"/>
  <c r="J144" i="20"/>
  <c r="J182" i="20"/>
  <c r="P218" i="20"/>
  <c r="K182" i="20"/>
  <c r="J162" i="20"/>
  <c r="J181" i="20"/>
  <c r="K166" i="20"/>
  <c r="L165" i="20" s="1"/>
  <c r="L166" i="20" s="1"/>
  <c r="J140" i="20"/>
  <c r="L19" i="17"/>
  <c r="M20" i="20"/>
  <c r="M21" i="20" s="1"/>
  <c r="M18" i="20"/>
  <c r="N17" i="20"/>
  <c r="M14" i="20"/>
  <c r="N13" i="20"/>
  <c r="M15" i="20"/>
  <c r="L171" i="20"/>
  <c r="L172" i="20" s="1"/>
  <c r="K173" i="20"/>
  <c r="K177" i="20"/>
  <c r="L175" i="20"/>
  <c r="L176" i="20" s="1"/>
  <c r="L79" i="20"/>
  <c r="L30" i="23" s="1"/>
  <c r="L84" i="20"/>
  <c r="L59" i="23" s="1"/>
  <c r="L80" i="20"/>
  <c r="L31" i="23" s="1"/>
  <c r="L85" i="20"/>
  <c r="L60" i="23" s="1"/>
  <c r="J185" i="20"/>
  <c r="K62" i="23"/>
  <c r="L86" i="20"/>
  <c r="L61" i="23" s="1"/>
  <c r="L87" i="20"/>
  <c r="L62" i="23" s="1"/>
  <c r="L82" i="20"/>
  <c r="L33" i="23" s="1"/>
  <c r="L182" i="20"/>
  <c r="L181" i="20"/>
  <c r="L144" i="20"/>
  <c r="L140" i="20"/>
  <c r="U60" i="22"/>
  <c r="U55" i="23"/>
  <c r="U26" i="23"/>
  <c r="U18" i="23"/>
  <c r="U47" i="23"/>
  <c r="U68" i="22"/>
  <c r="M6" i="18"/>
  <c r="N5" i="18"/>
  <c r="R5" i="18" s="1"/>
  <c r="K5" i="4"/>
  <c r="K6" i="4" s="1"/>
  <c r="K167" i="20" l="1"/>
  <c r="K161" i="20"/>
  <c r="K162" i="20" s="1"/>
  <c r="J163" i="20"/>
  <c r="J184" i="20" s="1"/>
  <c r="K185" i="20"/>
  <c r="L167" i="20"/>
  <c r="M165" i="20"/>
  <c r="M166" i="20" s="1"/>
  <c r="L173" i="20"/>
  <c r="M171" i="20"/>
  <c r="M172" i="20" s="1"/>
  <c r="N20" i="20"/>
  <c r="N21" i="20" s="1"/>
  <c r="N18" i="20"/>
  <c r="M175" i="20"/>
  <c r="M176" i="20" s="1"/>
  <c r="L177" i="20"/>
  <c r="M87" i="20"/>
  <c r="M62" i="23" s="1"/>
  <c r="M82" i="20"/>
  <c r="M33" i="23" s="1"/>
  <c r="M144" i="20"/>
  <c r="M140" i="20"/>
  <c r="M181" i="20"/>
  <c r="M182" i="20"/>
  <c r="N14" i="20"/>
  <c r="N15" i="20"/>
  <c r="M85" i="20"/>
  <c r="M79" i="20"/>
  <c r="M30" i="23" s="1"/>
  <c r="M84" i="20"/>
  <c r="M59" i="23" s="1"/>
  <c r="M80" i="20"/>
  <c r="M31" i="23" s="1"/>
  <c r="M86" i="20"/>
  <c r="M61" i="23" s="1"/>
  <c r="M81" i="20"/>
  <c r="M32" i="23" s="1"/>
  <c r="R6" i="18"/>
  <c r="R80" i="18" s="1"/>
  <c r="S5" i="18"/>
  <c r="N6" i="18"/>
  <c r="L5" i="4"/>
  <c r="L6" i="4" s="1"/>
  <c r="K163" i="20" l="1"/>
  <c r="K184" i="20" s="1"/>
  <c r="L161" i="20"/>
  <c r="L162" i="20" s="1"/>
  <c r="M60" i="23"/>
  <c r="L185" i="20"/>
  <c r="M173" i="20"/>
  <c r="N171" i="20"/>
  <c r="N172" i="20" s="1"/>
  <c r="N173" i="20" s="1"/>
  <c r="N87" i="20"/>
  <c r="N62" i="23" s="1"/>
  <c r="U62" i="23" s="1"/>
  <c r="N82" i="20"/>
  <c r="N182" i="20"/>
  <c r="N181" i="20"/>
  <c r="N144" i="20"/>
  <c r="P153" i="20" s="1"/>
  <c r="N140" i="20"/>
  <c r="P149" i="20" s="1"/>
  <c r="O4" i="26" s="1"/>
  <c r="AQ4" i="26" s="1"/>
  <c r="N85" i="20"/>
  <c r="N60" i="23" s="1"/>
  <c r="N79" i="20"/>
  <c r="N30" i="23" s="1"/>
  <c r="U30" i="23" s="1"/>
  <c r="N84" i="20"/>
  <c r="N59" i="23" s="1"/>
  <c r="U59" i="23" s="1"/>
  <c r="N80" i="20"/>
  <c r="N31" i="23" s="1"/>
  <c r="U31" i="23" s="1"/>
  <c r="N81" i="20"/>
  <c r="N32" i="23" s="1"/>
  <c r="U32" i="23" s="1"/>
  <c r="N86" i="20"/>
  <c r="N61" i="23" s="1"/>
  <c r="U61" i="23" s="1"/>
  <c r="M177" i="20"/>
  <c r="N175" i="20"/>
  <c r="N176" i="20" s="1"/>
  <c r="N177" i="20" s="1"/>
  <c r="N165" i="20"/>
  <c r="N166" i="20" s="1"/>
  <c r="N167" i="20" s="1"/>
  <c r="M167" i="20"/>
  <c r="R20" i="18"/>
  <c r="R127" i="18" s="1"/>
  <c r="R62" i="18"/>
  <c r="S6" i="18"/>
  <c r="S80" i="18" s="1"/>
  <c r="T5" i="18"/>
  <c r="M5" i="4"/>
  <c r="M6" i="4" s="1"/>
  <c r="E2" i="9"/>
  <c r="E2" i="11"/>
  <c r="E2" i="8"/>
  <c r="L163" i="20" l="1"/>
  <c r="L184" i="20" s="1"/>
  <c r="M161" i="20"/>
  <c r="M162" i="20" s="1"/>
  <c r="U60" i="23"/>
  <c r="G119" i="20"/>
  <c r="U15" i="26" s="1"/>
  <c r="AW15" i="26" s="1"/>
  <c r="F5" i="17"/>
  <c r="N154" i="20"/>
  <c r="P209" i="20"/>
  <c r="O5" i="26"/>
  <c r="AQ5" i="26" s="1"/>
  <c r="O14" i="24"/>
  <c r="G116" i="20"/>
  <c r="G34" i="23" s="1"/>
  <c r="F4" i="17"/>
  <c r="N150" i="20"/>
  <c r="P201" i="20"/>
  <c r="N33" i="23"/>
  <c r="U33" i="23" s="1"/>
  <c r="M185" i="20"/>
  <c r="L15" i="17"/>
  <c r="O13" i="24"/>
  <c r="N185" i="20"/>
  <c r="R110" i="18"/>
  <c r="R86" i="18"/>
  <c r="R98" i="18"/>
  <c r="R51" i="18"/>
  <c r="R68" i="18"/>
  <c r="R35" i="18"/>
  <c r="S20" i="18"/>
  <c r="S127" i="18" s="1"/>
  <c r="S62" i="18"/>
  <c r="U5" i="18"/>
  <c r="T6" i="18"/>
  <c r="T80" i="18" s="1"/>
  <c r="N5" i="4"/>
  <c r="N6" i="4" s="1"/>
  <c r="G25" i="4"/>
  <c r="M25" i="4"/>
  <c r="L25" i="4"/>
  <c r="K25" i="4"/>
  <c r="J25" i="4"/>
  <c r="I25" i="4"/>
  <c r="H25" i="4"/>
  <c r="G14" i="4"/>
  <c r="G28" i="4"/>
  <c r="G17" i="4"/>
  <c r="N161" i="20" l="1"/>
  <c r="N162" i="20" s="1"/>
  <c r="N163" i="20" s="1"/>
  <c r="N184" i="20" s="1"/>
  <c r="M163" i="20"/>
  <c r="M184" i="20" s="1"/>
  <c r="P205" i="20" s="1"/>
  <c r="L21" i="17" s="1"/>
  <c r="G63" i="23"/>
  <c r="G120" i="20"/>
  <c r="U11" i="26"/>
  <c r="AW11" i="26" s="1"/>
  <c r="L24" i="17"/>
  <c r="U24" i="26"/>
  <c r="AW24" i="26" s="1"/>
  <c r="G117" i="20"/>
  <c r="U12" i="26" s="1"/>
  <c r="AW12" i="26" s="1"/>
  <c r="L11" i="17"/>
  <c r="P213" i="20"/>
  <c r="L28" i="17" s="1"/>
  <c r="L17" i="17"/>
  <c r="U17" i="26"/>
  <c r="AW17" i="26" s="1"/>
  <c r="S98" i="18"/>
  <c r="S110" i="18"/>
  <c r="S68" i="18"/>
  <c r="S86" i="18"/>
  <c r="S35" i="18"/>
  <c r="S37" i="18" s="1"/>
  <c r="S51" i="18"/>
  <c r="T20" i="18"/>
  <c r="T127" i="18" s="1"/>
  <c r="T62" i="18"/>
  <c r="V5" i="18"/>
  <c r="V6" i="18" s="1"/>
  <c r="V80" i="18" s="1"/>
  <c r="U6" i="18"/>
  <c r="U80" i="18" s="1"/>
  <c r="N25" i="4"/>
  <c r="G29" i="4"/>
  <c r="G31" i="4"/>
  <c r="H28" i="4"/>
  <c r="L16" i="17" l="1"/>
  <c r="U16" i="26"/>
  <c r="AW16" i="26" s="1"/>
  <c r="P125" i="20"/>
  <c r="L12" i="17"/>
  <c r="P124" i="20"/>
  <c r="U37" i="23" s="1"/>
  <c r="U21" i="26"/>
  <c r="AW21" i="26" s="1"/>
  <c r="U28" i="26"/>
  <c r="AW28" i="26" s="1"/>
  <c r="S36" i="18"/>
  <c r="T110" i="18"/>
  <c r="T86" i="18"/>
  <c r="T98" i="18"/>
  <c r="T51" i="18"/>
  <c r="T68" i="18"/>
  <c r="T35" i="18"/>
  <c r="T37" i="18" s="1"/>
  <c r="V20" i="18"/>
  <c r="V127" i="18" s="1"/>
  <c r="V62" i="18"/>
  <c r="U20" i="18"/>
  <c r="U127" i="18" s="1"/>
  <c r="U62" i="18"/>
  <c r="H29" i="4"/>
  <c r="H31" i="4"/>
  <c r="H32" i="4" s="1"/>
  <c r="I28" i="4"/>
  <c r="O2" i="6"/>
  <c r="O3" i="6"/>
  <c r="O4" i="6"/>
  <c r="E68" i="11"/>
  <c r="E67" i="11"/>
  <c r="E66" i="11"/>
  <c r="E63" i="11"/>
  <c r="E62" i="11"/>
  <c r="E61" i="11"/>
  <c r="E60" i="11"/>
  <c r="E59" i="11"/>
  <c r="E56" i="11"/>
  <c r="E54" i="11"/>
  <c r="E55" i="11"/>
  <c r="E53" i="11"/>
  <c r="E51" i="11"/>
  <c r="E50" i="11"/>
  <c r="E48" i="11"/>
  <c r="E46" i="11"/>
  <c r="E47" i="11"/>
  <c r="E45" i="11"/>
  <c r="E39" i="11"/>
  <c r="E37" i="11"/>
  <c r="E38" i="11"/>
  <c r="E34" i="11"/>
  <c r="E33" i="11"/>
  <c r="E31" i="11"/>
  <c r="E32" i="11"/>
  <c r="E30" i="11"/>
  <c r="P210" i="20" l="1"/>
  <c r="P131" i="20"/>
  <c r="U66" i="23"/>
  <c r="P130" i="20"/>
  <c r="P202" i="20"/>
  <c r="P21" i="18"/>
  <c r="P45" i="18" s="1"/>
  <c r="V110" i="18"/>
  <c r="U110" i="18"/>
  <c r="T36" i="18"/>
  <c r="U86" i="18"/>
  <c r="U98" i="18"/>
  <c r="V35" i="18"/>
  <c r="V37" i="18" s="1"/>
  <c r="V98" i="18"/>
  <c r="V68" i="18"/>
  <c r="V86" i="18"/>
  <c r="U35" i="18"/>
  <c r="U36" i="18" s="1"/>
  <c r="U68" i="18"/>
  <c r="U51" i="18"/>
  <c r="V51" i="18"/>
  <c r="I31" i="4"/>
  <c r="I32" i="4" s="1"/>
  <c r="I29" i="4"/>
  <c r="O18" i="6"/>
  <c r="J28" i="4"/>
  <c r="O19" i="6"/>
  <c r="O15" i="6"/>
  <c r="O6" i="6"/>
  <c r="O11" i="6"/>
  <c r="O7" i="6"/>
  <c r="O17" i="6"/>
  <c r="O13" i="6"/>
  <c r="O9" i="6"/>
  <c r="O5" i="6"/>
  <c r="O16" i="6"/>
  <c r="O12" i="6"/>
  <c r="O8" i="6"/>
  <c r="O14" i="6"/>
  <c r="O10" i="6"/>
  <c r="E26" i="11"/>
  <c r="E25" i="11"/>
  <c r="E24" i="11"/>
  <c r="E22" i="11"/>
  <c r="E21" i="11"/>
  <c r="E18" i="11"/>
  <c r="E17" i="11"/>
  <c r="E16" i="11"/>
  <c r="E19" i="11"/>
  <c r="E27" i="11"/>
  <c r="K188" i="20" l="1"/>
  <c r="K191" i="20" s="1"/>
  <c r="K194" i="20" s="1"/>
  <c r="K197" i="20" s="1"/>
  <c r="L188" i="20"/>
  <c r="L191" i="20" s="1"/>
  <c r="L194" i="20" s="1"/>
  <c r="L197" i="20" s="1"/>
  <c r="N188" i="20"/>
  <c r="N191" i="20" s="1"/>
  <c r="N194" i="20" s="1"/>
  <c r="N197" i="20" s="1"/>
  <c r="M188" i="20"/>
  <c r="M191" i="20" s="1"/>
  <c r="M194" i="20" s="1"/>
  <c r="M197" i="20" s="1"/>
  <c r="J188" i="20"/>
  <c r="L25" i="17"/>
  <c r="U25" i="26"/>
  <c r="AW25" i="26" s="1"/>
  <c r="L18" i="17"/>
  <c r="U18" i="26"/>
  <c r="AW18" i="26" s="1"/>
  <c r="K187" i="20"/>
  <c r="K190" i="20" s="1"/>
  <c r="K193" i="20" s="1"/>
  <c r="K196" i="20" s="1"/>
  <c r="S94" i="21" s="1"/>
  <c r="J187" i="20"/>
  <c r="M187" i="20"/>
  <c r="M190" i="20" s="1"/>
  <c r="M193" i="20" s="1"/>
  <c r="M196" i="20" s="1"/>
  <c r="U94" i="21" s="1"/>
  <c r="L187" i="20"/>
  <c r="L190" i="20" s="1"/>
  <c r="L193" i="20" s="1"/>
  <c r="L196" i="20" s="1"/>
  <c r="T106" i="21" s="1"/>
  <c r="T111" i="21" s="1"/>
  <c r="N187" i="20"/>
  <c r="N190" i="20" s="1"/>
  <c r="N193" i="20" s="1"/>
  <c r="N196" i="20" s="1"/>
  <c r="V36" i="18"/>
  <c r="U37" i="18"/>
  <c r="K28" i="4"/>
  <c r="J31" i="4"/>
  <c r="J32" i="4" s="1"/>
  <c r="J29" i="4"/>
  <c r="N2" i="6"/>
  <c r="N3" i="6"/>
  <c r="N4" i="6"/>
  <c r="U95" i="21" l="1"/>
  <c r="U107" i="21"/>
  <c r="U112" i="21" s="1"/>
  <c r="P212" i="20"/>
  <c r="J191" i="20"/>
  <c r="U68" i="23"/>
  <c r="S106" i="21"/>
  <c r="S111" i="21" s="1"/>
  <c r="V107" i="21"/>
  <c r="V112" i="21" s="1"/>
  <c r="V95" i="21"/>
  <c r="T95" i="21"/>
  <c r="T107" i="21"/>
  <c r="T112" i="21" s="1"/>
  <c r="S107" i="21"/>
  <c r="S112" i="21" s="1"/>
  <c r="S95" i="21"/>
  <c r="U106" i="21"/>
  <c r="U111" i="21" s="1"/>
  <c r="T94" i="21"/>
  <c r="T141" i="21" s="1"/>
  <c r="U39" i="23"/>
  <c r="V106" i="21"/>
  <c r="V111" i="21" s="1"/>
  <c r="V94" i="21"/>
  <c r="J190" i="20"/>
  <c r="P204" i="20"/>
  <c r="S141" i="21"/>
  <c r="S99" i="21"/>
  <c r="U141" i="21"/>
  <c r="U99" i="21"/>
  <c r="L28" i="4"/>
  <c r="K29" i="4"/>
  <c r="K31" i="4"/>
  <c r="K32" i="4" s="1"/>
  <c r="N19" i="6"/>
  <c r="N17" i="6"/>
  <c r="N15" i="6"/>
  <c r="N6" i="6"/>
  <c r="N13" i="6"/>
  <c r="N11" i="6"/>
  <c r="N9" i="6"/>
  <c r="N7" i="6"/>
  <c r="N5" i="6"/>
  <c r="N18" i="6"/>
  <c r="N16" i="6"/>
  <c r="N14" i="6"/>
  <c r="N12" i="6"/>
  <c r="N10" i="6"/>
  <c r="N8" i="6"/>
  <c r="V149" i="21" l="1"/>
  <c r="V100" i="21"/>
  <c r="L27" i="17"/>
  <c r="U27" i="26"/>
  <c r="AW27" i="26" s="1"/>
  <c r="S100" i="21"/>
  <c r="S149" i="21"/>
  <c r="J194" i="20"/>
  <c r="P214" i="20"/>
  <c r="T100" i="21"/>
  <c r="T149" i="21"/>
  <c r="U149" i="21"/>
  <c r="U100" i="21"/>
  <c r="T99" i="21"/>
  <c r="L20" i="17"/>
  <c r="U20" i="26"/>
  <c r="AW20" i="26" s="1"/>
  <c r="J193" i="20"/>
  <c r="P206" i="20"/>
  <c r="V99" i="21"/>
  <c r="V141" i="21"/>
  <c r="M28" i="4"/>
  <c r="L29" i="4"/>
  <c r="L31" i="4"/>
  <c r="L32" i="4" s="1"/>
  <c r="G26" i="4"/>
  <c r="J197" i="20" l="1"/>
  <c r="P194" i="20"/>
  <c r="L29" i="17"/>
  <c r="U29" i="26"/>
  <c r="AW29" i="26" s="1"/>
  <c r="L22" i="17"/>
  <c r="U22" i="26"/>
  <c r="AW22" i="26" s="1"/>
  <c r="P193" i="20"/>
  <c r="P196" i="20" s="1"/>
  <c r="P207" i="20" s="1"/>
  <c r="L23" i="17" s="1"/>
  <c r="J196" i="20"/>
  <c r="R106" i="21" s="1"/>
  <c r="R111" i="21" s="1"/>
  <c r="P113" i="21" s="1"/>
  <c r="P116" i="21" s="1"/>
  <c r="N28" i="4"/>
  <c r="M31" i="4"/>
  <c r="M32" i="4" s="1"/>
  <c r="M29" i="4"/>
  <c r="J55" i="4"/>
  <c r="J16" i="11" s="1"/>
  <c r="K55" i="4"/>
  <c r="K16" i="11" s="1"/>
  <c r="L55" i="4"/>
  <c r="L16" i="11" s="1"/>
  <c r="M55" i="4"/>
  <c r="M16" i="11" s="1"/>
  <c r="N55" i="4"/>
  <c r="N16" i="11" s="1"/>
  <c r="J56" i="4"/>
  <c r="J17" i="11" s="1"/>
  <c r="K56" i="4"/>
  <c r="K17" i="11" s="1"/>
  <c r="L56" i="4"/>
  <c r="L17" i="11" s="1"/>
  <c r="M56" i="4"/>
  <c r="M17" i="11" s="1"/>
  <c r="N56" i="4"/>
  <c r="N17" i="11" s="1"/>
  <c r="J59" i="4"/>
  <c r="J21" i="11" s="1"/>
  <c r="K59" i="4"/>
  <c r="K21" i="11" s="1"/>
  <c r="L59" i="4"/>
  <c r="L21" i="11" s="1"/>
  <c r="M59" i="4"/>
  <c r="M21" i="11" s="1"/>
  <c r="N59" i="4"/>
  <c r="N21" i="11" s="1"/>
  <c r="J60" i="4"/>
  <c r="J22" i="11" s="1"/>
  <c r="K60" i="4"/>
  <c r="K22" i="11" s="1"/>
  <c r="L60" i="4"/>
  <c r="L22" i="11" s="1"/>
  <c r="M60" i="4"/>
  <c r="M22" i="11" s="1"/>
  <c r="N60" i="4"/>
  <c r="N22" i="11" s="1"/>
  <c r="J45" i="11"/>
  <c r="K45" i="11"/>
  <c r="L45" i="11"/>
  <c r="M45" i="11"/>
  <c r="N45" i="11"/>
  <c r="J46" i="11"/>
  <c r="K46" i="11"/>
  <c r="L46" i="11"/>
  <c r="M46" i="11"/>
  <c r="N46" i="11"/>
  <c r="J70" i="4"/>
  <c r="J50" i="11" s="1"/>
  <c r="K70" i="4"/>
  <c r="K50" i="11" s="1"/>
  <c r="L70" i="4"/>
  <c r="L50" i="11" s="1"/>
  <c r="M70" i="4"/>
  <c r="M50" i="11" s="1"/>
  <c r="N70" i="4"/>
  <c r="N50" i="11" s="1"/>
  <c r="J71" i="4"/>
  <c r="J51" i="11" s="1"/>
  <c r="K71" i="4"/>
  <c r="K51" i="11" s="1"/>
  <c r="L71" i="4"/>
  <c r="L51" i="11" s="1"/>
  <c r="M71" i="4"/>
  <c r="M51" i="11" s="1"/>
  <c r="N71" i="4"/>
  <c r="N51" i="11" s="1"/>
  <c r="P197" i="20" l="1"/>
  <c r="O17" i="24"/>
  <c r="R95" i="21"/>
  <c r="R107" i="21"/>
  <c r="R112" i="21" s="1"/>
  <c r="P114" i="21" s="1"/>
  <c r="P117" i="21" s="1"/>
  <c r="O16" i="24"/>
  <c r="R94" i="21"/>
  <c r="R99" i="21" s="1"/>
  <c r="P101" i="21" s="1"/>
  <c r="O19" i="24"/>
  <c r="P13" i="21"/>
  <c r="U23" i="26"/>
  <c r="AW23" i="26" s="1"/>
  <c r="N29" i="4"/>
  <c r="N31" i="4"/>
  <c r="N32" i="4" s="1"/>
  <c r="U51" i="11"/>
  <c r="U22" i="11"/>
  <c r="U50" i="11"/>
  <c r="U21" i="11"/>
  <c r="U17" i="11"/>
  <c r="U16" i="11"/>
  <c r="U46" i="11"/>
  <c r="U45" i="11"/>
  <c r="N73" i="4"/>
  <c r="N53" i="11" s="1"/>
  <c r="M63" i="4"/>
  <c r="M25" i="11" s="1"/>
  <c r="L74" i="4"/>
  <c r="L54" i="11" s="1"/>
  <c r="M73" i="4"/>
  <c r="M53" i="11" s="1"/>
  <c r="K63" i="4"/>
  <c r="K25" i="11" s="1"/>
  <c r="J73" i="4"/>
  <c r="J53" i="11" s="1"/>
  <c r="K74" i="4"/>
  <c r="K54" i="11" s="1"/>
  <c r="L73" i="4"/>
  <c r="L53" i="11" s="1"/>
  <c r="M74" i="4"/>
  <c r="M54" i="11" s="1"/>
  <c r="K62" i="4"/>
  <c r="K24" i="11" s="1"/>
  <c r="N63" i="4"/>
  <c r="N25" i="11" s="1"/>
  <c r="J63" i="4"/>
  <c r="J25" i="11" s="1"/>
  <c r="N62" i="4"/>
  <c r="N24" i="11" s="1"/>
  <c r="J62" i="4"/>
  <c r="J24" i="11" s="1"/>
  <c r="L63" i="4"/>
  <c r="L25" i="11" s="1"/>
  <c r="M62" i="4"/>
  <c r="M24" i="11" s="1"/>
  <c r="N74" i="4"/>
  <c r="N54" i="11" s="1"/>
  <c r="J74" i="4"/>
  <c r="J54" i="11" s="1"/>
  <c r="K73" i="4"/>
  <c r="K53" i="11" s="1"/>
  <c r="L62" i="4"/>
  <c r="L24" i="11" s="1"/>
  <c r="N33" i="8"/>
  <c r="M33" i="8"/>
  <c r="L33" i="8"/>
  <c r="K33" i="8"/>
  <c r="J33" i="8"/>
  <c r="N32" i="8"/>
  <c r="M32" i="8"/>
  <c r="L32" i="8"/>
  <c r="K32" i="8"/>
  <c r="J32" i="8"/>
  <c r="J22" i="8"/>
  <c r="K22" i="8"/>
  <c r="L22" i="8"/>
  <c r="M22" i="8"/>
  <c r="N22" i="8"/>
  <c r="J23" i="8"/>
  <c r="K23" i="8"/>
  <c r="L23" i="8"/>
  <c r="M23" i="8"/>
  <c r="N23" i="8"/>
  <c r="J21" i="8"/>
  <c r="K21" i="8"/>
  <c r="L21" i="8"/>
  <c r="M21" i="8"/>
  <c r="N21" i="8"/>
  <c r="E66" i="8"/>
  <c r="E67" i="8"/>
  <c r="E58" i="8"/>
  <c r="E59" i="8"/>
  <c r="E32" i="8"/>
  <c r="E33" i="8"/>
  <c r="E22" i="8"/>
  <c r="E23" i="8"/>
  <c r="R100" i="21" l="1"/>
  <c r="P102" i="21" s="1"/>
  <c r="R149" i="21"/>
  <c r="P215" i="20"/>
  <c r="O20" i="24"/>
  <c r="P14" i="21"/>
  <c r="R141" i="21"/>
  <c r="P43" i="21"/>
  <c r="P76" i="21"/>
  <c r="R31" i="21"/>
  <c r="P118" i="21"/>
  <c r="P120" i="21" s="1"/>
  <c r="P59" i="21"/>
  <c r="U25" i="11"/>
  <c r="U24" i="11"/>
  <c r="U54" i="11"/>
  <c r="U53" i="11"/>
  <c r="G106" i="4"/>
  <c r="L10" i="26" s="1"/>
  <c r="AD10" i="26" s="1"/>
  <c r="U23" i="8"/>
  <c r="U32" i="8"/>
  <c r="U33" i="8"/>
  <c r="U21" i="8"/>
  <c r="U22" i="8"/>
  <c r="E49" i="8"/>
  <c r="J49" i="8"/>
  <c r="K49" i="8"/>
  <c r="L49" i="8"/>
  <c r="M49" i="8"/>
  <c r="N49" i="8"/>
  <c r="E50" i="8"/>
  <c r="J50" i="8"/>
  <c r="K50" i="8"/>
  <c r="L50" i="8"/>
  <c r="M50" i="8"/>
  <c r="N50" i="8"/>
  <c r="E42" i="8"/>
  <c r="J42" i="8"/>
  <c r="K42" i="8"/>
  <c r="L42" i="8"/>
  <c r="M42" i="8"/>
  <c r="N42" i="8"/>
  <c r="E41" i="8"/>
  <c r="J41" i="8"/>
  <c r="K41" i="8"/>
  <c r="L41" i="8"/>
  <c r="M41" i="8"/>
  <c r="N41" i="8"/>
  <c r="E31" i="8"/>
  <c r="J31" i="8"/>
  <c r="K31" i="8"/>
  <c r="L31" i="8"/>
  <c r="M31" i="8"/>
  <c r="N31" i="8"/>
  <c r="E21" i="8"/>
  <c r="R82" i="21" l="1"/>
  <c r="S82" i="21"/>
  <c r="T82" i="21"/>
  <c r="U82" i="21"/>
  <c r="V82" i="21"/>
  <c r="R64" i="21"/>
  <c r="S64" i="21"/>
  <c r="T64" i="21"/>
  <c r="V64" i="21"/>
  <c r="U64" i="21"/>
  <c r="L30" i="17"/>
  <c r="U30" i="26"/>
  <c r="AW30" i="26" s="1"/>
  <c r="P44" i="21"/>
  <c r="P77" i="21"/>
  <c r="R32" i="21"/>
  <c r="P60" i="21"/>
  <c r="P119" i="21"/>
  <c r="P121" i="21" s="1"/>
  <c r="S123" i="21"/>
  <c r="V123" i="21"/>
  <c r="T123" i="21"/>
  <c r="U123" i="21"/>
  <c r="R123" i="21"/>
  <c r="R36" i="21"/>
  <c r="P38" i="21" s="1"/>
  <c r="R137" i="21"/>
  <c r="R47" i="21"/>
  <c r="V47" i="21"/>
  <c r="T47" i="21"/>
  <c r="S47" i="21"/>
  <c r="U47" i="21"/>
  <c r="G27" i="11"/>
  <c r="U31" i="8"/>
  <c r="G94" i="4"/>
  <c r="L9" i="26" s="1"/>
  <c r="AD9" i="26" s="1"/>
  <c r="U49" i="8"/>
  <c r="U41" i="8"/>
  <c r="U42" i="8"/>
  <c r="U50" i="8"/>
  <c r="S69" i="21" l="1"/>
  <c r="S139" i="21"/>
  <c r="T87" i="21"/>
  <c r="T140" i="21"/>
  <c r="U87" i="21"/>
  <c r="U140" i="21"/>
  <c r="R83" i="21"/>
  <c r="S83" i="21"/>
  <c r="T83" i="21"/>
  <c r="V83" i="21"/>
  <c r="U83" i="21"/>
  <c r="U69" i="21"/>
  <c r="U139" i="21"/>
  <c r="R139" i="21"/>
  <c r="R69" i="21"/>
  <c r="S87" i="21"/>
  <c r="S140" i="21"/>
  <c r="R65" i="21"/>
  <c r="S65" i="21"/>
  <c r="T65" i="21"/>
  <c r="V65" i="21"/>
  <c r="U65" i="21"/>
  <c r="T69" i="21"/>
  <c r="T139" i="21"/>
  <c r="V69" i="21"/>
  <c r="V139" i="21"/>
  <c r="V140" i="21"/>
  <c r="V87" i="21"/>
  <c r="R140" i="21"/>
  <c r="R87" i="21"/>
  <c r="S124" i="21"/>
  <c r="R124" i="21"/>
  <c r="T124" i="21"/>
  <c r="U124" i="21"/>
  <c r="V124" i="21"/>
  <c r="T48" i="21"/>
  <c r="S48" i="21"/>
  <c r="U48" i="21"/>
  <c r="V48" i="21"/>
  <c r="R48" i="21"/>
  <c r="R145" i="21"/>
  <c r="R37" i="21"/>
  <c r="P39" i="21" s="1"/>
  <c r="S138" i="21"/>
  <c r="S143" i="21" s="1"/>
  <c r="S156" i="21" s="1"/>
  <c r="S52" i="21"/>
  <c r="T138" i="21"/>
  <c r="T143" i="21" s="1"/>
  <c r="T156" i="21" s="1"/>
  <c r="T52" i="21"/>
  <c r="T128" i="21"/>
  <c r="T142" i="21"/>
  <c r="V52" i="21"/>
  <c r="V138" i="21"/>
  <c r="V143" i="21" s="1"/>
  <c r="V156" i="21" s="1"/>
  <c r="V142" i="21"/>
  <c r="V128" i="21"/>
  <c r="U128" i="21"/>
  <c r="U142" i="21"/>
  <c r="U52" i="21"/>
  <c r="U138" i="21"/>
  <c r="U143" i="21" s="1"/>
  <c r="U156" i="21" s="1"/>
  <c r="R52" i="21"/>
  <c r="R138" i="21"/>
  <c r="R143" i="21" s="1"/>
  <c r="R156" i="21" s="1"/>
  <c r="R128" i="21"/>
  <c r="R142" i="21"/>
  <c r="S128" i="21"/>
  <c r="S142" i="21"/>
  <c r="G19" i="11"/>
  <c r="M4" i="6"/>
  <c r="L4" i="6"/>
  <c r="K4" i="6"/>
  <c r="J4" i="6"/>
  <c r="I4" i="6"/>
  <c r="H4" i="6"/>
  <c r="G4" i="6"/>
  <c r="F4" i="6"/>
  <c r="E4" i="6"/>
  <c r="D4" i="6"/>
  <c r="C4" i="6"/>
  <c r="B4" i="6"/>
  <c r="S148" i="21" l="1"/>
  <c r="S88" i="21"/>
  <c r="S147" i="21"/>
  <c r="S70" i="21"/>
  <c r="P71" i="21"/>
  <c r="U148" i="21"/>
  <c r="U88" i="21"/>
  <c r="R88" i="21"/>
  <c r="R148" i="21"/>
  <c r="P89" i="21"/>
  <c r="U70" i="21"/>
  <c r="U147" i="21"/>
  <c r="R147" i="21"/>
  <c r="R70" i="21"/>
  <c r="V148" i="21"/>
  <c r="V88" i="21"/>
  <c r="T70" i="21"/>
  <c r="T147" i="21"/>
  <c r="V147" i="21"/>
  <c r="V70" i="21"/>
  <c r="T88" i="21"/>
  <c r="T148" i="21"/>
  <c r="U53" i="21"/>
  <c r="U146" i="21"/>
  <c r="U151" i="21" s="1"/>
  <c r="U157" i="21" s="1"/>
  <c r="S53" i="21"/>
  <c r="S146" i="21"/>
  <c r="S151" i="21" s="1"/>
  <c r="S157" i="21" s="1"/>
  <c r="T129" i="21"/>
  <c r="T150" i="21"/>
  <c r="R146" i="21"/>
  <c r="R151" i="21" s="1"/>
  <c r="R157" i="21" s="1"/>
  <c r="R53" i="21"/>
  <c r="T53" i="21"/>
  <c r="T146" i="21"/>
  <c r="T151" i="21" s="1"/>
  <c r="T157" i="21" s="1"/>
  <c r="R129" i="21"/>
  <c r="R150" i="21"/>
  <c r="U150" i="21"/>
  <c r="U129" i="21"/>
  <c r="V53" i="21"/>
  <c r="V146" i="21"/>
  <c r="V151" i="21" s="1"/>
  <c r="V157" i="21" s="1"/>
  <c r="V150" i="21"/>
  <c r="V129" i="21"/>
  <c r="S150" i="21"/>
  <c r="S129" i="21"/>
  <c r="T6" i="26"/>
  <c r="AV6" i="26" s="1"/>
  <c r="K6" i="17"/>
  <c r="R6" i="26"/>
  <c r="AT6" i="26" s="1"/>
  <c r="I6" i="17"/>
  <c r="S6" i="26"/>
  <c r="AU6" i="26" s="1"/>
  <c r="J6" i="17"/>
  <c r="P6" i="26"/>
  <c r="AR6" i="26" s="1"/>
  <c r="G6" i="17"/>
  <c r="Q6" i="26"/>
  <c r="AS6" i="26" s="1"/>
  <c r="H6" i="17"/>
  <c r="P54" i="21"/>
  <c r="P130" i="21"/>
  <c r="G32" i="4"/>
  <c r="P55" i="21" l="1"/>
  <c r="P90" i="21"/>
  <c r="P72" i="21"/>
  <c r="K7" i="17"/>
  <c r="T7" i="26"/>
  <c r="AV7" i="26" s="1"/>
  <c r="Q7" i="26"/>
  <c r="AS7" i="26" s="1"/>
  <c r="H7" i="17"/>
  <c r="P131" i="21"/>
  <c r="G7" i="17"/>
  <c r="P7" i="26"/>
  <c r="AR7" i="26" s="1"/>
  <c r="I7" i="17"/>
  <c r="R7" i="26"/>
  <c r="AT7" i="26" s="1"/>
  <c r="S7" i="26"/>
  <c r="AU7" i="26" s="1"/>
  <c r="J7" i="17"/>
  <c r="N152" i="4"/>
  <c r="M152" i="4"/>
  <c r="L152" i="4"/>
  <c r="K152" i="4"/>
  <c r="J152" i="4"/>
  <c r="J154" i="4" s="1"/>
  <c r="I152" i="4"/>
  <c r="N148" i="4"/>
  <c r="M148" i="4"/>
  <c r="L148" i="4"/>
  <c r="K148" i="4"/>
  <c r="J148" i="4"/>
  <c r="J150" i="4" s="1"/>
  <c r="I148" i="4"/>
  <c r="G13" i="4" l="1"/>
  <c r="E68" i="8"/>
  <c r="E60" i="8"/>
  <c r="E14" i="9" l="1"/>
  <c r="E13" i="9"/>
  <c r="E76" i="8" l="1"/>
  <c r="E75" i="8"/>
  <c r="E73" i="8"/>
  <c r="E72" i="8"/>
  <c r="E65" i="8"/>
  <c r="E64" i="8"/>
  <c r="E63" i="8"/>
  <c r="E62" i="8"/>
  <c r="E55" i="8"/>
  <c r="E56" i="8"/>
  <c r="E57" i="8"/>
  <c r="E54" i="8"/>
  <c r="N48" i="8"/>
  <c r="M48" i="8"/>
  <c r="L48" i="8"/>
  <c r="K48" i="8"/>
  <c r="J48" i="8"/>
  <c r="N47" i="8"/>
  <c r="M47" i="8"/>
  <c r="L47" i="8"/>
  <c r="K47" i="8"/>
  <c r="J47" i="8"/>
  <c r="N46" i="8"/>
  <c r="M46" i="8"/>
  <c r="L46" i="8"/>
  <c r="K46" i="8"/>
  <c r="J46" i="8"/>
  <c r="N45" i="8"/>
  <c r="M45" i="8"/>
  <c r="L45" i="8"/>
  <c r="K45" i="8"/>
  <c r="J45" i="8"/>
  <c r="N40" i="8"/>
  <c r="M40" i="8"/>
  <c r="L40" i="8"/>
  <c r="K40" i="8"/>
  <c r="J40" i="8"/>
  <c r="N39" i="8"/>
  <c r="M39" i="8"/>
  <c r="L39" i="8"/>
  <c r="K39" i="8"/>
  <c r="J39" i="8"/>
  <c r="N38" i="8"/>
  <c r="M38" i="8"/>
  <c r="L38" i="8"/>
  <c r="K38" i="8"/>
  <c r="J38" i="8"/>
  <c r="N37" i="8"/>
  <c r="M37" i="8"/>
  <c r="L37" i="8"/>
  <c r="K37" i="8"/>
  <c r="J37" i="8"/>
  <c r="E51" i="8"/>
  <c r="E46" i="8"/>
  <c r="E47" i="8"/>
  <c r="E48" i="8"/>
  <c r="E45" i="8"/>
  <c r="E43" i="8"/>
  <c r="E38" i="8"/>
  <c r="E39" i="8"/>
  <c r="E40" i="8"/>
  <c r="E37" i="8"/>
  <c r="N30" i="8"/>
  <c r="M30" i="8"/>
  <c r="L30" i="8"/>
  <c r="K30" i="8"/>
  <c r="J30" i="8"/>
  <c r="N20" i="8"/>
  <c r="M20" i="8"/>
  <c r="L20" i="8"/>
  <c r="K20" i="8"/>
  <c r="J20" i="8"/>
  <c r="N29" i="8"/>
  <c r="M29" i="8"/>
  <c r="L29" i="8"/>
  <c r="K29" i="8"/>
  <c r="J29" i="8"/>
  <c r="N28" i="8"/>
  <c r="M28" i="8"/>
  <c r="L28" i="8"/>
  <c r="K28" i="8"/>
  <c r="J28" i="8"/>
  <c r="N27" i="8"/>
  <c r="M27" i="8"/>
  <c r="L27" i="8"/>
  <c r="K27" i="8"/>
  <c r="J27" i="8"/>
  <c r="N26" i="8"/>
  <c r="M26" i="8"/>
  <c r="L26" i="8"/>
  <c r="K26" i="8"/>
  <c r="J26" i="8"/>
  <c r="E34" i="8"/>
  <c r="E30" i="8"/>
  <c r="E27" i="8"/>
  <c r="E28" i="8"/>
  <c r="E29" i="8"/>
  <c r="E26" i="8"/>
  <c r="E24" i="8"/>
  <c r="E17" i="8"/>
  <c r="E18" i="8"/>
  <c r="E19" i="8"/>
  <c r="E20" i="8"/>
  <c r="E16" i="8"/>
  <c r="N19" i="8"/>
  <c r="M19" i="8"/>
  <c r="L19" i="8"/>
  <c r="K19" i="8"/>
  <c r="N18" i="8"/>
  <c r="M18" i="8"/>
  <c r="L18" i="8"/>
  <c r="K18" i="8"/>
  <c r="N17" i="8"/>
  <c r="M17" i="8"/>
  <c r="L17" i="8"/>
  <c r="K17" i="8"/>
  <c r="N16" i="8"/>
  <c r="M16" i="8"/>
  <c r="L16" i="8"/>
  <c r="K16" i="8"/>
  <c r="J17" i="8"/>
  <c r="J18" i="8"/>
  <c r="J19" i="8"/>
  <c r="J16" i="8"/>
  <c r="U30" i="8" l="1"/>
  <c r="U20" i="8"/>
  <c r="U19" i="8"/>
  <c r="U27" i="8"/>
  <c r="U17" i="8"/>
  <c r="U18" i="8"/>
  <c r="U28" i="8"/>
  <c r="U29" i="8"/>
  <c r="J43" i="8" l="1"/>
  <c r="G97" i="4" l="1"/>
  <c r="K127" i="4" s="1"/>
  <c r="K38" i="11" s="1"/>
  <c r="G99" i="4"/>
  <c r="L13" i="26" s="1"/>
  <c r="AD13" i="26" s="1"/>
  <c r="L51" i="8"/>
  <c r="K51" i="8"/>
  <c r="M51" i="8"/>
  <c r="J51" i="8"/>
  <c r="N51" i="8"/>
  <c r="N43" i="8"/>
  <c r="L43" i="8"/>
  <c r="M43" i="8"/>
  <c r="K43" i="8"/>
  <c r="L34" i="8"/>
  <c r="M34" i="8"/>
  <c r="J34" i="8"/>
  <c r="N34" i="8"/>
  <c r="K34" i="8"/>
  <c r="L24" i="8"/>
  <c r="J24" i="8"/>
  <c r="K24" i="8"/>
  <c r="N24" i="8"/>
  <c r="M24" i="8"/>
  <c r="G48" i="11" l="1"/>
  <c r="L127" i="4"/>
  <c r="L38" i="11" s="1"/>
  <c r="M127" i="4"/>
  <c r="M38" i="11" s="1"/>
  <c r="N127" i="4"/>
  <c r="N38" i="11" s="1"/>
  <c r="J127" i="4"/>
  <c r="G102" i="4"/>
  <c r="K128" i="4" s="1"/>
  <c r="K67" i="11" s="1"/>
  <c r="G110" i="4"/>
  <c r="L14" i="26" s="1"/>
  <c r="AD14" i="26" s="1"/>
  <c r="G95" i="4"/>
  <c r="G96" i="4"/>
  <c r="U34" i="8"/>
  <c r="G75" i="8"/>
  <c r="G72" i="8"/>
  <c r="U24" i="8"/>
  <c r="G56" i="11" l="1"/>
  <c r="J38" i="11"/>
  <c r="U38" i="11" s="1"/>
  <c r="G111" i="4"/>
  <c r="M75" i="4" s="1"/>
  <c r="M55" i="11" s="1"/>
  <c r="L44" i="4"/>
  <c r="L59" i="8" s="1"/>
  <c r="L43" i="4"/>
  <c r="L58" i="8" s="1"/>
  <c r="K44" i="4"/>
  <c r="K59" i="8" s="1"/>
  <c r="K43" i="4"/>
  <c r="K58" i="8" s="1"/>
  <c r="N44" i="4"/>
  <c r="N59" i="8" s="1"/>
  <c r="N43" i="4"/>
  <c r="N58" i="8" s="1"/>
  <c r="M44" i="4"/>
  <c r="M59" i="8" s="1"/>
  <c r="M43" i="4"/>
  <c r="M58" i="8" s="1"/>
  <c r="J43" i="4"/>
  <c r="J58" i="8" s="1"/>
  <c r="J44" i="4"/>
  <c r="J59" i="8" s="1"/>
  <c r="L128" i="4"/>
  <c r="L67" i="11" s="1"/>
  <c r="N128" i="4"/>
  <c r="N67" i="11" s="1"/>
  <c r="J128" i="4"/>
  <c r="M128" i="4"/>
  <c r="M67" i="11" s="1"/>
  <c r="G107" i="4"/>
  <c r="G108" i="4"/>
  <c r="J67" i="11" l="1"/>
  <c r="U67" i="11" s="1"/>
  <c r="N75" i="4"/>
  <c r="N55" i="11" s="1"/>
  <c r="L75" i="4"/>
  <c r="L55" i="11" s="1"/>
  <c r="K75" i="4"/>
  <c r="K55" i="11" s="1"/>
  <c r="J75" i="4"/>
  <c r="J55" i="11" s="1"/>
  <c r="L64" i="4"/>
  <c r="L26" i="11" s="1"/>
  <c r="N64" i="4"/>
  <c r="N26" i="11" s="1"/>
  <c r="K64" i="4"/>
  <c r="K26" i="11" s="1"/>
  <c r="J64" i="4"/>
  <c r="J26" i="11" s="1"/>
  <c r="M64" i="4"/>
  <c r="M26" i="11" s="1"/>
  <c r="U59" i="8"/>
  <c r="U58" i="8"/>
  <c r="U55" i="11" l="1"/>
  <c r="U26" i="11"/>
  <c r="I26" i="4" l="1"/>
  <c r="G18" i="4" l="1"/>
  <c r="H13" i="4" l="1"/>
  <c r="H14" i="4" s="1"/>
  <c r="H17" i="4"/>
  <c r="I17" i="4" s="1"/>
  <c r="J17" i="4" s="1"/>
  <c r="K17" i="4" s="1"/>
  <c r="K18" i="4" s="1"/>
  <c r="G15" i="4"/>
  <c r="G20" i="4"/>
  <c r="G21" i="4" s="1"/>
  <c r="I13" i="4" l="1"/>
  <c r="I14" i="4" s="1"/>
  <c r="H18" i="4"/>
  <c r="J18" i="4"/>
  <c r="I18" i="4"/>
  <c r="H20" i="4"/>
  <c r="H21" i="4" s="1"/>
  <c r="H15" i="4"/>
  <c r="L17" i="4"/>
  <c r="L18" i="4" s="1"/>
  <c r="I15" i="4" l="1"/>
  <c r="I20" i="4"/>
  <c r="I21" i="4" s="1"/>
  <c r="J13" i="4"/>
  <c r="J14" i="4" s="1"/>
  <c r="M17" i="4"/>
  <c r="M18" i="4" s="1"/>
  <c r="J20" i="4" l="1"/>
  <c r="J21" i="4" s="1"/>
  <c r="J79" i="4" s="1"/>
  <c r="J30" i="11" s="1"/>
  <c r="K13" i="4"/>
  <c r="K14" i="4" s="1"/>
  <c r="J15" i="4"/>
  <c r="N17" i="4"/>
  <c r="N18" i="4" s="1"/>
  <c r="J87" i="4" l="1"/>
  <c r="J62" i="11" s="1"/>
  <c r="J176" i="4"/>
  <c r="J172" i="4"/>
  <c r="J82" i="4"/>
  <c r="J33" i="11" s="1"/>
  <c r="L13" i="4"/>
  <c r="K20" i="4"/>
  <c r="K21" i="4" s="1"/>
  <c r="K15" i="4"/>
  <c r="K87" i="4" s="1"/>
  <c r="J80" i="4"/>
  <c r="J31" i="11" s="1"/>
  <c r="J84" i="4"/>
  <c r="J59" i="11" s="1"/>
  <c r="J81" i="4"/>
  <c r="J32" i="11" s="1"/>
  <c r="J85" i="4"/>
  <c r="J60" i="11" s="1"/>
  <c r="P203" i="4" l="1"/>
  <c r="L19" i="26" s="1"/>
  <c r="AD19" i="26" s="1"/>
  <c r="P211" i="4"/>
  <c r="L26" i="26" s="1"/>
  <c r="AD26" i="26" s="1"/>
  <c r="L14" i="4"/>
  <c r="K171" i="4"/>
  <c r="K172" i="4" s="1"/>
  <c r="J173" i="4"/>
  <c r="K175" i="4"/>
  <c r="K176" i="4" s="1"/>
  <c r="J177" i="4"/>
  <c r="K62" i="11"/>
  <c r="K82" i="4"/>
  <c r="K33" i="11" s="1"/>
  <c r="K79" i="4"/>
  <c r="K30" i="11" s="1"/>
  <c r="K84" i="4"/>
  <c r="K59" i="11" s="1"/>
  <c r="K80" i="4"/>
  <c r="K31" i="11" s="1"/>
  <c r="K85" i="4"/>
  <c r="K60" i="11" s="1"/>
  <c r="K81" i="4"/>
  <c r="K32" i="11" s="1"/>
  <c r="L20" i="4"/>
  <c r="L21" i="4" s="1"/>
  <c r="M13" i="4"/>
  <c r="M14" i="4" s="1"/>
  <c r="L15" i="4"/>
  <c r="L87" i="4" s="1"/>
  <c r="K173" i="4" l="1"/>
  <c r="L171" i="4"/>
  <c r="L172" i="4" s="1"/>
  <c r="K177" i="4"/>
  <c r="L175" i="4"/>
  <c r="L176" i="4" s="1"/>
  <c r="L62" i="11"/>
  <c r="L82" i="4"/>
  <c r="L33" i="11" s="1"/>
  <c r="M20" i="4"/>
  <c r="M21" i="4" s="1"/>
  <c r="N13" i="4"/>
  <c r="N14" i="4" s="1"/>
  <c r="M15" i="4"/>
  <c r="M87" i="4" s="1"/>
  <c r="L85" i="4"/>
  <c r="L60" i="11" s="1"/>
  <c r="L79" i="4"/>
  <c r="L30" i="11" s="1"/>
  <c r="L84" i="4"/>
  <c r="L59" i="11" s="1"/>
  <c r="L80" i="4"/>
  <c r="L31" i="11" s="1"/>
  <c r="L81" i="4"/>
  <c r="L32" i="11" s="1"/>
  <c r="U48" i="8"/>
  <c r="U47" i="8"/>
  <c r="U46" i="8"/>
  <c r="M175" i="4" l="1"/>
  <c r="M176" i="4" s="1"/>
  <c r="L177" i="4"/>
  <c r="M171" i="4"/>
  <c r="M172" i="4" s="1"/>
  <c r="L173" i="4"/>
  <c r="M62" i="11"/>
  <c r="M82" i="4"/>
  <c r="M33" i="11" s="1"/>
  <c r="N15" i="4"/>
  <c r="N87" i="4" s="1"/>
  <c r="N20" i="4"/>
  <c r="N21" i="4" s="1"/>
  <c r="M85" i="4"/>
  <c r="M60" i="11" s="1"/>
  <c r="M80" i="4"/>
  <c r="M31" i="11" s="1"/>
  <c r="M79" i="4"/>
  <c r="M30" i="11" s="1"/>
  <c r="M84" i="4"/>
  <c r="M59" i="11" s="1"/>
  <c r="M81" i="4"/>
  <c r="M32" i="11" s="1"/>
  <c r="N26" i="4"/>
  <c r="M26" i="4"/>
  <c r="L26" i="4"/>
  <c r="K26" i="4"/>
  <c r="J26" i="4"/>
  <c r="H26" i="4"/>
  <c r="N171" i="4" l="1"/>
  <c r="N172" i="4" s="1"/>
  <c r="N173" i="4" s="1"/>
  <c r="M173" i="4"/>
  <c r="N175" i="4"/>
  <c r="N176" i="4" s="1"/>
  <c r="N177" i="4" s="1"/>
  <c r="M177" i="4"/>
  <c r="N82" i="4"/>
  <c r="N33" i="11" s="1"/>
  <c r="U33" i="11" s="1"/>
  <c r="N62" i="11"/>
  <c r="U62" i="11" s="1"/>
  <c r="N79" i="4"/>
  <c r="N30" i="11" s="1"/>
  <c r="U30" i="11" s="1"/>
  <c r="N84" i="4"/>
  <c r="N59" i="11" s="1"/>
  <c r="U59" i="11" s="1"/>
  <c r="N85" i="4"/>
  <c r="N60" i="11" s="1"/>
  <c r="U60" i="11" s="1"/>
  <c r="N80" i="4"/>
  <c r="N31" i="11" s="1"/>
  <c r="U31" i="11" s="1"/>
  <c r="N81" i="4"/>
  <c r="N32" i="11" s="1"/>
  <c r="U32" i="11" s="1"/>
  <c r="J40" i="4"/>
  <c r="N40" i="4"/>
  <c r="J41" i="4"/>
  <c r="N41" i="4"/>
  <c r="J42" i="4"/>
  <c r="N42" i="4"/>
  <c r="K39" i="4"/>
  <c r="K40" i="4"/>
  <c r="K41" i="4"/>
  <c r="K42" i="4"/>
  <c r="N39" i="4"/>
  <c r="J39" i="4"/>
  <c r="L40" i="4"/>
  <c r="L41" i="4"/>
  <c r="L42" i="4"/>
  <c r="M39" i="4"/>
  <c r="M40" i="4"/>
  <c r="M41" i="4"/>
  <c r="M42" i="4"/>
  <c r="L39" i="4"/>
  <c r="G116" i="4" l="1"/>
  <c r="N57" i="4"/>
  <c r="N217" i="4" s="1"/>
  <c r="L57" i="4"/>
  <c r="L217" i="4" s="1"/>
  <c r="M57" i="4"/>
  <c r="M217" i="4" s="1"/>
  <c r="J57" i="4"/>
  <c r="J217" i="4" s="1"/>
  <c r="K57" i="4"/>
  <c r="K217" i="4" s="1"/>
  <c r="G119" i="4"/>
  <c r="L15" i="26" s="1"/>
  <c r="AD15" i="26" s="1"/>
  <c r="L54" i="8"/>
  <c r="K55" i="8"/>
  <c r="M57" i="8"/>
  <c r="N54" i="8"/>
  <c r="J56" i="8"/>
  <c r="M56" i="8"/>
  <c r="L56" i="8"/>
  <c r="K57" i="8"/>
  <c r="N57" i="8"/>
  <c r="N55" i="8"/>
  <c r="M54" i="8"/>
  <c r="J54" i="8"/>
  <c r="N56" i="8"/>
  <c r="L57" i="8"/>
  <c r="K54" i="8"/>
  <c r="M55" i="8"/>
  <c r="L55" i="8"/>
  <c r="K56" i="8"/>
  <c r="J57" i="8"/>
  <c r="J55" i="8"/>
  <c r="U45" i="8"/>
  <c r="U40" i="8"/>
  <c r="U39" i="8"/>
  <c r="U38" i="8"/>
  <c r="U37" i="8"/>
  <c r="U26" i="8"/>
  <c r="U16" i="8"/>
  <c r="P217" i="4" l="1"/>
  <c r="L11" i="26"/>
  <c r="AD11" i="26" s="1"/>
  <c r="G63" i="11"/>
  <c r="G34" i="11"/>
  <c r="K18" i="11"/>
  <c r="N18" i="11"/>
  <c r="M18" i="11"/>
  <c r="L18" i="11"/>
  <c r="J138" i="4"/>
  <c r="J181" i="4" s="1"/>
  <c r="J18" i="11"/>
  <c r="G117" i="4"/>
  <c r="M138" i="4"/>
  <c r="M181" i="4" s="1"/>
  <c r="L138" i="4"/>
  <c r="L181" i="4" s="1"/>
  <c r="K138" i="4"/>
  <c r="K181" i="4" s="1"/>
  <c r="N138" i="4"/>
  <c r="M60" i="8"/>
  <c r="K60" i="8"/>
  <c r="J60" i="8"/>
  <c r="L60" i="8"/>
  <c r="N60" i="8"/>
  <c r="L12" i="26" l="1"/>
  <c r="AD12" i="26" s="1"/>
  <c r="J162" i="4"/>
  <c r="J140" i="4"/>
  <c r="U18" i="11"/>
  <c r="N140" i="4"/>
  <c r="N181" i="4"/>
  <c r="L140" i="4"/>
  <c r="M140" i="4"/>
  <c r="K140" i="4"/>
  <c r="P149" i="4" l="1"/>
  <c r="J163" i="4"/>
  <c r="J184" i="4" s="1"/>
  <c r="K161" i="4"/>
  <c r="K162" i="4" s="1"/>
  <c r="G6" i="4"/>
  <c r="P201" i="4" l="1"/>
  <c r="L17" i="26" s="1"/>
  <c r="AD17" i="26" s="1"/>
  <c r="F4" i="26"/>
  <c r="X4" i="26" s="1"/>
  <c r="N150" i="4"/>
  <c r="K163" i="4"/>
  <c r="K184" i="4" s="1"/>
  <c r="L161" i="4"/>
  <c r="L162" i="4" s="1"/>
  <c r="M3" i="6"/>
  <c r="M2" i="6"/>
  <c r="L3" i="6"/>
  <c r="L2" i="6"/>
  <c r="K3" i="6"/>
  <c r="K2" i="6"/>
  <c r="J3" i="6"/>
  <c r="J2" i="6"/>
  <c r="I3" i="6"/>
  <c r="I2" i="6"/>
  <c r="H3" i="6"/>
  <c r="H2" i="6"/>
  <c r="G3" i="6"/>
  <c r="G2" i="6"/>
  <c r="F3" i="6"/>
  <c r="F2" i="6"/>
  <c r="E3" i="6"/>
  <c r="E2" i="6"/>
  <c r="D3" i="6"/>
  <c r="D2" i="6"/>
  <c r="C3" i="6"/>
  <c r="C2" i="6"/>
  <c r="B3" i="6"/>
  <c r="B2" i="6"/>
  <c r="L163" i="4" l="1"/>
  <c r="L184" i="4" s="1"/>
  <c r="M161" i="4"/>
  <c r="M162" i="4" s="1"/>
  <c r="B19" i="6"/>
  <c r="D19" i="6"/>
  <c r="F19" i="6"/>
  <c r="H19" i="6"/>
  <c r="J19" i="6"/>
  <c r="L19" i="6"/>
  <c r="E19" i="6"/>
  <c r="G19" i="6"/>
  <c r="I19" i="6"/>
  <c r="K19" i="6"/>
  <c r="M19" i="6"/>
  <c r="C19" i="6"/>
  <c r="B18" i="6"/>
  <c r="D18" i="6"/>
  <c r="F18" i="6"/>
  <c r="H18" i="6"/>
  <c r="J18" i="6"/>
  <c r="L18" i="6"/>
  <c r="C18" i="6"/>
  <c r="E18" i="6"/>
  <c r="G18" i="6"/>
  <c r="I18" i="6"/>
  <c r="K18" i="6"/>
  <c r="M18" i="6"/>
  <c r="D16" i="6"/>
  <c r="D12" i="6"/>
  <c r="D8" i="6"/>
  <c r="D15" i="6"/>
  <c r="D11" i="6"/>
  <c r="D7" i="6"/>
  <c r="D14" i="6"/>
  <c r="D10" i="6"/>
  <c r="D17" i="6"/>
  <c r="D5" i="6"/>
  <c r="D13" i="6"/>
  <c r="D6" i="6"/>
  <c r="D9" i="6"/>
  <c r="F14" i="6"/>
  <c r="F10" i="6"/>
  <c r="F6" i="6"/>
  <c r="F8" i="6"/>
  <c r="F17" i="6"/>
  <c r="F13" i="6"/>
  <c r="F9" i="6"/>
  <c r="F5" i="6"/>
  <c r="F16" i="6"/>
  <c r="F12" i="6"/>
  <c r="F7" i="6"/>
  <c r="F15" i="6"/>
  <c r="F11" i="6"/>
  <c r="H16" i="6"/>
  <c r="H12" i="6"/>
  <c r="H8" i="6"/>
  <c r="H10" i="6"/>
  <c r="H15" i="6"/>
  <c r="H11" i="6"/>
  <c r="H7" i="6"/>
  <c r="H14" i="6"/>
  <c r="H17" i="6"/>
  <c r="H13" i="6"/>
  <c r="H9" i="6"/>
  <c r="H5" i="6"/>
  <c r="H6" i="6"/>
  <c r="J14" i="6"/>
  <c r="J10" i="6"/>
  <c r="J6" i="6"/>
  <c r="J17" i="6"/>
  <c r="J13" i="6"/>
  <c r="J9" i="6"/>
  <c r="J5" i="6"/>
  <c r="J16" i="6"/>
  <c r="J12" i="6"/>
  <c r="J8" i="6"/>
  <c r="J7" i="6"/>
  <c r="J15" i="6"/>
  <c r="J11" i="6"/>
  <c r="L16" i="6"/>
  <c r="L12" i="6"/>
  <c r="L8" i="6"/>
  <c r="L6" i="6"/>
  <c r="L15" i="6"/>
  <c r="L11" i="6"/>
  <c r="L7" i="6"/>
  <c r="L14" i="6"/>
  <c r="L10" i="6"/>
  <c r="L13" i="6"/>
  <c r="L9" i="6"/>
  <c r="L5" i="6"/>
  <c r="L17" i="6"/>
  <c r="C17" i="6"/>
  <c r="C13" i="6"/>
  <c r="C9" i="6"/>
  <c r="C5" i="6"/>
  <c r="C16" i="6"/>
  <c r="C12" i="6"/>
  <c r="C8" i="6"/>
  <c r="C15" i="6"/>
  <c r="C11" i="6"/>
  <c r="C7" i="6"/>
  <c r="C10" i="6"/>
  <c r="C14" i="6"/>
  <c r="C6" i="6"/>
  <c r="E15" i="6"/>
  <c r="E11" i="6"/>
  <c r="E7" i="6"/>
  <c r="E14" i="6"/>
  <c r="E10" i="6"/>
  <c r="E6" i="6"/>
  <c r="E17" i="6"/>
  <c r="E13" i="6"/>
  <c r="E9" i="6"/>
  <c r="E16" i="6"/>
  <c r="E5" i="6"/>
  <c r="E12" i="6"/>
  <c r="E8" i="6"/>
  <c r="G17" i="6"/>
  <c r="G13" i="6"/>
  <c r="G9" i="6"/>
  <c r="G5" i="6"/>
  <c r="G11" i="6"/>
  <c r="G7" i="6"/>
  <c r="G16" i="6"/>
  <c r="G12" i="6"/>
  <c r="G8" i="6"/>
  <c r="G15" i="6"/>
  <c r="G6" i="6"/>
  <c r="G14" i="6"/>
  <c r="G10" i="6"/>
  <c r="I15" i="6"/>
  <c r="I11" i="6"/>
  <c r="I7" i="6"/>
  <c r="I9" i="6"/>
  <c r="I14" i="6"/>
  <c r="I10" i="6"/>
  <c r="I6" i="6"/>
  <c r="I17" i="6"/>
  <c r="I13" i="6"/>
  <c r="I12" i="6"/>
  <c r="I8" i="6"/>
  <c r="I5" i="6"/>
  <c r="I16" i="6"/>
  <c r="K17" i="6"/>
  <c r="K13" i="6"/>
  <c r="K9" i="6"/>
  <c r="K5" i="6"/>
  <c r="K16" i="6"/>
  <c r="K12" i="6"/>
  <c r="K8" i="6"/>
  <c r="K15" i="6"/>
  <c r="K11" i="6"/>
  <c r="K7" i="6"/>
  <c r="K14" i="6"/>
  <c r="K10" i="6"/>
  <c r="K6" i="6"/>
  <c r="M15" i="6"/>
  <c r="M11" i="6"/>
  <c r="M7" i="6"/>
  <c r="M14" i="6"/>
  <c r="M10" i="6"/>
  <c r="M6" i="6"/>
  <c r="M17" i="6"/>
  <c r="M13" i="6"/>
  <c r="M9" i="6"/>
  <c r="M16" i="6"/>
  <c r="M12" i="6"/>
  <c r="M8" i="6"/>
  <c r="M5" i="6"/>
  <c r="B6" i="6"/>
  <c r="B7" i="6"/>
  <c r="B12" i="6"/>
  <c r="B5" i="6"/>
  <c r="B13" i="6"/>
  <c r="B11" i="6"/>
  <c r="B8" i="6"/>
  <c r="B16" i="6"/>
  <c r="B9" i="6"/>
  <c r="B15" i="6"/>
  <c r="B10" i="6"/>
  <c r="B14" i="6"/>
  <c r="B17" i="6"/>
  <c r="N161" i="4" l="1"/>
  <c r="M163" i="4"/>
  <c r="M184" i="4" s="1"/>
  <c r="G101" i="4"/>
  <c r="G100" i="4"/>
  <c r="J46" i="4" s="1"/>
  <c r="G112" i="4"/>
  <c r="G120" i="4" s="1"/>
  <c r="U51" i="8"/>
  <c r="U43" i="8"/>
  <c r="L16" i="26" l="1"/>
  <c r="AD16" i="26" s="1"/>
  <c r="N162" i="4"/>
  <c r="N163" i="4" s="1"/>
  <c r="N184" i="4" s="1"/>
  <c r="P205" i="4" s="1"/>
  <c r="L21" i="26" s="1"/>
  <c r="AD21" i="26" s="1"/>
  <c r="N51" i="4"/>
  <c r="N67" i="8" s="1"/>
  <c r="N50" i="4"/>
  <c r="N66" i="8" s="1"/>
  <c r="N49" i="4"/>
  <c r="J50" i="4"/>
  <c r="J66" i="8" s="1"/>
  <c r="M51" i="4"/>
  <c r="M67" i="8" s="1"/>
  <c r="M50" i="4"/>
  <c r="M66" i="8" s="1"/>
  <c r="M49" i="4"/>
  <c r="J51" i="4"/>
  <c r="J67" i="8" s="1"/>
  <c r="L51" i="4"/>
  <c r="L67" i="8" s="1"/>
  <c r="L50" i="4"/>
  <c r="L66" i="8" s="1"/>
  <c r="L49" i="4"/>
  <c r="K51" i="4"/>
  <c r="K67" i="8" s="1"/>
  <c r="K50" i="4"/>
  <c r="K66" i="8" s="1"/>
  <c r="K49" i="4"/>
  <c r="J86" i="4"/>
  <c r="J61" i="11" s="1"/>
  <c r="K86" i="4"/>
  <c r="K61" i="11" s="1"/>
  <c r="L86" i="4"/>
  <c r="L61" i="11" s="1"/>
  <c r="M86" i="4"/>
  <c r="M61" i="11" s="1"/>
  <c r="N86" i="4"/>
  <c r="N61" i="11" s="1"/>
  <c r="M47" i="4"/>
  <c r="J48" i="4"/>
  <c r="N48" i="4"/>
  <c r="N46" i="4"/>
  <c r="L46" i="4"/>
  <c r="L47" i="4"/>
  <c r="J49" i="4"/>
  <c r="K46" i="4"/>
  <c r="J47" i="4"/>
  <c r="N47" i="4"/>
  <c r="K48" i="4"/>
  <c r="M46" i="4"/>
  <c r="K47" i="4"/>
  <c r="L48" i="4"/>
  <c r="M48" i="4"/>
  <c r="P125" i="4"/>
  <c r="P210" i="4" l="1"/>
  <c r="U66" i="11"/>
  <c r="P131" i="4"/>
  <c r="U61" i="11"/>
  <c r="K68" i="4"/>
  <c r="K218" i="4" s="1"/>
  <c r="M68" i="4"/>
  <c r="M218" i="4" s="1"/>
  <c r="J68" i="4"/>
  <c r="J218" i="4" s="1"/>
  <c r="N68" i="4"/>
  <c r="N218" i="4" s="1"/>
  <c r="L68" i="4"/>
  <c r="L218" i="4" s="1"/>
  <c r="U67" i="8"/>
  <c r="U66" i="8"/>
  <c r="M76" i="8"/>
  <c r="N65" i="8"/>
  <c r="N63" i="8"/>
  <c r="K65" i="8"/>
  <c r="M62" i="8"/>
  <c r="J63" i="8"/>
  <c r="N64" i="8"/>
  <c r="L76" i="8"/>
  <c r="N76" i="8"/>
  <c r="M65" i="8"/>
  <c r="L65" i="8"/>
  <c r="K62" i="8"/>
  <c r="J62" i="8"/>
  <c r="J64" i="8"/>
  <c r="K63" i="8"/>
  <c r="L63" i="8"/>
  <c r="J76" i="8"/>
  <c r="M64" i="8"/>
  <c r="L62" i="8"/>
  <c r="K76" i="8"/>
  <c r="L64" i="8"/>
  <c r="K64" i="8"/>
  <c r="J65" i="8"/>
  <c r="N62" i="8"/>
  <c r="M63" i="8"/>
  <c r="P218" i="4" l="1"/>
  <c r="L25" i="26"/>
  <c r="AD25" i="26" s="1"/>
  <c r="L47" i="11"/>
  <c r="J47" i="11"/>
  <c r="M47" i="11"/>
  <c r="K47" i="11"/>
  <c r="N47" i="11"/>
  <c r="N142" i="4"/>
  <c r="K142" i="4"/>
  <c r="L142" i="4"/>
  <c r="J142" i="4"/>
  <c r="J166" i="4" s="1"/>
  <c r="M142" i="4"/>
  <c r="K68" i="8"/>
  <c r="M68" i="8"/>
  <c r="J68" i="8"/>
  <c r="L68" i="8"/>
  <c r="N68" i="8"/>
  <c r="U76" i="8"/>
  <c r="U65" i="8"/>
  <c r="U64" i="8"/>
  <c r="U63" i="8"/>
  <c r="J144" i="4" l="1"/>
  <c r="U47" i="11"/>
  <c r="M144" i="4"/>
  <c r="M182" i="4"/>
  <c r="L144" i="4"/>
  <c r="L182" i="4"/>
  <c r="N144" i="4"/>
  <c r="N182" i="4"/>
  <c r="J182" i="4"/>
  <c r="K144" i="4"/>
  <c r="K182" i="4"/>
  <c r="U62" i="8"/>
  <c r="P153" i="4" l="1"/>
  <c r="J167" i="4"/>
  <c r="J185" i="4" s="1"/>
  <c r="K165" i="4"/>
  <c r="K166" i="4" s="1"/>
  <c r="U68" i="8"/>
  <c r="K154" i="4"/>
  <c r="P209" i="4" l="1"/>
  <c r="F5" i="26"/>
  <c r="X5" i="26" s="1"/>
  <c r="K167" i="4"/>
  <c r="K185" i="4" s="1"/>
  <c r="L165" i="4"/>
  <c r="L166" i="4" s="1"/>
  <c r="O14" i="9"/>
  <c r="L154" i="4"/>
  <c r="L24" i="26" l="1"/>
  <c r="AD24" i="26" s="1"/>
  <c r="L167" i="4"/>
  <c r="L185" i="4" s="1"/>
  <c r="M165" i="4"/>
  <c r="M166" i="4" s="1"/>
  <c r="M154" i="4"/>
  <c r="M167" i="4" l="1"/>
  <c r="M185" i="4" s="1"/>
  <c r="N165" i="4"/>
  <c r="N154" i="4"/>
  <c r="N166" i="4" l="1"/>
  <c r="N167" i="4" s="1"/>
  <c r="N185" i="4" s="1"/>
  <c r="P213" i="4" s="1"/>
  <c r="L28" i="26" s="1"/>
  <c r="AD28" i="26" s="1"/>
  <c r="L188" i="4"/>
  <c r="L191" i="4" s="1"/>
  <c r="L194" i="4" s="1"/>
  <c r="N188" i="4"/>
  <c r="M188" i="4"/>
  <c r="M191" i="4" s="1"/>
  <c r="M194" i="4" s="1"/>
  <c r="J188" i="4"/>
  <c r="K188" i="4"/>
  <c r="P124" i="4"/>
  <c r="P212" i="4" l="1"/>
  <c r="P202" i="4"/>
  <c r="J191" i="4"/>
  <c r="J194" i="4" s="1"/>
  <c r="P130" i="4"/>
  <c r="J187" i="4" s="1"/>
  <c r="N191" i="4"/>
  <c r="N194" i="4" s="1"/>
  <c r="K191" i="4"/>
  <c r="K194" i="4" s="1"/>
  <c r="U37" i="11"/>
  <c r="U68" i="11"/>
  <c r="N73" i="8"/>
  <c r="K73" i="8"/>
  <c r="J73" i="8"/>
  <c r="M73" i="8"/>
  <c r="L73" i="8"/>
  <c r="L18" i="26" l="1"/>
  <c r="AD18" i="26" s="1"/>
  <c r="L27" i="26"/>
  <c r="AD27" i="26" s="1"/>
  <c r="P214" i="4"/>
  <c r="J190" i="4"/>
  <c r="J193" i="4" s="1"/>
  <c r="J197" i="4"/>
  <c r="R107" i="18" s="1"/>
  <c r="R112" i="18" s="1"/>
  <c r="K197" i="4"/>
  <c r="S107" i="18" s="1"/>
  <c r="S112" i="18" s="1"/>
  <c r="N187" i="4"/>
  <c r="N190" i="4" s="1"/>
  <c r="N193" i="4" s="1"/>
  <c r="M187" i="4"/>
  <c r="M190" i="4" s="1"/>
  <c r="M193" i="4" s="1"/>
  <c r="K187" i="4"/>
  <c r="L187" i="4"/>
  <c r="L190" i="4" s="1"/>
  <c r="L193" i="4" s="1"/>
  <c r="U73" i="8"/>
  <c r="U55" i="8"/>
  <c r="U56" i="8"/>
  <c r="U57" i="8"/>
  <c r="L29" i="26" l="1"/>
  <c r="AD29" i="26" s="1"/>
  <c r="P204" i="4"/>
  <c r="J196" i="4"/>
  <c r="R95" i="18"/>
  <c r="S95" i="18"/>
  <c r="K190" i="4"/>
  <c r="U39" i="11"/>
  <c r="U54" i="8"/>
  <c r="U60" i="8"/>
  <c r="L20" i="26" l="1"/>
  <c r="AD20" i="26" s="1"/>
  <c r="K193" i="4"/>
  <c r="K196" i="4" s="1"/>
  <c r="P206" i="4"/>
  <c r="R94" i="18"/>
  <c r="R106" i="18"/>
  <c r="R111" i="18" s="1"/>
  <c r="S100" i="18"/>
  <c r="S149" i="18"/>
  <c r="R100" i="18"/>
  <c r="R149" i="18"/>
  <c r="K150" i="4"/>
  <c r="L22" i="26" l="1"/>
  <c r="AD22" i="26" s="1"/>
  <c r="S94" i="18"/>
  <c r="S99" i="18" s="1"/>
  <c r="S106" i="18"/>
  <c r="S111" i="18" s="1"/>
  <c r="R141" i="18"/>
  <c r="R99" i="18"/>
  <c r="L150" i="4"/>
  <c r="S141" i="18" l="1"/>
  <c r="M150" i="4"/>
  <c r="O13" i="9" l="1"/>
  <c r="L197" i="4" l="1"/>
  <c r="T107" i="18" s="1"/>
  <c r="T112" i="18" s="1"/>
  <c r="M197" i="4" l="1"/>
  <c r="U107" i="18" s="1"/>
  <c r="U112" i="18" s="1"/>
  <c r="T95" i="18"/>
  <c r="T100" i="18" l="1"/>
  <c r="T149" i="18"/>
  <c r="N197" i="4"/>
  <c r="V107" i="18" s="1"/>
  <c r="V112" i="18" s="1"/>
  <c r="P114" i="18" s="1"/>
  <c r="P117" i="18" s="1"/>
  <c r="U95" i="18"/>
  <c r="P194" i="4"/>
  <c r="P197" i="4" s="1"/>
  <c r="P215" i="4" s="1"/>
  <c r="L30" i="26" s="1"/>
  <c r="AD30" i="26" s="1"/>
  <c r="P14" i="18" l="1"/>
  <c r="V95" i="18"/>
  <c r="U149" i="18"/>
  <c r="U100" i="18"/>
  <c r="O17" i="9"/>
  <c r="L196" i="4"/>
  <c r="T94" i="18" l="1"/>
  <c r="T99" i="18" s="1"/>
  <c r="T106" i="18"/>
  <c r="T111" i="18" s="1"/>
  <c r="V100" i="18"/>
  <c r="P102" i="18" s="1"/>
  <c r="V149" i="18"/>
  <c r="O20" i="9"/>
  <c r="M196" i="4"/>
  <c r="T141" i="18" l="1"/>
  <c r="U94" i="18"/>
  <c r="U99" i="18" s="1"/>
  <c r="U106" i="18"/>
  <c r="U111" i="18" s="1"/>
  <c r="P77" i="18"/>
  <c r="P119" i="18"/>
  <c r="P121" i="18" s="1"/>
  <c r="P44" i="18"/>
  <c r="S48" i="18" s="1"/>
  <c r="P60" i="18"/>
  <c r="R32" i="18"/>
  <c r="U141" i="18" l="1"/>
  <c r="T124" i="18"/>
  <c r="T129" i="18" s="1"/>
  <c r="U124" i="18"/>
  <c r="U129" i="18" s="1"/>
  <c r="R124" i="18"/>
  <c r="R129" i="18" s="1"/>
  <c r="V124" i="18"/>
  <c r="V129" i="18" s="1"/>
  <c r="S124" i="18"/>
  <c r="S129" i="18" s="1"/>
  <c r="R37" i="18"/>
  <c r="P39" i="18" s="1"/>
  <c r="R145" i="18"/>
  <c r="R83" i="18"/>
  <c r="R148" i="18" s="1"/>
  <c r="S83" i="18"/>
  <c r="T83" i="18"/>
  <c r="U83" i="18"/>
  <c r="V83" i="18"/>
  <c r="S53" i="18"/>
  <c r="S146" i="18"/>
  <c r="U48" i="18"/>
  <c r="R65" i="18"/>
  <c r="S65" i="18"/>
  <c r="T65" i="18"/>
  <c r="U65" i="18"/>
  <c r="V65" i="18"/>
  <c r="R48" i="18"/>
  <c r="V48" i="18"/>
  <c r="T48" i="18"/>
  <c r="P193" i="4"/>
  <c r="P196" i="4" s="1"/>
  <c r="N196" i="4"/>
  <c r="P13" i="18" l="1"/>
  <c r="P207" i="4"/>
  <c r="V94" i="18"/>
  <c r="V99" i="18" s="1"/>
  <c r="P101" i="18" s="1"/>
  <c r="V106" i="18"/>
  <c r="V111" i="18" s="1"/>
  <c r="P113" i="18" s="1"/>
  <c r="P116" i="18" s="1"/>
  <c r="R88" i="18"/>
  <c r="V70" i="18"/>
  <c r="V147" i="18"/>
  <c r="T70" i="18"/>
  <c r="T147" i="18"/>
  <c r="S70" i="18"/>
  <c r="S147" i="18"/>
  <c r="R70" i="18"/>
  <c r="R147" i="18"/>
  <c r="U70" i="18"/>
  <c r="U147" i="18"/>
  <c r="T150" i="18"/>
  <c r="T88" i="18"/>
  <c r="T148" i="18"/>
  <c r="V88" i="18"/>
  <c r="V148" i="18"/>
  <c r="S150" i="18"/>
  <c r="S88" i="18"/>
  <c r="S148" i="18"/>
  <c r="R150" i="18"/>
  <c r="U88" i="18"/>
  <c r="U148" i="18"/>
  <c r="U150" i="18"/>
  <c r="V150" i="18"/>
  <c r="T53" i="18"/>
  <c r="T146" i="18"/>
  <c r="U53" i="18"/>
  <c r="U146" i="18"/>
  <c r="V53" i="18"/>
  <c r="V146" i="18"/>
  <c r="R53" i="18"/>
  <c r="R146" i="18"/>
  <c r="O16" i="9"/>
  <c r="O19" i="9"/>
  <c r="L23" i="26" l="1"/>
  <c r="AD23" i="26" s="1"/>
  <c r="R151" i="18"/>
  <c r="R157" i="18" s="1"/>
  <c r="V151" i="18"/>
  <c r="V157" i="18" s="1"/>
  <c r="V141" i="18"/>
  <c r="U151" i="18"/>
  <c r="U157" i="18" s="1"/>
  <c r="S151" i="18"/>
  <c r="S157" i="18" s="1"/>
  <c r="T151" i="18"/>
  <c r="T157" i="18" s="1"/>
  <c r="P72" i="18"/>
  <c r="P131" i="18"/>
  <c r="P90" i="18"/>
  <c r="P55" i="18"/>
  <c r="P76" i="18"/>
  <c r="P118" i="18"/>
  <c r="P120" i="18" s="1"/>
  <c r="P59" i="18"/>
  <c r="R64" i="18" s="1"/>
  <c r="P43" i="18"/>
  <c r="R31" i="18"/>
  <c r="I7" i="26" l="1"/>
  <c r="AA7" i="26" s="1"/>
  <c r="G7" i="26"/>
  <c r="Y7" i="26" s="1"/>
  <c r="J7" i="26"/>
  <c r="AB7" i="26" s="1"/>
  <c r="K7" i="26"/>
  <c r="AC7" i="26" s="1"/>
  <c r="H7" i="26"/>
  <c r="Z7" i="26" s="1"/>
  <c r="T123" i="18"/>
  <c r="T128" i="18" s="1"/>
  <c r="U123" i="18"/>
  <c r="U128" i="18" s="1"/>
  <c r="R123" i="18"/>
  <c r="R128" i="18" s="1"/>
  <c r="V123" i="18"/>
  <c r="V128" i="18" s="1"/>
  <c r="S123" i="18"/>
  <c r="S128" i="18" s="1"/>
  <c r="R36" i="18"/>
  <c r="P38" i="18" s="1"/>
  <c r="R137" i="18"/>
  <c r="R82" i="18"/>
  <c r="R140" i="18" s="1"/>
  <c r="S82" i="18"/>
  <c r="T82" i="18"/>
  <c r="U82" i="18"/>
  <c r="V82" i="18"/>
  <c r="S64" i="18"/>
  <c r="T64" i="18"/>
  <c r="V64" i="18"/>
  <c r="U64" i="18"/>
  <c r="T47" i="18"/>
  <c r="S47" i="18"/>
  <c r="V47" i="18"/>
  <c r="R47" i="18"/>
  <c r="U47" i="18"/>
  <c r="R87" i="18" l="1"/>
  <c r="V69" i="18"/>
  <c r="V139" i="18"/>
  <c r="S69" i="18"/>
  <c r="S139" i="18"/>
  <c r="U69" i="18"/>
  <c r="U139" i="18"/>
  <c r="R69" i="18"/>
  <c r="R139" i="18"/>
  <c r="T69" i="18"/>
  <c r="T139" i="18"/>
  <c r="R142" i="18"/>
  <c r="S142" i="18"/>
  <c r="U87" i="18"/>
  <c r="U140" i="18"/>
  <c r="V142" i="18"/>
  <c r="V87" i="18"/>
  <c r="V140" i="18"/>
  <c r="S87" i="18"/>
  <c r="S140" i="18"/>
  <c r="T142" i="18"/>
  <c r="T87" i="18"/>
  <c r="T140" i="18"/>
  <c r="U142" i="18"/>
  <c r="S52" i="18"/>
  <c r="S138" i="18"/>
  <c r="U52" i="18"/>
  <c r="U138" i="18"/>
  <c r="T52" i="18"/>
  <c r="T138" i="18"/>
  <c r="R52" i="18"/>
  <c r="R138" i="18"/>
  <c r="V52" i="18"/>
  <c r="V138" i="18"/>
  <c r="R143" i="18" l="1"/>
  <c r="R156" i="18" s="1"/>
  <c r="S143" i="18"/>
  <c r="S156" i="18" s="1"/>
  <c r="T143" i="18"/>
  <c r="T156" i="18" s="1"/>
  <c r="U143" i="18"/>
  <c r="U156" i="18" s="1"/>
  <c r="V143" i="18"/>
  <c r="V156" i="18" s="1"/>
  <c r="P71" i="18"/>
  <c r="P89" i="18"/>
  <c r="P130" i="18"/>
  <c r="P54" i="18"/>
  <c r="J6" i="26" l="1"/>
  <c r="AB6" i="26" s="1"/>
  <c r="I6" i="26"/>
  <c r="AA6" i="26" s="1"/>
  <c r="H6" i="26"/>
  <c r="Z6" i="26" s="1"/>
  <c r="K6" i="26"/>
  <c r="AC6" i="26" s="1"/>
  <c r="G6" i="26"/>
  <c r="Y6" i="26" s="1"/>
</calcChain>
</file>

<file path=xl/comments1.xml><?xml version="1.0" encoding="utf-8"?>
<comments xmlns="http://schemas.openxmlformats.org/spreadsheetml/2006/main">
  <authors>
    <author>Author</author>
  </authors>
  <commentList>
    <comment ref="O151" authorId="0" shapeId="0">
      <text>
        <r>
          <rPr>
            <b/>
            <sz val="9"/>
            <color indexed="81"/>
            <rFont val="Tahoma"/>
            <family val="2"/>
          </rPr>
          <t>Key:
1</t>
        </r>
        <r>
          <rPr>
            <sz val="9"/>
            <color indexed="81"/>
            <rFont val="Tahoma"/>
            <family val="2"/>
          </rPr>
          <t xml:space="preserve">=Water only
</t>
        </r>
        <r>
          <rPr>
            <b/>
            <sz val="9"/>
            <color indexed="81"/>
            <rFont val="Tahoma"/>
            <family val="2"/>
          </rPr>
          <t>2</t>
        </r>
        <r>
          <rPr>
            <sz val="9"/>
            <color indexed="81"/>
            <rFont val="Tahoma"/>
            <family val="2"/>
          </rPr>
          <t>=Water and sewerage</t>
        </r>
      </text>
    </comment>
    <comment ref="O152" authorId="0" shapeId="0">
      <text>
        <r>
          <rPr>
            <b/>
            <sz val="9"/>
            <color indexed="81"/>
            <rFont val="Tahoma"/>
            <family val="2"/>
          </rPr>
          <t>Key:
0</t>
        </r>
        <r>
          <rPr>
            <sz val="9"/>
            <color indexed="81"/>
            <rFont val="Tahoma"/>
            <family val="2"/>
          </rPr>
          <t xml:space="preserve">=Without RCC4 or RCC4 claimed during period
</t>
        </r>
        <r>
          <rPr>
            <b/>
            <sz val="9"/>
            <color indexed="81"/>
            <rFont val="Tahoma"/>
            <family val="2"/>
          </rPr>
          <t>1</t>
        </r>
        <r>
          <rPr>
            <sz val="9"/>
            <color indexed="81"/>
            <rFont val="Tahoma"/>
            <family val="2"/>
          </rPr>
          <t xml:space="preserve">=With RCC4 (but NOT claimed)
</t>
        </r>
      </text>
    </comment>
    <comment ref="O154" authorId="0" shapeId="0">
      <text>
        <r>
          <rPr>
            <b/>
            <sz val="9"/>
            <color indexed="81"/>
            <rFont val="Tahoma"/>
            <family val="2"/>
          </rPr>
          <t>Key:</t>
        </r>
        <r>
          <rPr>
            <sz val="9"/>
            <color indexed="81"/>
            <rFont val="Tahoma"/>
            <family val="2"/>
          </rPr>
          <t xml:space="preserve">
0= Apply in first year (this is the default if cell is blank)
1= Constant annuity 2015-20
2= Even allocation - not NPV neutral
3= Even allocation - NPV neutral
4= Lagged annual FVs - not NPV neutral
5= Lagged annual FVs - NPV neutral</t>
        </r>
      </text>
    </comment>
    <comment ref="O155" authorId="0" shapeId="0">
      <text>
        <r>
          <rPr>
            <b/>
            <sz val="9"/>
            <color indexed="81"/>
            <rFont val="Tahoma"/>
            <family val="2"/>
          </rPr>
          <t xml:space="preserve">Key: 
</t>
        </r>
        <r>
          <rPr>
            <sz val="9"/>
            <color indexed="81"/>
            <rFont val="Tahoma"/>
            <family val="2"/>
          </rPr>
          <t>whole number only
minimum value =1
maximum value = 5</t>
        </r>
      </text>
    </comment>
    <comment ref="O156" authorId="0" shapeId="0">
      <text>
        <r>
          <rPr>
            <b/>
            <sz val="9"/>
            <color indexed="81"/>
            <rFont val="Tahoma"/>
            <family val="2"/>
          </rPr>
          <t>Key:</t>
        </r>
        <r>
          <rPr>
            <sz val="9"/>
            <color indexed="81"/>
            <rFont val="Tahoma"/>
            <family val="2"/>
          </rPr>
          <t xml:space="preserve">
</t>
        </r>
        <r>
          <rPr>
            <b/>
            <sz val="9"/>
            <color indexed="81"/>
            <rFont val="Tahoma"/>
            <family val="2"/>
          </rPr>
          <t>0=</t>
        </r>
        <r>
          <rPr>
            <sz val="9"/>
            <color indexed="81"/>
            <rFont val="Tahoma"/>
            <family val="2"/>
          </rPr>
          <t xml:space="preserve"> pre tax PR09 discount rate
</t>
        </r>
        <r>
          <rPr>
            <b/>
            <sz val="9"/>
            <color indexed="81"/>
            <rFont val="Tahoma"/>
            <family val="2"/>
          </rPr>
          <t>1=</t>
        </r>
        <r>
          <rPr>
            <sz val="9"/>
            <color indexed="81"/>
            <rFont val="Tahoma"/>
            <family val="2"/>
          </rPr>
          <t xml:space="preserve"> post tax PR09 discount rate</t>
        </r>
      </text>
    </comment>
  </commentList>
</comments>
</file>

<file path=xl/comments2.xml><?xml version="1.0" encoding="utf-8"?>
<comments xmlns="http://schemas.openxmlformats.org/spreadsheetml/2006/main">
  <authors>
    <author>Author</author>
  </authors>
  <commentList>
    <comment ref="O151" authorId="0" shapeId="0">
      <text>
        <r>
          <rPr>
            <b/>
            <sz val="9"/>
            <color indexed="81"/>
            <rFont val="Tahoma"/>
            <family val="2"/>
          </rPr>
          <t>Key:
1</t>
        </r>
        <r>
          <rPr>
            <sz val="9"/>
            <color indexed="81"/>
            <rFont val="Tahoma"/>
            <family val="2"/>
          </rPr>
          <t xml:space="preserve">=Water only
</t>
        </r>
        <r>
          <rPr>
            <b/>
            <sz val="9"/>
            <color indexed="81"/>
            <rFont val="Tahoma"/>
            <family val="2"/>
          </rPr>
          <t>2</t>
        </r>
        <r>
          <rPr>
            <sz val="9"/>
            <color indexed="81"/>
            <rFont val="Tahoma"/>
            <family val="2"/>
          </rPr>
          <t>=Water and sewerage</t>
        </r>
      </text>
    </comment>
    <comment ref="O152" authorId="0" shapeId="0">
      <text>
        <r>
          <rPr>
            <b/>
            <sz val="9"/>
            <color indexed="81"/>
            <rFont val="Tahoma"/>
            <family val="2"/>
          </rPr>
          <t>Key:
0</t>
        </r>
        <r>
          <rPr>
            <sz val="9"/>
            <color indexed="81"/>
            <rFont val="Tahoma"/>
            <family val="2"/>
          </rPr>
          <t xml:space="preserve">=Without RCC4 or RCC4 claimed during period
</t>
        </r>
        <r>
          <rPr>
            <b/>
            <sz val="9"/>
            <color indexed="81"/>
            <rFont val="Tahoma"/>
            <family val="2"/>
          </rPr>
          <t>1</t>
        </r>
        <r>
          <rPr>
            <sz val="9"/>
            <color indexed="81"/>
            <rFont val="Tahoma"/>
            <family val="2"/>
          </rPr>
          <t xml:space="preserve">=With RCC4 (but NOT claimed)
</t>
        </r>
      </text>
    </comment>
    <comment ref="O154" authorId="0" shapeId="0">
      <text>
        <r>
          <rPr>
            <b/>
            <sz val="9"/>
            <color indexed="81"/>
            <rFont val="Tahoma"/>
            <family val="2"/>
          </rPr>
          <t>Key:</t>
        </r>
        <r>
          <rPr>
            <sz val="9"/>
            <color indexed="81"/>
            <rFont val="Tahoma"/>
            <family val="2"/>
          </rPr>
          <t xml:space="preserve">
0= Apply in first year (this is the default if cell is blank)
1= Constant annuity 2015-20
2= Even allocation - not NPV neutral
3= Even allocation - NPV neutral
4= Lagged annual FVs - not NPV neutral
5= Lagged annual FVs - NPV neutral</t>
        </r>
      </text>
    </comment>
    <comment ref="O155" authorId="0" shapeId="0">
      <text>
        <r>
          <rPr>
            <b/>
            <sz val="9"/>
            <color indexed="81"/>
            <rFont val="Tahoma"/>
            <family val="2"/>
          </rPr>
          <t xml:space="preserve">Key: 
</t>
        </r>
        <r>
          <rPr>
            <sz val="9"/>
            <color indexed="81"/>
            <rFont val="Tahoma"/>
            <family val="2"/>
          </rPr>
          <t>whole number only
minimum value =1
maximum value = 5</t>
        </r>
      </text>
    </comment>
    <comment ref="O156" authorId="0" shapeId="0">
      <text>
        <r>
          <rPr>
            <b/>
            <sz val="9"/>
            <color indexed="81"/>
            <rFont val="Tahoma"/>
            <family val="2"/>
          </rPr>
          <t>Key:</t>
        </r>
        <r>
          <rPr>
            <sz val="9"/>
            <color indexed="81"/>
            <rFont val="Tahoma"/>
            <family val="2"/>
          </rPr>
          <t xml:space="preserve">
</t>
        </r>
        <r>
          <rPr>
            <b/>
            <sz val="9"/>
            <color indexed="81"/>
            <rFont val="Tahoma"/>
            <family val="2"/>
          </rPr>
          <t>0=</t>
        </r>
        <r>
          <rPr>
            <sz val="9"/>
            <color indexed="81"/>
            <rFont val="Tahoma"/>
            <family val="2"/>
          </rPr>
          <t xml:space="preserve"> pre tax PR09 discount rate
</t>
        </r>
        <r>
          <rPr>
            <b/>
            <sz val="9"/>
            <color indexed="81"/>
            <rFont val="Tahoma"/>
            <family val="2"/>
          </rPr>
          <t>1=</t>
        </r>
        <r>
          <rPr>
            <sz val="9"/>
            <color indexed="81"/>
            <rFont val="Tahoma"/>
            <family val="2"/>
          </rPr>
          <t xml:space="preserve"> post tax PR09 discount rate</t>
        </r>
      </text>
    </comment>
  </commentList>
</comments>
</file>

<file path=xl/sharedStrings.xml><?xml version="1.0" encoding="utf-8"?>
<sst xmlns="http://schemas.openxmlformats.org/spreadsheetml/2006/main" count="4998" uniqueCount="828">
  <si>
    <t>Water: Total enhancements (infra) net of grants &amp; contributions</t>
  </si>
  <si>
    <t>CW00460</t>
  </si>
  <si>
    <t>Sewerage: IRE (net of grants &amp; contributions)</t>
  </si>
  <si>
    <t>Sewerage: Total enhancements (infra) net of grants &amp; contributions</t>
  </si>
  <si>
    <t>Sewerage: Total enhancements (non-infra) net of grants &amp; contributions</t>
  </si>
  <si>
    <t>CW00470</t>
  </si>
  <si>
    <t>CS00460</t>
  </si>
  <si>
    <t>Water: Total enhancements (non-infra) net of grants &amp; contributions</t>
  </si>
  <si>
    <t>Water: IRE (net of grants &amp; contributions)</t>
  </si>
  <si>
    <t>CS00470</t>
  </si>
  <si>
    <t>Sewerage: IRE</t>
  </si>
  <si>
    <t>Sewerage: MNI</t>
  </si>
  <si>
    <t>Sewerage: Non-infrastructure enhancements</t>
  </si>
  <si>
    <t>Sewerage: Infrastructure enhancements</t>
  </si>
  <si>
    <t>Water: Efficiency</t>
  </si>
  <si>
    <t>Sewerage: Efficiency</t>
  </si>
  <si>
    <t>Nr 0dp</t>
  </si>
  <si>
    <t>YrVal</t>
  </si>
  <si>
    <t>Year Value</t>
  </si>
  <si>
    <t>YrVal[Y-1]+1</t>
  </si>
  <si>
    <t>IF( ="","", )</t>
  </si>
  <si>
    <t>Calculations</t>
  </si>
  <si>
    <t>SheetTitle</t>
  </si>
  <si>
    <t>SheetName</t>
  </si>
  <si>
    <t>Input Data</t>
  </si>
  <si>
    <t/>
  </si>
  <si>
    <t>Year</t>
  </si>
  <si>
    <t>2006-07</t>
  </si>
  <si>
    <t>2007-08</t>
  </si>
  <si>
    <t>2008-09</t>
  </si>
  <si>
    <t>2009-10</t>
  </si>
  <si>
    <t>2010-11</t>
  </si>
  <si>
    <t>2011-12</t>
  </si>
  <si>
    <t>2012-13</t>
  </si>
  <si>
    <t>2013-14</t>
  </si>
  <si>
    <t>2014-15</t>
  </si>
  <si>
    <t>AY</t>
  </si>
  <si>
    <t>Actual Year</t>
  </si>
  <si>
    <t>Subtitle</t>
  </si>
  <si>
    <t>Efficiency incentive (slope)</t>
  </si>
  <si>
    <t>Efficiency incentive (constant)</t>
  </si>
  <si>
    <t>Allowed expenditure:baseline (slope)</t>
  </si>
  <si>
    <t>Allowed expenditure:baseline (constant)</t>
  </si>
  <si>
    <t>Additional income:baseline (second order parameter)</t>
  </si>
  <si>
    <t>Additional income:baseline (first order parameter)</t>
  </si>
  <si>
    <t>Additional income:baseline (constant)</t>
  </si>
  <si>
    <t>Additional income factor for bid &gt; 'upper limit'</t>
  </si>
  <si>
    <t>CIS 'upper limit'</t>
  </si>
  <si>
    <t>CIS ratio &lt; 100</t>
  </si>
  <si>
    <t>CIS ratio &gt; 100 &lt; 130</t>
  </si>
  <si>
    <t>Central estimate</t>
  </si>
  <si>
    <t>Allowance</t>
  </si>
  <si>
    <t>Efficiency</t>
  </si>
  <si>
    <t>Additional Income</t>
  </si>
  <si>
    <t>CIS ratio &gt; 130</t>
  </si>
  <si>
    <t>Ratio</t>
  </si>
  <si>
    <t>Nr</t>
  </si>
  <si>
    <t>£m 3dp</t>
  </si>
  <si>
    <t>Dec 4dp</t>
  </si>
  <si>
    <t>2010-15</t>
  </si>
  <si>
    <t>Water: IRE</t>
  </si>
  <si>
    <t>Water: MNI</t>
  </si>
  <si>
    <t>Water: Non-infrastructure enhancements</t>
  </si>
  <si>
    <t>Water: Infrastructure enhancements</t>
  </si>
  <si>
    <t>Sewerage: MNI (net of grants &amp; contributions)</t>
  </si>
  <si>
    <t>Water: MNI (net of grants &amp; contributions)</t>
  </si>
  <si>
    <t>RCW00580</t>
  </si>
  <si>
    <t>RCS00580</t>
  </si>
  <si>
    <t>CIS0001W</t>
  </si>
  <si>
    <t>CIS0001S</t>
  </si>
  <si>
    <t>NI: Inflate From Base Year (2007-08) - COPI</t>
  </si>
  <si>
    <t>RPI: Fin year average - deflate to base year (2007-08)</t>
  </si>
  <si>
    <t>Water: Additional income (applied at FD)</t>
  </si>
  <si>
    <t>Sewerage: Additional income (applied at FD)</t>
  </si>
  <si>
    <t>Company name</t>
  </si>
  <si>
    <t>None</t>
  </si>
  <si>
    <t>3 CIS</t>
  </si>
  <si>
    <t>Water: Ex post RCV adjustment</t>
  </si>
  <si>
    <t>Sewerage: Ex post RCV adjustment</t>
  </si>
  <si>
    <t>Price Base:</t>
  </si>
  <si>
    <t>Difference between Year and Application Year</t>
  </si>
  <si>
    <t>Water: Reward/(penalty) net of additional income</t>
  </si>
  <si>
    <t>Sewerage: Reward/(penalty) net of additional income</t>
  </si>
  <si>
    <t>Water: Reward/(penalty)</t>
  </si>
  <si>
    <t>Sewerage: Reward/(penalty)</t>
  </si>
  <si>
    <t>Outputs</t>
  </si>
  <si>
    <t>Adjustments</t>
  </si>
  <si>
    <t>Outturn</t>
  </si>
  <si>
    <t>Input</t>
  </si>
  <si>
    <t>PB00113</t>
  </si>
  <si>
    <t>Nr 1dp</t>
  </si>
  <si>
    <t>RPI: Financial year average - index</t>
  </si>
  <si>
    <t>RPI: Fin Year average - percentage increase</t>
  </si>
  <si>
    <t>PB00155</t>
  </si>
  <si>
    <t>NI: Notified Index - COPI</t>
  </si>
  <si>
    <t>COPI: Financial year average</t>
  </si>
  <si>
    <t>PB00040</t>
  </si>
  <si>
    <t>PB00041</t>
  </si>
  <si>
    <t>1 INDICES</t>
  </si>
  <si>
    <t>4 RCV EX POST ADJUSTMENTS</t>
  </si>
  <si>
    <t>2007-08 financial year average prices</t>
  </si>
  <si>
    <t>COPI: Inflate From Base Year (2007-08)</t>
  </si>
  <si>
    <t>2 CAPITAL EXPENDITURE SUMMARY</t>
  </si>
  <si>
    <t>3.1 Ex ante ratios</t>
  </si>
  <si>
    <t xml:space="preserve">Relative change in circumstance 4 validity flag </t>
  </si>
  <si>
    <t>1.2 FD assumptions</t>
  </si>
  <si>
    <t>1.1 Outturn assumptions</t>
  </si>
  <si>
    <t>Water: Adjustments to baseline capex</t>
  </si>
  <si>
    <t>Water: Adjustments to company bid capex</t>
  </si>
  <si>
    <t>Sewerage: Allowance capex (net of adjustments)</t>
  </si>
  <si>
    <t>Water: Actual capex</t>
  </si>
  <si>
    <t>Sewerage: Actual capex</t>
  </si>
  <si>
    <t>1.1 Company bid</t>
  </si>
  <si>
    <t>Water: Company bid capex (gross of adjustments)</t>
  </si>
  <si>
    <t>Water: Baseline capex (gross of adjustments)</t>
  </si>
  <si>
    <t>Water: Allowance capex (gross of adjustments)</t>
  </si>
  <si>
    <t>Sewerage: Company bid capex (gross of adjustments)</t>
  </si>
  <si>
    <t>Sewerage: Baseline capex (gross of adjustments)</t>
  </si>
  <si>
    <t>Sewerage: Allowance capex (gross of adjustments)</t>
  </si>
  <si>
    <t>Sewerage: Adjustments to company bid capex</t>
  </si>
  <si>
    <t>Sewerage: Adjustments to baseline capex</t>
  </si>
  <si>
    <t>2.1 Allowance</t>
  </si>
  <si>
    <t>Water: FBP non-infrastructure expenditure</t>
  </si>
  <si>
    <t>Water: FBP infrastructure expenditure</t>
  </si>
  <si>
    <t>Sewerage: FBP infrastructure expenditure</t>
  </si>
  <si>
    <t>Sewerage: FBP non-infrastructure expenditure</t>
  </si>
  <si>
    <t>2 ACTUAL CAPITAL EXPENDITURE</t>
  </si>
  <si>
    <t>Ex post outputs</t>
  </si>
  <si>
    <t>EX ANTE CAPITAL EXPENDITURE</t>
  </si>
  <si>
    <t>1.1.1</t>
  </si>
  <si>
    <t>1.2.1</t>
  </si>
  <si>
    <t>1.1.2</t>
  </si>
  <si>
    <t>1.1.3</t>
  </si>
  <si>
    <t>1.1.4</t>
  </si>
  <si>
    <t>1.1.5</t>
  </si>
  <si>
    <t>1.1.6</t>
  </si>
  <si>
    <t>1.1.7</t>
  </si>
  <si>
    <t>1.1.8</t>
  </si>
  <si>
    <t>1.1.9</t>
  </si>
  <si>
    <t>1.1.10</t>
  </si>
  <si>
    <t>1.1.11</t>
  </si>
  <si>
    <t>1.1.12</t>
  </si>
  <si>
    <t>1.2.2</t>
  </si>
  <si>
    <t>1.2.3</t>
  </si>
  <si>
    <t>1.2.4</t>
  </si>
  <si>
    <t>1.2.5</t>
  </si>
  <si>
    <t>1.2.6</t>
  </si>
  <si>
    <t>1.2.7</t>
  </si>
  <si>
    <t>1.2.8</t>
  </si>
  <si>
    <t>1.2.9</t>
  </si>
  <si>
    <t>1.2.10</t>
  </si>
  <si>
    <t>1.3.1</t>
  </si>
  <si>
    <t>1.3.2</t>
  </si>
  <si>
    <t>1.3.3</t>
  </si>
  <si>
    <t>1.3.4</t>
  </si>
  <si>
    <t>1.3.5</t>
  </si>
  <si>
    <t>1.3.6</t>
  </si>
  <si>
    <t>1.3.7</t>
  </si>
  <si>
    <t>1.3.8</t>
  </si>
  <si>
    <t>1.3.9</t>
  </si>
  <si>
    <t>1.3.10</t>
  </si>
  <si>
    <t>EX ANTE CIS OUTPUTS</t>
  </si>
  <si>
    <t>1.2 Baseline (central estimate)</t>
  </si>
  <si>
    <t>Company Bid</t>
  </si>
  <si>
    <t>Baseline (central estimate)</t>
  </si>
  <si>
    <t>2015-16</t>
  </si>
  <si>
    <t>BF200</t>
  </si>
  <si>
    <t>BO6004</t>
  </si>
  <si>
    <t>Text</t>
  </si>
  <si>
    <t>1 PREVIOUS DETERMINATION</t>
  </si>
  <si>
    <t>4 INDUSTRY ASSUMPTIONS</t>
  </si>
  <si>
    <t>4.1 Outturn assumptions</t>
  </si>
  <si>
    <t>4.2 FD assumptions</t>
  </si>
  <si>
    <t>5 PARAMETERS</t>
  </si>
  <si>
    <t>5.2 Other</t>
  </si>
  <si>
    <t>Water: CIS bid ratio</t>
  </si>
  <si>
    <t>Sewerage: CIS bid ratio</t>
  </si>
  <si>
    <t>Water: FBP IRE (net of grants &amp; contributions)</t>
  </si>
  <si>
    <t>Water: FBP MNI (net of grants &amp; contributions)</t>
  </si>
  <si>
    <t>Sewerage: FBP IRE (net of grants &amp; contributions)</t>
  </si>
  <si>
    <t>Sewerage: FBP MNI (net of grants &amp; contributions)</t>
  </si>
  <si>
    <t>Water: Company bid capex (net of logging and IDoK)</t>
  </si>
  <si>
    <t>Water: Baseline capex (net of logging, IDoK and shortfalls)</t>
  </si>
  <si>
    <t>Sewerage: Company bid capex (net of logging and IDoK)</t>
  </si>
  <si>
    <t>Sewerage: Baseline capex (net of logging, IDoK and shortfalls)</t>
  </si>
  <si>
    <t>Water: Allowance capex (including IDoK) adjusted for FD COPI</t>
  </si>
  <si>
    <t>Sewerage: Allowance capex (including IDoK) adjusted for FD COPI</t>
  </si>
  <si>
    <t>3.2 Restated ex ante ratios</t>
  </si>
  <si>
    <t>3.3 Ex post ratios</t>
  </si>
  <si>
    <t>3.4 Reward/(Penalty)</t>
  </si>
  <si>
    <t>Water: FBP enhancement grants and contributions</t>
  </si>
  <si>
    <t>Sewerage: FBP enhancement grants and contributions</t>
  </si>
  <si>
    <t>Water: RCV adjustment</t>
  </si>
  <si>
    <t>Sewerage: RCV adjustment</t>
  </si>
  <si>
    <t>1.4 Regulatory capital value</t>
  </si>
  <si>
    <t>1.5 Financial assumptions</t>
  </si>
  <si>
    <t>Water: Closing regulatory capital value</t>
  </si>
  <si>
    <t>Sewerage: Closing regulatory capital value</t>
  </si>
  <si>
    <t>Water: Closing RCV (allowance including IDoK)</t>
  </si>
  <si>
    <t>2.3 Capex (adjusted for actual NI)</t>
  </si>
  <si>
    <t>Water: Shortfalls</t>
  </si>
  <si>
    <t>Sewerage: Shortfalls</t>
  </si>
  <si>
    <t>Water: Company IDoK forecast</t>
  </si>
  <si>
    <t>Water: Baseline view of IDoK</t>
  </si>
  <si>
    <t>Sewerage: Company IDoK forecast</t>
  </si>
  <si>
    <t>Sewerage: Baseline view of IDoK</t>
  </si>
  <si>
    <t>4.2 Ex post RCV adjustment</t>
  </si>
  <si>
    <t>4.1 RCV adjustment</t>
  </si>
  <si>
    <t>5 REVENUE EX POST ADJUSTMENTS</t>
  </si>
  <si>
    <t>Sewerage: Closing RCV (allowance including IDoK)</t>
  </si>
  <si>
    <t>RW00500</t>
  </si>
  <si>
    <t>RS00500</t>
  </si>
  <si>
    <t>1.1.13</t>
  </si>
  <si>
    <t>1.1.14</t>
  </si>
  <si>
    <t>1.2.11</t>
  </si>
  <si>
    <t>1.2.12</t>
  </si>
  <si>
    <t>1.2.13</t>
  </si>
  <si>
    <t>1.2.14</t>
  </si>
  <si>
    <t>Water: Large projects infrastructure</t>
  </si>
  <si>
    <t>Water: Large projects non-infrastructure</t>
  </si>
  <si>
    <t>Water: FBP large projects infrastructure (exc large project capex not subject to CIS)</t>
  </si>
  <si>
    <t>Water: FBP large projects non-infrastructure (exc large project capex not subject to CIS)</t>
  </si>
  <si>
    <t>Sewerage: FBP large projects infrastructure (exc large project capex not subject to CIS)</t>
  </si>
  <si>
    <t>Sewerage: FBP large projects non-infrastructure (exc large project capex not subject to CIS)</t>
  </si>
  <si>
    <t>Water: Large projects infrastructure (exc large project capex not subject to CIS)</t>
  </si>
  <si>
    <t>Water: Large projects non-infrastructure (exc large project capex not subject to CIS)</t>
  </si>
  <si>
    <t>Sewerage: Large projects infrastructure (exc large project capex not subject to CIS)</t>
  </si>
  <si>
    <t>Sewerage: Large projects non-infrastructure (exc large project capex not subject to CIS)</t>
  </si>
  <si>
    <t>Sewerage: Large projects infrastructure</t>
  </si>
  <si>
    <t>Sewerage: Large projects non-infrastructure</t>
  </si>
  <si>
    <t>Water: Large projects infrastructure enhancements (exc large project capex not subject to CIS)</t>
  </si>
  <si>
    <t>Water: Large projects non-infrastructure enhancements (exc large project capex not subject to CIS)</t>
  </si>
  <si>
    <t>Sewerage: Large projects infrastructure enhancements (exc large project capex not subject to CIS)</t>
  </si>
  <si>
    <t>Sewerage: Large projects non-infrastructure enhancements (exc large project capex not subject to CIS)</t>
  </si>
  <si>
    <t>1.1.15</t>
  </si>
  <si>
    <t>1.1.16</t>
  </si>
  <si>
    <t>1.1.17</t>
  </si>
  <si>
    <t>1.1.18</t>
  </si>
  <si>
    <t>1.3.11</t>
  </si>
  <si>
    <t>1.3.12</t>
  </si>
  <si>
    <t>1.3.13</t>
  </si>
  <si>
    <t>1.3.14</t>
  </si>
  <si>
    <t>Base year previous review</t>
  </si>
  <si>
    <t>BB5530</t>
  </si>
  <si>
    <t>Water: Ex post reward/penalty</t>
  </si>
  <si>
    <t>Sewerage: Ex post reward/penalty</t>
  </si>
  <si>
    <t>Water: Capex under/(overfunded)</t>
  </si>
  <si>
    <t>Sewerage: Capex under/(overfunded)</t>
  </si>
  <si>
    <t>Water: Ex post financing cost of under/(overfunded) capex</t>
  </si>
  <si>
    <t>Sewerage: Ex post financing cost of under/(overfunded) capex</t>
  </si>
  <si>
    <t>Water: Allowance capex (net of adjustments)</t>
  </si>
  <si>
    <t>Water: Company logging up/(down) claim</t>
  </si>
  <si>
    <t>Water: Baseline view of logging up/(down)</t>
  </si>
  <si>
    <t>Sewerage: Company logging up/(down) claim</t>
  </si>
  <si>
    <t>Sewerage: Baseline view of logging up/(down)</t>
  </si>
  <si>
    <t xml:space="preserve">                                                                                                                                                                                               </t>
  </si>
  <si>
    <t>-</t>
  </si>
  <si>
    <t>Workbook contents:</t>
  </si>
  <si>
    <t>Source</t>
  </si>
  <si>
    <t>Company PR09 final determination scenario</t>
  </si>
  <si>
    <t>Report 24 Capex Infra v Non-infra</t>
  </si>
  <si>
    <t>Report 25 Capex &amp; Efficiency Post CIS</t>
  </si>
  <si>
    <t>Report 9 Regulatory Capital Value</t>
  </si>
  <si>
    <t>1.3 CIS ratio and additional income</t>
  </si>
  <si>
    <t>Annex 1 CIS spreadsheet of company's supplementary report to the 2010-15 final determination</t>
  </si>
  <si>
    <t>Report 15 RoR recon to CoC</t>
  </si>
  <si>
    <t>Regulatory accounts</t>
  </si>
  <si>
    <t>3 ADJUSTMENTS FOR IDOK, CHANGE PROTOCOL AND SHORTFALLS</t>
  </si>
  <si>
    <t>Future water and sewerage charges 2010-15: final determinations</t>
  </si>
  <si>
    <t>5.1 CIS matrix</t>
  </si>
  <si>
    <t>Type of company (water and sewerage or water only)</t>
  </si>
  <si>
    <t>Additional information</t>
  </si>
  <si>
    <t>Regulatory accounts table 'Analysis of capital expenditure, grants and land sales for the 12 months ended 31 March 20xx'</t>
  </si>
  <si>
    <t>- Shortfalls</t>
  </si>
  <si>
    <t xml:space="preserve">price limits were set at the last price control. </t>
  </si>
  <si>
    <t>Input data notes:</t>
  </si>
  <si>
    <t>Company submitted IDoK model and Ofwat IDoK determination model</t>
  </si>
  <si>
    <t>CIS True-up 2010-15</t>
  </si>
  <si>
    <t>Section 1 Previous determination</t>
  </si>
  <si>
    <t>Actual capital expenditure</t>
  </si>
  <si>
    <t>Section 2 Actual capital expenditure</t>
  </si>
  <si>
    <t xml:space="preserve">Report ID4 Financial model export      </t>
  </si>
  <si>
    <t>Not yet specified</t>
  </si>
  <si>
    <t>Baseline - W and Baseline - S</t>
  </si>
  <si>
    <t>Matrix</t>
  </si>
  <si>
    <t>Section 5 Parameters</t>
  </si>
  <si>
    <t>Section 4 Industry assumptions</t>
  </si>
  <si>
    <t>Section 3 Adjustments for IDoK, change protocol and shortfalls</t>
  </si>
  <si>
    <t>Section/ line descriptions</t>
  </si>
  <si>
    <t>Worksheet/ table</t>
  </si>
  <si>
    <r>
      <rPr>
        <sz val="10"/>
        <color theme="4"/>
        <rFont val="Arial"/>
        <family val="2"/>
      </rPr>
      <t xml:space="preserve">Refer to </t>
    </r>
    <r>
      <rPr>
        <u/>
        <sz val="10"/>
        <color theme="10"/>
        <rFont val="Arial"/>
        <family val="2"/>
      </rPr>
      <t>RD 13/10 Interim determinations 2010-15</t>
    </r>
    <r>
      <rPr>
        <sz val="10"/>
        <color theme="4"/>
        <rFont val="Arial"/>
        <family val="2"/>
      </rPr>
      <t xml:space="preserve"> section C for further information on applying CIS to interim determinations. </t>
    </r>
  </si>
  <si>
    <t>- IDoK (company forecast and baseline view)</t>
  </si>
  <si>
    <t>- Logging up/down (company and baseline view)</t>
  </si>
  <si>
    <r>
      <rPr>
        <sz val="10"/>
        <color theme="4"/>
        <rFont val="Arial"/>
        <family val="2"/>
      </rPr>
      <t xml:space="preserve">Refer to </t>
    </r>
    <r>
      <rPr>
        <u/>
        <sz val="10"/>
        <color theme="10"/>
        <rFont val="Arial"/>
        <family val="2"/>
      </rPr>
      <t>PR09/36 Change protocol for 2010-15</t>
    </r>
    <r>
      <rPr>
        <sz val="10"/>
        <color theme="4"/>
        <rFont val="Arial"/>
        <family val="2"/>
      </rPr>
      <t xml:space="preserve"> appendix 1 for further information on the application of CIS for logging up/down adjustments.</t>
    </r>
  </si>
  <si>
    <r>
      <rPr>
        <sz val="10"/>
        <color theme="4"/>
        <rFont val="Arial"/>
        <family val="2"/>
      </rPr>
      <t xml:space="preserve">Detailed RPI reference tables are readily accessible and released monthly on the </t>
    </r>
    <r>
      <rPr>
        <u/>
        <sz val="10"/>
        <color theme="10"/>
        <rFont val="Arial"/>
        <family val="2"/>
      </rPr>
      <t>ONS website</t>
    </r>
  </si>
  <si>
    <t>Where a company has had a redetermination undertaken by the Competition Commission (CC), the company bid should be populated with the company bid submitted at PR09. The difference in the company bid between final determination and the CC redetermination should be input through line "Adjustment for CC determination" in the section.</t>
  </si>
  <si>
    <t>Section 1.18 Industry assumptions of the 'Input' worksheet</t>
  </si>
  <si>
    <t>IDoK submissions for claim under RCC4:</t>
  </si>
  <si>
    <t>Where available use the latest prevailing set of published values for RPI and COPI. Input forecast annual percentage increases for all years where there is incomplete data or no data.</t>
  </si>
  <si>
    <t xml:space="preserve">- </t>
  </si>
  <si>
    <t>2.2 Capex post adjustments (IDoK, change protocol and shortfalls)</t>
  </si>
  <si>
    <t>WATER</t>
  </si>
  <si>
    <t>Ex ante ratios</t>
  </si>
  <si>
    <t>Ex post ratios</t>
  </si>
  <si>
    <t>Water: CIS outturn ratio</t>
  </si>
  <si>
    <t>Sewerage: CIS outturn ratio</t>
  </si>
  <si>
    <t>Water: Restated CIS allowance</t>
  </si>
  <si>
    <t>Water: Restated efficiency</t>
  </si>
  <si>
    <t>Water: CIS allowance</t>
  </si>
  <si>
    <t>Water: Additional income</t>
  </si>
  <si>
    <t>Sewerage: CIS allowance</t>
  </si>
  <si>
    <t>Sewerage: Additional income</t>
  </si>
  <si>
    <t>Water: Restated CIS bid ratio</t>
  </si>
  <si>
    <t>Sewerage: Restated CIS bid ratio</t>
  </si>
  <si>
    <t>Sewerage: Restated CIS allowance</t>
  </si>
  <si>
    <t>Sewerage: Restated efficiency</t>
  </si>
  <si>
    <t>Water: Company bid capex</t>
  </si>
  <si>
    <t>Water: Baseline capex</t>
  </si>
  <si>
    <t>Water: Allowance capex</t>
  </si>
  <si>
    <t>Sewerage: Company bid capex</t>
  </si>
  <si>
    <t>Sewerage: Baseline capex</t>
  </si>
  <si>
    <t>Sewerage: Allowance capex</t>
  </si>
  <si>
    <t>Reward/ penalty</t>
  </si>
  <si>
    <t>Water: Total reward/(penalty)</t>
  </si>
  <si>
    <t>Sewerage: Total reward/(penalty)</t>
  </si>
  <si>
    <t>SEWERAGE</t>
  </si>
  <si>
    <t>2.1.1</t>
  </si>
  <si>
    <t>2.1.2</t>
  </si>
  <si>
    <t>2.1.3</t>
  </si>
  <si>
    <t>2.1.4</t>
  </si>
  <si>
    <t>2.1.5</t>
  </si>
  <si>
    <t>2.1.6</t>
  </si>
  <si>
    <t>2.1.7</t>
  </si>
  <si>
    <t>2.1.8</t>
  </si>
  <si>
    <t>2.1.9</t>
  </si>
  <si>
    <t>2.1.10</t>
  </si>
  <si>
    <t>2.2.1</t>
  </si>
  <si>
    <t>2.2.2</t>
  </si>
  <si>
    <t>2.2.3</t>
  </si>
  <si>
    <t>2.2.4</t>
  </si>
  <si>
    <t>2.2.5</t>
  </si>
  <si>
    <t>2.3.1</t>
  </si>
  <si>
    <t>2.3.2</t>
  </si>
  <si>
    <t>2.3.3</t>
  </si>
  <si>
    <t>Inputs</t>
  </si>
  <si>
    <t>• Company capital expenditure forecast from previous determination</t>
  </si>
  <si>
    <t>• Company claim of capital expenditure logged up/(down)</t>
  </si>
  <si>
    <t>• Actual company capital expenditure</t>
  </si>
  <si>
    <t>• Baseline capital expenditure from previous determination</t>
  </si>
  <si>
    <t>• Ofwat view of capital expenditure logged up/(down)</t>
  </si>
  <si>
    <t>• Outturn indexation assumptions</t>
  </si>
  <si>
    <t>• Closing regulatory capital value (RCV)</t>
  </si>
  <si>
    <t>• Company forecast of capital expenditure in IDoK application</t>
  </si>
  <si>
    <t>• Final determination indexation assumptions</t>
  </si>
  <si>
    <t>• Allowed IDoK capital expenditure</t>
  </si>
  <si>
    <t>• Shortfalled capital expenditure</t>
  </si>
  <si>
    <t>Logic</t>
  </si>
  <si>
    <t xml:space="preserve">Set flag (BO6004 Relative change in circumstance 4 validity flag) in section 5.2 of the 'Input' worksheet to '0'. </t>
  </si>
  <si>
    <t>Summary of ex ante capital expenditure and CIS outputs</t>
  </si>
  <si>
    <t>Post tax rate of return (vanilla)</t>
  </si>
  <si>
    <t>- All other WoC's (cost of debt 4%, WACC 6.78%).</t>
  </si>
  <si>
    <t>next period.</t>
  </si>
  <si>
    <t>Large project lines should only be populated where large project capex has been allowed at PR09. All large project capex considered outside CIS should not be included in the large project lines.</t>
  </si>
  <si>
    <t>Additional income in this section only needs to be populated where a company has had a redetermination undertaken by the CC. For all other companies, no inputs are required as the additional income incurred in period will be calculated on the 'Calc' worksheet.</t>
  </si>
  <si>
    <t>CIS true up adjustment flowchart</t>
  </si>
  <si>
    <t>Financial year average RPI - Base for notified index (2007-08)</t>
  </si>
  <si>
    <t>COPI - Base for notified index (2007-08)</t>
  </si>
  <si>
    <t>PB00156</t>
  </si>
  <si>
    <t>COPI: Percentage Increase</t>
  </si>
  <si>
    <r>
      <rPr>
        <sz val="10"/>
        <color theme="4"/>
        <rFont val="Arial"/>
        <family val="2"/>
      </rPr>
      <t xml:space="preserve">See note below on </t>
    </r>
    <r>
      <rPr>
        <u/>
        <sz val="10"/>
        <color theme="10"/>
        <rFont val="Arial"/>
        <family val="2"/>
      </rPr>
      <t>IDoK submissions for claim under RCC4</t>
    </r>
    <r>
      <rPr>
        <sz val="10"/>
        <color theme="4"/>
        <rFont val="Arial"/>
        <family val="2"/>
      </rPr>
      <t>. For all other capital expenditure related claims, extract from the IDoK model the total additional IDoK capex from report 'ID4 Financial model export'.</t>
    </r>
  </si>
  <si>
    <r>
      <rPr>
        <sz val="10"/>
        <color theme="4"/>
        <rFont val="Arial"/>
        <family val="2"/>
      </rPr>
      <t xml:space="preserve">Refer to </t>
    </r>
    <r>
      <rPr>
        <u/>
        <sz val="10"/>
        <color theme="10"/>
        <rFont val="Arial"/>
        <family val="2"/>
      </rPr>
      <t>IN 11/08 Changes to COPI</t>
    </r>
    <r>
      <rPr>
        <sz val="10"/>
        <color theme="4"/>
        <rFont val="Arial"/>
        <family val="2"/>
      </rPr>
      <t xml:space="preserve"> for further information on our approach to using the new COPI (2010) series to compare outturn 2010-15 capital expenditure with the 2009 price review assumptions that were based on using the discontinued COPI series.</t>
    </r>
  </si>
  <si>
    <t>the adjustment to the RCV.</t>
  </si>
  <si>
    <r>
      <rPr>
        <sz val="10"/>
        <color theme="4"/>
        <rFont val="Arial"/>
        <family val="2"/>
      </rPr>
      <t xml:space="preserve">See note below on </t>
    </r>
    <r>
      <rPr>
        <u/>
        <sz val="10"/>
        <color theme="10"/>
        <rFont val="Arial"/>
        <family val="2"/>
      </rPr>
      <t>IDoK submissions for claim under RCC4</t>
    </r>
    <r>
      <rPr>
        <sz val="10"/>
        <color theme="4"/>
        <rFont val="Arial"/>
        <family val="2"/>
      </rPr>
      <t xml:space="preserve"> where FD assumptions should be set to achieve the notified index used in the interim determination.</t>
    </r>
  </si>
  <si>
    <r>
      <rPr>
        <b/>
        <sz val="10"/>
        <color theme="4"/>
        <rFont val="Arial"/>
        <family val="2"/>
      </rPr>
      <t>Calc</t>
    </r>
    <r>
      <rPr>
        <sz val="10"/>
        <color theme="4"/>
        <rFont val="Arial"/>
        <family val="2"/>
      </rPr>
      <t xml:space="preserve"> - contains the calculations of the restated ex ante ratio, ex post ratio, RCV adjustment and revenue adjustment.</t>
    </r>
  </si>
  <si>
    <t>Guidance for populating the CIS true up model for a RCC4 claim is as follows:</t>
  </si>
  <si>
    <r>
      <rPr>
        <b/>
        <sz val="10"/>
        <color theme="4"/>
        <rFont val="Arial"/>
        <family val="2"/>
      </rPr>
      <t>Ex post outputs</t>
    </r>
    <r>
      <rPr>
        <sz val="10"/>
        <color theme="4"/>
        <rFont val="Arial"/>
        <family val="2"/>
      </rPr>
      <t xml:space="preserve"> - report shows the calculated true up values of the revenue adjustment and RCV adjustment that will be carried forward into the financial modelling of setting price limits for the</t>
    </r>
  </si>
  <si>
    <t>Where a company has had an interim determination that included a claim under RCC4 the notified index assumed in the interim determination should be used as the reference index for calculating</t>
  </si>
  <si>
    <r>
      <rPr>
        <b/>
        <sz val="10"/>
        <color theme="4"/>
        <rFont val="Arial"/>
        <family val="2"/>
      </rPr>
      <t>Input</t>
    </r>
    <r>
      <rPr>
        <sz val="10"/>
        <color theme="4"/>
        <rFont val="Arial"/>
        <family val="2"/>
      </rPr>
      <t xml:space="preserve"> - contains the collection of inputs required to calculate the CIS true up adjustments. Where inputs correspond to an item code used in the PR09 financial model the equivalent code has</t>
    </r>
  </si>
  <si>
    <t xml:space="preserve">been referenced in column C of the worksheet. The price base of each input line is specified in column AJ of the worksheet.   </t>
  </si>
  <si>
    <r>
      <t>Reconcilation of ex ante to ex post</t>
    </r>
    <r>
      <rPr>
        <sz val="10"/>
        <color theme="4"/>
        <rFont val="Arial"/>
        <family val="2"/>
      </rPr>
      <t xml:space="preserve"> - report provides a summary of the capital expenditure that underpins the ex ante, restated ex ante and ex post CIS ratios that are used for deriving the CIS</t>
    </r>
  </si>
  <si>
    <t>reward/penalty.</t>
  </si>
  <si>
    <t>Guidance for populating the various sections of the 'Input' worksheet are as follows:</t>
  </si>
  <si>
    <t>Water: Infrastructure enhancements (net of grants &amp; contributions)</t>
  </si>
  <si>
    <t>Water: Non-infrastructure enhancements (net of grants &amp; contributions)</t>
  </si>
  <si>
    <t>Sewerage: Infrastructure enhancements (net of grants &amp; contributions)</t>
  </si>
  <si>
    <t>Sewerage: Non-infrastructure enhancements (net of grants &amp; contributions)</t>
  </si>
  <si>
    <t>Water: Closing RCV (adjusted for ex post RCV adjustment)</t>
  </si>
  <si>
    <t>Sewerage: Closing RCV (adjusted for ex post RCV adjustment)</t>
  </si>
  <si>
    <t>FD RPI: Financial year average - index</t>
  </si>
  <si>
    <t>FD COPI: Percentage Increase</t>
  </si>
  <si>
    <t>FD RPI: Fin Year average - percentage increase</t>
  </si>
  <si>
    <t>FD RPI: Fin year average - deflate to base year (2007-08)</t>
  </si>
  <si>
    <t>FD COPI: Financial year average</t>
  </si>
  <si>
    <t>FD COPI: Inflate From Base Year (2007-08)</t>
  </si>
  <si>
    <t>FD NI: Notified Index - COPI</t>
  </si>
  <si>
    <t>FD NI: Inflate From Base Year (2007-08) - COPI</t>
  </si>
  <si>
    <t>Water: Opening RCV</t>
  </si>
  <si>
    <t>Water: Closing RCV</t>
  </si>
  <si>
    <t>Sewerage: Opening RCV</t>
  </si>
  <si>
    <t>Sewerage: Closing RCV</t>
  </si>
  <si>
    <t>Water: Year average RCV</t>
  </si>
  <si>
    <t>Sewerage:  Year average RCV</t>
  </si>
  <si>
    <t>5.1 RCV - Allowance</t>
  </si>
  <si>
    <t>5.2 RCV - Outturn</t>
  </si>
  <si>
    <t>5.3 Ex post revenue adjustment</t>
  </si>
  <si>
    <t>Water: Ex post total revenue adjustment</t>
  </si>
  <si>
    <t>Sewerage: Ex post total revenue adjustment</t>
  </si>
  <si>
    <t>Water: Future value of ex post revenue adjustment of prior year annual adjustments</t>
  </si>
  <si>
    <t>Sewerage: Future value of ex post revenue adjustment of prior year annual adjustments</t>
  </si>
  <si>
    <t xml:space="preserve">Change FD industry assumptions in section 4.2 so that they produce the notified index used in the interim determination. </t>
  </si>
  <si>
    <t>Worksheet</t>
  </si>
  <si>
    <t>Water: Future value of ex post revenue adjustment of prior year annual adjustments (2012-13 prices)</t>
  </si>
  <si>
    <t>Sewerage: Future value of ex post revenue adjustment of prior year annual adjustments (2012-13 prices)</t>
  </si>
  <si>
    <t>Base year PR14</t>
  </si>
  <si>
    <t>Rows</t>
  </si>
  <si>
    <t>unless otherwise stated in line description</t>
  </si>
  <si>
    <t>Water: FBP adjustment for Competition Commission determination</t>
  </si>
  <si>
    <t>Sewerage: FBP adjustment for Competition Commission determination</t>
  </si>
  <si>
    <t xml:space="preserve">Water: Competition Commission determination additional income </t>
  </si>
  <si>
    <t xml:space="preserve">Sewerage: Competition Commission determination additional income </t>
  </si>
  <si>
    <t>L18001</t>
  </si>
  <si>
    <t>L18002</t>
  </si>
  <si>
    <t>C00088</t>
  </si>
  <si>
    <t>C00089</t>
  </si>
  <si>
    <t>W15001</t>
  </si>
  <si>
    <t>W15002</t>
  </si>
  <si>
    <t>W15003</t>
  </si>
  <si>
    <t>W15004</t>
  </si>
  <si>
    <t>W15005</t>
  </si>
  <si>
    <t>W15006</t>
  </si>
  <si>
    <t>S15001</t>
  </si>
  <si>
    <t>S15002</t>
  </si>
  <si>
    <t>S15003</t>
  </si>
  <si>
    <t>S15004</t>
  </si>
  <si>
    <t>S15005</t>
  </si>
  <si>
    <t>S15006</t>
  </si>
  <si>
    <t>PB00155BPN</t>
  </si>
  <si>
    <t>COPI(2010) (Base 2005=100) Financial Year Average</t>
  </si>
  <si>
    <t>PB00133BPP</t>
  </si>
  <si>
    <t>CS00110CIS</t>
  </si>
  <si>
    <t>CS00120CIS</t>
  </si>
  <si>
    <t>CW00110CIS</t>
  </si>
  <si>
    <t>CW00120CIS</t>
  </si>
  <si>
    <t>CS00100CIS</t>
  </si>
  <si>
    <t>CS00020CIS</t>
  </si>
  <si>
    <t>CS00040CIS</t>
  </si>
  <si>
    <t>CS00050CIS</t>
  </si>
  <si>
    <t>CS00060CIS</t>
  </si>
  <si>
    <t>CS00070CIS</t>
  </si>
  <si>
    <t>CS00080CIS</t>
  </si>
  <si>
    <t>CS00090CIS</t>
  </si>
  <si>
    <t>CW00020CIS</t>
  </si>
  <si>
    <t>CW00040CIS</t>
  </si>
  <si>
    <t>CW00050CIS</t>
  </si>
  <si>
    <t>CW00060CIS</t>
  </si>
  <si>
    <t>CW00070CIS</t>
  </si>
  <si>
    <t>CW00080CIS</t>
  </si>
  <si>
    <t>CW00090CIS</t>
  </si>
  <si>
    <t>CW00100CIS</t>
  </si>
  <si>
    <t>CISM01</t>
  </si>
  <si>
    <t>CISM02</t>
  </si>
  <si>
    <t>CISM03</t>
  </si>
  <si>
    <t>CISM04</t>
  </si>
  <si>
    <t>CISM05</t>
  </si>
  <si>
    <t>CISM06</t>
  </si>
  <si>
    <t>CISM07</t>
  </si>
  <si>
    <t>CISM08</t>
  </si>
  <si>
    <t>CISM09</t>
  </si>
  <si>
    <t>CISM10</t>
  </si>
  <si>
    <t>CISM11</t>
  </si>
  <si>
    <t>CISM12</t>
  </si>
  <si>
    <t>CISM13</t>
  </si>
  <si>
    <t>CISM14</t>
  </si>
  <si>
    <t>CISM15</t>
  </si>
  <si>
    <t>CISM16</t>
  </si>
  <si>
    <t>CISM17</t>
  </si>
  <si>
    <t>C00082_L017</t>
  </si>
  <si>
    <t>C00083_L017</t>
  </si>
  <si>
    <t>C00073_L017</t>
  </si>
  <si>
    <t>C00085_L017</t>
  </si>
  <si>
    <t>C00086_L017</t>
  </si>
  <si>
    <t>C00079_L017</t>
  </si>
  <si>
    <t>C00056_L012</t>
  </si>
  <si>
    <t>C00057_L012</t>
  </si>
  <si>
    <t>C00054_L012</t>
  </si>
  <si>
    <t>CHANGE HISTORY</t>
  </si>
  <si>
    <t>Date</t>
  </si>
  <si>
    <t>Who</t>
  </si>
  <si>
    <t>Description of changes</t>
  </si>
  <si>
    <t>version</t>
  </si>
  <si>
    <t>ASSURANCE HISTORY</t>
  </si>
  <si>
    <t>Notes</t>
  </si>
  <si>
    <t>Acronym</t>
  </si>
  <si>
    <t>Reference</t>
  </si>
  <si>
    <t>Item description</t>
  </si>
  <si>
    <t>Unit</t>
  </si>
  <si>
    <t>Model</t>
  </si>
  <si>
    <t>£m</t>
  </si>
  <si>
    <t>C00055_L012</t>
  </si>
  <si>
    <t>Dec</t>
  </si>
  <si>
    <t>Purpose:</t>
  </si>
  <si>
    <t>COVER NOTES</t>
  </si>
  <si>
    <t>Water: Ex post RCV adjustment (2007-08 prices)</t>
  </si>
  <si>
    <t>Sewerage: Ex post RCV adjustment (2007-08 prices)</t>
  </si>
  <si>
    <t>Discount rate (Pre tax WACC)</t>
  </si>
  <si>
    <t>Periodic Review 2014</t>
  </si>
  <si>
    <t xml:space="preserve">Where available the reported actual capital expenditure from the regulatory accounts should be used. For the years after use data informed by business plan projections. The input values should be actual capital expenditure net of grants and contributions. </t>
  </si>
  <si>
    <t>The pre tax WACC discount rates are as follows:</t>
  </si>
  <si>
    <t>- South East Water and Veolia Central (cost of debt 3.7%, WACC 6.63%);</t>
  </si>
  <si>
    <t>- WaSC's (cost of debt 3.6%, WACC 6.26%);</t>
  </si>
  <si>
    <t>- Bristol (cost of debt 3.9%, WACC 5.97%); and</t>
  </si>
  <si>
    <t>Infrastructure renewals expenditure (net)</t>
  </si>
  <si>
    <t>MNI - net of grants and contributions</t>
  </si>
  <si>
    <t>Water: Total enhancements (infra) net of grants and contributions</t>
  </si>
  <si>
    <t>Water: Total enhancements (non-infra) net of grants and contributions</t>
  </si>
  <si>
    <t>Infrastructure renewals expenditure(net)</t>
  </si>
  <si>
    <t>Sewerage: Total enhancements (infra) net of grants and contributions</t>
  </si>
  <si>
    <t>Sewerage: Total enhancements (non-infra) net of grants and contributions</t>
  </si>
  <si>
    <t>nr</t>
  </si>
  <si>
    <t>Water: CIS additional income</t>
  </si>
  <si>
    <t>Sewerage: CIS additional income</t>
  </si>
  <si>
    <t>Post tax rate of return on asset preceding 3/08 (vanilla)</t>
  </si>
  <si>
    <t>%</t>
  </si>
  <si>
    <t>COPI: (Base 1995=100) financial year average</t>
  </si>
  <si>
    <t>COPI: Percentage increase</t>
  </si>
  <si>
    <t>Financial year average</t>
  </si>
  <si>
    <t>COPI (Base 1995=100) base for notified index (1987-88)</t>
  </si>
  <si>
    <t>Relative change in circumstance 4 validity flag</t>
  </si>
  <si>
    <t>CW00020_PL</t>
  </si>
  <si>
    <t>CW00040_PL</t>
  </si>
  <si>
    <t>CS00020_PL</t>
  </si>
  <si>
    <t>CS00040_PL</t>
  </si>
  <si>
    <t>PB00113BP_PR14</t>
  </si>
  <si>
    <t>BB5532</t>
  </si>
  <si>
    <t>PB00036N</t>
  </si>
  <si>
    <t>Discount rate (PR14 Vanilla WACC)</t>
  </si>
  <si>
    <t>Profile for revenue adustment</t>
  </si>
  <si>
    <t>Profiling</t>
  </si>
  <si>
    <t>Profile selection</t>
  </si>
  <si>
    <t>Revenue adjustment profile to be implemented in 2015-20</t>
  </si>
  <si>
    <t>2016-17</t>
  </si>
  <si>
    <t>2017-18</t>
  </si>
  <si>
    <t>2018-19</t>
  </si>
  <si>
    <t>2019-20</t>
  </si>
  <si>
    <t>Future value of ex post revenue adjustment of prior year annual adjustments (2012-13 prices)</t>
  </si>
  <si>
    <t>Discount rate for 2015-20</t>
  </si>
  <si>
    <t>PROFILES</t>
  </si>
  <si>
    <t>Profile 1 - Constant annuity 2015-20</t>
  </si>
  <si>
    <t>Profile 2 - Even allocation - not NPV neutral</t>
  </si>
  <si>
    <t>Profile 3 - Even allocation - NPV neutral</t>
  </si>
  <si>
    <t>Profile 4 - Lagged annual FVs - not NPV neutral</t>
  </si>
  <si>
    <t>Profile 5 - Lagged annual FVs - NPV neutral</t>
  </si>
  <si>
    <t>Profile 0 - Apply in first year</t>
  </si>
  <si>
    <t>Number of years</t>
  </si>
  <si>
    <t>Discount factors</t>
  </si>
  <si>
    <t>Check</t>
  </si>
  <si>
    <t>Nr 3dp</t>
  </si>
  <si>
    <t>Water: Present value of revenue adjustments (2012-13 prices)</t>
  </si>
  <si>
    <t>Sewerage: Present value of revenue adjustments (2012-13 prices)</t>
  </si>
  <si>
    <t>COPI(2010) (Base 2005=100) Assumed percentage increase for unpopulated quarterly values</t>
  </si>
  <si>
    <t>Water: PV uplift factor</t>
  </si>
  <si>
    <t>Sewerage: PV uplift factor</t>
  </si>
  <si>
    <t>Water: value of ex post revenue adjustment if applied in first year (2012-13 prices)</t>
  </si>
  <si>
    <t>Sewerage: value of ex post revenue adjustment if applied in first year (2012-13 prices)</t>
  </si>
  <si>
    <t>Water: value of ex post revenue adjustment with Non NPV neutral even allocation(2012-13 prices)</t>
  </si>
  <si>
    <t>Sewerage: value of ex post revenue adjustment with Non NPV neutral even allocation(2012-13 prices)</t>
  </si>
  <si>
    <t>Water: value of ex post revenue adjustment with NPV neutral even allocation(2012-13 prices)</t>
  </si>
  <si>
    <t>Sewerage: value of ex post revenue adjustment with NPV neutral even allocation(2012-13 prices)</t>
  </si>
  <si>
    <t>Water: value of ex post revenue adjustment with 5-year annuity approach (2012-13 prices)</t>
  </si>
  <si>
    <t>Sewerage: value of ex post revenue adjustment with 5-year annuity approach (2012-13 prices)</t>
  </si>
  <si>
    <t>Equivalent Annual Cost (EAC) factor</t>
  </si>
  <si>
    <t>Water: value of ex post revenue adjustment with lagged annual values NPV neutral (2012-13 prices)</t>
  </si>
  <si>
    <t>Sewerage: value of ex post revenue adjustment with lagged annual values NPV neutral (2012-13 prices)</t>
  </si>
  <si>
    <t>Water: value of ex post revenue adjustment with lagged annual values non NPV neutral (2012-13 prices)</t>
  </si>
  <si>
    <t>Sewerage: value of ex post revenue adjustment with lagged annual values non NPV neutral (2012-13 prices)</t>
  </si>
  <si>
    <t>Discount rate for CIS (PR14)</t>
  </si>
  <si>
    <t>2015-20</t>
  </si>
  <si>
    <t>L10013_L012</t>
  </si>
  <si>
    <t>L10013</t>
  </si>
  <si>
    <t>Number of years to profile over (needed for profiles 2 and 3)</t>
  </si>
  <si>
    <t>Settings used to control indexation calculations and profiling choices within the model</t>
  </si>
  <si>
    <t>Reconciliation of ex ante to ex post</t>
  </si>
  <si>
    <t>Where a company has had a redetermination undertaken by the CC, then the source is the CC's final findings financial model</t>
  </si>
  <si>
    <t>C00564_L012</t>
  </si>
  <si>
    <t>C00565_L012</t>
  </si>
  <si>
    <t>C00566_L012</t>
  </si>
  <si>
    <t>C00567_L012</t>
  </si>
  <si>
    <t>C00568_L012</t>
  </si>
  <si>
    <t>C00569_L012</t>
  </si>
  <si>
    <t>C00570_L012</t>
  </si>
  <si>
    <t>C00571_L012</t>
  </si>
  <si>
    <t>C00572_L012</t>
  </si>
  <si>
    <t>C00573_L012</t>
  </si>
  <si>
    <t>C00574_L012</t>
  </si>
  <si>
    <t>C00575_L012</t>
  </si>
  <si>
    <t>C00576_L012</t>
  </si>
  <si>
    <t>C00577_L012</t>
  </si>
  <si>
    <t>C00578_L012</t>
  </si>
  <si>
    <t>C00579_L012</t>
  </si>
  <si>
    <t>C00580_L012</t>
  </si>
  <si>
    <t>C00581_L012</t>
  </si>
  <si>
    <t>C00582_L012</t>
  </si>
  <si>
    <t>C00583_L012</t>
  </si>
  <si>
    <t>C00584_L012</t>
  </si>
  <si>
    <t>6 Determination report items in 2012-13 prices</t>
  </si>
  <si>
    <t>Water: Ex post RCV adjustment (2012-13 prices)</t>
  </si>
  <si>
    <t>Water: Ex post total revenue adjustment (2012-13 prices)</t>
  </si>
  <si>
    <t>Sewerage: Ex post RCV adjustment (2012-13 prices)</t>
  </si>
  <si>
    <t>Sewerage: Ex post total revenue adjustment (2012-13 prices)</t>
  </si>
  <si>
    <t>Sewerage: Future value of ex post revenue adjustment of prior year annual adjustments (applied in single year, unprofiled) (2012-13 prices)</t>
  </si>
  <si>
    <t>Water: Future value of ex post revenue adjustment of prior year annual adjustments (applied in single year, unprofiled) (2012-13 prices)</t>
  </si>
  <si>
    <t>C00585_L012</t>
  </si>
  <si>
    <t>Discount rate for CIS (PR09) choice - 0 pre tax, 1 post tax</t>
  </si>
  <si>
    <t>Nov-2014</t>
  </si>
  <si>
    <t>Calc</t>
  </si>
  <si>
    <t>193 and 194</t>
  </si>
  <si>
    <t>Functionality added to allow user to apply either the pre-tax discount rate or the post-tax discount rate in the calculation of the future value of ex post revenue adjustment of prior year annual adjustments.</t>
  </si>
  <si>
    <t>Input switch added to choose 2010-15 discount rate</t>
  </si>
  <si>
    <t>Apply the chosen 2010-15 discount rate in calculations</t>
  </si>
  <si>
    <t>RJT</t>
  </si>
  <si>
    <t>DH</t>
  </si>
  <si>
    <t>Adjusted formulae</t>
  </si>
  <si>
    <t>Mar-2015</t>
  </si>
  <si>
    <t>Alternative calculation of RCV adjustment included</t>
  </si>
  <si>
    <t>Calc2</t>
  </si>
  <si>
    <t>=Calc2!E197</t>
  </si>
  <si>
    <t>=Calc!E197</t>
  </si>
  <si>
    <t>E215</t>
  </si>
  <si>
    <t>=Calc2!E191</t>
  </si>
  <si>
    <t>=Calc!E191</t>
  </si>
  <si>
    <t>E214</t>
  </si>
  <si>
    <t>=Calc2!E185</t>
  </si>
  <si>
    <t>=Calc!E185</t>
  </si>
  <si>
    <t>E213</t>
  </si>
  <si>
    <t>=Calc2!E188</t>
  </si>
  <si>
    <t>=Calc!E188</t>
  </si>
  <si>
    <t>E212</t>
  </si>
  <si>
    <t>=Calc2!E128</t>
  </si>
  <si>
    <t>=Calc!E128</t>
  </si>
  <si>
    <t>E211</t>
  </si>
  <si>
    <t>=Calc2!E125</t>
  </si>
  <si>
    <t>=Calc!E125</t>
  </si>
  <si>
    <t>E210</t>
  </si>
  <si>
    <t>=Calc2!E153</t>
  </si>
  <si>
    <t>=Calc!E153</t>
  </si>
  <si>
    <t>E209</t>
  </si>
  <si>
    <t>=Calc2!E196</t>
  </si>
  <si>
    <t>=Calc!E196</t>
  </si>
  <si>
    <t>E207</t>
  </si>
  <si>
    <t>=Calc2!E190</t>
  </si>
  <si>
    <t>=Calc!E190</t>
  </si>
  <si>
    <t>E206</t>
  </si>
  <si>
    <t>=Calc2!E184</t>
  </si>
  <si>
    <t>=Calc!E184</t>
  </si>
  <si>
    <t>E205</t>
  </si>
  <si>
    <t>=Calc2!E187</t>
  </si>
  <si>
    <t>=Calc!E187</t>
  </si>
  <si>
    <t>E204</t>
  </si>
  <si>
    <t>=Calc2!E127</t>
  </si>
  <si>
    <t>=Calc!E127</t>
  </si>
  <si>
    <t>E203</t>
  </si>
  <si>
    <t>=Calc2!E124</t>
  </si>
  <si>
    <t>=Calc!E124</t>
  </si>
  <si>
    <t>E202</t>
  </si>
  <si>
    <t>=Calc2!E149</t>
  </si>
  <si>
    <t>=Calc!E149</t>
  </si>
  <si>
    <t>E201</t>
  </si>
  <si>
    <t>S144</t>
  </si>
  <si>
    <t>=(N143-N142)*N$15</t>
  </si>
  <si>
    <t>N144</t>
  </si>
  <si>
    <t>=(M143-M142)*M$15</t>
  </si>
  <si>
    <t>M144</t>
  </si>
  <si>
    <t>=(L143-L142)*L$15</t>
  </si>
  <si>
    <t>L144</t>
  </si>
  <si>
    <t>=(K143-K142)*K$15</t>
  </si>
  <si>
    <t>K144</t>
  </si>
  <si>
    <t>=(J143-J142)*J$15</t>
  </si>
  <si>
    <t>J144</t>
  </si>
  <si>
    <t>C144</t>
  </si>
  <si>
    <t>S140</t>
  </si>
  <si>
    <t>=(N139-N138)*N$15</t>
  </si>
  <si>
    <t>N140</t>
  </si>
  <si>
    <t>=(M139-M138)*M$15</t>
  </si>
  <si>
    <t>M140</t>
  </si>
  <si>
    <t>=(L139-L138)*L$15</t>
  </si>
  <si>
    <t>L140</t>
  </si>
  <si>
    <t>=(K139-K138)*K$15</t>
  </si>
  <si>
    <t>K140</t>
  </si>
  <si>
    <t>=(J139-J138)*J$15</t>
  </si>
  <si>
    <t>J140</t>
  </si>
  <si>
    <t>C140</t>
  </si>
  <si>
    <t>Range</t>
  </si>
  <si>
    <t>Description</t>
  </si>
  <si>
    <t>Internal review</t>
  </si>
  <si>
    <t xml:space="preserve">PwC </t>
  </si>
  <si>
    <t>Third party review</t>
  </si>
  <si>
    <t>Consistent with row 181</t>
  </si>
  <si>
    <t>Consistent with row 182</t>
  </si>
  <si>
    <t>140 and 144</t>
  </si>
  <si>
    <t>New formulae inserted to carry out alternative RCV adjustment calc, consistent with revenue adjustment calc. Added Outputs comparison sheet to show delta in outputs from revised approach.</t>
  </si>
  <si>
    <t>=(J$139*J$15)-(J$138*J$26)</t>
  </si>
  <si>
    <t>=(K$139*K$15)-(K$138*K$26)</t>
  </si>
  <si>
    <t>=(L$139*L$15)-(L$138*L$26)</t>
  </si>
  <si>
    <t>=(M$139*M$15)-(M$138*M$26)</t>
  </si>
  <si>
    <t>=(N$139*N$15)-(N$138*N$26)</t>
  </si>
  <si>
    <t>=(J$143*J$15)-(J$142*J$26)</t>
  </si>
  <si>
    <t>=(K$143*K$15)-(K$142*K$26)</t>
  </si>
  <si>
    <t>=(L$143*L$15)-(L$142*L$26)</t>
  </si>
  <si>
    <t>=(M$143*M$15)-(M$142*M$26)</t>
  </si>
  <si>
    <t>=(N$143*N$15)-(N$142*N$26)</t>
  </si>
  <si>
    <r>
      <rPr>
        <b/>
        <sz val="10"/>
        <color theme="4"/>
        <rFont val="Arial"/>
        <family val="2"/>
      </rPr>
      <t>Ex ante outputs</t>
    </r>
    <r>
      <rPr>
        <sz val="10"/>
        <color theme="4"/>
        <rFont val="Arial"/>
        <family val="2"/>
      </rPr>
      <t xml:space="preserve"> - report summarises the company bid, baseline and allowed capital expenditure, CIS bid ratio and additional income that were determined at the time</t>
    </r>
  </si>
  <si>
    <t>C00056_L012BY</t>
  </si>
  <si>
    <t>C00057_L012BY</t>
  </si>
  <si>
    <t>C00054_L012BY</t>
  </si>
  <si>
    <t>C00055_L012BY</t>
  </si>
  <si>
    <t>L10013_L012BY</t>
  </si>
  <si>
    <t>C00564_L012BY</t>
  </si>
  <si>
    <t>C00565_L012BY</t>
  </si>
  <si>
    <t>C00566_L012BY</t>
  </si>
  <si>
    <t>C00567_L012BY</t>
  </si>
  <si>
    <t>C00568_L012BY</t>
  </si>
  <si>
    <t>C00569_L012BY</t>
  </si>
  <si>
    <t>C00570_L012BY</t>
  </si>
  <si>
    <t>C00571_L012BY</t>
  </si>
  <si>
    <t>C00572_L012BY</t>
  </si>
  <si>
    <t>C00573_L012BY</t>
  </si>
  <si>
    <t>C00574_L012BY</t>
  </si>
  <si>
    <t>C00575_L012BY</t>
  </si>
  <si>
    <t>C00576_L012BY</t>
  </si>
  <si>
    <t>C00577_L012BY</t>
  </si>
  <si>
    <t>C00578_L012BY</t>
  </si>
  <si>
    <t>C00579_L012BY</t>
  </si>
  <si>
    <t>C00580_L012BY</t>
  </si>
  <si>
    <t>C00581_L012BY</t>
  </si>
  <si>
    <t>C00582_L012BY</t>
  </si>
  <si>
    <t>C00583_L012BY</t>
  </si>
  <si>
    <t>C00584_L012BY</t>
  </si>
  <si>
    <t>C00585_L012BY</t>
  </si>
  <si>
    <t>Step 1</t>
  </si>
  <si>
    <t>CIS model as published at PR14 (4 year actuals, 1 year forecast)</t>
  </si>
  <si>
    <t>Step 2</t>
  </si>
  <si>
    <t>Step 4</t>
  </si>
  <si>
    <t>Blind year reconciliation 2014-15</t>
  </si>
  <si>
    <t>Revised CIS model for corrected approach to RCV indexation (4 year actuals, 1 year forecast)</t>
  </si>
  <si>
    <t>Revised CIS model for corrected approach to RCV indexation (5 year actuals). Blind year update</t>
  </si>
  <si>
    <t>Calc2 BYR</t>
  </si>
  <si>
    <t>with corrected approach to RCV indexation</t>
  </si>
  <si>
    <t>with FD approach to RCV indexation</t>
  </si>
  <si>
    <t>Alternative calculation of RCV adjustment duplicated for blind year update</t>
  </si>
  <si>
    <t>Feb-2016</t>
  </si>
  <si>
    <t>Duplicate of Calc2 added for blind year update. Added Input BYR sheet. Delta for Calc2 and Calc2 BYR added on Outputs comparison sheet. Added blind year update outcomes to F_Outputs sheet</t>
  </si>
  <si>
    <t>JG</t>
  </si>
  <si>
    <t>Mar-2016</t>
  </si>
  <si>
    <t>(Version 3.5)</t>
  </si>
  <si>
    <t>Published COPI values</t>
  </si>
  <si>
    <t>Business plan for 2015-20 and blind year update</t>
  </si>
  <si>
    <t>Separator sheets included</t>
  </si>
  <si>
    <t>Step 1
Step 2
Step 4</t>
  </si>
  <si>
    <t>Step 1: Calc</t>
  </si>
  <si>
    <t xml:space="preserve">Steo 2: Calc2 </t>
  </si>
  <si>
    <t>Step 4: Calc2 BYR</t>
  </si>
  <si>
    <r>
      <t xml:space="preserve">Difference between step 4 and step 2
</t>
    </r>
    <r>
      <rPr>
        <sz val="8"/>
        <rFont val="Arial"/>
        <family val="2"/>
      </rPr>
      <t>Calc2 BYR - Calc2</t>
    </r>
  </si>
  <si>
    <r>
      <t xml:space="preserve">Difference between step 2 and step 1
</t>
    </r>
    <r>
      <rPr>
        <sz val="8"/>
        <rFont val="Arial"/>
        <family val="2"/>
      </rPr>
      <t>Calc2 - Calc</t>
    </r>
  </si>
  <si>
    <t>Full details for the CIS reconciliation modelling sequence are available on the Ofwat website, see:</t>
  </si>
  <si>
    <t xml:space="preserve">Sheets grouped and organised adopting model step sequence for CIS reconciliation set out in PR14 reconciliation rulebook (section 7.2, figure 82). </t>
  </si>
  <si>
    <t>http://www.ofwat.gov.uk/publication/ofwat-pr14-reconciliation-rulebook</t>
  </si>
  <si>
    <t>The purpose of this model is to perform the capital expenditure incentive scheme (CIS) true up calculations to derive the revenue adjustment and the RCV adjustment arising from the out turn position for the 2010-15 period.</t>
  </si>
  <si>
    <t>For each step (steps 1, 2 and 4) of the model step sequence for CIS reconciliation set out in PR14 reconciliation rulebook (section 7.2, figure 82, there is a grouped set comprising:</t>
  </si>
  <si>
    <t>ratio's close to or over 130. See:</t>
  </si>
  <si>
    <r>
      <rPr>
        <b/>
        <sz val="10"/>
        <color theme="4"/>
        <rFont val="Arial"/>
        <family val="2"/>
      </rPr>
      <t>Matrix</t>
    </r>
    <r>
      <rPr>
        <sz val="10"/>
        <color theme="4"/>
        <rFont val="Arial"/>
        <family val="2"/>
      </rPr>
      <t xml:space="preserve"> - is a copy of the CIS matrix published in appendix 2 of the 2010-15 price review final determination publication. The ex ante ratios in the matrix have been extended beyond 130 for those companies with ex ante bid</t>
    </r>
  </si>
  <si>
    <r>
      <rPr>
        <b/>
        <sz val="10"/>
        <color theme="4"/>
        <rFont val="Arial"/>
        <family val="2"/>
      </rPr>
      <t>Outputs comparison</t>
    </r>
    <r>
      <rPr>
        <sz val="10"/>
        <color theme="4"/>
        <rFont val="Arial"/>
        <family val="2"/>
      </rPr>
      <t xml:space="preserve"> - collates and compares the outcome from each of the separate steps.</t>
    </r>
  </si>
  <si>
    <t>Calculations for blind year update</t>
  </si>
  <si>
    <t>Profiling for blind year update</t>
  </si>
  <si>
    <t>Input Data for blind year update</t>
  </si>
  <si>
    <t>Calculations with corrected approach to RCV indexation</t>
  </si>
  <si>
    <t>FOUNTAIN_INSTANCE_URL</t>
  </si>
  <si>
    <t>https://fntlive201/Fountain/rest-services_XLSPF</t>
  </si>
  <si>
    <t>agendaId</t>
  </si>
  <si>
    <t>1_XLSPF</t>
  </si>
  <si>
    <t>inputSheetLastUpdated</t>
  </si>
  <si>
    <t>PL14L012IN_BY</t>
  </si>
  <si>
    <t>TMS Inputs as at FD</t>
  </si>
  <si>
    <t>companyId</t>
  </si>
  <si>
    <t>61_XLSPF</t>
  </si>
  <si>
    <t>companyName</t>
  </si>
  <si>
    <t>Thames Water Utilities Ltd_XLSPF</t>
  </si>
  <si>
    <t>inputRunName</t>
  </si>
  <si>
    <t>PR14 Blind year reconciliation _XLSPF</t>
  </si>
  <si>
    <t>inputRunId</t>
  </si>
  <si>
    <t>95_XLSPF</t>
  </si>
  <si>
    <t>outputRunName</t>
  </si>
  <si>
    <t>outputRunId</t>
  </si>
  <si>
    <t>tagName</t>
  </si>
  <si>
    <t>latest_XLSPF</t>
  </si>
  <si>
    <t>tagId</t>
  </si>
  <si>
    <t>0_XLSPF</t>
  </si>
  <si>
    <t>F_Inputs_TABLE_ID</t>
  </si>
  <si>
    <t>9196_XLSPF</t>
  </si>
  <si>
    <t>F_Inputs_TEAM</t>
  </si>
  <si>
    <t>IPL_XLSPF</t>
  </si>
  <si>
    <t>F_Inputs_USER</t>
  </si>
  <si>
    <t>OFWAT\Salim.Lorgat_XLSPF</t>
  </si>
  <si>
    <t>F_Inputs_NAME</t>
  </si>
  <si>
    <t>PL14L012IN_BY_XLSPF</t>
  </si>
  <si>
    <t>F_Inputs_TITLE</t>
  </si>
  <si>
    <t>_XLSPF</t>
  </si>
  <si>
    <t>EXTERNAL_MODEL_NAME</t>
  </si>
  <si>
    <t>EXTERNAL_MODEL_CODE</t>
  </si>
  <si>
    <t>EXTERNAL_MODEL_FAMILY</t>
  </si>
  <si>
    <t>BY_XLSPF</t>
  </si>
  <si>
    <t>FOUNTAIN_REPORT</t>
  </si>
  <si>
    <t>1939_XLSPF</t>
  </si>
  <si>
    <t>TMS Blind year update with corrected approach to RCV indexation</t>
  </si>
  <si>
    <t>F_Outputs_TABLE_ID</t>
  </si>
  <si>
    <t>9365_XLSPF</t>
  </si>
  <si>
    <t>F_Outputs_TEAM</t>
  </si>
  <si>
    <t>F_Outputs_USER</t>
  </si>
  <si>
    <t>F_Outputs_NAME</t>
  </si>
  <si>
    <t>PL14L012_BY_XLSPF</t>
  </si>
  <si>
    <t>F_Outputs_TITLE</t>
  </si>
  <si>
    <t>PL14L012_BY</t>
  </si>
  <si>
    <t>outputSheetLastSent</t>
  </si>
  <si>
    <t>TMS</t>
  </si>
  <si>
    <t>OFWAT\Dawn.Harrison_XLSPF</t>
  </si>
  <si>
    <t>12/04/2017 16:04:02_XLSPF</t>
  </si>
  <si>
    <t>12/04/2017 16:06:22_XLSPF</t>
  </si>
  <si>
    <t xml:space="preserve">Water: Allowance capex (gross of adjustment) inflated by FD NI </t>
  </si>
  <si>
    <t xml:space="preserve">Wastewater: Allowance capex (gross of adjustment) inflated by FD NI </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</si>
</sst>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64" formatCode="_(* #,##0_);_(* \(#,##0\);_(* &quot;-&quot;_);_(@_)"/>
    <numFmt numFmtId="165" formatCode="_(* #,##0.00_);_(* \(#,##0.00\);_(* &quot;-&quot;??_);_(@_)"/>
    <numFmt numFmtId="166" formatCode="_(* #,##0.000_);_(* \(#,##0.000\);_(* &quot;-&quot;_);_(@_)"/>
    <numFmt numFmtId="167" formatCode="0.0"/>
    <numFmt numFmtId="168" formatCode="0.000"/>
    <numFmt numFmtId="169" formatCode="0.00000000000000000"/>
    <numFmt numFmtId="170" formatCode="0.0000"/>
    <numFmt numFmtId="171" formatCode="0.0%"/>
    <numFmt numFmtId="172" formatCode="_-* #,##0.000_-;\-* #,##0.000_-;_-* &quot;-&quot;??_-;_-@_-"/>
    <numFmt numFmtId="173" formatCode="_-* #,##0.0_-;\-* #,##0.0_-;_-* &quot;-&quot;??_-;_-@_-"/>
    <numFmt numFmtId="174" formatCode="0.00000"/>
    <numFmt numFmtId="175" formatCode="0.00000000"/>
    <numFmt numFmtId="176" formatCode="0.00000%"/>
    <numFmt numFmtId="177" formatCode="_(* ##0.00_)%;_(* \(##0.00\)%;_(* &quot;-&quot;_);_(@_)"/>
    <numFmt numFmtId="178" formatCode="_-* #,##0.000_-;\-* #,##0.000_-;_-* &quot;-&quot;???_-;_-@_-"/>
    <numFmt numFmtId="179" formatCode="#,##0.000"/>
    <numFmt numFmtId="180" formatCode="_(* #,##0.00_);_(* \(#,##0.00\);_(* &quot;-&quot;_);_(@_)"/>
    <numFmt numFmtId="181" formatCode="_(* #,##0.0_);_(* \(#,##0.0\);_(* &quot;-&quot;_);_(@_)"/>
    <numFmt numFmtId="182" formatCode="#,##0.0"/>
    <numFmt numFmtId="183" formatCode="_(* #,##0.000_);_(* \(#,##0.000\);_(* &quot;-&quot;??_);_(@_)"/>
    <numFmt numFmtId="184" formatCode="&quot;£&quot;#,##0.000_);[Red]\(&quot;£&quot;#,##0.000\)"/>
  </numFmts>
  <fonts count="80">
    <font>
      <sz val="10"/>
      <name val="Arial"/>
    </font>
    <font>
      <sz val="10"/>
      <color theme="1"/>
      <name val="Arial"/>
      <family val="2"/>
    </font>
    <font>
      <sz val="11"/>
      <color theme="1"/>
      <name val="Arial"/>
      <family val="2"/>
    </font>
    <font>
      <sz val="10"/>
      <name val="Arial"/>
      <family val="2"/>
    </font>
    <font>
      <sz val="10"/>
      <name val="Arial"/>
      <family val="2"/>
    </font>
    <font>
      <sz val="10"/>
      <color indexed="9"/>
      <name val="Arial"/>
      <family val="2"/>
    </font>
    <font>
      <sz val="14"/>
      <name val="Arial"/>
      <family val="2"/>
    </font>
    <font>
      <b/>
      <sz val="10"/>
      <color indexed="62"/>
      <name val="Arial"/>
      <family val="2"/>
    </font>
    <font>
      <sz val="14"/>
      <color indexed="9"/>
      <name val="Arial"/>
      <family val="2"/>
    </font>
    <font>
      <b/>
      <sz val="14"/>
      <color indexed="18"/>
      <name val="Arial"/>
      <family val="2"/>
    </font>
    <font>
      <b/>
      <sz val="10"/>
      <color indexed="9"/>
      <name val="Arial"/>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0"/>
      <color indexed="1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1"/>
      <color indexed="18"/>
      <name val="Arial"/>
      <family val="2"/>
    </font>
    <font>
      <sz val="10"/>
      <color indexed="62"/>
      <name val="Arial"/>
      <family val="2"/>
    </font>
    <font>
      <sz val="10"/>
      <color indexed="8"/>
      <name val="Arial"/>
      <family val="2"/>
    </font>
    <font>
      <sz val="10"/>
      <color rgb="FFFF0000"/>
      <name val="Arial"/>
      <family val="2"/>
    </font>
    <font>
      <sz val="9"/>
      <name val="Arial"/>
      <family val="2"/>
    </font>
    <font>
      <u/>
      <sz val="8"/>
      <color indexed="12"/>
      <name val="Arial"/>
      <family val="2"/>
    </font>
    <font>
      <sz val="10"/>
      <color theme="4"/>
      <name val="Arial"/>
      <family val="2"/>
    </font>
    <font>
      <b/>
      <sz val="14"/>
      <color indexed="9"/>
      <name val="Arial"/>
      <family val="2"/>
    </font>
    <font>
      <b/>
      <sz val="22"/>
      <color indexed="9"/>
      <name val="Arial"/>
      <family val="2"/>
    </font>
    <font>
      <b/>
      <sz val="26"/>
      <color theme="0"/>
      <name val="Arial"/>
      <family val="2"/>
    </font>
    <font>
      <sz val="14"/>
      <color theme="3"/>
      <name val="Arial"/>
      <family val="2"/>
    </font>
    <font>
      <sz val="14"/>
      <color theme="0"/>
      <name val="Arial"/>
      <family val="2"/>
    </font>
    <font>
      <sz val="9"/>
      <color indexed="81"/>
      <name val="Tahoma"/>
      <family val="2"/>
    </font>
    <font>
      <b/>
      <sz val="9"/>
      <color indexed="81"/>
      <name val="Tahoma"/>
      <family val="2"/>
    </font>
    <font>
      <sz val="12"/>
      <color theme="3"/>
      <name val="Arial"/>
      <family val="2"/>
    </font>
    <font>
      <sz val="8"/>
      <color indexed="9"/>
      <name val="Arial"/>
      <family val="2"/>
    </font>
    <font>
      <b/>
      <sz val="8"/>
      <color indexed="9"/>
      <name val="Arial"/>
      <family val="2"/>
    </font>
    <font>
      <b/>
      <sz val="14"/>
      <color theme="4"/>
      <name val="Arial"/>
      <family val="2"/>
    </font>
    <font>
      <sz val="14"/>
      <color theme="4"/>
      <name val="Arial"/>
      <family val="2"/>
    </font>
    <font>
      <sz val="8"/>
      <color theme="4"/>
      <name val="Arial"/>
      <family val="2"/>
    </font>
    <font>
      <b/>
      <sz val="10"/>
      <color theme="4"/>
      <name val="Arial"/>
      <family val="2"/>
    </font>
    <font>
      <b/>
      <sz val="8"/>
      <color theme="4"/>
      <name val="Arial"/>
      <family val="2"/>
    </font>
    <font>
      <u/>
      <sz val="10"/>
      <color theme="10"/>
      <name val="Arial"/>
      <family val="2"/>
    </font>
    <font>
      <sz val="9"/>
      <color theme="4"/>
      <name val="Arial"/>
      <family val="2"/>
    </font>
    <font>
      <b/>
      <sz val="18"/>
      <name val="Arial"/>
      <family val="2"/>
    </font>
    <font>
      <u/>
      <sz val="10"/>
      <name val="Arial"/>
      <family val="2"/>
    </font>
    <font>
      <b/>
      <sz val="9"/>
      <name val="Arial"/>
      <family val="2"/>
    </font>
    <font>
      <sz val="10"/>
      <name val="Arial"/>
      <family val="2"/>
    </font>
    <font>
      <sz val="14"/>
      <color theme="4"/>
      <name val="Arial Rounded MT Bold"/>
      <family val="2"/>
      <scheme val="major"/>
    </font>
    <font>
      <sz val="9"/>
      <color theme="4"/>
      <name val="Arial Rounded MT Bold"/>
      <family val="2"/>
      <scheme val="major"/>
    </font>
    <font>
      <sz val="10"/>
      <color theme="4"/>
      <name val="Arial Rounded MT Bold"/>
      <family val="2"/>
      <scheme val="major"/>
    </font>
    <font>
      <sz val="10"/>
      <color theme="0"/>
      <name val="Arial Rounded MT Bold"/>
      <family val="2"/>
      <scheme val="major"/>
    </font>
    <font>
      <sz val="12"/>
      <name val="Arial Rounded MT Bold"/>
      <family val="2"/>
      <scheme val="major"/>
    </font>
    <font>
      <sz val="20"/>
      <color theme="4"/>
      <name val="Arial Rounded MT Bold"/>
      <family val="2"/>
      <scheme val="major"/>
    </font>
    <font>
      <sz val="26"/>
      <color indexed="9"/>
      <name val="Arial Rounded MT Bold"/>
      <family val="2"/>
      <scheme val="major"/>
    </font>
    <font>
      <sz val="10"/>
      <color indexed="9"/>
      <name val="Arial Rounded MT Bold"/>
      <family val="2"/>
      <scheme val="major"/>
    </font>
    <font>
      <sz val="12"/>
      <color indexed="9"/>
      <name val="Arial Rounded MT Bold"/>
      <family val="2"/>
      <scheme val="major"/>
    </font>
    <font>
      <sz val="8"/>
      <name val="Arial Rounded MT Bold"/>
      <family val="2"/>
      <scheme val="major"/>
    </font>
    <font>
      <sz val="26"/>
      <color theme="0"/>
      <name val="Arial Rounded MT Bold"/>
      <family val="2"/>
      <scheme val="major"/>
    </font>
    <font>
      <sz val="22"/>
      <color theme="0"/>
      <name val="Arial Rounded MT Bold"/>
      <family val="2"/>
      <scheme val="major"/>
    </font>
    <font>
      <sz val="14"/>
      <color indexed="9"/>
      <name val="Arial Rounded MT Bold"/>
      <family val="2"/>
      <scheme val="major"/>
    </font>
    <font>
      <sz val="10"/>
      <name val="Arial Rounded MT Bold"/>
      <family val="2"/>
      <scheme val="major"/>
    </font>
    <font>
      <sz val="11"/>
      <color theme="1"/>
      <name val="Arial"/>
      <family val="2"/>
      <scheme val="minor"/>
    </font>
    <font>
      <b/>
      <sz val="10"/>
      <color theme="0"/>
      <name val="Arial"/>
      <family val="2"/>
    </font>
    <font>
      <b/>
      <sz val="10"/>
      <color theme="4"/>
      <name val="Arial Rounded MT Bold"/>
      <family val="2"/>
      <scheme val="major"/>
    </font>
    <font>
      <sz val="10"/>
      <color theme="4"/>
      <name val="Arial"/>
      <family val="2"/>
      <scheme val="minor"/>
    </font>
  </fonts>
  <fills count="35">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1"/>
        <bgColor indexed="64"/>
      </patternFill>
    </fill>
    <fill>
      <patternFill patternType="solid">
        <fgColor indexed="55"/>
      </patternFill>
    </fill>
    <fill>
      <patternFill patternType="solid">
        <fgColor indexed="42"/>
      </patternFill>
    </fill>
    <fill>
      <patternFill patternType="solid">
        <fgColor indexed="18"/>
        <bgColor indexed="64"/>
      </patternFill>
    </fill>
    <fill>
      <patternFill patternType="solid">
        <fgColor indexed="62"/>
        <bgColor indexed="64"/>
      </patternFill>
    </fill>
    <fill>
      <patternFill patternType="solid">
        <fgColor theme="3"/>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5"/>
        <bgColor indexed="64"/>
      </patternFill>
    </fill>
    <fill>
      <patternFill patternType="solid">
        <fgColor theme="4"/>
        <bgColor indexed="64"/>
      </patternFill>
    </fill>
    <fill>
      <patternFill patternType="solid">
        <fgColor theme="6" tint="0.59999389629810485"/>
        <bgColor indexed="64"/>
      </patternFill>
    </fill>
    <fill>
      <patternFill patternType="solid">
        <fgColor rgb="FFFFFFFE"/>
        <bgColor indexed="64"/>
      </patternFill>
    </fill>
    <fill>
      <patternFill patternType="solid">
        <fgColor rgb="FFFFFF00"/>
        <bgColor indexed="64"/>
      </patternFill>
    </fill>
    <fill>
      <patternFill patternType="solid">
        <fgColor rgb="FF00E2FF"/>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indexed="13"/>
        <bgColor indexed="64"/>
      </patternFill>
    </fill>
    <fill>
      <patternFill patternType="solid">
        <fgColor theme="0" tint="-0.14999847407452621"/>
        <bgColor indexed="64"/>
      </patternFill>
    </fill>
    <fill>
      <patternFill patternType="solid">
        <fgColor theme="6"/>
        <bgColor indexed="64"/>
      </patternFill>
    </fill>
  </fills>
  <borders count="40">
    <border>
      <left/>
      <right/>
      <top/>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right/>
      <top style="thin">
        <color indexed="62"/>
      </top>
      <bottom style="thin">
        <color indexed="62"/>
      </bottom>
      <diagonal/>
    </border>
    <border>
      <left style="thin">
        <color indexed="62"/>
      </left>
      <right/>
      <top style="thin">
        <color indexed="62"/>
      </top>
      <bottom style="thin">
        <color indexed="62"/>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bottom/>
      <diagonal/>
    </border>
    <border>
      <left/>
      <right style="thin">
        <color auto="1"/>
      </right>
      <top/>
      <bottom/>
      <diagonal/>
    </border>
    <border>
      <left/>
      <right style="thin">
        <color indexed="64"/>
      </right>
      <top style="thin">
        <color indexed="18"/>
      </top>
      <bottom style="thin">
        <color indexed="18"/>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
      <left/>
      <right style="thin">
        <color auto="1"/>
      </right>
      <top/>
      <bottom/>
      <diagonal/>
    </border>
  </borders>
  <cellStyleXfs count="79">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3" fillId="0" borderId="0" applyNumberFormat="0" applyFont="0" applyFill="0" applyBorder="0" applyAlignment="0" applyProtection="0"/>
    <xf numFmtId="0" fontId="15" fillId="15" borderId="0" applyNumberFormat="0" applyBorder="0" applyAlignment="0" applyProtection="0"/>
    <xf numFmtId="37" fontId="11" fillId="16" borderId="1">
      <alignment horizontal="left"/>
    </xf>
    <xf numFmtId="37" fontId="16" fillId="16" borderId="2"/>
    <xf numFmtId="0" fontId="3" fillId="16" borderId="3" applyNumberFormat="0" applyBorder="0"/>
    <xf numFmtId="0" fontId="17" fillId="2" borderId="4" applyNumberFormat="0" applyAlignment="0" applyProtection="0"/>
    <xf numFmtId="0" fontId="18" fillId="17" borderId="5" applyNumberFormat="0" applyAlignment="0" applyProtection="0"/>
    <xf numFmtId="165" fontId="3" fillId="0" borderId="0" applyFont="0" applyFill="0" applyBorder="0" applyAlignment="0" applyProtection="0"/>
    <xf numFmtId="0" fontId="19" fillId="0" borderId="0" applyNumberFormat="0" applyFill="0" applyBorder="0" applyAlignment="0" applyProtection="0"/>
    <xf numFmtId="0" fontId="20" fillId="18" borderId="0" applyNumberFormat="0" applyBorder="0" applyAlignment="0" applyProtection="0"/>
    <xf numFmtId="0" fontId="21" fillId="16" borderId="6"/>
    <xf numFmtId="37" fontId="3" fillId="16" borderId="0">
      <alignment horizontal="right"/>
    </xf>
    <xf numFmtId="0" fontId="22" fillId="0" borderId="7" applyNumberFormat="0" applyFill="0" applyAlignment="0" applyProtection="0"/>
    <xf numFmtId="0" fontId="23" fillId="0" borderId="8"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5" fillId="3" borderId="4" applyNumberFormat="0" applyAlignment="0" applyProtection="0"/>
    <xf numFmtId="0" fontId="26" fillId="0" borderId="10" applyNumberFormat="0" applyFill="0" applyAlignment="0" applyProtection="0"/>
    <xf numFmtId="0" fontId="27" fillId="8" borderId="0" applyNumberFormat="0" applyBorder="0" applyAlignment="0" applyProtection="0"/>
    <xf numFmtId="0" fontId="28" fillId="0" borderId="0"/>
    <xf numFmtId="37" fontId="3" fillId="0" borderId="0" applyFill="0" applyBorder="0" applyProtection="0">
      <protection locked="0"/>
    </xf>
    <xf numFmtId="0" fontId="3" fillId="4" borderId="11" applyNumberFormat="0" applyFont="0" applyAlignment="0" applyProtection="0"/>
    <xf numFmtId="0" fontId="29" fillId="2" borderId="12" applyNumberFormat="0" applyAlignment="0" applyProtection="0"/>
    <xf numFmtId="9" fontId="3" fillId="0" borderId="0" applyFont="0" applyFill="0" applyBorder="0" applyAlignment="0" applyProtection="0"/>
    <xf numFmtId="0" fontId="36" fillId="0" borderId="0">
      <alignment vertical="top"/>
    </xf>
    <xf numFmtId="0" fontId="30" fillId="0" borderId="0" applyNumberFormat="0" applyFill="0" applyBorder="0" applyAlignment="0" applyProtection="0"/>
    <xf numFmtId="0" fontId="31" fillId="0" borderId="13" applyNumberFormat="0" applyFill="0" applyAlignment="0" applyProtection="0"/>
    <xf numFmtId="0" fontId="32" fillId="0" borderId="0" applyNumberFormat="0" applyFill="0" applyBorder="0" applyAlignment="0" applyProtection="0"/>
    <xf numFmtId="37" fontId="33" fillId="19" borderId="14"/>
    <xf numFmtId="0" fontId="34" fillId="0" borderId="15">
      <alignment horizontal="right"/>
    </xf>
    <xf numFmtId="0" fontId="3" fillId="0" borderId="0"/>
    <xf numFmtId="0" fontId="39" fillId="0" borderId="0" applyNumberFormat="0" applyFill="0" applyBorder="0" applyAlignment="0" applyProtection="0">
      <alignment vertical="top"/>
      <protection locked="0"/>
    </xf>
    <xf numFmtId="165" fontId="3" fillId="0" borderId="0" applyFont="0" applyFill="0" applyBorder="0" applyAlignment="0" applyProtection="0"/>
    <xf numFmtId="0" fontId="3" fillId="0" borderId="0">
      <alignment vertical="top"/>
    </xf>
    <xf numFmtId="0" fontId="56" fillId="0" borderId="0" applyNumberFormat="0" applyFill="0" applyBorder="0" applyAlignment="0" applyProtection="0"/>
    <xf numFmtId="0" fontId="3" fillId="0" borderId="0">
      <alignment vertical="top"/>
    </xf>
    <xf numFmtId="9" fontId="61" fillId="0" borderId="0" applyFont="0" applyFill="0" applyBorder="0" applyAlignment="0" applyProtection="0"/>
    <xf numFmtId="0" fontId="61" fillId="0" borderId="0">
      <alignment vertical="top"/>
    </xf>
    <xf numFmtId="165" fontId="61" fillId="0" borderId="0" applyFont="0" applyFill="0" applyBorder="0" applyAlignment="0" applyProtection="0"/>
    <xf numFmtId="0" fontId="61" fillId="0" borderId="0">
      <alignment vertical="top"/>
    </xf>
    <xf numFmtId="0" fontId="76" fillId="0" borderId="0"/>
    <xf numFmtId="0" fontId="3" fillId="27" borderId="0"/>
    <xf numFmtId="0" fontId="11" fillId="28" borderId="0"/>
    <xf numFmtId="0" fontId="11" fillId="29" borderId="0"/>
    <xf numFmtId="0" fontId="3" fillId="0" borderId="0"/>
    <xf numFmtId="0" fontId="2" fillId="0" borderId="0"/>
    <xf numFmtId="0" fontId="3" fillId="28" borderId="28"/>
    <xf numFmtId="9" fontId="76" fillId="0" borderId="0" applyFont="0" applyFill="0" applyBorder="0" applyAlignment="0" applyProtection="0"/>
    <xf numFmtId="0" fontId="3" fillId="0" borderId="0"/>
    <xf numFmtId="0" fontId="3" fillId="27" borderId="0"/>
    <xf numFmtId="0" fontId="3" fillId="28" borderId="28"/>
    <xf numFmtId="0" fontId="3" fillId="27" borderId="0"/>
    <xf numFmtId="0" fontId="76" fillId="0" borderId="0"/>
    <xf numFmtId="0" fontId="1" fillId="0" borderId="0"/>
  </cellStyleXfs>
  <cellXfs count="783">
    <xf numFmtId="0" fontId="0" fillId="0" borderId="0" xfId="0"/>
    <xf numFmtId="49" fontId="35" fillId="20" borderId="18" xfId="25" applyNumberFormat="1" applyFont="1" applyFill="1" applyBorder="1" applyAlignment="1">
      <alignment horizontal="right" vertical="center"/>
    </xf>
    <xf numFmtId="0" fontId="4" fillId="0" borderId="0" xfId="25" applyNumberFormat="1" applyFont="1" applyFill="1" applyBorder="1" applyAlignment="1">
      <alignment vertical="center"/>
    </xf>
    <xf numFmtId="49" fontId="5" fillId="0" borderId="0" xfId="25" applyNumberFormat="1" applyFont="1" applyFill="1" applyAlignment="1">
      <alignment horizontal="right" vertical="center"/>
    </xf>
    <xf numFmtId="0" fontId="4" fillId="0" borderId="0" xfId="25" applyFont="1" applyFill="1" applyAlignment="1">
      <alignment horizontal="left" vertical="center"/>
    </xf>
    <xf numFmtId="166" fontId="3" fillId="0" borderId="0" xfId="25" applyNumberFormat="1" applyFill="1" applyAlignment="1">
      <alignment horizontal="right" vertical="center"/>
    </xf>
    <xf numFmtId="49" fontId="8" fillId="0" borderId="0" xfId="25" applyNumberFormat="1" applyFont="1" applyFill="1" applyBorder="1" applyAlignment="1" applyProtection="1">
      <alignment horizontal="right" vertical="center"/>
    </xf>
    <xf numFmtId="1" fontId="16" fillId="0" borderId="0" xfId="25" applyNumberFormat="1" applyFont="1" applyFill="1" applyBorder="1" applyAlignment="1" applyProtection="1">
      <alignment horizontal="right" vertical="center"/>
    </xf>
    <xf numFmtId="1" fontId="6" fillId="0" borderId="0" xfId="25" applyNumberFormat="1" applyFont="1" applyFill="1" applyBorder="1" applyAlignment="1" applyProtection="1">
      <alignment horizontal="right" vertical="center"/>
    </xf>
    <xf numFmtId="1" fontId="5" fillId="0" borderId="0" xfId="25" applyNumberFormat="1" applyFont="1" applyFill="1" applyBorder="1" applyAlignment="1" applyProtection="1">
      <alignment shrinkToFit="1"/>
    </xf>
    <xf numFmtId="1" fontId="9" fillId="0" borderId="0" xfId="25" applyNumberFormat="1" applyFont="1" applyFill="1" applyBorder="1" applyAlignment="1" applyProtection="1">
      <alignment horizontal="left" vertical="center" shrinkToFit="1"/>
    </xf>
    <xf numFmtId="10" fontId="11" fillId="0" borderId="0" xfId="0" applyNumberFormat="1" applyFont="1" applyFill="1" applyBorder="1" applyAlignment="1">
      <alignment horizontal="left" vertical="center"/>
    </xf>
    <xf numFmtId="1" fontId="4" fillId="0" borderId="0" xfId="0" applyNumberFormat="1" applyFont="1" applyFill="1" applyBorder="1" applyAlignment="1">
      <alignment vertical="center"/>
    </xf>
    <xf numFmtId="49" fontId="5" fillId="0" borderId="0" xfId="0" applyNumberFormat="1" applyFont="1" applyFill="1" applyAlignment="1">
      <alignment horizontal="right" vertical="center"/>
    </xf>
    <xf numFmtId="1" fontId="4" fillId="0" borderId="0" xfId="0" applyNumberFormat="1" applyFont="1" applyFill="1" applyAlignment="1">
      <alignment vertical="center"/>
    </xf>
    <xf numFmtId="1" fontId="4" fillId="0" borderId="0"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4" fillId="0" borderId="0" xfId="0" applyNumberFormat="1" applyFont="1" applyFill="1" applyBorder="1" applyAlignment="1">
      <alignment vertical="center"/>
    </xf>
    <xf numFmtId="1" fontId="10" fillId="0" borderId="0" xfId="0" applyNumberFormat="1" applyFont="1" applyFill="1" applyBorder="1" applyAlignment="1">
      <alignment horizontal="left" vertical="center"/>
    </xf>
    <xf numFmtId="0" fontId="0" fillId="0" borderId="0" xfId="0" applyBorder="1"/>
    <xf numFmtId="0" fontId="4" fillId="0" borderId="0" xfId="0" applyFont="1" applyFill="1" applyBorder="1" applyAlignment="1" applyProtection="1">
      <alignment shrinkToFit="1"/>
    </xf>
    <xf numFmtId="0" fontId="0" fillId="0" borderId="0" xfId="0" applyAlignment="1">
      <alignment shrinkToFit="1"/>
    </xf>
    <xf numFmtId="0" fontId="0" fillId="0" borderId="0" xfId="0" applyFill="1"/>
    <xf numFmtId="0" fontId="0" fillId="0" borderId="0" xfId="0" applyProtection="1">
      <protection locked="0"/>
    </xf>
    <xf numFmtId="0" fontId="0" fillId="0" borderId="0" xfId="0" applyAlignment="1" applyProtection="1">
      <alignment shrinkToFit="1"/>
      <protection locked="0"/>
    </xf>
    <xf numFmtId="0" fontId="0" fillId="0" borderId="0" xfId="0" applyFill="1" applyProtection="1">
      <protection locked="0"/>
    </xf>
    <xf numFmtId="0" fontId="0" fillId="0" borderId="23" xfId="0" applyBorder="1"/>
    <xf numFmtId="0" fontId="0" fillId="0" borderId="22" xfId="0" applyBorder="1"/>
    <xf numFmtId="0" fontId="37" fillId="0" borderId="0" xfId="0" applyFont="1"/>
    <xf numFmtId="0" fontId="0" fillId="0" borderId="0" xfId="0" applyFill="1" applyAlignment="1"/>
    <xf numFmtId="0" fontId="38" fillId="0" borderId="0" xfId="25" applyNumberFormat="1" applyFont="1" applyFill="1" applyBorder="1" applyAlignment="1">
      <alignment vertical="center"/>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10" fillId="0" borderId="0" xfId="0" applyFont="1" applyFill="1" applyBorder="1" applyAlignment="1" applyProtection="1">
      <alignment vertical="center" shrinkToFit="1"/>
      <protection locked="0"/>
    </xf>
    <xf numFmtId="0" fontId="0" fillId="0" borderId="0" xfId="0" applyAlignment="1" applyProtection="1">
      <protection locked="0"/>
    </xf>
    <xf numFmtId="0" fontId="10" fillId="0" borderId="0" xfId="0" applyFont="1" applyFill="1" applyBorder="1" applyAlignment="1" applyProtection="1">
      <alignment horizontal="center" vertical="center" shrinkToFit="1"/>
      <protection locked="0"/>
    </xf>
    <xf numFmtId="0" fontId="40" fillId="0" borderId="0" xfId="0" applyFont="1" applyFill="1"/>
    <xf numFmtId="0" fontId="5" fillId="21" borderId="19" xfId="25" applyFont="1" applyFill="1" applyBorder="1" applyAlignment="1">
      <alignment vertical="center"/>
    </xf>
    <xf numFmtId="1" fontId="10" fillId="21" borderId="19" xfId="25" applyNumberFormat="1" applyFont="1" applyFill="1" applyBorder="1" applyAlignment="1">
      <alignment horizontal="right" vertical="center"/>
    </xf>
    <xf numFmtId="1" fontId="41" fillId="21" borderId="19" xfId="25" applyNumberFormat="1" applyFont="1" applyFill="1" applyBorder="1" applyAlignment="1">
      <alignment horizontal="right" vertical="center"/>
    </xf>
    <xf numFmtId="0" fontId="6" fillId="0" borderId="0" xfId="0" applyFont="1"/>
    <xf numFmtId="0" fontId="44" fillId="0" borderId="0" xfId="0" applyFont="1"/>
    <xf numFmtId="49" fontId="5" fillId="0" borderId="22" xfId="25" applyNumberFormat="1" applyFont="1" applyFill="1" applyBorder="1" applyAlignment="1">
      <alignment horizontal="right" vertical="center"/>
    </xf>
    <xf numFmtId="0" fontId="4" fillId="0" borderId="0" xfId="25" applyFont="1" applyFill="1" applyBorder="1" applyAlignment="1">
      <alignment horizontal="left" vertical="center"/>
    </xf>
    <xf numFmtId="0" fontId="6" fillId="0" borderId="0" xfId="25" applyFont="1" applyFill="1" applyBorder="1" applyAlignment="1">
      <alignment horizontal="left" vertical="center"/>
    </xf>
    <xf numFmtId="49" fontId="5" fillId="0" borderId="0" xfId="25" applyNumberFormat="1" applyFont="1" applyFill="1" applyBorder="1" applyAlignment="1">
      <alignment shrinkToFit="1"/>
    </xf>
    <xf numFmtId="0" fontId="3" fillId="0" borderId="0" xfId="25" applyFill="1" applyBorder="1" applyAlignment="1">
      <alignment horizontal="left" vertical="center" shrinkToFit="1"/>
    </xf>
    <xf numFmtId="166" fontId="11" fillId="0" borderId="0" xfId="25" applyNumberFormat="1" applyFont="1" applyFill="1" applyBorder="1" applyAlignment="1">
      <alignment horizontal="right" vertical="center"/>
    </xf>
    <xf numFmtId="166" fontId="3" fillId="0" borderId="0" xfId="25" applyNumberFormat="1" applyFill="1" applyBorder="1" applyAlignment="1">
      <alignment horizontal="right" vertical="center"/>
    </xf>
    <xf numFmtId="166" fontId="3" fillId="22" borderId="0" xfId="25" applyNumberFormat="1" applyFill="1" applyBorder="1" applyAlignment="1">
      <alignment horizontal="right" vertical="center"/>
    </xf>
    <xf numFmtId="0" fontId="6" fillId="0" borderId="23" xfId="25" applyNumberFormat="1" applyFont="1" applyFill="1" applyBorder="1" applyAlignment="1">
      <alignment horizontal="center" vertical="center" shrinkToFit="1"/>
    </xf>
    <xf numFmtId="49" fontId="8" fillId="0" borderId="22" xfId="25" applyNumberFormat="1" applyFont="1" applyFill="1" applyBorder="1" applyAlignment="1" applyProtection="1">
      <alignment horizontal="right" vertical="center"/>
    </xf>
    <xf numFmtId="0" fontId="44" fillId="0" borderId="22" xfId="0" applyFont="1" applyBorder="1"/>
    <xf numFmtId="0" fontId="44" fillId="0" borderId="0" xfId="0" applyFont="1" applyBorder="1"/>
    <xf numFmtId="168" fontId="44" fillId="0" borderId="0" xfId="0" applyNumberFormat="1" applyFont="1" applyBorder="1"/>
    <xf numFmtId="0" fontId="44" fillId="0" borderId="24" xfId="0" applyFont="1" applyBorder="1"/>
    <xf numFmtId="0" fontId="44" fillId="0" borderId="25" xfId="0" applyFont="1" applyBorder="1"/>
    <xf numFmtId="0" fontId="44" fillId="0" borderId="26" xfId="0" applyFont="1" applyBorder="1"/>
    <xf numFmtId="1" fontId="10" fillId="21" borderId="17" xfId="0" applyNumberFormat="1" applyFont="1" applyFill="1" applyBorder="1" applyAlignment="1" applyProtection="1">
      <alignment vertical="center"/>
    </xf>
    <xf numFmtId="0" fontId="10" fillId="21" borderId="17" xfId="0" applyFont="1" applyFill="1" applyBorder="1" applyAlignment="1" applyProtection="1">
      <alignment vertical="center"/>
    </xf>
    <xf numFmtId="49" fontId="5" fillId="0" borderId="0" xfId="0" applyNumberFormat="1" applyFont="1" applyFill="1" applyAlignment="1">
      <alignment vertical="center"/>
    </xf>
    <xf numFmtId="1" fontId="10" fillId="0" borderId="0" xfId="0" applyNumberFormat="1" applyFont="1" applyFill="1" applyBorder="1" applyAlignment="1">
      <alignment vertical="center"/>
    </xf>
    <xf numFmtId="10" fontId="11" fillId="0" borderId="0" xfId="0" applyNumberFormat="1" applyFont="1" applyFill="1" applyBorder="1" applyAlignment="1">
      <alignment vertical="center"/>
    </xf>
    <xf numFmtId="0" fontId="44" fillId="0" borderId="0" xfId="0" applyFont="1" applyBorder="1" applyAlignment="1">
      <alignment horizontal="left"/>
    </xf>
    <xf numFmtId="0" fontId="0" fillId="22" borderId="0" xfId="0" applyFill="1" applyBorder="1"/>
    <xf numFmtId="0" fontId="44" fillId="22" borderId="25" xfId="0" applyFont="1" applyFill="1" applyBorder="1"/>
    <xf numFmtId="0" fontId="10" fillId="22" borderId="0" xfId="0" applyFont="1" applyFill="1" applyBorder="1" applyAlignment="1" applyProtection="1">
      <alignment vertical="center"/>
      <protection locked="0"/>
    </xf>
    <xf numFmtId="1" fontId="5" fillId="0" borderId="0" xfId="0" applyNumberFormat="1" applyFont="1" applyFill="1" applyBorder="1" applyAlignment="1">
      <alignment shrinkToFit="1"/>
    </xf>
    <xf numFmtId="1" fontId="4" fillId="0" borderId="0" xfId="0" applyNumberFormat="1" applyFont="1" applyFill="1" applyBorder="1" applyAlignment="1">
      <alignment horizontal="left" vertical="center" shrinkToFit="1"/>
    </xf>
    <xf numFmtId="1" fontId="4" fillId="22" borderId="0" xfId="0" applyNumberFormat="1" applyFont="1" applyFill="1" applyBorder="1" applyAlignment="1">
      <alignment horizontal="right" vertical="center"/>
    </xf>
    <xf numFmtId="1" fontId="4" fillId="0" borderId="0" xfId="0" applyNumberFormat="1" applyFont="1" applyFill="1" applyBorder="1" applyAlignment="1">
      <alignment vertical="center" shrinkToFit="1"/>
    </xf>
    <xf numFmtId="1" fontId="4" fillId="22" borderId="0" xfId="0" applyNumberFormat="1" applyFont="1" applyFill="1" applyBorder="1" applyAlignment="1">
      <alignment vertical="center"/>
    </xf>
    <xf numFmtId="1" fontId="4" fillId="0" borderId="0" xfId="0" applyNumberFormat="1" applyFont="1" applyFill="1" applyBorder="1" applyAlignment="1">
      <alignment horizontal="right" vertical="center" shrinkToFit="1"/>
    </xf>
    <xf numFmtId="0" fontId="37" fillId="0" borderId="0" xfId="0" applyFont="1" applyBorder="1" applyAlignment="1">
      <alignment shrinkToFit="1"/>
    </xf>
    <xf numFmtId="168" fontId="0" fillId="0" borderId="0" xfId="0" applyNumberFormat="1" applyBorder="1"/>
    <xf numFmtId="0" fontId="0" fillId="0" borderId="0" xfId="0" applyFill="1" applyBorder="1"/>
    <xf numFmtId="168" fontId="0" fillId="0" borderId="0" xfId="0" applyNumberFormat="1" applyFill="1" applyBorder="1"/>
    <xf numFmtId="0" fontId="0" fillId="0" borderId="0" xfId="0" applyFill="1" applyBorder="1" applyAlignment="1">
      <alignment shrinkToFit="1"/>
    </xf>
    <xf numFmtId="167" fontId="0" fillId="0" borderId="0" xfId="0" applyNumberFormat="1" applyBorder="1"/>
    <xf numFmtId="167" fontId="0" fillId="0" borderId="0" xfId="0" applyNumberFormat="1" applyFill="1" applyBorder="1"/>
    <xf numFmtId="166" fontId="3" fillId="0" borderId="30" xfId="25" applyNumberFormat="1" applyFill="1" applyBorder="1" applyAlignment="1">
      <alignment horizontal="right" vertical="center"/>
    </xf>
    <xf numFmtId="1" fontId="4" fillId="0" borderId="30" xfId="0" applyNumberFormat="1" applyFont="1" applyFill="1" applyBorder="1" applyAlignment="1">
      <alignment horizontal="right" vertical="center"/>
    </xf>
    <xf numFmtId="1" fontId="4" fillId="0" borderId="30" xfId="0" applyNumberFormat="1" applyFont="1" applyFill="1" applyBorder="1" applyAlignment="1">
      <alignment vertical="center"/>
    </xf>
    <xf numFmtId="0" fontId="0" fillId="0" borderId="30" xfId="0" applyFill="1" applyBorder="1"/>
    <xf numFmtId="168" fontId="44" fillId="0" borderId="23" xfId="0" applyNumberFormat="1" applyFont="1" applyBorder="1"/>
    <xf numFmtId="0" fontId="0" fillId="0" borderId="30" xfId="0" applyBorder="1"/>
    <xf numFmtId="0" fontId="44" fillId="0" borderId="30" xfId="0" applyFont="1" applyBorder="1"/>
    <xf numFmtId="0" fontId="44" fillId="0" borderId="31" xfId="0" applyFont="1" applyBorder="1"/>
    <xf numFmtId="168" fontId="44" fillId="0" borderId="0" xfId="0" applyNumberFormat="1" applyFont="1"/>
    <xf numFmtId="0" fontId="0" fillId="22" borderId="26" xfId="0" applyFill="1" applyBorder="1"/>
    <xf numFmtId="0" fontId="3" fillId="0" borderId="0" xfId="0" applyFont="1" applyFill="1" applyBorder="1" applyAlignment="1" applyProtection="1">
      <alignment vertical="center"/>
      <protection locked="0"/>
    </xf>
    <xf numFmtId="166" fontId="6" fillId="22" borderId="0" xfId="25" applyNumberFormat="1" applyFont="1" applyFill="1" applyBorder="1" applyAlignment="1" applyProtection="1">
      <alignment horizontal="right"/>
    </xf>
    <xf numFmtId="166" fontId="6" fillId="0" borderId="0" xfId="25" applyNumberFormat="1" applyFont="1" applyFill="1" applyBorder="1" applyAlignment="1" applyProtection="1">
      <alignment horizontal="right"/>
    </xf>
    <xf numFmtId="0" fontId="48" fillId="0" borderId="0" xfId="0" applyFont="1"/>
    <xf numFmtId="0" fontId="12" fillId="0" borderId="0" xfId="0" applyFont="1" applyFill="1" applyBorder="1" applyAlignment="1" applyProtection="1">
      <alignment vertical="center"/>
      <protection locked="0"/>
    </xf>
    <xf numFmtId="0" fontId="50" fillId="0" borderId="0" xfId="0" applyFont="1" applyFill="1" applyBorder="1" applyAlignment="1" applyProtection="1">
      <alignment vertical="center"/>
      <protection locked="0"/>
    </xf>
    <xf numFmtId="0" fontId="12" fillId="0" borderId="0" xfId="0" applyFont="1" applyProtection="1">
      <protection locked="0"/>
    </xf>
    <xf numFmtId="0" fontId="12" fillId="0" borderId="0" xfId="25" applyNumberFormat="1" applyFont="1" applyFill="1" applyBorder="1" applyAlignment="1">
      <alignment vertical="center"/>
    </xf>
    <xf numFmtId="0" fontId="12" fillId="0" borderId="0" xfId="0" applyNumberFormat="1" applyFont="1" applyFill="1" applyBorder="1" applyAlignment="1">
      <alignment vertical="center"/>
    </xf>
    <xf numFmtId="0" fontId="12" fillId="0" borderId="0" xfId="0" applyFont="1"/>
    <xf numFmtId="0" fontId="12" fillId="0" borderId="0" xfId="0" applyFont="1" applyFill="1"/>
    <xf numFmtId="0" fontId="40" fillId="0" borderId="22" xfId="0" applyFont="1" applyBorder="1"/>
    <xf numFmtId="0" fontId="51" fillId="0" borderId="0" xfId="0" applyFont="1" applyBorder="1" applyAlignment="1">
      <alignment horizontal="left"/>
    </xf>
    <xf numFmtId="0" fontId="40" fillId="0" borderId="0" xfId="0" applyFont="1" applyBorder="1"/>
    <xf numFmtId="0" fontId="51" fillId="0" borderId="0" xfId="0" applyFont="1" applyBorder="1"/>
    <xf numFmtId="0" fontId="40" fillId="22" borderId="0" xfId="0" applyFont="1" applyFill="1" applyBorder="1"/>
    <xf numFmtId="0" fontId="40" fillId="0" borderId="30" xfId="0" applyFont="1" applyBorder="1"/>
    <xf numFmtId="0" fontId="40" fillId="0" borderId="23" xfId="0" applyFont="1" applyBorder="1"/>
    <xf numFmtId="0" fontId="40" fillId="0" borderId="0" xfId="0" applyFont="1"/>
    <xf numFmtId="0" fontId="52" fillId="0" borderId="22" xfId="0" applyFont="1" applyBorder="1"/>
    <xf numFmtId="167" fontId="51" fillId="0" borderId="0" xfId="0" applyNumberFormat="1" applyFont="1" applyBorder="1" applyAlignment="1">
      <alignment horizontal="left"/>
    </xf>
    <xf numFmtId="1" fontId="51" fillId="0" borderId="0" xfId="0" applyNumberFormat="1" applyFont="1" applyBorder="1" applyAlignment="1">
      <alignment horizontal="left"/>
    </xf>
    <xf numFmtId="0" fontId="52" fillId="0" borderId="0" xfId="0" applyFont="1" applyBorder="1"/>
    <xf numFmtId="0" fontId="52" fillId="22" borderId="0" xfId="0" applyFont="1" applyFill="1" applyBorder="1"/>
    <xf numFmtId="0" fontId="52" fillId="0" borderId="30" xfId="0" applyFont="1" applyBorder="1"/>
    <xf numFmtId="0" fontId="52" fillId="0" borderId="23" xfId="0" applyFont="1" applyBorder="1"/>
    <xf numFmtId="0" fontId="52" fillId="0" borderId="0" xfId="0" applyFont="1"/>
    <xf numFmtId="2" fontId="52" fillId="0" borderId="0" xfId="0" applyNumberFormat="1" applyFont="1" applyBorder="1" applyAlignment="1">
      <alignment horizontal="left"/>
    </xf>
    <xf numFmtId="0" fontId="52" fillId="0" borderId="0" xfId="0" applyFont="1" applyBorder="1" applyAlignment="1">
      <alignment horizontal="left"/>
    </xf>
    <xf numFmtId="168" fontId="52" fillId="0" borderId="0" xfId="0" applyNumberFormat="1" applyFont="1" applyBorder="1"/>
    <xf numFmtId="166" fontId="52" fillId="22" borderId="0" xfId="25" applyNumberFormat="1" applyFont="1" applyFill="1" applyBorder="1" applyAlignment="1" applyProtection="1">
      <alignment horizontal="right"/>
    </xf>
    <xf numFmtId="166" fontId="52" fillId="0" borderId="30" xfId="25" applyNumberFormat="1" applyFont="1" applyFill="1" applyBorder="1" applyAlignment="1" applyProtection="1">
      <alignment horizontal="right"/>
    </xf>
    <xf numFmtId="168" fontId="52" fillId="0" borderId="0" xfId="0" applyNumberFormat="1" applyFont="1"/>
    <xf numFmtId="1" fontId="52" fillId="0" borderId="0" xfId="0" applyNumberFormat="1" applyFont="1" applyBorder="1"/>
    <xf numFmtId="167" fontId="52" fillId="0" borderId="23" xfId="0" applyNumberFormat="1" applyFont="1" applyBorder="1"/>
    <xf numFmtId="0" fontId="52" fillId="0" borderId="24" xfId="0" applyFont="1" applyBorder="1"/>
    <xf numFmtId="0" fontId="52" fillId="0" borderId="25" xfId="0" applyFont="1" applyBorder="1"/>
    <xf numFmtId="0" fontId="52" fillId="22" borderId="25" xfId="0" applyFont="1" applyFill="1" applyBorder="1"/>
    <xf numFmtId="0" fontId="52" fillId="0" borderId="31" xfId="0" applyFont="1" applyBorder="1"/>
    <xf numFmtId="0" fontId="52" fillId="0" borderId="26" xfId="0" applyFont="1" applyBorder="1"/>
    <xf numFmtId="0" fontId="40" fillId="0" borderId="0" xfId="0" applyFont="1" applyFill="1" applyBorder="1"/>
    <xf numFmtId="0" fontId="40" fillId="0" borderId="0" xfId="0" applyFont="1" applyFill="1" applyBorder="1" applyAlignment="1">
      <alignment shrinkToFit="1"/>
    </xf>
    <xf numFmtId="172" fontId="40" fillId="0" borderId="0" xfId="32" applyNumberFormat="1" applyFont="1" applyFill="1" applyBorder="1"/>
    <xf numFmtId="173" fontId="40" fillId="0" borderId="0" xfId="32" applyNumberFormat="1" applyFont="1" applyFill="1" applyBorder="1"/>
    <xf numFmtId="173" fontId="40" fillId="22" borderId="0" xfId="32" applyNumberFormat="1" applyFont="1" applyFill="1" applyBorder="1"/>
    <xf numFmtId="0" fontId="40" fillId="0" borderId="30" xfId="0" applyFont="1" applyFill="1" applyBorder="1"/>
    <xf numFmtId="0" fontId="53" fillId="0" borderId="0" xfId="0" applyFont="1" applyFill="1" applyProtection="1">
      <protection locked="0"/>
    </xf>
    <xf numFmtId="0" fontId="40" fillId="0" borderId="0" xfId="0" applyFont="1" applyFill="1" applyProtection="1">
      <protection locked="0"/>
    </xf>
    <xf numFmtId="10" fontId="40" fillId="0" borderId="0" xfId="0" applyNumberFormat="1" applyFont="1" applyFill="1" applyBorder="1" applyAlignment="1">
      <alignment horizontal="left" vertical="center" shrinkToFit="1"/>
    </xf>
    <xf numFmtId="10" fontId="40" fillId="0" borderId="0" xfId="0" applyNumberFormat="1" applyFont="1" applyFill="1" applyAlignment="1">
      <alignment shrinkToFit="1"/>
    </xf>
    <xf numFmtId="10" fontId="40" fillId="0" borderId="0" xfId="0" applyNumberFormat="1" applyFont="1" applyFill="1" applyAlignment="1">
      <alignment horizontal="left" vertical="center" shrinkToFit="1"/>
    </xf>
    <xf numFmtId="10" fontId="40" fillId="0" borderId="0" xfId="48" applyNumberFormat="1" applyFont="1" applyFill="1" applyAlignment="1" applyProtection="1">
      <alignment horizontal="right"/>
      <protection locked="0"/>
    </xf>
    <xf numFmtId="10" fontId="40" fillId="0" borderId="0" xfId="48" applyNumberFormat="1" applyFont="1" applyFill="1" applyProtection="1">
      <protection locked="0"/>
    </xf>
    <xf numFmtId="10" fontId="40" fillId="22" borderId="0" xfId="48" applyNumberFormat="1" applyFont="1" applyFill="1" applyProtection="1">
      <protection locked="0"/>
    </xf>
    <xf numFmtId="10" fontId="40" fillId="0" borderId="0" xfId="48" applyNumberFormat="1" applyFont="1" applyFill="1"/>
    <xf numFmtId="171" fontId="40" fillId="22" borderId="0" xfId="48" applyNumberFormat="1" applyFont="1" applyFill="1" applyProtection="1">
      <protection locked="0"/>
    </xf>
    <xf numFmtId="0" fontId="53" fillId="0" borderId="0" xfId="0" applyFont="1" applyFill="1"/>
    <xf numFmtId="168" fontId="40" fillId="0" borderId="0" xfId="0" applyNumberFormat="1" applyFont="1" applyFill="1" applyBorder="1"/>
    <xf numFmtId="0" fontId="40" fillId="0" borderId="0" xfId="0" applyFont="1" applyFill="1" applyBorder="1" applyAlignment="1"/>
    <xf numFmtId="0" fontId="40" fillId="0" borderId="23" xfId="0" applyFont="1" applyFill="1" applyBorder="1"/>
    <xf numFmtId="10" fontId="40" fillId="0" borderId="23" xfId="48" applyNumberFormat="1" applyFont="1" applyFill="1" applyBorder="1" applyProtection="1">
      <protection locked="0"/>
    </xf>
    <xf numFmtId="10" fontId="40" fillId="22" borderId="0" xfId="48" applyNumberFormat="1" applyFont="1" applyFill="1" applyBorder="1" applyAlignment="1" applyProtection="1">
      <alignment horizontal="right" vertical="center"/>
    </xf>
    <xf numFmtId="0" fontId="40" fillId="0" borderId="0" xfId="0" applyFont="1" applyFill="1" applyBorder="1" applyProtection="1">
      <protection locked="0"/>
    </xf>
    <xf numFmtId="0" fontId="40" fillId="0" borderId="0" xfId="0" applyFont="1" applyFill="1" applyBorder="1" applyAlignment="1" applyProtection="1">
      <alignment shrinkToFit="1"/>
      <protection locked="0"/>
    </xf>
    <xf numFmtId="170" fontId="40" fillId="0" borderId="0" xfId="0" applyNumberFormat="1" applyFont="1" applyFill="1" applyBorder="1"/>
    <xf numFmtId="166" fontId="40" fillId="22" borderId="0" xfId="25" applyNumberFormat="1" applyFont="1" applyFill="1" applyBorder="1" applyAlignment="1" applyProtection="1">
      <alignment horizontal="right"/>
    </xf>
    <xf numFmtId="168" fontId="40" fillId="0" borderId="0" xfId="0" applyNumberFormat="1" applyFont="1" applyFill="1"/>
    <xf numFmtId="168" fontId="40" fillId="0" borderId="30" xfId="0" applyNumberFormat="1" applyFont="1" applyFill="1" applyBorder="1"/>
    <xf numFmtId="168" fontId="40" fillId="22" borderId="0" xfId="0" applyNumberFormat="1" applyFont="1" applyFill="1" applyBorder="1"/>
    <xf numFmtId="0" fontId="53" fillId="0" borderId="0" xfId="0" applyFont="1"/>
    <xf numFmtId="167" fontId="40" fillId="0" borderId="0" xfId="0" applyNumberFormat="1" applyFont="1" applyFill="1" applyBorder="1"/>
    <xf numFmtId="167" fontId="40" fillId="0" borderId="0" xfId="48" applyNumberFormat="1" applyFont="1" applyFill="1" applyBorder="1"/>
    <xf numFmtId="9" fontId="40" fillId="0" borderId="0" xfId="48" applyFont="1" applyFill="1" applyBorder="1"/>
    <xf numFmtId="168" fontId="40" fillId="0" borderId="0" xfId="0" applyNumberFormat="1" applyFont="1" applyFill="1" applyBorder="1" applyAlignment="1">
      <alignment shrinkToFit="1"/>
    </xf>
    <xf numFmtId="0" fontId="40" fillId="0" borderId="0" xfId="0" applyFont="1" applyBorder="1" applyAlignment="1" applyProtection="1">
      <alignment shrinkToFit="1"/>
    </xf>
    <xf numFmtId="1" fontId="40" fillId="0" borderId="0" xfId="0" applyNumberFormat="1" applyFont="1" applyBorder="1"/>
    <xf numFmtId="175" fontId="40" fillId="0" borderId="0" xfId="0" applyNumberFormat="1" applyFont="1" applyBorder="1"/>
    <xf numFmtId="174" fontId="40" fillId="0" borderId="0" xfId="0" applyNumberFormat="1" applyFont="1" applyBorder="1"/>
    <xf numFmtId="9" fontId="40" fillId="0" borderId="0" xfId="48" applyFont="1" applyBorder="1"/>
    <xf numFmtId="169" fontId="40" fillId="0" borderId="0" xfId="0" applyNumberFormat="1" applyFont="1" applyBorder="1"/>
    <xf numFmtId="10" fontId="40" fillId="0" borderId="30" xfId="48" applyNumberFormat="1" applyFont="1" applyFill="1" applyBorder="1"/>
    <xf numFmtId="10" fontId="40" fillId="0" borderId="0" xfId="48" applyNumberFormat="1" applyFont="1" applyBorder="1"/>
    <xf numFmtId="0" fontId="40" fillId="0" borderId="0" xfId="0" applyFont="1" applyFill="1" applyBorder="1" applyAlignment="1" applyProtection="1">
      <alignment shrinkToFit="1"/>
    </xf>
    <xf numFmtId="1" fontId="40" fillId="0" borderId="0" xfId="0" applyNumberFormat="1" applyFont="1" applyFill="1" applyBorder="1"/>
    <xf numFmtId="165" fontId="40" fillId="0" borderId="0" xfId="32" applyFont="1" applyFill="1" applyBorder="1"/>
    <xf numFmtId="166" fontId="40" fillId="0" borderId="30" xfId="25" applyNumberFormat="1" applyFont="1" applyFill="1" applyBorder="1" applyAlignment="1" applyProtection="1">
      <alignment horizontal="right"/>
    </xf>
    <xf numFmtId="0" fontId="40" fillId="0" borderId="0" xfId="0" applyFont="1" applyBorder="1" applyAlignment="1">
      <alignment shrinkToFit="1"/>
    </xf>
    <xf numFmtId="165" fontId="40" fillId="0" borderId="0" xfId="0" applyNumberFormat="1" applyFont="1" applyBorder="1"/>
    <xf numFmtId="168" fontId="40" fillId="0" borderId="0" xfId="0" applyNumberFormat="1" applyFont="1" applyBorder="1"/>
    <xf numFmtId="172" fontId="40" fillId="0" borderId="0" xfId="32" applyNumberFormat="1" applyFont="1" applyBorder="1"/>
    <xf numFmtId="165" fontId="40" fillId="0" borderId="0" xfId="0" applyNumberFormat="1" applyFont="1" applyFill="1" applyBorder="1"/>
    <xf numFmtId="172" fontId="40" fillId="0" borderId="0" xfId="0" applyNumberFormat="1" applyFont="1" applyFill="1" applyBorder="1"/>
    <xf numFmtId="172" fontId="40" fillId="0" borderId="0" xfId="0" applyNumberFormat="1" applyFont="1" applyFill="1" applyBorder="1" applyAlignment="1">
      <alignment shrinkToFit="1"/>
    </xf>
    <xf numFmtId="166" fontId="40" fillId="0" borderId="0" xfId="0" applyNumberFormat="1" applyFont="1" applyFill="1" applyBorder="1"/>
    <xf numFmtId="166" fontId="40" fillId="22" borderId="0" xfId="0" applyNumberFormat="1" applyFont="1" applyFill="1" applyBorder="1"/>
    <xf numFmtId="166" fontId="40" fillId="22" borderId="26" xfId="0" applyNumberFormat="1" applyFont="1" applyFill="1" applyBorder="1"/>
    <xf numFmtId="168" fontId="54" fillId="0" borderId="30" xfId="0" applyNumberFormat="1" applyFont="1" applyFill="1" applyBorder="1"/>
    <xf numFmtId="0" fontId="40" fillId="0" borderId="31" xfId="0" applyFont="1" applyFill="1" applyBorder="1"/>
    <xf numFmtId="9" fontId="40" fillId="22" borderId="0" xfId="48" applyFont="1" applyFill="1" applyBorder="1" applyAlignment="1" applyProtection="1">
      <alignment horizontal="right"/>
      <protection locked="0"/>
    </xf>
    <xf numFmtId="49" fontId="40" fillId="0" borderId="0" xfId="0" applyNumberFormat="1" applyFont="1" applyFill="1" applyAlignment="1">
      <alignment horizontal="right" vertical="center"/>
    </xf>
    <xf numFmtId="1" fontId="40" fillId="0" borderId="0" xfId="0" applyNumberFormat="1" applyFont="1" applyFill="1" applyAlignment="1">
      <alignment vertical="center"/>
    </xf>
    <xf numFmtId="1" fontId="54" fillId="0" borderId="0" xfId="0" applyNumberFormat="1" applyFont="1" applyFill="1" applyBorder="1" applyAlignment="1">
      <alignment horizontal="left" vertical="center"/>
    </xf>
    <xf numFmtId="1" fontId="40" fillId="0" borderId="0" xfId="0" applyNumberFormat="1" applyFont="1" applyFill="1" applyBorder="1" applyAlignment="1">
      <alignment shrinkToFit="1"/>
    </xf>
    <xf numFmtId="1" fontId="40" fillId="0" borderId="0" xfId="0" applyNumberFormat="1" applyFont="1" applyFill="1" applyBorder="1" applyAlignment="1">
      <alignment horizontal="left" vertical="center" shrinkToFit="1"/>
    </xf>
    <xf numFmtId="1" fontId="40" fillId="0" borderId="0" xfId="0" applyNumberFormat="1" applyFont="1" applyFill="1" applyBorder="1" applyAlignment="1">
      <alignment horizontal="right" vertical="center" shrinkToFit="1"/>
    </xf>
    <xf numFmtId="1" fontId="40" fillId="0" borderId="0" xfId="0" applyNumberFormat="1" applyFont="1" applyFill="1" applyBorder="1" applyAlignment="1">
      <alignment horizontal="right" vertical="center"/>
    </xf>
    <xf numFmtId="1" fontId="40" fillId="0" borderId="0" xfId="0" applyNumberFormat="1" applyFont="1" applyFill="1" applyAlignment="1">
      <alignment horizontal="right" vertical="center"/>
    </xf>
    <xf numFmtId="1" fontId="40" fillId="0" borderId="30" xfId="0" applyNumberFormat="1" applyFont="1" applyFill="1" applyBorder="1" applyAlignment="1">
      <alignment horizontal="right" vertical="center"/>
    </xf>
    <xf numFmtId="0" fontId="53" fillId="0" borderId="0" xfId="0" applyNumberFormat="1" applyFont="1" applyFill="1" applyBorder="1" applyAlignment="1">
      <alignment vertical="center"/>
    </xf>
    <xf numFmtId="0" fontId="40" fillId="0" borderId="0" xfId="0" applyNumberFormat="1" applyFont="1" applyFill="1" applyBorder="1" applyAlignment="1">
      <alignment vertical="center"/>
    </xf>
    <xf numFmtId="10" fontId="54" fillId="0" borderId="0" xfId="0" applyNumberFormat="1" applyFont="1" applyFill="1" applyBorder="1" applyAlignment="1">
      <alignment horizontal="left" vertical="center"/>
    </xf>
    <xf numFmtId="1" fontId="40" fillId="0" borderId="0" xfId="0" applyNumberFormat="1" applyFont="1" applyFill="1" applyBorder="1" applyAlignment="1">
      <alignment vertical="center"/>
    </xf>
    <xf numFmtId="0" fontId="40" fillId="0" borderId="0" xfId="0" applyFont="1" applyFill="1" applyAlignment="1"/>
    <xf numFmtId="10" fontId="40" fillId="0" borderId="0" xfId="48" applyNumberFormat="1" applyFont="1" applyFill="1" applyBorder="1"/>
    <xf numFmtId="166" fontId="40" fillId="0" borderId="0" xfId="25" applyNumberFormat="1" applyFont="1" applyFill="1" applyBorder="1" applyAlignment="1" applyProtection="1">
      <alignment horizontal="right"/>
    </xf>
    <xf numFmtId="166" fontId="54" fillId="24" borderId="30" xfId="0" applyNumberFormat="1" applyFont="1" applyFill="1" applyBorder="1"/>
    <xf numFmtId="165" fontId="40" fillId="0" borderId="0" xfId="0" applyNumberFormat="1" applyFont="1" applyFill="1" applyBorder="1" applyAlignment="1">
      <alignment shrinkToFit="1"/>
    </xf>
    <xf numFmtId="166" fontId="54" fillId="24" borderId="23" xfId="0" applyNumberFormat="1" applyFont="1" applyFill="1" applyBorder="1"/>
    <xf numFmtId="0" fontId="40" fillId="0" borderId="25" xfId="0" applyFont="1" applyBorder="1"/>
    <xf numFmtId="0" fontId="40" fillId="0" borderId="25" xfId="0" applyFont="1" applyBorder="1" applyAlignment="1">
      <alignment shrinkToFit="1"/>
    </xf>
    <xf numFmtId="0" fontId="40" fillId="22" borderId="25" xfId="0" applyFont="1" applyFill="1" applyBorder="1"/>
    <xf numFmtId="0" fontId="40" fillId="22" borderId="26" xfId="0" applyFont="1" applyFill="1" applyBorder="1"/>
    <xf numFmtId="0" fontId="54" fillId="0" borderId="0" xfId="0" applyFont="1" applyFill="1" applyBorder="1" applyAlignment="1" applyProtection="1">
      <alignment vertical="center"/>
      <protection locked="0"/>
    </xf>
    <xf numFmtId="0" fontId="54" fillId="0" borderId="0" xfId="0" applyFont="1" applyFill="1" applyBorder="1" applyAlignment="1" applyProtection="1">
      <alignment horizontal="center" vertical="center"/>
      <protection locked="0"/>
    </xf>
    <xf numFmtId="0" fontId="54" fillId="0" borderId="0" xfId="0" applyFont="1" applyFill="1" applyBorder="1" applyAlignment="1" applyProtection="1">
      <alignment vertical="center" shrinkToFit="1"/>
      <protection locked="0"/>
    </xf>
    <xf numFmtId="0" fontId="40" fillId="0" borderId="0" xfId="0" applyFont="1" applyFill="1" applyBorder="1" applyAlignment="1" applyProtection="1">
      <alignment vertical="center" shrinkToFit="1"/>
      <protection locked="0"/>
    </xf>
    <xf numFmtId="0" fontId="40" fillId="0" borderId="0" xfId="0" applyFont="1" applyFill="1" applyBorder="1" applyAlignment="1" applyProtection="1">
      <alignment vertical="center"/>
      <protection locked="0"/>
    </xf>
    <xf numFmtId="0" fontId="40" fillId="22" borderId="0" xfId="0" applyFont="1" applyFill="1" applyBorder="1" applyAlignment="1" applyProtection="1">
      <alignment vertical="center"/>
      <protection locked="0"/>
    </xf>
    <xf numFmtId="0" fontId="53" fillId="0" borderId="0" xfId="0" applyFont="1" applyFill="1" applyBorder="1" applyAlignment="1" applyProtection="1">
      <alignment vertical="center"/>
      <protection locked="0"/>
    </xf>
    <xf numFmtId="168" fontId="40" fillId="0" borderId="0" xfId="0" applyNumberFormat="1" applyFont="1" applyFill="1" applyBorder="1" applyAlignment="1" applyProtection="1">
      <alignment vertical="center"/>
      <protection locked="0"/>
    </xf>
    <xf numFmtId="166" fontId="40" fillId="23" borderId="0" xfId="25" applyNumberFormat="1" applyFont="1" applyFill="1" applyBorder="1" applyAlignment="1" applyProtection="1">
      <alignment horizontal="right"/>
    </xf>
    <xf numFmtId="167" fontId="53" fillId="0" borderId="0" xfId="0" applyNumberFormat="1" applyFont="1" applyFill="1" applyProtection="1">
      <protection locked="0"/>
    </xf>
    <xf numFmtId="168" fontId="40" fillId="0" borderId="0" xfId="0" applyNumberFormat="1" applyFont="1" applyFill="1" applyBorder="1" applyAlignment="1" applyProtection="1">
      <alignment horizontal="right"/>
      <protection locked="0"/>
    </xf>
    <xf numFmtId="0" fontId="54" fillId="22" borderId="0" xfId="0" applyFont="1" applyFill="1" applyBorder="1" applyAlignment="1" applyProtection="1">
      <alignment vertical="center"/>
      <protection locked="0"/>
    </xf>
    <xf numFmtId="0" fontId="55" fillId="0" borderId="0" xfId="0" applyFont="1" applyFill="1" applyBorder="1" applyAlignment="1" applyProtection="1">
      <alignment vertical="center"/>
      <protection locked="0"/>
    </xf>
    <xf numFmtId="168" fontId="40" fillId="0" borderId="0" xfId="0" applyNumberFormat="1" applyFont="1" applyFill="1" applyBorder="1" applyAlignment="1" applyProtection="1">
      <alignment shrinkToFit="1"/>
      <protection locked="0"/>
    </xf>
    <xf numFmtId="167" fontId="40" fillId="0" borderId="0" xfId="0" applyNumberFormat="1" applyFont="1" applyFill="1" applyBorder="1" applyAlignment="1" applyProtection="1">
      <alignment horizontal="right"/>
      <protection locked="0"/>
    </xf>
    <xf numFmtId="168" fontId="40" fillId="22" borderId="0" xfId="0" applyNumberFormat="1" applyFont="1" applyFill="1" applyBorder="1" applyAlignment="1" applyProtection="1">
      <alignment horizontal="right"/>
      <protection locked="0"/>
    </xf>
    <xf numFmtId="167" fontId="40" fillId="22" borderId="0" xfId="0" applyNumberFormat="1" applyFont="1" applyFill="1" applyBorder="1" applyAlignment="1" applyProtection="1">
      <alignment horizontal="right"/>
      <protection locked="0"/>
    </xf>
    <xf numFmtId="167" fontId="40" fillId="0" borderId="0" xfId="0" applyNumberFormat="1" applyFont="1" applyFill="1" applyProtection="1">
      <protection locked="0"/>
    </xf>
    <xf numFmtId="0" fontId="54" fillId="0" borderId="0" xfId="0" applyFont="1" applyFill="1" applyBorder="1" applyAlignment="1" applyProtection="1">
      <alignment horizontal="center" vertical="center" shrinkToFit="1"/>
      <protection locked="0"/>
    </xf>
    <xf numFmtId="0" fontId="40" fillId="0" borderId="0" xfId="0" applyFont="1" applyProtection="1">
      <protection locked="0"/>
    </xf>
    <xf numFmtId="0" fontId="40" fillId="0" borderId="0" xfId="0" applyFont="1" applyAlignment="1" applyProtection="1">
      <alignment shrinkToFit="1"/>
      <protection locked="0"/>
    </xf>
    <xf numFmtId="0" fontId="53" fillId="0" borderId="0" xfId="0" applyFont="1" applyProtection="1">
      <protection locked="0"/>
    </xf>
    <xf numFmtId="1" fontId="40" fillId="0" borderId="0" xfId="48" applyNumberFormat="1" applyFont="1" applyFill="1" applyBorder="1" applyAlignment="1" applyProtection="1">
      <alignment horizontal="right" vertical="center"/>
      <protection locked="0"/>
    </xf>
    <xf numFmtId="168" fontId="40" fillId="22" borderId="0" xfId="0" applyNumberFormat="1" applyFont="1" applyFill="1" applyBorder="1" applyAlignment="1" applyProtection="1">
      <alignment vertical="center"/>
      <protection locked="0"/>
    </xf>
    <xf numFmtId="166" fontId="40" fillId="0" borderId="0" xfId="0" applyNumberFormat="1" applyFont="1" applyFill="1" applyBorder="1" applyAlignment="1" applyProtection="1">
      <alignment vertical="center"/>
      <protection locked="0"/>
    </xf>
    <xf numFmtId="172" fontId="40" fillId="0" borderId="0" xfId="0" applyNumberFormat="1" applyFont="1" applyFill="1" applyBorder="1" applyAlignment="1" applyProtection="1">
      <alignment vertical="center"/>
      <protection locked="0"/>
    </xf>
    <xf numFmtId="167" fontId="53" fillId="0" borderId="0" xfId="0" applyNumberFormat="1" applyFont="1" applyFill="1"/>
    <xf numFmtId="0" fontId="54" fillId="0" borderId="0" xfId="0" applyFont="1" applyFill="1" applyBorder="1" applyAlignment="1" applyProtection="1">
      <alignment horizontal="right" vertical="center"/>
      <protection locked="0"/>
    </xf>
    <xf numFmtId="0" fontId="40" fillId="0" borderId="0" xfId="0" applyFont="1" applyAlignment="1" applyProtection="1">
      <protection locked="0"/>
    </xf>
    <xf numFmtId="1" fontId="40" fillId="0" borderId="0" xfId="0" applyNumberFormat="1" applyFont="1" applyFill="1" applyBorder="1" applyAlignment="1" applyProtection="1">
      <alignment vertical="center"/>
      <protection locked="0"/>
    </xf>
    <xf numFmtId="1" fontId="51" fillId="0" borderId="16" xfId="45" applyNumberFormat="1" applyFont="1" applyFill="1" applyBorder="1" applyAlignment="1" applyProtection="1">
      <alignment horizontal="right"/>
      <protection locked="0"/>
    </xf>
    <xf numFmtId="1" fontId="54" fillId="0" borderId="15" xfId="45" applyNumberFormat="1" applyFont="1" applyFill="1" applyBorder="1" applyAlignment="1" applyProtection="1">
      <alignment horizontal="right"/>
      <protection locked="0"/>
    </xf>
    <xf numFmtId="1" fontId="40" fillId="0" borderId="2" xfId="0" applyNumberFormat="1" applyFont="1" applyFill="1" applyBorder="1" applyAlignment="1" applyProtection="1">
      <alignment horizontal="right"/>
      <protection locked="0"/>
    </xf>
    <xf numFmtId="1" fontId="40" fillId="22" borderId="2" xfId="0" applyNumberFormat="1" applyFont="1" applyFill="1" applyBorder="1" applyAlignment="1" applyProtection="1">
      <alignment horizontal="right"/>
      <protection locked="0"/>
    </xf>
    <xf numFmtId="166" fontId="53" fillId="0" borderId="0" xfId="25" applyNumberFormat="1" applyFont="1" applyFill="1" applyAlignment="1" applyProtection="1">
      <alignment horizontal="right" vertical="center"/>
      <protection locked="0"/>
    </xf>
    <xf numFmtId="1" fontId="40" fillId="0" borderId="0" xfId="0" applyNumberFormat="1" applyFont="1" applyFill="1" applyBorder="1" applyAlignment="1" applyProtection="1">
      <alignment horizontal="right" vertical="center"/>
      <protection locked="0"/>
    </xf>
    <xf numFmtId="1" fontId="51" fillId="0" borderId="0" xfId="45" applyNumberFormat="1" applyFont="1" applyFill="1" applyBorder="1" applyAlignment="1" applyProtection="1">
      <alignment horizontal="right"/>
      <protection locked="0"/>
    </xf>
    <xf numFmtId="1" fontId="54" fillId="0" borderId="0" xfId="45" applyNumberFormat="1" applyFont="1" applyFill="1" applyBorder="1" applyAlignment="1" applyProtection="1">
      <alignment horizontal="right"/>
      <protection locked="0"/>
    </xf>
    <xf numFmtId="1" fontId="52" fillId="0" borderId="0" xfId="45" applyNumberFormat="1" applyFont="1" applyFill="1" applyBorder="1" applyAlignment="1" applyProtection="1">
      <alignment horizontal="right" shrinkToFit="1"/>
      <protection locked="0"/>
    </xf>
    <xf numFmtId="1" fontId="40" fillId="0" borderId="0" xfId="0" applyNumberFormat="1" applyFont="1" applyFill="1" applyBorder="1" applyAlignment="1" applyProtection="1">
      <alignment horizontal="right"/>
      <protection locked="0"/>
    </xf>
    <xf numFmtId="1" fontId="40" fillId="22" borderId="0" xfId="0" applyNumberFormat="1" applyFont="1" applyFill="1" applyBorder="1" applyAlignment="1" applyProtection="1">
      <alignment horizontal="right"/>
      <protection locked="0"/>
    </xf>
    <xf numFmtId="1" fontId="53" fillId="0" borderId="0" xfId="0" applyNumberFormat="1" applyFont="1" applyFill="1" applyBorder="1" applyAlignment="1" applyProtection="1">
      <alignment horizontal="right"/>
      <protection locked="0"/>
    </xf>
    <xf numFmtId="1" fontId="40" fillId="0" borderId="0" xfId="48" applyNumberFormat="1" applyFont="1" applyFill="1" applyAlignment="1" applyProtection="1">
      <alignment vertical="center"/>
      <protection locked="0"/>
    </xf>
    <xf numFmtId="1" fontId="54" fillId="0" borderId="0" xfId="48" applyNumberFormat="1" applyFont="1" applyFill="1" applyBorder="1" applyAlignment="1" applyProtection="1">
      <alignment horizontal="left" vertical="center"/>
      <protection locked="0"/>
    </xf>
    <xf numFmtId="1" fontId="53" fillId="0" borderId="0" xfId="48" applyNumberFormat="1" applyFont="1" applyFill="1" applyBorder="1" applyAlignment="1" applyProtection="1">
      <alignment vertical="center"/>
      <protection locked="0"/>
    </xf>
    <xf numFmtId="2" fontId="40" fillId="0" borderId="22" xfId="0" applyNumberFormat="1" applyFont="1" applyBorder="1" applyProtection="1"/>
    <xf numFmtId="2" fontId="40" fillId="0" borderId="0" xfId="0" applyNumberFormat="1" applyFont="1" applyBorder="1" applyProtection="1"/>
    <xf numFmtId="2" fontId="40" fillId="0" borderId="23" xfId="0" applyNumberFormat="1" applyFont="1" applyBorder="1" applyProtection="1"/>
    <xf numFmtId="2" fontId="40" fillId="0" borderId="20" xfId="0" applyNumberFormat="1" applyFont="1" applyFill="1" applyBorder="1" applyProtection="1"/>
    <xf numFmtId="2" fontId="40" fillId="0" borderId="17" xfId="0" applyNumberFormat="1" applyFont="1" applyFill="1" applyBorder="1" applyProtection="1"/>
    <xf numFmtId="2" fontId="40" fillId="23" borderId="22" xfId="0" applyNumberFormat="1" applyFont="1" applyFill="1" applyBorder="1" applyProtection="1"/>
    <xf numFmtId="2" fontId="40" fillId="0" borderId="0" xfId="0" applyNumberFormat="1" applyFont="1" applyFill="1" applyBorder="1" applyProtection="1"/>
    <xf numFmtId="2" fontId="40" fillId="0" borderId="22" xfId="0" applyNumberFormat="1" applyFont="1" applyFill="1" applyBorder="1" applyProtection="1"/>
    <xf numFmtId="2" fontId="40" fillId="23" borderId="0" xfId="0" applyNumberFormat="1" applyFont="1" applyFill="1" applyBorder="1" applyProtection="1"/>
    <xf numFmtId="2" fontId="40" fillId="0" borderId="24" xfId="0" applyNumberFormat="1" applyFont="1" applyFill="1" applyBorder="1" applyProtection="1"/>
    <xf numFmtId="2" fontId="40" fillId="0" borderId="25" xfId="0" applyNumberFormat="1" applyFont="1" applyFill="1" applyBorder="1" applyProtection="1"/>
    <xf numFmtId="2" fontId="40" fillId="23" borderId="26" xfId="0" applyNumberFormat="1" applyFont="1" applyFill="1" applyBorder="1" applyProtection="1"/>
    <xf numFmtId="0" fontId="54" fillId="0" borderId="0" xfId="0" applyFont="1"/>
    <xf numFmtId="2" fontId="40" fillId="0" borderId="26" xfId="0" applyNumberFormat="1" applyFont="1" applyFill="1" applyBorder="1" applyProtection="1"/>
    <xf numFmtId="2" fontId="40" fillId="0" borderId="23" xfId="0" applyNumberFormat="1" applyFont="1" applyFill="1" applyBorder="1" applyProtection="1"/>
    <xf numFmtId="0" fontId="40" fillId="0" borderId="0" xfId="0" applyFont="1" applyAlignment="1">
      <alignment horizontal="center"/>
    </xf>
    <xf numFmtId="0" fontId="40" fillId="0" borderId="0" xfId="0" quotePrefix="1" applyFont="1"/>
    <xf numFmtId="0" fontId="56" fillId="0" borderId="0" xfId="59"/>
    <xf numFmtId="0" fontId="40" fillId="0" borderId="0" xfId="0" applyFont="1" applyBorder="1" applyAlignment="1">
      <alignment horizontal="left" vertical="center" wrapText="1"/>
    </xf>
    <xf numFmtId="0" fontId="40" fillId="0" borderId="0" xfId="0" applyFont="1" applyBorder="1" applyAlignment="1">
      <alignment horizontal="center" vertical="center" wrapText="1"/>
    </xf>
    <xf numFmtId="0" fontId="40" fillId="0" borderId="0" xfId="0" applyFont="1" applyAlignment="1">
      <alignment horizontal="left"/>
    </xf>
    <xf numFmtId="2" fontId="40" fillId="0" borderId="0" xfId="0" applyNumberFormat="1" applyFont="1"/>
    <xf numFmtId="2" fontId="0" fillId="0" borderId="0" xfId="0" applyNumberFormat="1"/>
    <xf numFmtId="0" fontId="57" fillId="0" borderId="0" xfId="0" quotePrefix="1" applyFont="1"/>
    <xf numFmtId="0" fontId="57" fillId="0" borderId="0" xfId="0" applyFont="1"/>
    <xf numFmtId="0" fontId="57" fillId="0" borderId="0" xfId="0" quotePrefix="1" applyFont="1" applyAlignment="1">
      <alignment vertical="center"/>
    </xf>
    <xf numFmtId="0" fontId="57" fillId="0" borderId="0" xfId="0" applyFont="1" applyAlignment="1">
      <alignment vertical="center"/>
    </xf>
    <xf numFmtId="0" fontId="57" fillId="0" borderId="0" xfId="0" applyFont="1" applyAlignment="1">
      <alignment horizontal="center"/>
    </xf>
    <xf numFmtId="10" fontId="52" fillId="0" borderId="0" xfId="48" applyNumberFormat="1" applyFont="1" applyBorder="1"/>
    <xf numFmtId="176" fontId="52" fillId="0" borderId="0" xfId="48" applyNumberFormat="1" applyFont="1" applyBorder="1"/>
    <xf numFmtId="0" fontId="52" fillId="0" borderId="0" xfId="0" applyFont="1" applyFill="1" applyBorder="1" applyAlignment="1">
      <alignment horizontal="right"/>
    </xf>
    <xf numFmtId="0" fontId="52" fillId="0" borderId="0" xfId="0" applyFont="1" applyBorder="1" applyAlignment="1">
      <alignment horizontal="right"/>
    </xf>
    <xf numFmtId="0" fontId="6" fillId="0" borderId="0" xfId="0" applyFont="1" applyBorder="1" applyAlignment="1">
      <alignment horizontal="right"/>
    </xf>
    <xf numFmtId="0" fontId="0" fillId="0" borderId="0" xfId="0" applyBorder="1" applyAlignment="1">
      <alignment horizontal="right"/>
    </xf>
    <xf numFmtId="166" fontId="3" fillId="0" borderId="23" xfId="25" applyNumberFormat="1" applyFill="1" applyBorder="1" applyAlignment="1">
      <alignment horizontal="right" vertical="center"/>
    </xf>
    <xf numFmtId="0" fontId="40" fillId="0" borderId="23" xfId="0" applyFont="1" applyFill="1" applyBorder="1" applyAlignment="1">
      <alignment horizontal="right"/>
    </xf>
    <xf numFmtId="0" fontId="52" fillId="0" borderId="23" xfId="0" applyFont="1" applyFill="1" applyBorder="1" applyAlignment="1">
      <alignment horizontal="right"/>
    </xf>
    <xf numFmtId="166" fontId="52" fillId="0" borderId="23" xfId="0" applyNumberFormat="1" applyFont="1" applyFill="1" applyBorder="1" applyAlignment="1">
      <alignment horizontal="right"/>
    </xf>
    <xf numFmtId="1" fontId="51" fillId="0" borderId="23" xfId="0" applyNumberFormat="1" applyFont="1" applyFill="1" applyBorder="1" applyAlignment="1">
      <alignment horizontal="right"/>
    </xf>
    <xf numFmtId="0" fontId="52" fillId="0" borderId="25" xfId="0" applyFont="1" applyBorder="1" applyAlignment="1">
      <alignment horizontal="left"/>
    </xf>
    <xf numFmtId="168" fontId="52" fillId="0" borderId="25" xfId="0" applyNumberFormat="1" applyFont="1" applyBorder="1"/>
    <xf numFmtId="166" fontId="52" fillId="22" borderId="25" xfId="25" applyNumberFormat="1" applyFont="1" applyFill="1" applyBorder="1" applyAlignment="1" applyProtection="1">
      <alignment horizontal="right"/>
    </xf>
    <xf numFmtId="0" fontId="52" fillId="0" borderId="26" xfId="0" applyFont="1" applyFill="1" applyBorder="1" applyAlignment="1">
      <alignment horizontal="right"/>
    </xf>
    <xf numFmtId="164" fontId="52" fillId="0" borderId="0" xfId="25" applyNumberFormat="1" applyFont="1" applyFill="1" applyBorder="1" applyAlignment="1" applyProtection="1">
      <alignment horizontal="right"/>
    </xf>
    <xf numFmtId="3" fontId="51" fillId="0" borderId="23" xfId="0" applyNumberFormat="1" applyFont="1" applyFill="1" applyBorder="1" applyAlignment="1">
      <alignment horizontal="right"/>
    </xf>
    <xf numFmtId="0" fontId="54" fillId="0" borderId="0" xfId="0" applyFont="1" applyFill="1"/>
    <xf numFmtId="0" fontId="3" fillId="0" borderId="0" xfId="58" applyFill="1" applyAlignment="1"/>
    <xf numFmtId="0" fontId="3" fillId="0" borderId="0" xfId="58" applyFill="1" applyBorder="1" applyAlignment="1"/>
    <xf numFmtId="0" fontId="58" fillId="0" borderId="0" xfId="58" applyFont="1" applyFill="1" applyBorder="1" applyAlignment="1">
      <alignment horizontal="center" vertical="top"/>
    </xf>
    <xf numFmtId="0" fontId="58" fillId="0" borderId="0" xfId="58" applyFont="1" applyFill="1" applyAlignment="1">
      <alignment horizontal="center" vertical="top"/>
    </xf>
    <xf numFmtId="0" fontId="59" fillId="0" borderId="0" xfId="58" applyFont="1" applyFill="1" applyAlignment="1">
      <alignment horizontal="center" vertical="top"/>
    </xf>
    <xf numFmtId="0" fontId="59" fillId="0" borderId="0" xfId="58" applyFont="1" applyFill="1" applyAlignment="1">
      <alignment horizontal="left" vertical="top"/>
    </xf>
    <xf numFmtId="0" fontId="38" fillId="0" borderId="0" xfId="58" applyFont="1" applyFill="1" applyBorder="1" applyAlignment="1"/>
    <xf numFmtId="0" fontId="60" fillId="0" borderId="0" xfId="58" applyFont="1" applyFill="1" applyBorder="1" applyAlignment="1">
      <alignment horizontal="center" vertical="top"/>
    </xf>
    <xf numFmtId="0" fontId="3" fillId="0" borderId="0" xfId="58" applyFont="1" applyFill="1" applyAlignment="1"/>
    <xf numFmtId="0" fontId="3" fillId="0" borderId="0" xfId="58" applyFont="1" applyFill="1" applyBorder="1" applyAlignment="1"/>
    <xf numFmtId="0" fontId="11" fillId="0" borderId="0" xfId="58" applyFont="1" applyFill="1" applyBorder="1" applyAlignment="1">
      <alignment horizontal="center" vertical="top"/>
    </xf>
    <xf numFmtId="0" fontId="11" fillId="0" borderId="0" xfId="58" applyFont="1" applyFill="1" applyAlignment="1">
      <alignment horizontal="center" vertical="top"/>
    </xf>
    <xf numFmtId="0" fontId="21" fillId="0" borderId="0" xfId="58" applyFont="1" applyFill="1" applyAlignment="1">
      <alignment horizontal="center" vertical="top"/>
    </xf>
    <xf numFmtId="0" fontId="60" fillId="22" borderId="17" xfId="58" applyFont="1" applyFill="1" applyBorder="1" applyAlignment="1">
      <alignment horizontal="center" vertical="top"/>
    </xf>
    <xf numFmtId="0" fontId="38" fillId="22" borderId="17" xfId="58" applyFont="1" applyFill="1" applyBorder="1" applyAlignment="1">
      <alignment horizontal="left" vertical="top"/>
    </xf>
    <xf numFmtId="0" fontId="38" fillId="22" borderId="21" xfId="58" applyFont="1" applyFill="1" applyBorder="1" applyAlignment="1">
      <alignment horizontal="left" vertical="top"/>
    </xf>
    <xf numFmtId="0" fontId="38" fillId="22" borderId="22" xfId="58" applyFont="1" applyFill="1" applyBorder="1" applyAlignment="1">
      <alignment horizontal="left" vertical="top"/>
    </xf>
    <xf numFmtId="0" fontId="60" fillId="22" borderId="0" xfId="58" applyFont="1" applyFill="1" applyBorder="1" applyAlignment="1">
      <alignment horizontal="center" vertical="top"/>
    </xf>
    <xf numFmtId="0" fontId="38" fillId="22" borderId="0" xfId="58" applyFont="1" applyFill="1" applyBorder="1" applyAlignment="1">
      <alignment horizontal="left" vertical="top"/>
    </xf>
    <xf numFmtId="0" fontId="60" fillId="22" borderId="23" xfId="58" applyFont="1" applyFill="1" applyBorder="1" applyAlignment="1">
      <alignment horizontal="center" vertical="top"/>
    </xf>
    <xf numFmtId="0" fontId="3" fillId="22" borderId="22" xfId="58" applyFont="1" applyFill="1" applyBorder="1" applyAlignment="1">
      <alignment horizontal="left" vertical="top"/>
    </xf>
    <xf numFmtId="0" fontId="11" fillId="22" borderId="0" xfId="58" applyFont="1" applyFill="1" applyBorder="1" applyAlignment="1">
      <alignment horizontal="center" vertical="top"/>
    </xf>
    <xf numFmtId="0" fontId="3" fillId="22" borderId="0" xfId="58" applyFont="1" applyFill="1" applyBorder="1" applyAlignment="1">
      <alignment horizontal="left" vertical="top"/>
    </xf>
    <xf numFmtId="0" fontId="3" fillId="22" borderId="0" xfId="58" applyFont="1" applyFill="1" applyBorder="1" applyAlignment="1"/>
    <xf numFmtId="0" fontId="3" fillId="22" borderId="23" xfId="58" applyFont="1" applyFill="1" applyBorder="1" applyAlignment="1"/>
    <xf numFmtId="0" fontId="11" fillId="22" borderId="23" xfId="58" applyFont="1" applyFill="1" applyBorder="1" applyAlignment="1">
      <alignment horizontal="center" vertical="top"/>
    </xf>
    <xf numFmtId="0" fontId="60" fillId="22" borderId="24" xfId="58" applyFont="1" applyFill="1" applyBorder="1" applyAlignment="1">
      <alignment horizontal="center" vertical="top"/>
    </xf>
    <xf numFmtId="0" fontId="60" fillId="22" borderId="25" xfId="58" applyFont="1" applyFill="1" applyBorder="1" applyAlignment="1">
      <alignment horizontal="center" vertical="top"/>
    </xf>
    <xf numFmtId="0" fontId="60" fillId="22" borderId="26" xfId="58" applyFont="1" applyFill="1" applyBorder="1" applyAlignment="1">
      <alignment horizontal="center" vertical="top"/>
    </xf>
    <xf numFmtId="0" fontId="58" fillId="22" borderId="17" xfId="58" applyFont="1" applyFill="1" applyBorder="1" applyAlignment="1">
      <alignment horizontal="center" vertical="top"/>
    </xf>
    <xf numFmtId="0" fontId="58" fillId="22" borderId="21" xfId="58" applyFont="1" applyFill="1" applyBorder="1" applyAlignment="1">
      <alignment horizontal="center" vertical="top"/>
    </xf>
    <xf numFmtId="0" fontId="58" fillId="22" borderId="0" xfId="58" applyFont="1" applyFill="1" applyBorder="1" applyAlignment="1">
      <alignment horizontal="center" vertical="top"/>
    </xf>
    <xf numFmtId="0" fontId="58" fillId="22" borderId="23" xfId="58" applyFont="1" applyFill="1" applyBorder="1" applyAlignment="1">
      <alignment horizontal="center" vertical="top"/>
    </xf>
    <xf numFmtId="0" fontId="58" fillId="22" borderId="24" xfId="58" applyFont="1" applyFill="1" applyBorder="1" applyAlignment="1">
      <alignment horizontal="center" vertical="top"/>
    </xf>
    <xf numFmtId="0" fontId="58" fillId="22" borderId="25" xfId="58" applyFont="1" applyFill="1" applyBorder="1" applyAlignment="1">
      <alignment horizontal="center" vertical="top"/>
    </xf>
    <xf numFmtId="0" fontId="58" fillId="22" borderId="26" xfId="58" applyFont="1" applyFill="1" applyBorder="1" applyAlignment="1">
      <alignment horizontal="center" vertical="top"/>
    </xf>
    <xf numFmtId="0" fontId="58" fillId="26" borderId="17" xfId="58" applyFont="1" applyFill="1" applyBorder="1" applyAlignment="1">
      <alignment horizontal="center" vertical="top"/>
    </xf>
    <xf numFmtId="0" fontId="58" fillId="26" borderId="21" xfId="58" applyFont="1" applyFill="1" applyBorder="1" applyAlignment="1">
      <alignment horizontal="center" vertical="top"/>
    </xf>
    <xf numFmtId="0" fontId="59" fillId="26" borderId="22" xfId="58" applyFont="1" applyFill="1" applyBorder="1" applyAlignment="1">
      <alignment horizontal="center" vertical="top"/>
    </xf>
    <xf numFmtId="0" fontId="58" fillId="26" borderId="0" xfId="58" applyFont="1" applyFill="1" applyBorder="1" applyAlignment="1">
      <alignment horizontal="center" vertical="top"/>
    </xf>
    <xf numFmtId="0" fontId="58" fillId="26" borderId="23" xfId="58" applyFont="1" applyFill="1" applyBorder="1" applyAlignment="1">
      <alignment horizontal="center" vertical="top"/>
    </xf>
    <xf numFmtId="0" fontId="58" fillId="26" borderId="22" xfId="58" applyFont="1" applyFill="1" applyBorder="1" applyAlignment="1">
      <alignment horizontal="center" vertical="top"/>
    </xf>
    <xf numFmtId="0" fontId="3" fillId="26" borderId="22" xfId="58" applyFill="1" applyBorder="1" applyAlignment="1"/>
    <xf numFmtId="0" fontId="3" fillId="26" borderId="0" xfId="58" applyFill="1" applyBorder="1" applyAlignment="1"/>
    <xf numFmtId="0" fontId="3" fillId="26" borderId="23" xfId="58" applyFill="1" applyBorder="1" applyAlignment="1"/>
    <xf numFmtId="0" fontId="12" fillId="26" borderId="24" xfId="58" applyFont="1" applyFill="1" applyBorder="1" applyAlignment="1">
      <alignment horizontal="center" vertical="top"/>
    </xf>
    <xf numFmtId="0" fontId="58" fillId="26" borderId="25" xfId="58" applyFont="1" applyFill="1" applyBorder="1" applyAlignment="1">
      <alignment horizontal="center" vertical="top"/>
    </xf>
    <xf numFmtId="0" fontId="58" fillId="26" borderId="26" xfId="58" applyFont="1" applyFill="1" applyBorder="1" applyAlignment="1">
      <alignment horizontal="center" vertical="top"/>
    </xf>
    <xf numFmtId="0" fontId="3" fillId="0" borderId="0" xfId="58" applyFont="1" applyFill="1" applyAlignment="1">
      <alignment horizontal="left" vertical="top"/>
    </xf>
    <xf numFmtId="172" fontId="0" fillId="0" borderId="0" xfId="0" applyNumberFormat="1"/>
    <xf numFmtId="168" fontId="0" fillId="0" borderId="0" xfId="0" applyNumberFormat="1"/>
    <xf numFmtId="177" fontId="3" fillId="23" borderId="0" xfId="0" applyNumberFormat="1" applyFont="1" applyFill="1" applyBorder="1" applyAlignment="1" applyProtection="1">
      <alignment horizontal="right" vertical="center"/>
    </xf>
    <xf numFmtId="174" fontId="40" fillId="0" borderId="0" xfId="0" applyNumberFormat="1" applyFont="1" applyFill="1" applyBorder="1" applyAlignment="1">
      <alignment horizontal="right" vertical="center" shrinkToFit="1"/>
    </xf>
    <xf numFmtId="174" fontId="40" fillId="0" borderId="0" xfId="0" applyNumberFormat="1" applyFont="1" applyFill="1" applyBorder="1" applyAlignment="1">
      <alignment horizontal="right" vertical="center"/>
    </xf>
    <xf numFmtId="174" fontId="40" fillId="22" borderId="0" xfId="0" applyNumberFormat="1" applyFont="1" applyFill="1" applyBorder="1" applyAlignment="1">
      <alignment horizontal="right" vertical="center"/>
    </xf>
    <xf numFmtId="10" fontId="40" fillId="22" borderId="0" xfId="48" applyNumberFormat="1" applyFont="1" applyFill="1" applyBorder="1"/>
    <xf numFmtId="178" fontId="40" fillId="22" borderId="0" xfId="0" applyNumberFormat="1" applyFont="1" applyFill="1" applyBorder="1"/>
    <xf numFmtId="0" fontId="40" fillId="0" borderId="32" xfId="0" applyFont="1" applyFill="1" applyBorder="1"/>
    <xf numFmtId="168" fontId="40" fillId="22" borderId="32" xfId="0" applyNumberFormat="1" applyFont="1" applyFill="1" applyBorder="1"/>
    <xf numFmtId="178" fontId="40" fillId="22" borderId="32" xfId="0" applyNumberFormat="1" applyFont="1" applyFill="1" applyBorder="1"/>
    <xf numFmtId="0" fontId="40" fillId="22" borderId="32" xfId="0" applyFont="1" applyFill="1" applyBorder="1"/>
    <xf numFmtId="166" fontId="40" fillId="22" borderId="32" xfId="25" applyNumberFormat="1" applyFont="1" applyFill="1" applyBorder="1" applyAlignment="1" applyProtection="1">
      <alignment horizontal="right"/>
    </xf>
    <xf numFmtId="0" fontId="40" fillId="0" borderId="32" xfId="0" applyFont="1" applyFill="1" applyBorder="1" applyAlignment="1"/>
    <xf numFmtId="10" fontId="40" fillId="0" borderId="32" xfId="48" applyNumberFormat="1" applyFont="1" applyFill="1" applyBorder="1" applyProtection="1">
      <protection locked="0"/>
    </xf>
    <xf numFmtId="0" fontId="40" fillId="0" borderId="32" xfId="0" applyFont="1" applyBorder="1"/>
    <xf numFmtId="167" fontId="40" fillId="0" borderId="32" xfId="0" applyNumberFormat="1" applyFont="1" applyFill="1" applyBorder="1"/>
    <xf numFmtId="0" fontId="40" fillId="0" borderId="26" xfId="0" applyFont="1" applyBorder="1"/>
    <xf numFmtId="166" fontId="3" fillId="22" borderId="32" xfId="25" applyNumberFormat="1" applyFill="1" applyBorder="1" applyAlignment="1">
      <alignment horizontal="right" vertical="center"/>
    </xf>
    <xf numFmtId="1" fontId="4" fillId="22" borderId="32" xfId="0" applyNumberFormat="1" applyFont="1" applyFill="1" applyBorder="1" applyAlignment="1">
      <alignment horizontal="right" vertical="center"/>
    </xf>
    <xf numFmtId="1" fontId="4" fillId="22" borderId="32" xfId="0" applyNumberFormat="1" applyFont="1" applyFill="1" applyBorder="1" applyAlignment="1">
      <alignment vertical="center"/>
    </xf>
    <xf numFmtId="0" fontId="0" fillId="22" borderId="32" xfId="0" applyFill="1" applyBorder="1"/>
    <xf numFmtId="173" fontId="40" fillId="22" borderId="32" xfId="32" applyNumberFormat="1" applyFont="1" applyFill="1" applyBorder="1"/>
    <xf numFmtId="10" fontId="40" fillId="22" borderId="32" xfId="48" applyNumberFormat="1" applyFont="1" applyFill="1" applyBorder="1"/>
    <xf numFmtId="10" fontId="40" fillId="22" borderId="32" xfId="48" applyNumberFormat="1" applyFont="1" applyFill="1" applyBorder="1" applyProtection="1">
      <protection locked="0"/>
    </xf>
    <xf numFmtId="171" fontId="40" fillId="22" borderId="32" xfId="48" applyNumberFormat="1" applyFont="1" applyFill="1" applyBorder="1" applyProtection="1">
      <protection locked="0"/>
    </xf>
    <xf numFmtId="10" fontId="40" fillId="22" borderId="32" xfId="48" applyNumberFormat="1" applyFont="1" applyFill="1" applyBorder="1" applyAlignment="1" applyProtection="1">
      <alignment horizontal="right" vertical="center"/>
    </xf>
    <xf numFmtId="174" fontId="40" fillId="22" borderId="32" xfId="0" applyNumberFormat="1" applyFont="1" applyFill="1" applyBorder="1" applyAlignment="1">
      <alignment horizontal="right" vertical="center"/>
    </xf>
    <xf numFmtId="9" fontId="40" fillId="22" borderId="32" xfId="48" applyFont="1" applyFill="1" applyBorder="1" applyAlignment="1" applyProtection="1">
      <alignment horizontal="right"/>
      <protection locked="0"/>
    </xf>
    <xf numFmtId="166" fontId="40" fillId="22" borderId="32" xfId="0" applyNumberFormat="1" applyFont="1" applyFill="1" applyBorder="1"/>
    <xf numFmtId="166" fontId="40" fillId="22" borderId="33" xfId="25" applyNumberFormat="1" applyFont="1" applyFill="1" applyBorder="1" applyAlignment="1" applyProtection="1">
      <alignment horizontal="right"/>
    </xf>
    <xf numFmtId="0" fontId="40" fillId="0" borderId="33" xfId="0" applyFont="1" applyBorder="1"/>
    <xf numFmtId="1" fontId="40" fillId="22" borderId="34" xfId="0" applyNumberFormat="1" applyFont="1" applyFill="1" applyBorder="1" applyAlignment="1" applyProtection="1">
      <alignment horizontal="right"/>
      <protection locked="0"/>
    </xf>
    <xf numFmtId="1" fontId="40" fillId="0" borderId="22" xfId="0" applyNumberFormat="1" applyFont="1" applyFill="1" applyBorder="1" applyAlignment="1" applyProtection="1">
      <alignment horizontal="right" vertical="center"/>
      <protection locked="0"/>
    </xf>
    <xf numFmtId="1" fontId="40" fillId="22" borderId="32" xfId="0" applyNumberFormat="1" applyFont="1" applyFill="1" applyBorder="1" applyAlignment="1" applyProtection="1">
      <alignment horizontal="right"/>
      <protection locked="0"/>
    </xf>
    <xf numFmtId="1" fontId="40" fillId="0" borderId="22" xfId="48" applyNumberFormat="1" applyFont="1" applyFill="1" applyBorder="1" applyAlignment="1" applyProtection="1">
      <alignment vertical="center"/>
      <protection locked="0"/>
    </xf>
    <xf numFmtId="1" fontId="40" fillId="0" borderId="0" xfId="48" applyNumberFormat="1" applyFont="1" applyFill="1" applyBorder="1" applyAlignment="1" applyProtection="1">
      <alignment vertical="center"/>
      <protection locked="0"/>
    </xf>
    <xf numFmtId="1" fontId="40" fillId="0" borderId="0" xfId="48" applyNumberFormat="1" applyFont="1" applyFill="1" applyBorder="1" applyAlignment="1" applyProtection="1">
      <alignment vertical="center" shrinkToFit="1"/>
      <protection locked="0"/>
    </xf>
    <xf numFmtId="1" fontId="40" fillId="22" borderId="0" xfId="48" applyNumberFormat="1" applyFont="1" applyFill="1" applyBorder="1" applyAlignment="1" applyProtection="1">
      <alignment vertical="center"/>
      <protection locked="0"/>
    </xf>
    <xf numFmtId="1" fontId="40" fillId="22" borderId="32" xfId="48" applyNumberFormat="1" applyFont="1" applyFill="1" applyBorder="1" applyAlignment="1" applyProtection="1">
      <alignment vertical="center"/>
      <protection locked="0"/>
    </xf>
    <xf numFmtId="0" fontId="10" fillId="22" borderId="32" xfId="0" applyFont="1" applyFill="1" applyBorder="1" applyAlignment="1" applyProtection="1">
      <alignment vertical="center"/>
      <protection locked="0"/>
    </xf>
    <xf numFmtId="0" fontId="40" fillId="22" borderId="32" xfId="0" applyFont="1" applyFill="1" applyBorder="1" applyAlignment="1" applyProtection="1">
      <alignment vertical="center"/>
      <protection locked="0"/>
    </xf>
    <xf numFmtId="166" fontId="40" fillId="23" borderId="32" xfId="25" applyNumberFormat="1" applyFont="1" applyFill="1" applyBorder="1" applyAlignment="1" applyProtection="1">
      <alignment horizontal="right"/>
    </xf>
    <xf numFmtId="0" fontId="54" fillId="22" borderId="32" xfId="0" applyFont="1" applyFill="1" applyBorder="1" applyAlignment="1" applyProtection="1">
      <alignment vertical="center"/>
      <protection locked="0"/>
    </xf>
    <xf numFmtId="0" fontId="40" fillId="0" borderId="22" xfId="0" applyFont="1" applyFill="1" applyBorder="1" applyProtection="1">
      <protection locked="0"/>
    </xf>
    <xf numFmtId="168" fontId="40" fillId="0" borderId="0" xfId="0" applyNumberFormat="1" applyFont="1" applyFill="1" applyBorder="1" applyProtection="1">
      <protection locked="0"/>
    </xf>
    <xf numFmtId="167" fontId="40" fillId="22" borderId="32" xfId="0" applyNumberFormat="1" applyFont="1" applyFill="1" applyBorder="1" applyAlignment="1" applyProtection="1">
      <alignment horizontal="right"/>
      <protection locked="0"/>
    </xf>
    <xf numFmtId="0" fontId="40" fillId="0" borderId="22" xfId="0" applyFont="1" applyBorder="1" applyProtection="1">
      <protection locked="0"/>
    </xf>
    <xf numFmtId="0" fontId="40" fillId="0" borderId="0" xfId="0" applyFont="1" applyBorder="1" applyAlignment="1" applyProtection="1">
      <alignment shrinkToFit="1"/>
      <protection locked="0"/>
    </xf>
    <xf numFmtId="0" fontId="40" fillId="0" borderId="0" xfId="0" applyFont="1" applyBorder="1" applyProtection="1">
      <protection locked="0"/>
    </xf>
    <xf numFmtId="0" fontId="40" fillId="22" borderId="0" xfId="0" applyFont="1" applyFill="1" applyBorder="1" applyProtection="1">
      <protection locked="0"/>
    </xf>
    <xf numFmtId="0" fontId="40" fillId="22" borderId="32" xfId="0" applyFont="1" applyFill="1" applyBorder="1" applyProtection="1">
      <protection locked="0"/>
    </xf>
    <xf numFmtId="168" fontId="40" fillId="22" borderId="0" xfId="0" applyNumberFormat="1" applyFont="1" applyFill="1" applyBorder="1" applyProtection="1">
      <protection locked="0"/>
    </xf>
    <xf numFmtId="168" fontId="40" fillId="22" borderId="32" xfId="0" applyNumberFormat="1" applyFont="1" applyFill="1" applyBorder="1" applyAlignment="1" applyProtection="1">
      <alignment vertical="center"/>
      <protection locked="0"/>
    </xf>
    <xf numFmtId="168" fontId="40" fillId="22" borderId="32" xfId="0" applyNumberFormat="1" applyFont="1" applyFill="1" applyBorder="1" applyProtection="1">
      <protection locked="0"/>
    </xf>
    <xf numFmtId="168" fontId="40" fillId="0" borderId="0" xfId="0" applyNumberFormat="1" applyFont="1" applyBorder="1" applyProtection="1">
      <protection locked="0"/>
    </xf>
    <xf numFmtId="0" fontId="0" fillId="0" borderId="22" xfId="0" applyBorder="1" applyProtection="1">
      <protection locked="0"/>
    </xf>
    <xf numFmtId="0" fontId="0" fillId="0" borderId="0" xfId="0" applyBorder="1" applyAlignment="1" applyProtection="1">
      <alignment shrinkToFit="1"/>
      <protection locked="0"/>
    </xf>
    <xf numFmtId="0" fontId="0" fillId="0" borderId="0" xfId="0" applyBorder="1" applyProtection="1">
      <protection locked="0"/>
    </xf>
    <xf numFmtId="0" fontId="0" fillId="22" borderId="0" xfId="0" applyFill="1" applyBorder="1" applyProtection="1">
      <protection locked="0"/>
    </xf>
    <xf numFmtId="0" fontId="0" fillId="22" borderId="32" xfId="0" applyFill="1" applyBorder="1" applyProtection="1">
      <protection locked="0"/>
    </xf>
    <xf numFmtId="167" fontId="40" fillId="0" borderId="0" xfId="0" applyNumberFormat="1" applyFont="1" applyFill="1" applyBorder="1" applyProtection="1">
      <protection locked="0"/>
    </xf>
    <xf numFmtId="10" fontId="40" fillId="0" borderId="0" xfId="0" applyNumberFormat="1" applyFont="1" applyFill="1" applyBorder="1" applyAlignment="1">
      <alignment shrinkToFit="1"/>
    </xf>
    <xf numFmtId="177" fontId="3" fillId="23" borderId="32" xfId="0" applyNumberFormat="1" applyFont="1" applyFill="1" applyBorder="1" applyAlignment="1" applyProtection="1">
      <alignment horizontal="right" vertical="center"/>
    </xf>
    <xf numFmtId="10" fontId="40" fillId="0" borderId="0" xfId="48" applyNumberFormat="1" applyFont="1" applyFill="1" applyBorder="1" applyProtection="1">
      <protection locked="0"/>
    </xf>
    <xf numFmtId="167" fontId="40" fillId="22" borderId="0" xfId="0" applyNumberFormat="1" applyFont="1" applyFill="1" applyBorder="1" applyProtection="1">
      <protection locked="0"/>
    </xf>
    <xf numFmtId="167" fontId="40" fillId="22" borderId="32" xfId="0" applyNumberFormat="1" applyFont="1" applyFill="1" applyBorder="1" applyProtection="1">
      <protection locked="0"/>
    </xf>
    <xf numFmtId="0" fontId="40" fillId="0" borderId="0" xfId="0" applyFont="1" applyFill="1" applyBorder="1" applyAlignment="1" applyProtection="1">
      <protection locked="0"/>
    </xf>
    <xf numFmtId="0" fontId="54" fillId="0" borderId="0" xfId="0" applyFont="1" applyBorder="1" applyAlignment="1" applyProtection="1">
      <alignment shrinkToFit="1"/>
      <protection locked="0"/>
    </xf>
    <xf numFmtId="0" fontId="40" fillId="0" borderId="0" xfId="0" applyFont="1" applyBorder="1" applyAlignment="1" applyProtection="1">
      <alignment horizontal="right"/>
      <protection locked="0"/>
    </xf>
    <xf numFmtId="0" fontId="40" fillId="0" borderId="0" xfId="0" applyFont="1" applyBorder="1" applyAlignment="1" applyProtection="1">
      <protection locked="0"/>
    </xf>
    <xf numFmtId="0" fontId="40" fillId="23" borderId="0" xfId="0" applyFont="1" applyFill="1" applyBorder="1" applyProtection="1">
      <protection locked="0"/>
    </xf>
    <xf numFmtId="0" fontId="40" fillId="0" borderId="24" xfId="0" applyFont="1" applyFill="1" applyBorder="1" applyProtection="1">
      <protection locked="0"/>
    </xf>
    <xf numFmtId="0" fontId="40" fillId="0" borderId="25" xfId="0" applyFont="1" applyBorder="1" applyProtection="1">
      <protection locked="0"/>
    </xf>
    <xf numFmtId="0" fontId="40" fillId="22" borderId="25" xfId="0" applyFont="1" applyFill="1" applyBorder="1" applyProtection="1">
      <protection locked="0"/>
    </xf>
    <xf numFmtId="0" fontId="40" fillId="22" borderId="26" xfId="0" applyFont="1" applyFill="1" applyBorder="1" applyProtection="1">
      <protection locked="0"/>
    </xf>
    <xf numFmtId="1" fontId="10" fillId="21" borderId="20" xfId="0" applyNumberFormat="1" applyFont="1" applyFill="1" applyBorder="1" applyAlignment="1" applyProtection="1">
      <alignment vertical="center"/>
      <protection locked="0"/>
    </xf>
    <xf numFmtId="1" fontId="10" fillId="0" borderId="22" xfId="0" applyNumberFormat="1" applyFont="1" applyFill="1" applyBorder="1" applyAlignment="1" applyProtection="1">
      <alignment vertical="center"/>
      <protection locked="0"/>
    </xf>
    <xf numFmtId="1" fontId="10" fillId="21" borderId="20" xfId="0" applyNumberFormat="1" applyFont="1" applyFill="1" applyBorder="1" applyAlignment="1" applyProtection="1">
      <alignment vertical="center"/>
    </xf>
    <xf numFmtId="1" fontId="54" fillId="0" borderId="22" xfId="0" applyNumberFormat="1" applyFont="1" applyFill="1" applyBorder="1" applyAlignment="1" applyProtection="1">
      <alignment vertical="center"/>
      <protection locked="0"/>
    </xf>
    <xf numFmtId="1" fontId="4" fillId="0" borderId="20" xfId="25" applyNumberFormat="1" applyFont="1" applyFill="1" applyBorder="1" applyAlignment="1" applyProtection="1">
      <alignment horizontal="center"/>
      <protection locked="0"/>
    </xf>
    <xf numFmtId="0" fontId="62" fillId="0" borderId="0" xfId="0" applyFont="1"/>
    <xf numFmtId="0" fontId="63" fillId="0" borderId="0" xfId="0" applyFont="1"/>
    <xf numFmtId="0" fontId="64" fillId="0" borderId="0" xfId="0" applyFont="1"/>
    <xf numFmtId="0" fontId="64" fillId="0" borderId="0" xfId="0" quotePrefix="1" applyFont="1"/>
    <xf numFmtId="0" fontId="66" fillId="22" borderId="20" xfId="58" applyFont="1" applyFill="1" applyBorder="1" applyAlignment="1">
      <alignment horizontal="left" vertical="top"/>
    </xf>
    <xf numFmtId="0" fontId="66" fillId="26" borderId="20" xfId="58" applyFont="1" applyFill="1" applyBorder="1" applyAlignment="1">
      <alignment horizontal="left" vertical="top"/>
    </xf>
    <xf numFmtId="0" fontId="10" fillId="25" borderId="17" xfId="0" applyFont="1" applyFill="1" applyBorder="1" applyAlignment="1" applyProtection="1">
      <alignment vertical="center"/>
      <protection locked="0"/>
    </xf>
    <xf numFmtId="0" fontId="10" fillId="25" borderId="17" xfId="0" applyFont="1" applyFill="1" applyBorder="1" applyAlignment="1" applyProtection="1">
      <alignment horizontal="center" vertical="center" shrinkToFit="1"/>
      <protection locked="0"/>
    </xf>
    <xf numFmtId="0" fontId="7" fillId="25" borderId="17" xfId="0" applyFont="1" applyFill="1" applyBorder="1" applyAlignment="1" applyProtection="1">
      <alignment vertical="center"/>
      <protection locked="0"/>
    </xf>
    <xf numFmtId="0" fontId="69" fillId="25" borderId="17" xfId="0" applyFont="1" applyFill="1" applyBorder="1" applyAlignment="1" applyProtection="1">
      <alignment vertical="center" shrinkToFit="1"/>
      <protection locked="0"/>
    </xf>
    <xf numFmtId="0" fontId="10" fillId="25" borderId="17" xfId="0" applyFont="1" applyFill="1" applyBorder="1" applyAlignment="1" applyProtection="1">
      <alignment vertical="center" shrinkToFit="1"/>
      <protection locked="0"/>
    </xf>
    <xf numFmtId="0" fontId="10" fillId="25" borderId="17" xfId="0" applyFont="1" applyFill="1" applyBorder="1" applyAlignment="1" applyProtection="1">
      <alignment horizontal="right" vertical="center"/>
      <protection locked="0"/>
    </xf>
    <xf numFmtId="0" fontId="10" fillId="25" borderId="21" xfId="0" applyFont="1" applyFill="1" applyBorder="1" applyAlignment="1" applyProtection="1">
      <alignment vertical="center"/>
      <protection locked="0"/>
    </xf>
    <xf numFmtId="0" fontId="50" fillId="25" borderId="17" xfId="0" applyFont="1" applyFill="1" applyBorder="1" applyAlignment="1" applyProtection="1">
      <alignment vertical="center"/>
      <protection locked="0"/>
    </xf>
    <xf numFmtId="0" fontId="65" fillId="25" borderId="17" xfId="0" applyFont="1" applyFill="1" applyBorder="1" applyAlignment="1" applyProtection="1">
      <alignment vertical="center"/>
      <protection locked="0"/>
    </xf>
    <xf numFmtId="0" fontId="3" fillId="25" borderId="17" xfId="0" applyFont="1" applyFill="1" applyBorder="1" applyAlignment="1" applyProtection="1">
      <alignment vertical="center"/>
      <protection locked="0"/>
    </xf>
    <xf numFmtId="0" fontId="10" fillId="25" borderId="17" xfId="0" applyFont="1" applyFill="1" applyBorder="1" applyAlignment="1" applyProtection="1">
      <alignment horizontal="center" vertical="center"/>
      <protection locked="0"/>
    </xf>
    <xf numFmtId="0" fontId="12" fillId="25" borderId="17" xfId="0" applyFont="1" applyFill="1" applyBorder="1" applyAlignment="1" applyProtection="1">
      <alignment vertical="center"/>
      <protection locked="0"/>
    </xf>
    <xf numFmtId="0" fontId="10" fillId="25" borderId="17" xfId="0" applyFont="1" applyFill="1" applyBorder="1" applyAlignment="1" applyProtection="1">
      <alignment vertical="center"/>
    </xf>
    <xf numFmtId="0" fontId="10" fillId="25" borderId="17" xfId="0" applyFont="1" applyFill="1" applyBorder="1" applyAlignment="1" applyProtection="1">
      <alignment horizontal="center" vertical="center"/>
    </xf>
    <xf numFmtId="0" fontId="65" fillId="25" borderId="17" xfId="0" applyFont="1" applyFill="1" applyBorder="1" applyAlignment="1" applyProtection="1">
      <alignment vertical="center" shrinkToFit="1"/>
    </xf>
    <xf numFmtId="0" fontId="10" fillId="25" borderId="32" xfId="0" applyFont="1" applyFill="1" applyBorder="1" applyAlignment="1" applyProtection="1">
      <alignment vertical="center"/>
      <protection locked="0"/>
    </xf>
    <xf numFmtId="0" fontId="3" fillId="25" borderId="0" xfId="0" applyFont="1" applyFill="1" applyBorder="1" applyAlignment="1" applyProtection="1">
      <alignment vertical="center"/>
      <protection locked="0"/>
    </xf>
    <xf numFmtId="0" fontId="12" fillId="25" borderId="0" xfId="0" applyFont="1" applyFill="1" applyBorder="1"/>
    <xf numFmtId="0" fontId="5" fillId="25" borderId="17" xfId="25" applyFont="1" applyFill="1" applyBorder="1" applyProtection="1">
      <protection locked="0"/>
    </xf>
    <xf numFmtId="0" fontId="8" fillId="25" borderId="17" xfId="25" applyNumberFormat="1" applyFont="1" applyFill="1" applyBorder="1" applyAlignment="1" applyProtection="1">
      <alignment horizontal="right"/>
      <protection locked="0"/>
    </xf>
    <xf numFmtId="0" fontId="68" fillId="25" borderId="17" xfId="25" applyFont="1" applyFill="1" applyBorder="1" applyAlignment="1" applyProtection="1">
      <alignment vertical="center" shrinkToFit="1"/>
      <protection locked="0"/>
    </xf>
    <xf numFmtId="166" fontId="5" fillId="25" borderId="17" xfId="25" applyNumberFormat="1" applyFont="1" applyFill="1" applyBorder="1" applyAlignment="1" applyProtection="1">
      <alignment horizontal="right"/>
      <protection locked="0"/>
    </xf>
    <xf numFmtId="166" fontId="5" fillId="25" borderId="21" xfId="25" applyNumberFormat="1" applyFont="1" applyFill="1" applyBorder="1" applyAlignment="1" applyProtection="1">
      <alignment horizontal="right"/>
      <protection locked="0"/>
    </xf>
    <xf numFmtId="166" fontId="5" fillId="25" borderId="0" xfId="25" applyNumberFormat="1" applyFont="1" applyFill="1" applyAlignment="1" applyProtection="1">
      <alignment horizontal="right"/>
      <protection locked="0"/>
    </xf>
    <xf numFmtId="166" fontId="49" fillId="25" borderId="19" xfId="25" applyNumberFormat="1" applyFont="1" applyFill="1" applyBorder="1" applyAlignment="1" applyProtection="1">
      <alignment horizontal="right" vertical="center"/>
      <protection locked="0"/>
    </xf>
    <xf numFmtId="0" fontId="54" fillId="25" borderId="17" xfId="25" applyFont="1" applyFill="1" applyBorder="1" applyAlignment="1" applyProtection="1">
      <alignment horizontal="left"/>
      <protection locked="0"/>
    </xf>
    <xf numFmtId="0" fontId="54" fillId="25" borderId="17" xfId="0" applyFont="1" applyFill="1" applyBorder="1" applyAlignment="1" applyProtection="1">
      <alignment vertical="center"/>
      <protection locked="0"/>
    </xf>
    <xf numFmtId="0" fontId="54" fillId="25" borderId="17" xfId="0" applyFont="1" applyFill="1" applyBorder="1" applyAlignment="1" applyProtection="1">
      <alignment vertical="center"/>
    </xf>
    <xf numFmtId="0" fontId="54" fillId="25" borderId="17" xfId="0" applyFont="1" applyFill="1" applyBorder="1" applyAlignment="1" applyProtection="1">
      <alignment horizontal="center" vertical="center"/>
      <protection locked="0"/>
    </xf>
    <xf numFmtId="0" fontId="8" fillId="25" borderId="19" xfId="25" applyFont="1" applyFill="1" applyBorder="1" applyAlignment="1">
      <alignment horizontal="left" vertical="center"/>
    </xf>
    <xf numFmtId="166" fontId="5" fillId="25" borderId="19" xfId="25" applyNumberFormat="1" applyFont="1" applyFill="1" applyBorder="1" applyAlignment="1">
      <alignment horizontal="right" vertical="center"/>
    </xf>
    <xf numFmtId="166" fontId="5" fillId="25" borderId="27" xfId="25" applyNumberFormat="1" applyFont="1" applyFill="1" applyBorder="1" applyAlignment="1">
      <alignment horizontal="right" vertical="center"/>
    </xf>
    <xf numFmtId="166" fontId="5" fillId="25" borderId="28" xfId="25" applyNumberFormat="1" applyFont="1" applyFill="1" applyBorder="1" applyAlignment="1">
      <alignment horizontal="right" vertical="center"/>
    </xf>
    <xf numFmtId="166" fontId="5" fillId="25" borderId="0" xfId="25" applyNumberFormat="1" applyFont="1" applyFill="1" applyBorder="1" applyAlignment="1">
      <alignment horizontal="right" vertical="center"/>
    </xf>
    <xf numFmtId="0" fontId="12" fillId="25" borderId="0" xfId="25" applyNumberFormat="1" applyFont="1" applyFill="1" applyBorder="1" applyAlignment="1">
      <alignment vertical="center"/>
    </xf>
    <xf numFmtId="0" fontId="10" fillId="25" borderId="29" xfId="0" applyFont="1" applyFill="1" applyBorder="1" applyAlignment="1" applyProtection="1">
      <alignment vertical="center"/>
      <protection locked="0"/>
    </xf>
    <xf numFmtId="0" fontId="10" fillId="25" borderId="0" xfId="0" applyFont="1" applyFill="1" applyBorder="1" applyAlignment="1" applyProtection="1">
      <alignment vertical="center"/>
      <protection locked="0"/>
    </xf>
    <xf numFmtId="0" fontId="12" fillId="25" borderId="0" xfId="0" applyFont="1" applyFill="1"/>
    <xf numFmtId="49" fontId="40" fillId="25" borderId="19" xfId="25" applyNumberFormat="1" applyFont="1" applyFill="1" applyBorder="1" applyAlignment="1">
      <alignment shrinkToFit="1"/>
    </xf>
    <xf numFmtId="1" fontId="10" fillId="25" borderId="17" xfId="0" applyNumberFormat="1" applyFont="1" applyFill="1" applyBorder="1" applyAlignment="1" applyProtection="1">
      <alignment vertical="center"/>
    </xf>
    <xf numFmtId="168" fontId="10" fillId="25" borderId="17" xfId="0" applyNumberFormat="1" applyFont="1" applyFill="1" applyBorder="1" applyAlignment="1" applyProtection="1">
      <alignment vertical="center"/>
      <protection locked="0"/>
    </xf>
    <xf numFmtId="0" fontId="54" fillId="25" borderId="17" xfId="0" applyFont="1" applyFill="1" applyBorder="1" applyAlignment="1" applyProtection="1">
      <alignment horizontal="center" vertical="center"/>
    </xf>
    <xf numFmtId="167" fontId="10" fillId="25" borderId="17" xfId="0" applyNumberFormat="1" applyFont="1" applyFill="1" applyBorder="1" applyAlignment="1" applyProtection="1">
      <alignment vertical="center"/>
      <protection locked="0"/>
    </xf>
    <xf numFmtId="0" fontId="69" fillId="25" borderId="17" xfId="0" applyFont="1" applyFill="1" applyBorder="1" applyAlignment="1" applyProtection="1">
      <alignment vertical="center" shrinkToFit="1"/>
    </xf>
    <xf numFmtId="0" fontId="69" fillId="25" borderId="17" xfId="0" applyFont="1" applyFill="1" applyBorder="1" applyAlignment="1" applyProtection="1">
      <alignment horizontal="left" vertical="center"/>
    </xf>
    <xf numFmtId="0" fontId="65" fillId="25" borderId="17" xfId="0" applyFont="1" applyFill="1" applyBorder="1" applyAlignment="1" applyProtection="1">
      <alignment vertical="center"/>
    </xf>
    <xf numFmtId="0" fontId="68" fillId="25" borderId="19" xfId="25" applyFont="1" applyFill="1" applyBorder="1" applyAlignment="1">
      <alignment horizontal="left" vertical="center" shrinkToFit="1"/>
    </xf>
    <xf numFmtId="1" fontId="69" fillId="25" borderId="19" xfId="25" applyNumberFormat="1" applyFont="1" applyFill="1" applyBorder="1" applyAlignment="1">
      <alignment horizontal="right" vertical="center"/>
    </xf>
    <xf numFmtId="1" fontId="69" fillId="25" borderId="27" xfId="25" applyNumberFormat="1" applyFont="1" applyFill="1" applyBorder="1" applyAlignment="1">
      <alignment horizontal="right" vertical="center"/>
    </xf>
    <xf numFmtId="1" fontId="70" fillId="25" borderId="28" xfId="25" applyNumberFormat="1" applyFont="1" applyFill="1" applyBorder="1" applyAlignment="1">
      <alignment horizontal="center" vertical="center"/>
    </xf>
    <xf numFmtId="1" fontId="69" fillId="25" borderId="0" xfId="25" applyNumberFormat="1" applyFont="1" applyFill="1" applyBorder="1" applyAlignment="1">
      <alignment horizontal="right" vertical="center"/>
    </xf>
    <xf numFmtId="0" fontId="71" fillId="25" borderId="0" xfId="25" applyNumberFormat="1" applyFont="1" applyFill="1" applyBorder="1" applyAlignment="1">
      <alignment vertical="center"/>
    </xf>
    <xf numFmtId="0" fontId="0" fillId="25" borderId="20" xfId="0" applyFill="1" applyBorder="1"/>
    <xf numFmtId="0" fontId="0" fillId="25" borderId="17" xfId="0" applyFill="1" applyBorder="1"/>
    <xf numFmtId="0" fontId="0" fillId="25" borderId="21" xfId="0" applyFill="1" applyBorder="1"/>
    <xf numFmtId="0" fontId="0" fillId="25" borderId="22" xfId="0" applyFill="1" applyBorder="1"/>
    <xf numFmtId="0" fontId="0" fillId="25" borderId="0" xfId="0" applyFill="1" applyBorder="1"/>
    <xf numFmtId="0" fontId="43" fillId="25" borderId="0" xfId="0" applyFont="1" applyFill="1" applyBorder="1"/>
    <xf numFmtId="0" fontId="0" fillId="25" borderId="23" xfId="0" applyFill="1" applyBorder="1"/>
    <xf numFmtId="9" fontId="41" fillId="25" borderId="0" xfId="25" applyNumberFormat="1" applyFont="1" applyFill="1" applyBorder="1" applyAlignment="1" applyProtection="1">
      <alignment horizontal="right"/>
    </xf>
    <xf numFmtId="0" fontId="45" fillId="25" borderId="0" xfId="0" applyFont="1" applyFill="1" applyBorder="1" applyAlignment="1">
      <alignment horizontal="left"/>
    </xf>
    <xf numFmtId="0" fontId="45" fillId="25" borderId="23" xfId="0" applyFont="1" applyFill="1" applyBorder="1" applyAlignment="1">
      <alignment horizontal="left"/>
    </xf>
    <xf numFmtId="0" fontId="45" fillId="25" borderId="0" xfId="0" applyFont="1" applyFill="1" applyBorder="1"/>
    <xf numFmtId="0" fontId="3" fillId="25" borderId="0" xfId="0" applyFont="1" applyFill="1" applyBorder="1"/>
    <xf numFmtId="49" fontId="35" fillId="25" borderId="24" xfId="25" applyNumberFormat="1" applyFont="1" applyFill="1" applyBorder="1" applyAlignment="1">
      <alignment horizontal="right" vertical="center"/>
    </xf>
    <xf numFmtId="0" fontId="8" fillId="25" borderId="25" xfId="25" applyFont="1" applyFill="1" applyBorder="1" applyAlignment="1">
      <alignment horizontal="left" vertical="center"/>
    </xf>
    <xf numFmtId="49" fontId="35" fillId="25" borderId="25" xfId="25" applyNumberFormat="1" applyFont="1" applyFill="1" applyBorder="1" applyAlignment="1">
      <alignment shrinkToFit="1"/>
    </xf>
    <xf numFmtId="0" fontId="42" fillId="25" borderId="25" xfId="25" applyFont="1" applyFill="1" applyBorder="1" applyAlignment="1">
      <alignment horizontal="left" vertical="center" shrinkToFit="1"/>
    </xf>
    <xf numFmtId="166" fontId="5" fillId="25" borderId="25" xfId="25" applyNumberFormat="1" applyFont="1" applyFill="1" applyBorder="1" applyAlignment="1">
      <alignment horizontal="right" vertical="center"/>
    </xf>
    <xf numFmtId="166" fontId="41" fillId="25" borderId="26" xfId="25" applyNumberFormat="1" applyFont="1" applyFill="1" applyBorder="1" applyAlignment="1">
      <alignment horizontal="right" vertical="top" wrapText="1"/>
    </xf>
    <xf numFmtId="0" fontId="72" fillId="25" borderId="0" xfId="0" applyFont="1" applyFill="1" applyBorder="1"/>
    <xf numFmtId="0" fontId="73" fillId="25" borderId="0" xfId="0" applyFont="1" applyFill="1" applyBorder="1"/>
    <xf numFmtId="1" fontId="74" fillId="25" borderId="19" xfId="25" applyNumberFormat="1" applyFont="1" applyFill="1" applyBorder="1" applyAlignment="1">
      <alignment horizontal="right" vertical="center"/>
    </xf>
    <xf numFmtId="1" fontId="69" fillId="25" borderId="28" xfId="25" applyNumberFormat="1" applyFont="1" applyFill="1" applyBorder="1" applyAlignment="1">
      <alignment horizontal="right" vertical="center"/>
    </xf>
    <xf numFmtId="1" fontId="74" fillId="25" borderId="27" xfId="25" applyNumberFormat="1" applyFont="1" applyFill="1" applyBorder="1" applyAlignment="1">
      <alignment horizontal="right" vertical="center"/>
    </xf>
    <xf numFmtId="0" fontId="0" fillId="25" borderId="21" xfId="0" applyFill="1" applyBorder="1" applyAlignment="1">
      <alignment horizontal="right"/>
    </xf>
    <xf numFmtId="0" fontId="0" fillId="25" borderId="23" xfId="0" applyFill="1" applyBorder="1" applyAlignment="1">
      <alignment horizontal="right"/>
    </xf>
    <xf numFmtId="9" fontId="41" fillId="25" borderId="23" xfId="25" applyNumberFormat="1" applyFont="1" applyFill="1" applyBorder="1" applyAlignment="1" applyProtection="1">
      <alignment horizontal="right"/>
    </xf>
    <xf numFmtId="9" fontId="41" fillId="25" borderId="0" xfId="25" applyNumberFormat="1" applyFont="1" applyFill="1" applyBorder="1" applyAlignment="1" applyProtection="1">
      <alignment horizontal="left"/>
    </xf>
    <xf numFmtId="166" fontId="41" fillId="25" borderId="23" xfId="25" applyNumberFormat="1" applyFont="1" applyFill="1" applyBorder="1" applyAlignment="1">
      <alignment horizontal="right" vertical="top" wrapText="1"/>
    </xf>
    <xf numFmtId="1" fontId="74" fillId="25" borderId="23" xfId="25" applyNumberFormat="1" applyFont="1" applyFill="1" applyBorder="1" applyAlignment="1">
      <alignment horizontal="right" vertical="center"/>
    </xf>
    <xf numFmtId="0" fontId="5" fillId="25" borderId="25" xfId="25" applyFont="1" applyFill="1" applyBorder="1" applyAlignment="1">
      <alignment vertical="center"/>
    </xf>
    <xf numFmtId="0" fontId="64" fillId="0" borderId="20" xfId="0" applyFont="1" applyBorder="1" applyProtection="1"/>
    <xf numFmtId="0" fontId="64" fillId="0" borderId="22" xfId="0" applyFont="1" applyBorder="1" applyProtection="1"/>
    <xf numFmtId="0" fontId="64" fillId="0" borderId="24" xfId="0" applyFont="1" applyBorder="1" applyProtection="1"/>
    <xf numFmtId="0" fontId="75" fillId="0" borderId="0" xfId="0" applyFont="1"/>
    <xf numFmtId="0" fontId="64" fillId="0" borderId="17" xfId="0" applyFont="1" applyBorder="1" applyProtection="1"/>
    <xf numFmtId="0" fontId="64" fillId="0" borderId="17" xfId="0" applyFont="1" applyFill="1" applyBorder="1" applyProtection="1"/>
    <xf numFmtId="0" fontId="64" fillId="0" borderId="21" xfId="0" applyFont="1" applyFill="1" applyBorder="1" applyProtection="1"/>
    <xf numFmtId="168" fontId="44" fillId="0" borderId="35" xfId="0" applyNumberFormat="1" applyFont="1" applyBorder="1"/>
    <xf numFmtId="166" fontId="54" fillId="0" borderId="30" xfId="0" applyNumberFormat="1" applyFont="1" applyFill="1" applyBorder="1"/>
    <xf numFmtId="0" fontId="40" fillId="0" borderId="0" xfId="0" applyFont="1" applyAlignment="1">
      <alignment vertical="center"/>
    </xf>
    <xf numFmtId="0" fontId="54" fillId="0" borderId="0" xfId="0" applyFont="1" applyAlignment="1">
      <alignment vertical="center"/>
    </xf>
    <xf numFmtId="0" fontId="40" fillId="0" borderId="0" xfId="0" applyFont="1" applyAlignment="1">
      <alignment vertical="center" wrapText="1"/>
    </xf>
    <xf numFmtId="0" fontId="77" fillId="30" borderId="28" xfId="0" applyFont="1" applyFill="1" applyBorder="1" applyAlignment="1">
      <alignment vertical="center" wrapText="1"/>
    </xf>
    <xf numFmtId="0" fontId="77" fillId="30" borderId="28" xfId="0" applyFont="1" applyFill="1" applyBorder="1" applyAlignment="1">
      <alignment horizontal="left" vertical="center" wrapText="1"/>
    </xf>
    <xf numFmtId="14" fontId="40" fillId="0" borderId="28" xfId="0" applyNumberFormat="1" applyFont="1" applyBorder="1" applyAlignment="1">
      <alignment horizontal="left" vertical="center" wrapText="1"/>
    </xf>
    <xf numFmtId="0" fontId="40" fillId="0" borderId="0" xfId="0" applyFont="1" applyAlignment="1">
      <alignment vertical="top" wrapText="1"/>
    </xf>
    <xf numFmtId="0" fontId="77" fillId="30" borderId="28" xfId="0" applyFont="1" applyFill="1" applyBorder="1" applyAlignment="1">
      <alignment vertical="top" wrapText="1"/>
    </xf>
    <xf numFmtId="0" fontId="77" fillId="30" borderId="18" xfId="0" applyFont="1" applyFill="1" applyBorder="1" applyAlignment="1">
      <alignment horizontal="left" vertical="top" wrapText="1"/>
    </xf>
    <xf numFmtId="0" fontId="77" fillId="30" borderId="19" xfId="0" applyFont="1" applyFill="1" applyBorder="1" applyAlignment="1">
      <alignment horizontal="left" vertical="top" wrapText="1"/>
    </xf>
    <xf numFmtId="0" fontId="77" fillId="30" borderId="27" xfId="0" applyFont="1" applyFill="1" applyBorder="1" applyAlignment="1">
      <alignment horizontal="left" vertical="top" wrapText="1"/>
    </xf>
    <xf numFmtId="0" fontId="64" fillId="0" borderId="0" xfId="0" applyFont="1" applyAlignment="1">
      <alignment vertical="center"/>
    </xf>
    <xf numFmtId="0" fontId="78" fillId="0" borderId="0" xfId="0" applyFont="1" applyAlignment="1">
      <alignment horizontal="left" vertical="center"/>
    </xf>
    <xf numFmtId="0" fontId="78" fillId="0" borderId="0" xfId="0" applyFont="1" applyAlignment="1">
      <alignment horizontal="left" vertical="top"/>
    </xf>
    <xf numFmtId="0" fontId="40" fillId="0" borderId="18" xfId="0" applyFont="1" applyFill="1" applyBorder="1" applyAlignment="1">
      <alignment horizontal="left" vertical="center" wrapText="1"/>
    </xf>
    <xf numFmtId="0" fontId="40" fillId="0" borderId="28" xfId="0" applyFont="1" applyFill="1" applyBorder="1" applyAlignment="1">
      <alignment horizontal="left" vertical="center" wrapText="1"/>
    </xf>
    <xf numFmtId="0" fontId="3" fillId="0" borderId="0" xfId="0" applyFont="1"/>
    <xf numFmtId="0" fontId="3" fillId="27" borderId="0" xfId="76" applyAlignment="1">
      <alignment vertical="center"/>
    </xf>
    <xf numFmtId="0" fontId="11" fillId="29" borderId="0" xfId="68" applyAlignment="1">
      <alignment vertical="center"/>
    </xf>
    <xf numFmtId="0" fontId="3" fillId="0" borderId="0" xfId="0" applyFont="1" applyFill="1" applyBorder="1"/>
    <xf numFmtId="0" fontId="3" fillId="0" borderId="0" xfId="0" applyFont="1" applyFill="1" applyBorder="1" applyAlignment="1">
      <alignment shrinkToFit="1"/>
    </xf>
    <xf numFmtId="179" fontId="3" fillId="28" borderId="28" xfId="75" applyNumberFormat="1" applyFont="1" applyBorder="1" applyAlignment="1">
      <alignment vertical="center"/>
    </xf>
    <xf numFmtId="0" fontId="3" fillId="0" borderId="0" xfId="0" applyFont="1" applyBorder="1"/>
    <xf numFmtId="166" fontId="54" fillId="31" borderId="30" xfId="0" applyNumberFormat="1" applyFont="1" applyFill="1" applyBorder="1"/>
    <xf numFmtId="0" fontId="78" fillId="0" borderId="0" xfId="0" applyFont="1"/>
    <xf numFmtId="1" fontId="52" fillId="0" borderId="15" xfId="45" applyNumberFormat="1" applyFont="1" applyFill="1" applyBorder="1" applyAlignment="1" applyProtection="1">
      <alignment horizontal="right" shrinkToFit="1"/>
      <protection locked="0"/>
    </xf>
    <xf numFmtId="2" fontId="40" fillId="23" borderId="0" xfId="0" applyNumberFormat="1" applyFont="1" applyFill="1" applyBorder="1" applyAlignment="1" applyProtection="1">
      <alignment horizontal="right"/>
    </xf>
    <xf numFmtId="0" fontId="40" fillId="23" borderId="0" xfId="0" applyFont="1" applyFill="1" applyBorder="1" applyAlignment="1" applyProtection="1">
      <alignment horizontal="right"/>
    </xf>
    <xf numFmtId="168" fontId="40" fillId="23" borderId="0" xfId="0" applyNumberFormat="1" applyFont="1" applyFill="1" applyBorder="1" applyAlignment="1" applyProtection="1">
      <alignment horizontal="right"/>
    </xf>
    <xf numFmtId="1" fontId="40" fillId="23" borderId="0" xfId="0" applyNumberFormat="1" applyFont="1" applyFill="1" applyBorder="1" applyAlignment="1" applyProtection="1">
      <alignment horizontal="right"/>
    </xf>
    <xf numFmtId="180" fontId="40" fillId="23" borderId="0" xfId="25" applyNumberFormat="1" applyFont="1" applyFill="1" applyBorder="1" applyAlignment="1" applyProtection="1">
      <alignment horizontal="right"/>
    </xf>
    <xf numFmtId="10" fontId="40" fillId="23" borderId="0" xfId="48" applyNumberFormat="1" applyFont="1" applyFill="1" applyBorder="1" applyAlignment="1" applyProtection="1">
      <alignment horizontal="right"/>
    </xf>
    <xf numFmtId="181" fontId="40" fillId="23" borderId="0" xfId="25" applyNumberFormat="1" applyFont="1" applyFill="1" applyBorder="1" applyAlignment="1" applyProtection="1">
      <alignment horizontal="right"/>
    </xf>
    <xf numFmtId="181" fontId="40" fillId="23" borderId="0" xfId="0" applyNumberFormat="1" applyFont="1" applyFill="1" applyBorder="1" applyProtection="1">
      <protection locked="0"/>
    </xf>
    <xf numFmtId="181" fontId="40" fillId="23" borderId="32" xfId="0" applyNumberFormat="1" applyFont="1" applyFill="1" applyBorder="1" applyProtection="1">
      <protection locked="0"/>
    </xf>
    <xf numFmtId="179" fontId="0" fillId="0" borderId="0" xfId="0" applyNumberFormat="1"/>
    <xf numFmtId="3" fontId="0" fillId="0" borderId="0" xfId="0" applyNumberFormat="1"/>
    <xf numFmtId="10" fontId="0" fillId="0" borderId="0" xfId="0" applyNumberFormat="1"/>
    <xf numFmtId="182" fontId="0" fillId="0" borderId="0" xfId="0" applyNumberFormat="1"/>
    <xf numFmtId="4" fontId="0" fillId="0" borderId="0" xfId="0" applyNumberFormat="1"/>
    <xf numFmtId="179" fontId="3" fillId="0" borderId="0" xfId="0" applyNumberFormat="1" applyFont="1"/>
    <xf numFmtId="0" fontId="40" fillId="28" borderId="0" xfId="0" applyFont="1" applyFill="1" applyBorder="1" applyAlignment="1" applyProtection="1">
      <alignment horizontal="right"/>
      <protection locked="0"/>
    </xf>
    <xf numFmtId="166" fontId="40" fillId="22" borderId="36" xfId="25" applyNumberFormat="1" applyFont="1" applyFill="1" applyBorder="1" applyAlignment="1" applyProtection="1">
      <alignment horizontal="right"/>
    </xf>
    <xf numFmtId="0" fontId="10" fillId="25" borderId="17" xfId="0" applyFont="1" applyFill="1" applyBorder="1" applyAlignment="1" applyProtection="1">
      <alignment horizontal="left" vertical="center"/>
    </xf>
    <xf numFmtId="0" fontId="40" fillId="22" borderId="36" xfId="0" applyFont="1" applyFill="1" applyBorder="1"/>
    <xf numFmtId="0" fontId="3" fillId="0" borderId="0" xfId="0" applyNumberFormat="1" applyFont="1" applyFill="1" applyBorder="1" applyAlignment="1">
      <alignment vertical="center"/>
    </xf>
    <xf numFmtId="49" fontId="35" fillId="25" borderId="18" xfId="25" applyNumberFormat="1" applyFont="1" applyFill="1" applyBorder="1" applyAlignment="1">
      <alignment horizontal="right" vertical="center"/>
    </xf>
    <xf numFmtId="0" fontId="5" fillId="25" borderId="19" xfId="25" applyFont="1" applyFill="1" applyBorder="1" applyAlignment="1">
      <alignment vertical="center"/>
    </xf>
    <xf numFmtId="0" fontId="12" fillId="25" borderId="20" xfId="25" applyNumberFormat="1" applyFont="1" applyFill="1" applyBorder="1" applyAlignment="1">
      <alignment vertical="center"/>
    </xf>
    <xf numFmtId="0" fontId="12" fillId="25" borderId="17" xfId="25" applyNumberFormat="1" applyFont="1" applyFill="1" applyBorder="1" applyAlignment="1">
      <alignment vertical="center"/>
    </xf>
    <xf numFmtId="0" fontId="12" fillId="25" borderId="21" xfId="25" applyNumberFormat="1" applyFont="1" applyFill="1" applyBorder="1" applyAlignment="1">
      <alignment vertical="center"/>
    </xf>
    <xf numFmtId="0" fontId="12" fillId="0" borderId="22" xfId="25" applyNumberFormat="1" applyFont="1" applyFill="1" applyBorder="1" applyAlignment="1">
      <alignment vertical="center"/>
    </xf>
    <xf numFmtId="0" fontId="12" fillId="0" borderId="36" xfId="25" applyNumberFormat="1" applyFont="1" applyFill="1" applyBorder="1" applyAlignment="1">
      <alignment vertical="center"/>
    </xf>
    <xf numFmtId="1" fontId="69" fillId="25" borderId="22" xfId="25" applyNumberFormat="1" applyFont="1" applyFill="1" applyBorder="1" applyAlignment="1">
      <alignment horizontal="right" vertical="center"/>
    </xf>
    <xf numFmtId="1" fontId="69" fillId="25" borderId="36" xfId="25" applyNumberFormat="1" applyFont="1" applyFill="1" applyBorder="1" applyAlignment="1">
      <alignment horizontal="right" vertical="center"/>
    </xf>
    <xf numFmtId="0" fontId="12" fillId="0" borderId="22" xfId="0" applyNumberFormat="1" applyFont="1" applyFill="1" applyBorder="1" applyAlignment="1">
      <alignment vertical="center"/>
    </xf>
    <xf numFmtId="0" fontId="12" fillId="0" borderId="36" xfId="0" applyNumberFormat="1" applyFont="1" applyFill="1" applyBorder="1" applyAlignment="1">
      <alignment vertical="center"/>
    </xf>
    <xf numFmtId="0" fontId="3" fillId="0" borderId="22" xfId="0" applyNumberFormat="1" applyFont="1" applyFill="1" applyBorder="1" applyAlignment="1">
      <alignment vertical="center"/>
    </xf>
    <xf numFmtId="0" fontId="3" fillId="0" borderId="36" xfId="0" applyNumberFormat="1" applyFont="1" applyFill="1" applyBorder="1" applyAlignment="1">
      <alignment vertical="center"/>
    </xf>
    <xf numFmtId="0" fontId="3" fillId="0" borderId="22" xfId="0" applyFont="1" applyBorder="1"/>
    <xf numFmtId="0" fontId="3" fillId="0" borderId="36" xfId="0" applyFont="1" applyBorder="1"/>
    <xf numFmtId="0" fontId="3" fillId="25" borderId="22" xfId="0" applyFont="1" applyFill="1" applyBorder="1"/>
    <xf numFmtId="0" fontId="3" fillId="25" borderId="36" xfId="0" applyFont="1" applyFill="1" applyBorder="1"/>
    <xf numFmtId="0" fontId="40" fillId="0" borderId="22" xfId="0" applyFont="1" applyFill="1" applyBorder="1"/>
    <xf numFmtId="0" fontId="40" fillId="0" borderId="36" xfId="0" applyFont="1" applyFill="1" applyBorder="1"/>
    <xf numFmtId="0" fontId="40" fillId="0" borderId="36" xfId="0" applyFont="1" applyBorder="1"/>
    <xf numFmtId="0" fontId="40" fillId="0" borderId="36" xfId="0" applyFont="1" applyFill="1" applyBorder="1" applyProtection="1">
      <protection locked="0"/>
    </xf>
    <xf numFmtId="0" fontId="40" fillId="0" borderId="24" xfId="0" applyFont="1" applyFill="1" applyBorder="1"/>
    <xf numFmtId="0" fontId="40" fillId="0" borderId="25" xfId="0" applyFont="1" applyFill="1" applyBorder="1"/>
    <xf numFmtId="0" fontId="40" fillId="0" borderId="26" xfId="0" applyFont="1" applyFill="1" applyBorder="1"/>
    <xf numFmtId="0" fontId="77" fillId="25" borderId="17" xfId="0" applyFont="1" applyFill="1" applyBorder="1" applyAlignment="1" applyProtection="1">
      <alignment vertical="center"/>
    </xf>
    <xf numFmtId="1" fontId="40" fillId="31" borderId="30" xfId="0" applyNumberFormat="1" applyFont="1" applyFill="1" applyBorder="1"/>
    <xf numFmtId="166" fontId="40" fillId="0" borderId="22" xfId="0" applyNumberFormat="1" applyFont="1" applyFill="1" applyBorder="1"/>
    <xf numFmtId="166" fontId="40" fillId="22" borderId="37" xfId="25" applyNumberFormat="1" applyFont="1" applyFill="1" applyBorder="1" applyAlignment="1" applyProtection="1">
      <alignment horizontal="right"/>
    </xf>
    <xf numFmtId="0" fontId="40" fillId="0" borderId="37" xfId="0" applyFont="1" applyFill="1" applyBorder="1"/>
    <xf numFmtId="173" fontId="40" fillId="22" borderId="38" xfId="32" applyNumberFormat="1" applyFont="1" applyFill="1" applyBorder="1"/>
    <xf numFmtId="0" fontId="40" fillId="0" borderId="37" xfId="0" applyFont="1" applyFill="1" applyBorder="1" applyProtection="1">
      <protection locked="0"/>
    </xf>
    <xf numFmtId="173" fontId="40" fillId="22" borderId="37" xfId="32" applyNumberFormat="1" applyFont="1" applyFill="1" applyBorder="1"/>
    <xf numFmtId="183" fontId="40" fillId="0" borderId="22" xfId="32" applyNumberFormat="1" applyFont="1" applyFill="1" applyBorder="1" applyProtection="1">
      <protection locked="0"/>
    </xf>
    <xf numFmtId="183" fontId="40" fillId="0" borderId="0" xfId="32" applyNumberFormat="1" applyFont="1" applyFill="1" applyBorder="1" applyProtection="1">
      <protection locked="0"/>
    </xf>
    <xf numFmtId="183" fontId="40" fillId="0" borderId="37" xfId="32" applyNumberFormat="1" applyFont="1" applyFill="1" applyBorder="1" applyProtection="1">
      <protection locked="0"/>
    </xf>
    <xf numFmtId="0" fontId="40" fillId="22" borderId="37" xfId="0" applyFont="1" applyFill="1" applyBorder="1"/>
    <xf numFmtId="183" fontId="40" fillId="0" borderId="30" xfId="32" applyNumberFormat="1" applyFont="1" applyFill="1" applyBorder="1"/>
    <xf numFmtId="183" fontId="40" fillId="0" borderId="0" xfId="32" applyNumberFormat="1" applyFont="1" applyFill="1" applyProtection="1">
      <protection locked="0"/>
    </xf>
    <xf numFmtId="183" fontId="40" fillId="0" borderId="0" xfId="32" applyNumberFormat="1" applyFont="1" applyBorder="1"/>
    <xf numFmtId="183" fontId="40" fillId="0" borderId="0" xfId="32" applyNumberFormat="1" applyFont="1" applyFill="1" applyBorder="1"/>
    <xf numFmtId="183" fontId="40" fillId="22" borderId="0" xfId="32" applyNumberFormat="1" applyFont="1" applyFill="1" applyBorder="1"/>
    <xf numFmtId="183" fontId="40" fillId="22" borderId="37" xfId="32" applyNumberFormat="1" applyFont="1" applyFill="1" applyBorder="1"/>
    <xf numFmtId="183" fontId="40" fillId="0" borderId="0" xfId="32" applyNumberFormat="1" applyFont="1" applyFill="1" applyAlignment="1"/>
    <xf numFmtId="183" fontId="40" fillId="0" borderId="22" xfId="32" applyNumberFormat="1" applyFont="1" applyFill="1" applyBorder="1"/>
    <xf numFmtId="183" fontId="40" fillId="0" borderId="37" xfId="32" applyNumberFormat="1" applyFont="1" applyFill="1" applyBorder="1"/>
    <xf numFmtId="166" fontId="40" fillId="0" borderId="30" xfId="0" applyNumberFormat="1" applyFont="1" applyFill="1" applyBorder="1"/>
    <xf numFmtId="183" fontId="40" fillId="0" borderId="36" xfId="32" applyNumberFormat="1" applyFont="1" applyFill="1" applyBorder="1"/>
    <xf numFmtId="0" fontId="3" fillId="25" borderId="37" xfId="0" applyFont="1" applyFill="1" applyBorder="1"/>
    <xf numFmtId="1" fontId="40" fillId="0" borderId="30" xfId="0" applyNumberFormat="1" applyFont="1" applyFill="1" applyBorder="1"/>
    <xf numFmtId="183" fontId="54" fillId="31" borderId="22" xfId="32" applyNumberFormat="1" applyFont="1" applyFill="1" applyBorder="1"/>
    <xf numFmtId="183" fontId="54" fillId="31" borderId="0" xfId="32" applyNumberFormat="1" applyFont="1" applyFill="1" applyBorder="1"/>
    <xf numFmtId="183" fontId="54" fillId="31" borderId="36" xfId="32" applyNumberFormat="1" applyFont="1" applyFill="1" applyBorder="1"/>
    <xf numFmtId="183" fontId="40" fillId="0" borderId="20" xfId="32" applyNumberFormat="1" applyFont="1" applyFill="1" applyBorder="1"/>
    <xf numFmtId="183" fontId="40" fillId="0" borderId="17" xfId="32" applyNumberFormat="1" applyFont="1" applyFill="1" applyBorder="1"/>
    <xf numFmtId="183" fontId="40" fillId="0" borderId="21" xfId="32" applyNumberFormat="1" applyFont="1" applyFill="1" applyBorder="1"/>
    <xf numFmtId="0" fontId="40" fillId="0" borderId="17" xfId="0" applyFont="1" applyFill="1" applyBorder="1"/>
    <xf numFmtId="179" fontId="3" fillId="28" borderId="28" xfId="75" applyNumberFormat="1" applyFont="1" applyFill="1" applyBorder="1" applyAlignment="1">
      <alignment vertical="center"/>
    </xf>
    <xf numFmtId="165" fontId="68" fillId="25" borderId="19" xfId="32" applyFont="1" applyFill="1" applyBorder="1" applyAlignment="1">
      <alignment horizontal="left" vertical="center"/>
    </xf>
    <xf numFmtId="165" fontId="3" fillId="0" borderId="0" xfId="32" applyFill="1" applyBorder="1" applyAlignment="1">
      <alignment horizontal="left" vertical="center"/>
    </xf>
    <xf numFmtId="165" fontId="9" fillId="0" borderId="0" xfId="32" applyFont="1" applyFill="1" applyBorder="1" applyAlignment="1" applyProtection="1">
      <alignment horizontal="left" vertical="center"/>
    </xf>
    <xf numFmtId="165" fontId="4" fillId="0" borderId="0" xfId="32" applyFont="1" applyFill="1" applyBorder="1" applyAlignment="1">
      <alignment horizontal="left" vertical="center"/>
    </xf>
    <xf numFmtId="165" fontId="4" fillId="0" borderId="0" xfId="32" applyFont="1" applyFill="1" applyBorder="1" applyAlignment="1">
      <alignment vertical="center"/>
    </xf>
    <xf numFmtId="165" fontId="0" fillId="0" borderId="0" xfId="32" applyFont="1" applyFill="1" applyBorder="1" applyAlignment="1"/>
    <xf numFmtId="165" fontId="65" fillId="25" borderId="17" xfId="32" applyFont="1" applyFill="1" applyBorder="1" applyAlignment="1" applyProtection="1">
      <alignment vertical="center"/>
    </xf>
    <xf numFmtId="165" fontId="37" fillId="0" borderId="0" xfId="32" applyFont="1" applyBorder="1" applyAlignment="1"/>
    <xf numFmtId="165" fontId="69" fillId="25" borderId="17" xfId="32" applyFont="1" applyFill="1" applyBorder="1" applyAlignment="1" applyProtection="1">
      <alignment vertical="center"/>
    </xf>
    <xf numFmtId="165" fontId="40" fillId="0" borderId="0" xfId="32" applyFont="1" applyFill="1" applyBorder="1" applyAlignment="1"/>
    <xf numFmtId="165" fontId="40" fillId="0" borderId="0" xfId="32" applyFont="1" applyBorder="1" applyAlignment="1"/>
    <xf numFmtId="165" fontId="40" fillId="0" borderId="0" xfId="32" applyFont="1" applyFill="1" applyAlignment="1">
      <alignment horizontal="left" vertical="center"/>
    </xf>
    <xf numFmtId="165" fontId="40" fillId="0" borderId="0" xfId="32" applyFont="1" applyFill="1" applyBorder="1" applyAlignment="1" applyProtection="1">
      <protection locked="0"/>
    </xf>
    <xf numFmtId="165" fontId="69" fillId="25" borderId="17" xfId="32" applyFont="1" applyFill="1" applyBorder="1" applyAlignment="1" applyProtection="1">
      <alignment horizontal="left" vertical="center"/>
    </xf>
    <xf numFmtId="165" fontId="40" fillId="0" borderId="17" xfId="32" applyFont="1" applyFill="1" applyBorder="1" applyAlignment="1"/>
    <xf numFmtId="165" fontId="40" fillId="0" borderId="25" xfId="32" applyFont="1" applyBorder="1" applyAlignment="1"/>
    <xf numFmtId="165" fontId="0" fillId="0" borderId="0" xfId="32" applyFont="1" applyAlignment="1"/>
    <xf numFmtId="184" fontId="40" fillId="0" borderId="22" xfId="0" applyNumberFormat="1" applyFont="1" applyFill="1" applyBorder="1"/>
    <xf numFmtId="10" fontId="40" fillId="31" borderId="30" xfId="0" applyNumberFormat="1" applyFont="1" applyFill="1" applyBorder="1" applyAlignment="1">
      <alignment horizontal="right"/>
    </xf>
    <xf numFmtId="10" fontId="0" fillId="28" borderId="28" xfId="0" applyNumberFormat="1" applyFill="1" applyBorder="1" applyAlignment="1"/>
    <xf numFmtId="0" fontId="3" fillId="0" borderId="0" xfId="0" applyFont="1" applyFill="1" applyAlignment="1"/>
    <xf numFmtId="165" fontId="40" fillId="0" borderId="0" xfId="32" applyFont="1" applyFill="1" applyBorder="1" applyProtection="1">
      <protection locked="0"/>
    </xf>
    <xf numFmtId="0" fontId="3" fillId="0" borderId="0" xfId="0" applyFont="1" applyFill="1"/>
    <xf numFmtId="0" fontId="3" fillId="0" borderId="0" xfId="66" applyFill="1" applyAlignment="1">
      <alignment vertical="top"/>
    </xf>
    <xf numFmtId="0" fontId="37" fillId="0" borderId="0" xfId="0" applyFont="1" applyFill="1"/>
    <xf numFmtId="0" fontId="37" fillId="0" borderId="0" xfId="0" applyFont="1" applyBorder="1"/>
    <xf numFmtId="2" fontId="40" fillId="0" borderId="0" xfId="0" applyNumberFormat="1" applyFont="1" applyBorder="1"/>
    <xf numFmtId="2" fontId="40" fillId="0" borderId="0" xfId="0" applyNumberFormat="1" applyFont="1" applyFill="1" applyBorder="1"/>
    <xf numFmtId="165" fontId="40" fillId="0" borderId="0" xfId="0" applyNumberFormat="1" applyFont="1"/>
    <xf numFmtId="4" fontId="3" fillId="28" borderId="28" xfId="75" applyNumberFormat="1" applyFont="1" applyBorder="1" applyAlignment="1">
      <alignment vertical="center"/>
    </xf>
    <xf numFmtId="166" fontId="40" fillId="22" borderId="38" xfId="25" applyNumberFormat="1" applyFont="1" applyFill="1" applyBorder="1" applyAlignment="1" applyProtection="1">
      <alignment horizontal="right"/>
    </xf>
    <xf numFmtId="0" fontId="40" fillId="0" borderId="25" xfId="0" applyFont="1" applyFill="1" applyBorder="1" applyProtection="1">
      <protection locked="0"/>
    </xf>
    <xf numFmtId="0" fontId="40" fillId="28" borderId="0" xfId="0" applyFont="1" applyFill="1" applyProtection="1">
      <protection locked="0"/>
    </xf>
    <xf numFmtId="0" fontId="40" fillId="0" borderId="28" xfId="0" applyFont="1" applyFill="1" applyBorder="1" applyAlignment="1">
      <alignment horizontal="center" vertical="center" wrapText="1"/>
    </xf>
    <xf numFmtId="0" fontId="40" fillId="0" borderId="28" xfId="0" applyFont="1" applyBorder="1" applyAlignment="1">
      <alignment horizontal="center" vertical="top" wrapText="1"/>
    </xf>
    <xf numFmtId="0" fontId="40" fillId="32" borderId="0" xfId="0" applyFont="1" applyFill="1"/>
    <xf numFmtId="0" fontId="40" fillId="32" borderId="0" xfId="0" applyFont="1" applyFill="1" applyBorder="1"/>
    <xf numFmtId="0" fontId="53" fillId="32" borderId="0" xfId="0" applyFont="1" applyFill="1"/>
    <xf numFmtId="166" fontId="40" fillId="32" borderId="0" xfId="25" applyNumberFormat="1" applyFont="1" applyFill="1" applyBorder="1" applyAlignment="1" applyProtection="1">
      <alignment horizontal="right"/>
    </xf>
    <xf numFmtId="166" fontId="40" fillId="32" borderId="32" xfId="25" applyNumberFormat="1" applyFont="1" applyFill="1" applyBorder="1" applyAlignment="1" applyProtection="1">
      <alignment horizontal="right"/>
    </xf>
    <xf numFmtId="14" fontId="40" fillId="0" borderId="28" xfId="0" quotePrefix="1" applyNumberFormat="1" applyFont="1" applyBorder="1" applyAlignment="1">
      <alignment horizontal="left" vertical="center" wrapText="1"/>
    </xf>
    <xf numFmtId="166" fontId="40" fillId="0" borderId="32" xfId="25" applyNumberFormat="1" applyFont="1" applyFill="1" applyBorder="1" applyAlignment="1" applyProtection="1">
      <alignment horizontal="right"/>
    </xf>
    <xf numFmtId="0" fontId="1" fillId="0" borderId="0" xfId="78"/>
    <xf numFmtId="0" fontId="1" fillId="0" borderId="0" xfId="78" applyAlignment="1">
      <alignment horizontal="left"/>
    </xf>
    <xf numFmtId="0" fontId="1" fillId="0" borderId="0" xfId="78" quotePrefix="1" applyAlignment="1">
      <alignment horizontal="left"/>
    </xf>
    <xf numFmtId="1" fontId="74" fillId="25" borderId="19" xfId="25" applyNumberFormat="1" applyFont="1" applyFill="1" applyBorder="1" applyAlignment="1">
      <alignment horizontal="left" vertical="center"/>
    </xf>
    <xf numFmtId="14" fontId="40" fillId="0" borderId="0" xfId="0" quotePrefix="1" applyNumberFormat="1" applyFont="1" applyBorder="1" applyAlignment="1">
      <alignment horizontal="left" vertical="center" wrapText="1"/>
    </xf>
    <xf numFmtId="0" fontId="40" fillId="0" borderId="0" xfId="0" applyFont="1" applyBorder="1" applyAlignment="1">
      <alignment vertical="center" wrapText="1"/>
    </xf>
    <xf numFmtId="0" fontId="40" fillId="0" borderId="0" xfId="0" applyFont="1" applyFill="1" applyBorder="1" applyAlignment="1">
      <alignment horizontal="left" vertical="center" wrapText="1"/>
    </xf>
    <xf numFmtId="0" fontId="40" fillId="0" borderId="28" xfId="0" applyFont="1" applyBorder="1" applyAlignment="1">
      <alignment horizontal="center" vertical="center" wrapText="1"/>
    </xf>
    <xf numFmtId="170" fontId="40" fillId="0" borderId="32" xfId="0" applyNumberFormat="1" applyFont="1" applyFill="1" applyBorder="1"/>
    <xf numFmtId="0" fontId="37" fillId="27" borderId="0" xfId="76" applyFont="1" applyAlignment="1">
      <alignment vertical="center"/>
    </xf>
    <xf numFmtId="179" fontId="37" fillId="0" borderId="0" xfId="0" applyNumberFormat="1" applyFont="1"/>
    <xf numFmtId="179" fontId="3" fillId="33" borderId="28" xfId="75" applyNumberFormat="1" applyFont="1" applyFill="1" applyBorder="1" applyAlignment="1">
      <alignment vertical="center"/>
    </xf>
    <xf numFmtId="10" fontId="0" fillId="33" borderId="28" xfId="0" applyNumberFormat="1" applyFill="1" applyBorder="1" applyAlignment="1"/>
    <xf numFmtId="4" fontId="3" fillId="33" borderId="28" xfId="75" applyNumberFormat="1" applyFont="1" applyFill="1" applyBorder="1" applyAlignment="1">
      <alignment vertical="center"/>
    </xf>
    <xf numFmtId="179" fontId="3" fillId="0" borderId="28" xfId="75" applyNumberFormat="1" applyFont="1" applyFill="1" applyBorder="1" applyAlignment="1">
      <alignment vertical="center"/>
    </xf>
    <xf numFmtId="179" fontId="3" fillId="0" borderId="0" xfId="0" applyNumberFormat="1" applyFont="1" applyFill="1"/>
    <xf numFmtId="179" fontId="0" fillId="0" borderId="0" xfId="0" applyNumberFormat="1" applyFill="1"/>
    <xf numFmtId="10" fontId="0" fillId="0" borderId="0" xfId="0" applyNumberFormat="1" applyFill="1"/>
    <xf numFmtId="10" fontId="0" fillId="0" borderId="28" xfId="0" applyNumberFormat="1" applyFill="1" applyBorder="1" applyAlignment="1"/>
    <xf numFmtId="4" fontId="0" fillId="0" borderId="0" xfId="0" applyNumberFormat="1" applyFill="1"/>
    <xf numFmtId="179" fontId="3" fillId="34" borderId="28" xfId="75" applyNumberFormat="1" applyFont="1" applyFill="1" applyBorder="1" applyAlignment="1">
      <alignment vertical="center"/>
    </xf>
    <xf numFmtId="10" fontId="0" fillId="34" borderId="28" xfId="0" applyNumberFormat="1" applyFill="1" applyBorder="1" applyAlignment="1"/>
    <xf numFmtId="4" fontId="3" fillId="34" borderId="28" xfId="75" applyNumberFormat="1" applyFont="1" applyFill="1" applyBorder="1" applyAlignment="1">
      <alignment vertical="center"/>
    </xf>
    <xf numFmtId="0" fontId="0" fillId="0" borderId="0" xfId="0" applyAlignment="1"/>
    <xf numFmtId="0" fontId="79" fillId="0" borderId="0" xfId="0" applyFont="1"/>
    <xf numFmtId="0" fontId="64" fillId="0" borderId="0" xfId="0" applyFont="1" applyAlignment="1">
      <alignment horizontal="left"/>
    </xf>
    <xf numFmtId="170" fontId="40" fillId="23" borderId="0" xfId="0" applyNumberFormat="1" applyFont="1" applyFill="1" applyBorder="1" applyProtection="1">
      <protection locked="0"/>
    </xf>
    <xf numFmtId="4" fontId="37" fillId="0" borderId="0" xfId="0" applyNumberFormat="1" applyFont="1"/>
    <xf numFmtId="166" fontId="40" fillId="22" borderId="39" xfId="25" applyNumberFormat="1" applyFont="1" applyFill="1" applyBorder="1" applyAlignment="1" applyProtection="1">
      <alignment horizontal="right"/>
    </xf>
    <xf numFmtId="0" fontId="63" fillId="23" borderId="18" xfId="0" applyFont="1" applyFill="1" applyBorder="1" applyAlignment="1">
      <alignment horizontal="left" vertical="center" wrapText="1"/>
    </xf>
    <xf numFmtId="0" fontId="63" fillId="23" borderId="19" xfId="0" applyFont="1" applyFill="1" applyBorder="1" applyAlignment="1">
      <alignment horizontal="left" vertical="center" wrapText="1"/>
    </xf>
    <xf numFmtId="0" fontId="63" fillId="23" borderId="27" xfId="0" applyFont="1" applyFill="1" applyBorder="1" applyAlignment="1">
      <alignment horizontal="left" vertical="center" wrapText="1"/>
    </xf>
    <xf numFmtId="0" fontId="56" fillId="22" borderId="24" xfId="59" applyFill="1" applyBorder="1" applyAlignment="1">
      <alignment horizontal="left" vertical="center" wrapText="1"/>
    </xf>
    <xf numFmtId="0" fontId="56" fillId="22" borderId="25" xfId="59" applyFill="1" applyBorder="1" applyAlignment="1">
      <alignment horizontal="left" vertical="center" wrapText="1"/>
    </xf>
    <xf numFmtId="0" fontId="56" fillId="22" borderId="26" xfId="59" applyFill="1" applyBorder="1" applyAlignment="1">
      <alignment horizontal="left" vertical="center" wrapText="1"/>
    </xf>
    <xf numFmtId="0" fontId="57" fillId="22" borderId="28" xfId="0" applyFont="1" applyFill="1" applyBorder="1" applyAlignment="1">
      <alignment horizontal="left" vertical="center" wrapText="1"/>
    </xf>
    <xf numFmtId="0" fontId="57" fillId="22" borderId="28" xfId="0" applyFont="1" applyFill="1" applyBorder="1" applyAlignment="1">
      <alignment horizontal="center" vertical="center" wrapText="1"/>
    </xf>
    <xf numFmtId="0" fontId="57" fillId="22" borderId="28" xfId="0" quotePrefix="1" applyFont="1" applyFill="1" applyBorder="1" applyAlignment="1">
      <alignment horizontal="left" vertical="center" wrapText="1"/>
    </xf>
    <xf numFmtId="0" fontId="57" fillId="23" borderId="28" xfId="0" applyFont="1" applyFill="1" applyBorder="1" applyAlignment="1">
      <alignment horizontal="left" vertical="center" wrapText="1"/>
    </xf>
    <xf numFmtId="0" fontId="57" fillId="23" borderId="28" xfId="0" applyFont="1" applyFill="1" applyBorder="1" applyAlignment="1">
      <alignment horizontal="center" vertical="center" wrapText="1"/>
    </xf>
    <xf numFmtId="0" fontId="57" fillId="22" borderId="20" xfId="0" applyFont="1" applyFill="1" applyBorder="1" applyAlignment="1">
      <alignment horizontal="left" vertical="center" wrapText="1"/>
    </xf>
    <xf numFmtId="0" fontId="57" fillId="22" borderId="17" xfId="0" applyFont="1" applyFill="1" applyBorder="1" applyAlignment="1">
      <alignment horizontal="left" vertical="center" wrapText="1"/>
    </xf>
    <xf numFmtId="0" fontId="57" fillId="22" borderId="21" xfId="0" applyFont="1" applyFill="1" applyBorder="1" applyAlignment="1">
      <alignment horizontal="left" vertical="center" wrapText="1"/>
    </xf>
    <xf numFmtId="0" fontId="57" fillId="22" borderId="24" xfId="0" applyFont="1" applyFill="1" applyBorder="1" applyAlignment="1">
      <alignment horizontal="left" vertical="center" wrapText="1"/>
    </xf>
    <xf numFmtId="0" fontId="57" fillId="22" borderId="25" xfId="0" applyFont="1" applyFill="1" applyBorder="1" applyAlignment="1">
      <alignment horizontal="left" vertical="center" wrapText="1"/>
    </xf>
    <xf numFmtId="0" fontId="57" fillId="22" borderId="26" xfId="0" applyFont="1" applyFill="1" applyBorder="1" applyAlignment="1">
      <alignment horizontal="left" vertical="center" wrapText="1"/>
    </xf>
    <xf numFmtId="0" fontId="56" fillId="22" borderId="20" xfId="59" applyFill="1" applyBorder="1" applyAlignment="1">
      <alignment horizontal="left" vertical="center" wrapText="1"/>
    </xf>
    <xf numFmtId="0" fontId="56" fillId="22" borderId="17" xfId="59" applyFill="1" applyBorder="1" applyAlignment="1">
      <alignment horizontal="left" vertical="center" wrapText="1"/>
    </xf>
    <xf numFmtId="0" fontId="56" fillId="22" borderId="21" xfId="59" applyFill="1" applyBorder="1" applyAlignment="1">
      <alignment horizontal="left" vertical="center" wrapText="1"/>
    </xf>
    <xf numFmtId="0" fontId="56" fillId="22" borderId="18" xfId="59" applyFill="1" applyBorder="1" applyAlignment="1">
      <alignment horizontal="left" vertical="center" wrapText="1"/>
    </xf>
    <xf numFmtId="0" fontId="56" fillId="22" borderId="19" xfId="59" applyFill="1" applyBorder="1" applyAlignment="1">
      <alignment horizontal="left" vertical="center" wrapText="1"/>
    </xf>
    <xf numFmtId="0" fontId="56" fillId="22" borderId="27" xfId="59" applyFill="1" applyBorder="1" applyAlignment="1">
      <alignment horizontal="left" vertical="center" wrapText="1"/>
    </xf>
    <xf numFmtId="0" fontId="57" fillId="22" borderId="18" xfId="0" applyFont="1" applyFill="1" applyBorder="1" applyAlignment="1">
      <alignment horizontal="left" vertical="center" wrapText="1"/>
    </xf>
    <xf numFmtId="0" fontId="57" fillId="22" borderId="19" xfId="0" applyFont="1" applyFill="1" applyBorder="1" applyAlignment="1">
      <alignment horizontal="left" vertical="center" wrapText="1"/>
    </xf>
    <xf numFmtId="0" fontId="57" fillId="22" borderId="27" xfId="0" applyFont="1" applyFill="1" applyBorder="1" applyAlignment="1">
      <alignment horizontal="left" vertical="center" wrapText="1"/>
    </xf>
    <xf numFmtId="0" fontId="57" fillId="23" borderId="18" xfId="0" applyFont="1" applyFill="1" applyBorder="1" applyAlignment="1">
      <alignment horizontal="left" vertical="center" wrapText="1"/>
    </xf>
    <xf numFmtId="0" fontId="57" fillId="23" borderId="19" xfId="0" applyFont="1" applyFill="1" applyBorder="1" applyAlignment="1">
      <alignment horizontal="left" vertical="center" wrapText="1"/>
    </xf>
    <xf numFmtId="0" fontId="57" fillId="23" borderId="27" xfId="0" applyFont="1" applyFill="1" applyBorder="1" applyAlignment="1">
      <alignment horizontal="left" vertical="center" wrapText="1"/>
    </xf>
    <xf numFmtId="0" fontId="57" fillId="22" borderId="18" xfId="0" quotePrefix="1" applyFont="1" applyFill="1" applyBorder="1" applyAlignment="1">
      <alignment horizontal="left" vertical="center" wrapText="1"/>
    </xf>
    <xf numFmtId="0" fontId="57" fillId="22" borderId="22" xfId="0" quotePrefix="1" applyFont="1" applyFill="1" applyBorder="1" applyAlignment="1">
      <alignment horizontal="left" vertical="center" wrapText="1"/>
    </xf>
    <xf numFmtId="0" fontId="57" fillId="22" borderId="0" xfId="0" applyFont="1" applyFill="1" applyBorder="1" applyAlignment="1">
      <alignment horizontal="left" vertical="center" wrapText="1"/>
    </xf>
    <xf numFmtId="0" fontId="57" fillId="22" borderId="35" xfId="0" applyFont="1" applyFill="1" applyBorder="1" applyAlignment="1">
      <alignment horizontal="left" vertical="center" wrapText="1"/>
    </xf>
    <xf numFmtId="0" fontId="57" fillId="22" borderId="24" xfId="0" quotePrefix="1" applyFont="1" applyFill="1" applyBorder="1" applyAlignment="1">
      <alignment horizontal="left" vertical="center" wrapText="1"/>
    </xf>
    <xf numFmtId="0" fontId="57" fillId="22" borderId="22" xfId="0" applyFont="1" applyFill="1" applyBorder="1" applyAlignment="1">
      <alignment horizontal="left" vertical="center" wrapText="1"/>
    </xf>
    <xf numFmtId="0" fontId="57" fillId="22" borderId="23" xfId="0" applyFont="1" applyFill="1" applyBorder="1" applyAlignment="1">
      <alignment horizontal="left" vertical="center" wrapText="1"/>
    </xf>
    <xf numFmtId="0" fontId="56" fillId="22" borderId="22" xfId="59" applyFill="1" applyBorder="1" applyAlignment="1">
      <alignment horizontal="left" vertical="center" wrapText="1"/>
    </xf>
    <xf numFmtId="0" fontId="56" fillId="22" borderId="23" xfId="59" applyFill="1" applyBorder="1" applyAlignment="1">
      <alignment horizontal="left" vertical="center" wrapText="1"/>
    </xf>
    <xf numFmtId="0" fontId="40" fillId="22" borderId="31" xfId="59" applyFont="1" applyFill="1" applyBorder="1" applyAlignment="1">
      <alignment horizontal="left" vertical="center" wrapText="1"/>
    </xf>
    <xf numFmtId="0" fontId="56" fillId="22" borderId="31" xfId="59" applyFill="1" applyBorder="1" applyAlignment="1">
      <alignment horizontal="left" vertical="center" wrapText="1"/>
    </xf>
    <xf numFmtId="0" fontId="63" fillId="23" borderId="18" xfId="0" applyFont="1" applyFill="1" applyBorder="1" applyAlignment="1">
      <alignment horizontal="center" vertical="center" wrapText="1"/>
    </xf>
    <xf numFmtId="0" fontId="63" fillId="23" borderId="27" xfId="0" applyFont="1" applyFill="1" applyBorder="1" applyAlignment="1">
      <alignment horizontal="center" vertical="center" wrapText="1"/>
    </xf>
    <xf numFmtId="0" fontId="57" fillId="22" borderId="20" xfId="0" quotePrefix="1" applyFont="1" applyFill="1" applyBorder="1" applyAlignment="1">
      <alignment horizontal="left" vertical="center" wrapText="1"/>
    </xf>
    <xf numFmtId="0" fontId="57" fillId="22" borderId="21" xfId="0" quotePrefix="1" applyFont="1" applyFill="1" applyBorder="1" applyAlignment="1">
      <alignment horizontal="left" vertical="center" wrapText="1"/>
    </xf>
    <xf numFmtId="0" fontId="57" fillId="22" borderId="26" xfId="0" quotePrefix="1" applyFont="1" applyFill="1" applyBorder="1" applyAlignment="1">
      <alignment horizontal="left" vertical="center" wrapText="1"/>
    </xf>
    <xf numFmtId="0" fontId="40" fillId="0" borderId="19" xfId="0" applyFont="1" applyFill="1" applyBorder="1" applyAlignment="1">
      <alignment horizontal="left" vertical="center" wrapText="1"/>
    </xf>
    <xf numFmtId="0" fontId="40" fillId="0" borderId="27" xfId="0" applyFont="1" applyFill="1" applyBorder="1" applyAlignment="1">
      <alignment horizontal="left" vertical="center" wrapText="1"/>
    </xf>
    <xf numFmtId="0" fontId="40" fillId="0" borderId="18" xfId="0" applyFont="1" applyBorder="1" applyAlignment="1">
      <alignment horizontal="left" vertical="top" wrapText="1"/>
    </xf>
    <xf numFmtId="0" fontId="40" fillId="0" borderId="19" xfId="0" applyFont="1" applyBorder="1" applyAlignment="1">
      <alignment horizontal="left" vertical="top" wrapText="1"/>
    </xf>
    <xf numFmtId="0" fontId="40" fillId="0" borderId="27" xfId="0" applyFont="1" applyBorder="1" applyAlignment="1">
      <alignment horizontal="left" vertical="top" wrapText="1"/>
    </xf>
    <xf numFmtId="0" fontId="65" fillId="25" borderId="28" xfId="0" applyFont="1" applyFill="1" applyBorder="1" applyAlignment="1">
      <alignment horizontal="center" wrapText="1"/>
    </xf>
    <xf numFmtId="0" fontId="65" fillId="25" borderId="28" xfId="0" applyFont="1" applyFill="1" applyBorder="1" applyAlignment="1">
      <alignment horizontal="center"/>
    </xf>
    <xf numFmtId="0" fontId="40" fillId="0" borderId="18" xfId="0" applyFont="1" applyFill="1" applyBorder="1" applyAlignment="1">
      <alignment horizontal="left" vertical="center" wrapText="1"/>
    </xf>
    <xf numFmtId="0" fontId="77" fillId="30" borderId="18" xfId="0" applyFont="1" applyFill="1" applyBorder="1" applyAlignment="1">
      <alignment horizontal="left" vertical="center" wrapText="1"/>
    </xf>
    <xf numFmtId="0" fontId="77" fillId="30" borderId="19" xfId="0" applyFont="1" applyFill="1" applyBorder="1" applyAlignment="1">
      <alignment horizontal="left" vertical="center" wrapText="1"/>
    </xf>
    <xf numFmtId="0" fontId="77" fillId="30" borderId="27" xfId="0" applyFont="1" applyFill="1" applyBorder="1" applyAlignment="1">
      <alignment horizontal="left" vertical="center" wrapText="1"/>
    </xf>
    <xf numFmtId="0" fontId="57" fillId="22" borderId="17" xfId="0" quotePrefix="1" applyFont="1" applyFill="1" applyBorder="1" applyAlignment="1">
      <alignment horizontal="left" vertical="center" wrapText="1"/>
    </xf>
    <xf numFmtId="0" fontId="57" fillId="22" borderId="25" xfId="0" quotePrefix="1" applyFont="1" applyFill="1" applyBorder="1" applyAlignment="1">
      <alignment horizontal="left" vertical="center" wrapText="1"/>
    </xf>
    <xf numFmtId="0" fontId="57" fillId="22" borderId="18" xfId="0" applyFont="1" applyFill="1" applyBorder="1" applyAlignment="1">
      <alignment horizontal="center" vertical="center" wrapText="1"/>
    </xf>
    <xf numFmtId="0" fontId="57" fillId="22" borderId="19" xfId="0" applyFont="1" applyFill="1" applyBorder="1" applyAlignment="1">
      <alignment horizontal="center" vertical="center" wrapText="1"/>
    </xf>
    <xf numFmtId="0" fontId="57" fillId="22" borderId="27" xfId="0" applyFont="1" applyFill="1" applyBorder="1" applyAlignment="1">
      <alignment horizontal="center" vertical="center" wrapText="1"/>
    </xf>
    <xf numFmtId="0" fontId="63" fillId="23" borderId="28" xfId="0" applyFont="1" applyFill="1" applyBorder="1" applyAlignment="1">
      <alignment horizontal="center" vertical="center" wrapText="1"/>
    </xf>
    <xf numFmtId="14" fontId="40" fillId="0" borderId="29" xfId="0" quotePrefix="1" applyNumberFormat="1" applyFont="1" applyBorder="1" applyAlignment="1">
      <alignment horizontal="center" vertical="center" wrapText="1"/>
    </xf>
    <xf numFmtId="14" fontId="40" fillId="0" borderId="31" xfId="0" quotePrefix="1" applyNumberFormat="1" applyFont="1" applyBorder="1" applyAlignment="1">
      <alignment horizontal="center" vertical="center" wrapText="1"/>
    </xf>
    <xf numFmtId="0" fontId="40" fillId="0" borderId="29" xfId="0" applyFont="1" applyFill="1" applyBorder="1" applyAlignment="1">
      <alignment horizontal="center" vertical="center" wrapText="1"/>
    </xf>
    <xf numFmtId="0" fontId="40" fillId="0" borderId="31" xfId="0" applyFont="1" applyFill="1" applyBorder="1" applyAlignment="1">
      <alignment horizontal="center" vertical="center" wrapText="1"/>
    </xf>
    <xf numFmtId="0" fontId="40" fillId="0" borderId="29" xfId="0" applyFont="1" applyFill="1" applyBorder="1" applyAlignment="1">
      <alignment horizontal="left" vertical="center" wrapText="1"/>
    </xf>
    <xf numFmtId="0" fontId="40" fillId="0" borderId="31" xfId="0" applyFont="1" applyFill="1" applyBorder="1" applyAlignment="1">
      <alignment horizontal="left" vertical="center" wrapText="1"/>
    </xf>
    <xf numFmtId="0" fontId="65" fillId="25" borderId="18" xfId="0" applyFont="1" applyFill="1" applyBorder="1" applyAlignment="1">
      <alignment horizontal="left"/>
    </xf>
    <xf numFmtId="0" fontId="65" fillId="25" borderId="19" xfId="0" applyFont="1" applyFill="1" applyBorder="1" applyAlignment="1">
      <alignment horizontal="left"/>
    </xf>
    <xf numFmtId="0" fontId="65" fillId="25" borderId="27" xfId="0" applyFont="1" applyFill="1" applyBorder="1" applyAlignment="1">
      <alignment horizontal="left"/>
    </xf>
    <xf numFmtId="0" fontId="0" fillId="0" borderId="19" xfId="0" applyBorder="1" applyAlignment="1">
      <alignment horizontal="left" vertical="top" wrapText="1"/>
    </xf>
    <xf numFmtId="0" fontId="0" fillId="0" borderId="27" xfId="0" applyBorder="1" applyAlignment="1">
      <alignment horizontal="left" vertical="top" wrapText="1"/>
    </xf>
    <xf numFmtId="0" fontId="67" fillId="0" borderId="0" xfId="58" applyFont="1" applyFill="1" applyAlignment="1">
      <alignment horizontal="center" vertical="top"/>
    </xf>
    <xf numFmtId="0" fontId="3" fillId="27" borderId="0" xfId="76" applyAlignment="1">
      <alignment horizontal="center" vertical="center" wrapText="1"/>
    </xf>
    <xf numFmtId="0" fontId="3" fillId="34" borderId="0" xfId="76" applyFill="1" applyAlignment="1">
      <alignment horizontal="center" vertical="center" wrapText="1"/>
    </xf>
    <xf numFmtId="0" fontId="3" fillId="28" borderId="0" xfId="76" applyFill="1" applyAlignment="1">
      <alignment horizontal="center" vertical="center" wrapText="1"/>
    </xf>
    <xf numFmtId="0" fontId="3" fillId="33" borderId="0" xfId="76" applyFill="1" applyAlignment="1">
      <alignment horizontal="center" vertical="center"/>
    </xf>
  </cellXfs>
  <cellStyles count="79">
    <cellStyle name="]_x000d__x000a_Zoomed=1_x000d__x000a_Row=0_x000d__x000a_Column=0_x000d__x000a_Height=0_x000d__x000a_Width=0_x000d__x000a_FontName=FoxFont_x000d__x000a_FontStyle=0_x000d__x000a_FontSize=9_x000d__x000a_PrtFontName=FoxPrin" xfId="6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tt1" xfId="25"/>
    <cellStyle name="Bad" xfId="26" builtinId="27" customBuiltin="1"/>
    <cellStyle name="bold_text" xfId="27"/>
    <cellStyle name="boldbluetxt_green" xfId="28"/>
    <cellStyle name="box" xfId="29"/>
    <cellStyle name="Calculation" xfId="30" builtinId="22" customBuiltin="1"/>
    <cellStyle name="Check Cell" xfId="31" builtinId="23" customBuiltin="1"/>
    <cellStyle name="Comma" xfId="32" builtinId="3"/>
    <cellStyle name="Comma 2" xfId="57"/>
    <cellStyle name="Comma 3" xfId="63"/>
    <cellStyle name="Explanatory Text" xfId="33" builtinId="53" customBuiltin="1"/>
    <cellStyle name="Fountain Col Header" xfId="68"/>
    <cellStyle name="Fountain Input" xfId="71"/>
    <cellStyle name="Fountain Input 2" xfId="75"/>
    <cellStyle name="Fountain Table Header" xfId="67"/>
    <cellStyle name="Fountain Text" xfId="66"/>
    <cellStyle name="Fountain Text 2" xfId="76"/>
    <cellStyle name="Fountain Text 4" xfId="74"/>
    <cellStyle name="Good" xfId="34" builtinId="26" customBuiltin="1"/>
    <cellStyle name="Header" xfId="35"/>
    <cellStyle name="Header3rdlevel" xfId="36"/>
    <cellStyle name="Heading 1" xfId="37" builtinId="16" customBuiltin="1"/>
    <cellStyle name="Heading 2" xfId="38" builtinId="17" customBuiltin="1"/>
    <cellStyle name="Heading 3" xfId="39" builtinId="18" customBuiltin="1"/>
    <cellStyle name="Heading 4" xfId="40" builtinId="19" customBuiltin="1"/>
    <cellStyle name="Hyperlink" xfId="59" builtinId="8"/>
    <cellStyle name="Hyperlink 2" xfId="56"/>
    <cellStyle name="Input" xfId="41" builtinId="20" customBuiltin="1"/>
    <cellStyle name="Linked Cell" xfId="42" builtinId="24" customBuiltin="1"/>
    <cellStyle name="Neutral" xfId="43" builtinId="28" customBuiltin="1"/>
    <cellStyle name="NJS" xfId="44"/>
    <cellStyle name="Normal" xfId="0" builtinId="0"/>
    <cellStyle name="Normal 2" xfId="55"/>
    <cellStyle name="Normal 2 2" xfId="69"/>
    <cellStyle name="Normal 2 3" xfId="70"/>
    <cellStyle name="Normal 3" xfId="58"/>
    <cellStyle name="Normal 4" xfId="62"/>
    <cellStyle name="Normal 4 2" xfId="73"/>
    <cellStyle name="Normal 5" xfId="64"/>
    <cellStyle name="Normal 6" xfId="65"/>
    <cellStyle name="Normal 7" xfId="77"/>
    <cellStyle name="Normal 8" xfId="78"/>
    <cellStyle name="Normal_Data_2" xfId="45"/>
    <cellStyle name="Note" xfId="46" builtinId="10" customBuiltin="1"/>
    <cellStyle name="Output" xfId="47" builtinId="21" customBuiltin="1"/>
    <cellStyle name="Percent" xfId="48" builtinId="5"/>
    <cellStyle name="Percent 2" xfId="61"/>
    <cellStyle name="Percent 3" xfId="72"/>
    <cellStyle name="Style 1" xfId="49"/>
    <cellStyle name="Title" xfId="50" builtinId="15" customBuiltin="1"/>
    <cellStyle name="Total" xfId="51" builtinId="25" customBuiltin="1"/>
    <cellStyle name="Warning Text" xfId="52" builtinId="11" customBuiltin="1"/>
    <cellStyle name="white_text_on_blue" xfId="53"/>
    <cellStyle name="year_formats_pink" xfId="5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9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5</xdr:col>
      <xdr:colOff>442989</xdr:colOff>
      <xdr:row>30</xdr:row>
      <xdr:rowOff>137583</xdr:rowOff>
    </xdr:from>
    <xdr:to>
      <xdr:col>6</xdr:col>
      <xdr:colOff>343507</xdr:colOff>
      <xdr:row>32</xdr:row>
      <xdr:rowOff>92075</xdr:rowOff>
    </xdr:to>
    <xdr:sp macro="" textlink="">
      <xdr:nvSpPr>
        <xdr:cNvPr id="10" name="Text Box 56"/>
        <xdr:cNvSpPr txBox="1">
          <a:spLocks noChangeArrowheads="1"/>
        </xdr:cNvSpPr>
      </xdr:nvSpPr>
      <xdr:spPr bwMode="auto">
        <a:xfrm>
          <a:off x="3670906" y="6381750"/>
          <a:ext cx="546101" cy="314325"/>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No</a:t>
          </a:r>
          <a:endParaRPr lang="en-GB" sz="900" b="1"/>
        </a:p>
      </xdr:txBody>
    </xdr:sp>
    <xdr:clientData/>
  </xdr:twoCellAnchor>
  <xdr:twoCellAnchor>
    <xdr:from>
      <xdr:col>10</xdr:col>
      <xdr:colOff>435430</xdr:colOff>
      <xdr:row>30</xdr:row>
      <xdr:rowOff>136072</xdr:rowOff>
    </xdr:from>
    <xdr:to>
      <xdr:col>11</xdr:col>
      <xdr:colOff>335946</xdr:colOff>
      <xdr:row>32</xdr:row>
      <xdr:rowOff>85273</xdr:rowOff>
    </xdr:to>
    <xdr:sp macro="" textlink="">
      <xdr:nvSpPr>
        <xdr:cNvPr id="11" name="Text Box 56"/>
        <xdr:cNvSpPr txBox="1">
          <a:spLocks noChangeArrowheads="1"/>
        </xdr:cNvSpPr>
      </xdr:nvSpPr>
      <xdr:spPr bwMode="auto">
        <a:xfrm>
          <a:off x="6891263" y="6380239"/>
          <a:ext cx="546100" cy="309034"/>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Yes</a:t>
          </a:r>
          <a:endParaRPr lang="en-GB" sz="900" b="1"/>
        </a:p>
      </xdr:txBody>
    </xdr:sp>
    <xdr:clientData/>
  </xdr:twoCellAnchor>
  <xdr:twoCellAnchor>
    <xdr:from>
      <xdr:col>2</xdr:col>
      <xdr:colOff>40821</xdr:colOff>
      <xdr:row>84</xdr:row>
      <xdr:rowOff>40818</xdr:rowOff>
    </xdr:from>
    <xdr:to>
      <xdr:col>5</xdr:col>
      <xdr:colOff>609671</xdr:colOff>
      <xdr:row>89</xdr:row>
      <xdr:rowOff>50800</xdr:rowOff>
    </xdr:to>
    <xdr:sp macro="" textlink="">
      <xdr:nvSpPr>
        <xdr:cNvPr id="18" name="AutoShape 10"/>
        <xdr:cNvSpPr>
          <a:spLocks noChangeArrowheads="1"/>
        </xdr:cNvSpPr>
      </xdr:nvSpPr>
      <xdr:spPr bwMode="auto">
        <a:xfrm>
          <a:off x="1336221" y="14823618"/>
          <a:ext cx="2511950" cy="835482"/>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RCV adjustment</a:t>
          </a:r>
        </a:p>
        <a:p>
          <a:pPr algn="l" rtl="0">
            <a:defRPr sz="1000"/>
          </a:pPr>
          <a:r>
            <a:rPr lang="en-GB" sz="1000">
              <a:latin typeface="Arial" pitchFamily="34" charset="0"/>
              <a:cs typeface="Arial" pitchFamily="34" charset="0"/>
            </a:rPr>
            <a:t>= Actual capital expenditure</a:t>
          </a:r>
        </a:p>
        <a:p>
          <a:pPr algn="l" rtl="0">
            <a:defRPr sz="1000"/>
          </a:pPr>
          <a:r>
            <a:rPr lang="en-GB" sz="1000">
              <a:latin typeface="Arial" pitchFamily="34" charset="0"/>
              <a:cs typeface="Arial" pitchFamily="34" charset="0"/>
            </a:rPr>
            <a:t>- Allowance c</a:t>
          </a:r>
          <a:r>
            <a:rPr lang="en-GB" sz="1000" b="0" i="0" baseline="0">
              <a:effectLst/>
              <a:latin typeface="Arial" pitchFamily="34" charset="0"/>
              <a:ea typeface="+mn-ea"/>
              <a:cs typeface="Arial" pitchFamily="34" charset="0"/>
            </a:rPr>
            <a:t>apital expenditure (including </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1000" b="0" i="0" baseline="0">
              <a:effectLst/>
              <a:latin typeface="Arial" pitchFamily="34" charset="0"/>
              <a:ea typeface="+mn-ea"/>
              <a:cs typeface="Arial" pitchFamily="34" charset="0"/>
            </a:rPr>
            <a:t>  IDoK) adjusted for FD COPI assumptions </a:t>
          </a:r>
          <a:endParaRPr lang="en-GB" sz="1000">
            <a:effectLst/>
            <a:latin typeface="Arial" pitchFamily="34" charset="0"/>
            <a:cs typeface="Arial" pitchFamily="34" charset="0"/>
          </a:endParaRPr>
        </a:p>
        <a:p>
          <a:pPr algn="l" rtl="0">
            <a:defRPr sz="1000"/>
          </a:pPr>
          <a:endParaRPr lang="en-GB" sz="1000">
            <a:latin typeface="Arial" pitchFamily="34" charset="0"/>
            <a:cs typeface="Arial" pitchFamily="34" charset="0"/>
          </a:endParaRPr>
        </a:p>
      </xdr:txBody>
    </xdr:sp>
    <xdr:clientData/>
  </xdr:twoCellAnchor>
  <xdr:twoCellAnchor>
    <xdr:from>
      <xdr:col>12</xdr:col>
      <xdr:colOff>584864</xdr:colOff>
      <xdr:row>33</xdr:row>
      <xdr:rowOff>43817</xdr:rowOff>
    </xdr:from>
    <xdr:to>
      <xdr:col>12</xdr:col>
      <xdr:colOff>584864</xdr:colOff>
      <xdr:row>35</xdr:row>
      <xdr:rowOff>20694</xdr:rowOff>
    </xdr:to>
    <xdr:cxnSp macro="">
      <xdr:nvCxnSpPr>
        <xdr:cNvPr id="22" name="AutoShape 6"/>
        <xdr:cNvCxnSpPr>
          <a:cxnSpLocks noChangeShapeType="1"/>
        </xdr:cNvCxnSpPr>
      </xdr:nvCxnSpPr>
      <xdr:spPr bwMode="auto">
        <a:xfrm flipV="1">
          <a:off x="8466802" y="6175536"/>
          <a:ext cx="0" cy="334064"/>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lientData/>
  </xdr:twoCellAnchor>
  <xdr:twoCellAnchor>
    <xdr:from>
      <xdr:col>13</xdr:col>
      <xdr:colOff>51953</xdr:colOff>
      <xdr:row>42</xdr:row>
      <xdr:rowOff>129886</xdr:rowOff>
    </xdr:from>
    <xdr:to>
      <xdr:col>13</xdr:col>
      <xdr:colOff>441441</xdr:colOff>
      <xdr:row>44</xdr:row>
      <xdr:rowOff>39214</xdr:rowOff>
    </xdr:to>
    <xdr:sp macro="" textlink="">
      <xdr:nvSpPr>
        <xdr:cNvPr id="27" name="Text Box 56"/>
        <xdr:cNvSpPr txBox="1">
          <a:spLocks noChangeArrowheads="1"/>
        </xdr:cNvSpPr>
      </xdr:nvSpPr>
      <xdr:spPr bwMode="auto">
        <a:xfrm>
          <a:off x="8494567" y="8607136"/>
          <a:ext cx="389488" cy="273010"/>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No</a:t>
          </a:r>
          <a:endParaRPr lang="en-GB" sz="900" b="1"/>
        </a:p>
      </xdr:txBody>
    </xdr:sp>
    <xdr:clientData/>
  </xdr:twoCellAnchor>
  <xdr:twoCellAnchor>
    <xdr:from>
      <xdr:col>13</xdr:col>
      <xdr:colOff>8660</xdr:colOff>
      <xdr:row>53</xdr:row>
      <xdr:rowOff>95109</xdr:rowOff>
    </xdr:from>
    <xdr:to>
      <xdr:col>13</xdr:col>
      <xdr:colOff>414820</xdr:colOff>
      <xdr:row>55</xdr:row>
      <xdr:rowOff>49602</xdr:rowOff>
    </xdr:to>
    <xdr:sp macro="" textlink="">
      <xdr:nvSpPr>
        <xdr:cNvPr id="31" name="Text Box 56"/>
        <xdr:cNvSpPr txBox="1">
          <a:spLocks noChangeArrowheads="1"/>
        </xdr:cNvSpPr>
      </xdr:nvSpPr>
      <xdr:spPr bwMode="auto">
        <a:xfrm>
          <a:off x="8401243" y="10477359"/>
          <a:ext cx="406160" cy="271993"/>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No</a:t>
          </a:r>
          <a:endParaRPr lang="en-GB" sz="900" b="1"/>
        </a:p>
      </xdr:txBody>
    </xdr:sp>
    <xdr:clientData/>
  </xdr:twoCellAnchor>
  <xdr:twoCellAnchor>
    <xdr:from>
      <xdr:col>4</xdr:col>
      <xdr:colOff>141703</xdr:colOff>
      <xdr:row>65</xdr:row>
      <xdr:rowOff>27206</xdr:rowOff>
    </xdr:from>
    <xdr:to>
      <xdr:col>5</xdr:col>
      <xdr:colOff>230519</xdr:colOff>
      <xdr:row>65</xdr:row>
      <xdr:rowOff>27207</xdr:rowOff>
    </xdr:to>
    <xdr:cxnSp macro="">
      <xdr:nvCxnSpPr>
        <xdr:cNvPr id="45" name="AutoShape 6"/>
        <xdr:cNvCxnSpPr>
          <a:cxnSpLocks noChangeShapeType="1"/>
        </xdr:cNvCxnSpPr>
      </xdr:nvCxnSpPr>
      <xdr:spPr bwMode="auto">
        <a:xfrm flipH="1">
          <a:off x="2724036" y="11700623"/>
          <a:ext cx="734400"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lientData/>
  </xdr:twoCellAnchor>
  <xdr:twoCellAnchor>
    <xdr:from>
      <xdr:col>9</xdr:col>
      <xdr:colOff>455084</xdr:colOff>
      <xdr:row>37</xdr:row>
      <xdr:rowOff>10584</xdr:rowOff>
    </xdr:from>
    <xdr:to>
      <xdr:col>10</xdr:col>
      <xdr:colOff>214843</xdr:colOff>
      <xdr:row>37</xdr:row>
      <xdr:rowOff>136678</xdr:rowOff>
    </xdr:to>
    <xdr:sp macro="" textlink="">
      <xdr:nvSpPr>
        <xdr:cNvPr id="46" name="Text Box 56"/>
        <xdr:cNvSpPr txBox="1">
          <a:spLocks noChangeArrowheads="1"/>
        </xdr:cNvSpPr>
      </xdr:nvSpPr>
      <xdr:spPr bwMode="auto">
        <a:xfrm>
          <a:off x="6265334" y="7514167"/>
          <a:ext cx="405342" cy="126094"/>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Yes</a:t>
          </a:r>
          <a:endParaRPr lang="en-GB" sz="900" b="1"/>
        </a:p>
      </xdr:txBody>
    </xdr:sp>
    <xdr:clientData/>
  </xdr:twoCellAnchor>
  <xdr:twoCellAnchor>
    <xdr:from>
      <xdr:col>9</xdr:col>
      <xdr:colOff>455084</xdr:colOff>
      <xdr:row>46</xdr:row>
      <xdr:rowOff>148166</xdr:rowOff>
    </xdr:from>
    <xdr:to>
      <xdr:col>10</xdr:col>
      <xdr:colOff>214843</xdr:colOff>
      <xdr:row>47</xdr:row>
      <xdr:rowOff>94343</xdr:rowOff>
    </xdr:to>
    <xdr:sp macro="" textlink="">
      <xdr:nvSpPr>
        <xdr:cNvPr id="47" name="Text Box 56"/>
        <xdr:cNvSpPr txBox="1">
          <a:spLocks noChangeArrowheads="1"/>
        </xdr:cNvSpPr>
      </xdr:nvSpPr>
      <xdr:spPr bwMode="auto">
        <a:xfrm>
          <a:off x="6265334" y="9270999"/>
          <a:ext cx="405342" cy="126094"/>
        </a:xfrm>
        <a:prstGeom prst="rect">
          <a:avLst/>
        </a:prstGeom>
        <a:solidFill>
          <a:schemeClr val="accent3">
            <a:lumMod val="40000"/>
            <a:lumOff val="60000"/>
          </a:schemeClr>
        </a:solidFill>
        <a:ln>
          <a:noFill/>
        </a:ln>
        <a:extLst/>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Yes</a:t>
          </a:r>
          <a:endParaRPr lang="en-GB" sz="900" b="1"/>
        </a:p>
      </xdr:txBody>
    </xdr:sp>
    <xdr:clientData/>
  </xdr:twoCellAnchor>
  <xdr:twoCellAnchor>
    <xdr:from>
      <xdr:col>2</xdr:col>
      <xdr:colOff>639534</xdr:colOff>
      <xdr:row>11</xdr:row>
      <xdr:rowOff>0</xdr:rowOff>
    </xdr:from>
    <xdr:to>
      <xdr:col>15</xdr:col>
      <xdr:colOff>627857</xdr:colOff>
      <xdr:row>99</xdr:row>
      <xdr:rowOff>109107</xdr:rowOff>
    </xdr:to>
    <xdr:grpSp>
      <xdr:nvGrpSpPr>
        <xdr:cNvPr id="49" name="Group 48"/>
        <xdr:cNvGrpSpPr/>
      </xdr:nvGrpSpPr>
      <xdr:grpSpPr>
        <a:xfrm>
          <a:off x="1973034" y="2209800"/>
          <a:ext cx="8817998" cy="15272907"/>
          <a:chOff x="1934934" y="2247900"/>
          <a:chExt cx="8408423" cy="15349107"/>
        </a:xfrm>
      </xdr:grpSpPr>
      <xdr:cxnSp macro="">
        <xdr:nvCxnSpPr>
          <xdr:cNvPr id="2" name="AutoShape 6"/>
          <xdr:cNvCxnSpPr>
            <a:cxnSpLocks noChangeShapeType="1"/>
          </xdr:cNvCxnSpPr>
        </xdr:nvCxnSpPr>
        <xdr:spPr bwMode="auto">
          <a:xfrm rot="5400000" flipH="1">
            <a:off x="-4381543" y="8564377"/>
            <a:ext cx="12632956"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 name="AutoShape 6"/>
          <xdr:cNvCxnSpPr>
            <a:cxnSpLocks noChangeShapeType="1"/>
          </xdr:cNvCxnSpPr>
        </xdr:nvCxnSpPr>
        <xdr:spPr bwMode="auto">
          <a:xfrm flipH="1" flipV="1">
            <a:off x="5807529" y="2247900"/>
            <a:ext cx="1" cy="482210"/>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4" name="AutoShape 6"/>
          <xdr:cNvCxnSpPr>
            <a:cxnSpLocks noChangeShapeType="1"/>
          </xdr:cNvCxnSpPr>
        </xdr:nvCxnSpPr>
        <xdr:spPr bwMode="auto">
          <a:xfrm rot="5400000" flipH="1">
            <a:off x="5575558" y="7013770"/>
            <a:ext cx="9531742" cy="1"/>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sp macro="" textlink="">
        <xdr:nvSpPr>
          <xdr:cNvPr id="5" name="AutoShape 10"/>
          <xdr:cNvSpPr>
            <a:spLocks noChangeArrowheads="1"/>
          </xdr:cNvSpPr>
        </xdr:nvSpPr>
        <xdr:spPr bwMode="auto">
          <a:xfrm>
            <a:off x="4656365" y="2720521"/>
            <a:ext cx="2311199" cy="1003300"/>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pitchFamily="34" charset="0"/>
              <a:cs typeface="Arial" pitchFamily="34" charset="0"/>
            </a:endParaRPr>
          </a:p>
          <a:p>
            <a:pPr algn="ctr" rtl="0">
              <a:defRPr sz="1000"/>
            </a:pPr>
            <a:r>
              <a:rPr lang="en-GB" sz="1000" b="1" i="0" u="none" strike="noStrike" baseline="0">
                <a:solidFill>
                  <a:srgbClr val="000000"/>
                </a:solidFill>
                <a:latin typeface="Arial" pitchFamily="34" charset="0"/>
                <a:cs typeface="Arial" pitchFamily="34" charset="0"/>
              </a:rPr>
              <a:t>Ex-ante assumptions</a:t>
            </a:r>
          </a:p>
          <a:p>
            <a:pPr algn="l" rtl="0">
              <a:defRPr sz="1000"/>
            </a:pPr>
            <a:r>
              <a:rPr lang="en-GB" sz="1000" b="0" i="0" u="none" strike="noStrike" baseline="0">
                <a:solidFill>
                  <a:srgbClr val="000000"/>
                </a:solidFill>
                <a:latin typeface="Arial" pitchFamily="34" charset="0"/>
                <a:cs typeface="Arial" pitchFamily="34" charset="0"/>
              </a:rPr>
              <a:t>• Allowance capital expenditure</a:t>
            </a:r>
          </a:p>
          <a:p>
            <a:pPr algn="l" rtl="0">
              <a:defRPr sz="1000"/>
            </a:pPr>
            <a:r>
              <a:rPr lang="en-GB" sz="1000" b="0" i="0" u="none" strike="noStrike" baseline="0">
                <a:solidFill>
                  <a:srgbClr val="000000"/>
                </a:solidFill>
                <a:latin typeface="Arial" pitchFamily="34" charset="0"/>
                <a:cs typeface="Arial" pitchFamily="34" charset="0"/>
              </a:rPr>
              <a:t>• Ex ante company bid ratio</a:t>
            </a:r>
          </a:p>
          <a:p>
            <a:pPr algn="l" rtl="0">
              <a:defRPr sz="1000"/>
            </a:pPr>
            <a:r>
              <a:rPr lang="en-GB" sz="1000" b="0" i="0" baseline="0">
                <a:effectLst/>
                <a:latin typeface="Arial" pitchFamily="34" charset="0"/>
                <a:ea typeface="+mn-ea"/>
                <a:cs typeface="Arial" pitchFamily="34" charset="0"/>
              </a:rPr>
              <a:t>• Ex ante </a:t>
            </a:r>
            <a:r>
              <a:rPr lang="en-GB" sz="1000" b="0" i="0" u="none" strike="noStrike" baseline="0">
                <a:solidFill>
                  <a:srgbClr val="000000"/>
                </a:solidFill>
                <a:latin typeface="Arial" pitchFamily="34" charset="0"/>
                <a:cs typeface="Arial" pitchFamily="34" charset="0"/>
              </a:rPr>
              <a:t>allowance ratio</a:t>
            </a:r>
          </a:p>
          <a:p>
            <a:pPr algn="l" rtl="0">
              <a:defRPr sz="1000"/>
            </a:pPr>
            <a:r>
              <a:rPr lang="en-GB" sz="1000" b="0" i="0" u="none" strike="noStrike" baseline="0">
                <a:solidFill>
                  <a:srgbClr val="000000"/>
                </a:solidFill>
                <a:latin typeface="Arial" pitchFamily="34" charset="0"/>
                <a:cs typeface="Arial" pitchFamily="34" charset="0"/>
              </a:rPr>
              <a:t>• Ex ante additional income</a:t>
            </a:r>
          </a:p>
          <a:p>
            <a:pPr algn="l" rtl="0">
              <a:defRPr sz="1000"/>
            </a:pPr>
            <a:endParaRPr lang="en-GB" sz="1000"/>
          </a:p>
        </xdr:txBody>
      </xdr:sp>
      <xdr:cxnSp macro="">
        <xdr:nvCxnSpPr>
          <xdr:cNvPr id="6" name="AutoShape 6"/>
          <xdr:cNvCxnSpPr>
            <a:cxnSpLocks noChangeShapeType="1"/>
          </xdr:cNvCxnSpPr>
        </xdr:nvCxnSpPr>
        <xdr:spPr bwMode="auto">
          <a:xfrm flipV="1">
            <a:off x="5803447" y="3732665"/>
            <a:ext cx="2" cy="255175"/>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sp macro="" textlink="">
        <xdr:nvSpPr>
          <xdr:cNvPr id="7" name="AutoShape 24"/>
          <xdr:cNvSpPr>
            <a:spLocks noChangeArrowheads="1"/>
          </xdr:cNvSpPr>
        </xdr:nvSpPr>
        <xdr:spPr bwMode="auto">
          <a:xfrm>
            <a:off x="4617130" y="3983263"/>
            <a:ext cx="2365389" cy="1914525"/>
          </a:xfrm>
          <a:prstGeom prst="flowChartDecision">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GB" sz="1000" b="0" i="0" u="none" strike="noStrike" baseline="0">
                <a:solidFill>
                  <a:srgbClr val="000000"/>
                </a:solidFill>
                <a:latin typeface="Arial"/>
                <a:cs typeface="Arial"/>
              </a:rPr>
              <a:t>Are there any adjustments to capital expenditure for change protocol, IDoKs or shortfalling?</a:t>
            </a:r>
            <a:endParaRPr lang="en-GB" sz="1000"/>
          </a:p>
        </xdr:txBody>
      </xdr:sp>
      <xdr:cxnSp macro="">
        <xdr:nvCxnSpPr>
          <xdr:cNvPr id="8" name="AutoShape 6"/>
          <xdr:cNvCxnSpPr>
            <a:cxnSpLocks noChangeShapeType="1"/>
          </xdr:cNvCxnSpPr>
        </xdr:nvCxnSpPr>
        <xdr:spPr bwMode="auto">
          <a:xfrm flipV="1">
            <a:off x="2741847" y="6171898"/>
            <a:ext cx="5650933" cy="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9" name="AutoShape 6"/>
          <xdr:cNvCxnSpPr>
            <a:cxnSpLocks noChangeShapeType="1"/>
          </xdr:cNvCxnSpPr>
        </xdr:nvCxnSpPr>
        <xdr:spPr bwMode="auto">
          <a:xfrm flipH="1" flipV="1">
            <a:off x="5805034" y="5908221"/>
            <a:ext cx="1" cy="255175"/>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sp macro="" textlink="">
        <xdr:nvSpPr>
          <xdr:cNvPr id="12" name="AutoShape 10"/>
          <xdr:cNvSpPr>
            <a:spLocks noChangeArrowheads="1"/>
          </xdr:cNvSpPr>
        </xdr:nvSpPr>
        <xdr:spPr bwMode="auto">
          <a:xfrm>
            <a:off x="3473218" y="6531429"/>
            <a:ext cx="2520000" cy="1266825"/>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adjusted company </a:t>
            </a:r>
          </a:p>
          <a:p>
            <a:pPr algn="ctr" rtl="0">
              <a:defRPr sz="1000"/>
            </a:pPr>
            <a:r>
              <a:rPr lang="en-GB" sz="1000" b="1" i="0" u="none" strike="noStrike" baseline="0">
                <a:solidFill>
                  <a:srgbClr val="000000"/>
                </a:solidFill>
                <a:latin typeface="Arial"/>
                <a:cs typeface="Arial"/>
              </a:rPr>
              <a:t>forecast of capital expenditure</a:t>
            </a:r>
          </a:p>
          <a:p>
            <a:pPr algn="l" rtl="0">
              <a:defRPr sz="1000"/>
            </a:pPr>
            <a:r>
              <a:rPr lang="en-GB" sz="1000" b="0" i="0" u="none" strike="noStrike" baseline="0">
                <a:solidFill>
                  <a:srgbClr val="000000"/>
                </a:solidFill>
                <a:latin typeface="Arial"/>
                <a:cs typeface="Arial"/>
              </a:rPr>
              <a:t>= Company </a:t>
            </a:r>
            <a:r>
              <a:rPr lang="en-GB" sz="1000" b="0" i="0" u="none" strike="noStrike" baseline="0">
                <a:solidFill>
                  <a:srgbClr val="000000"/>
                </a:solidFill>
                <a:latin typeface="Arial" pitchFamily="34" charset="0"/>
                <a:cs typeface="Arial" pitchFamily="34" charset="0"/>
              </a:rPr>
              <a:t>forecast of capital expenditure</a:t>
            </a:r>
          </a:p>
          <a:p>
            <a:pPr algn="l" rtl="0">
              <a:defRPr sz="1000"/>
            </a:pPr>
            <a:r>
              <a:rPr lang="en-GB" sz="1000" b="0" i="0" u="none" strike="noStrike" baseline="0">
                <a:solidFill>
                  <a:srgbClr val="000000"/>
                </a:solidFill>
                <a:latin typeface="Arial" pitchFamily="34" charset="0"/>
                <a:cs typeface="Arial" pitchFamily="34" charset="0"/>
              </a:rPr>
              <a:t>+ Company forecast of capital expenditure </a:t>
            </a:r>
          </a:p>
          <a:p>
            <a:pPr algn="l" rtl="0">
              <a:defRPr sz="1000"/>
            </a:pPr>
            <a:r>
              <a:rPr lang="en-GB" sz="1000" b="0" i="0" u="none" strike="noStrike" baseline="0">
                <a:solidFill>
                  <a:srgbClr val="000000"/>
                </a:solidFill>
                <a:latin typeface="Arial" pitchFamily="34" charset="0"/>
                <a:cs typeface="Arial" pitchFamily="34" charset="0"/>
              </a:rPr>
              <a:t>    in IDoK application</a:t>
            </a:r>
          </a:p>
          <a:p>
            <a:pPr algn="l" rtl="0">
              <a:defRPr sz="1000"/>
            </a:pPr>
            <a:r>
              <a:rPr lang="en-GB" sz="1000">
                <a:latin typeface="Arial" pitchFamily="34" charset="0"/>
                <a:cs typeface="Arial" pitchFamily="34" charset="0"/>
              </a:rPr>
              <a:t>+ Company claim of logging</a:t>
            </a:r>
            <a:r>
              <a:rPr lang="en-GB" sz="1000" baseline="0">
                <a:latin typeface="Arial" pitchFamily="34" charset="0"/>
                <a:cs typeface="Arial" pitchFamily="34" charset="0"/>
              </a:rPr>
              <a:t> up/</a:t>
            </a:r>
            <a:r>
              <a:rPr lang="en-GB" sz="1000" b="0" i="0" baseline="0">
                <a:effectLst/>
                <a:latin typeface="Arial" pitchFamily="34" charset="0"/>
                <a:ea typeface="+mn-ea"/>
                <a:cs typeface="Arial" pitchFamily="34" charset="0"/>
              </a:rPr>
              <a:t>(logging </a:t>
            </a:r>
          </a:p>
          <a:p>
            <a:pPr algn="l" rtl="0">
              <a:defRPr sz="1000"/>
            </a:pPr>
            <a:r>
              <a:rPr lang="en-GB" sz="1000" b="0" i="0" baseline="0">
                <a:effectLst/>
                <a:latin typeface="Arial" pitchFamily="34" charset="0"/>
                <a:ea typeface="+mn-ea"/>
                <a:cs typeface="Arial" pitchFamily="34" charset="0"/>
              </a:rPr>
              <a:t>    down)</a:t>
            </a:r>
            <a:endParaRPr lang="en-GB" sz="1000" baseline="0">
              <a:latin typeface="Arial" pitchFamily="34" charset="0"/>
              <a:cs typeface="Arial" pitchFamily="34" charset="0"/>
            </a:endParaRPr>
          </a:p>
        </xdr:txBody>
      </xdr:sp>
      <xdr:sp macro="" textlink="">
        <xdr:nvSpPr>
          <xdr:cNvPr id="13" name="AutoShape 10"/>
          <xdr:cNvSpPr>
            <a:spLocks noChangeArrowheads="1"/>
          </xdr:cNvSpPr>
        </xdr:nvSpPr>
        <xdr:spPr bwMode="auto">
          <a:xfrm>
            <a:off x="3469832" y="8092169"/>
            <a:ext cx="2520000" cy="1478646"/>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GB" sz="1000" b="1" i="0" u="none" strike="noStrike" kern="0" cap="none" spc="0" normalizeH="0" baseline="0" noProof="0">
              <a:ln>
                <a:noFill/>
              </a:ln>
              <a:solidFill>
                <a:srgbClr val="000000"/>
              </a:solidFill>
              <a:effectLst/>
              <a:uLnTx/>
              <a:uFillTx/>
              <a:latin typeface="Arial"/>
              <a:ea typeface="+mn-ea"/>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1" i="0" u="none" strike="noStrike" kern="0" cap="none" spc="0" normalizeH="0" baseline="0" noProof="0">
                <a:ln>
                  <a:noFill/>
                </a:ln>
                <a:solidFill>
                  <a:srgbClr val="000000"/>
                </a:solidFill>
                <a:effectLst/>
                <a:uLnTx/>
                <a:uFillTx/>
                <a:latin typeface="Arial"/>
                <a:ea typeface="+mn-ea"/>
                <a:cs typeface="Arial"/>
              </a:rPr>
              <a:t>Calculate adjusted baseline </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1" i="0" u="none" strike="noStrike" kern="0" cap="none" spc="0" normalizeH="0" baseline="0" noProof="0">
                <a:ln>
                  <a:noFill/>
                </a:ln>
                <a:solidFill>
                  <a:srgbClr val="000000"/>
                </a:solidFill>
                <a:effectLst/>
                <a:uLnTx/>
                <a:uFillTx/>
                <a:latin typeface="Arial"/>
                <a:ea typeface="+mn-ea"/>
                <a:cs typeface="Arial"/>
              </a:rPr>
              <a:t>view of capital expenditure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 Baseline capital expenditure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 Baseline capital expenditure allowed in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   IDoK</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Baseline view of logging up/ (logging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down)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Shortfalled capital expenditure</a:t>
            </a:r>
          </a:p>
          <a:p>
            <a:pPr algn="l" rtl="0">
              <a:defRPr sz="1000"/>
            </a:pPr>
            <a:endParaRPr lang="en-GB" sz="1000">
              <a:latin typeface="Arial" pitchFamily="34" charset="0"/>
              <a:cs typeface="Arial" pitchFamily="34" charset="0"/>
            </a:endParaRPr>
          </a:p>
          <a:p>
            <a:pPr algn="l" rtl="0">
              <a:defRPr sz="1000"/>
            </a:pPr>
            <a:endParaRPr lang="en-GB" sz="1000">
              <a:latin typeface="Arial" pitchFamily="34" charset="0"/>
              <a:cs typeface="Arial" pitchFamily="34" charset="0"/>
            </a:endParaRPr>
          </a:p>
        </xdr:txBody>
      </xdr:sp>
      <xdr:sp macro="" textlink="">
        <xdr:nvSpPr>
          <xdr:cNvPr id="14" name="AutoShape 10"/>
          <xdr:cNvSpPr>
            <a:spLocks noChangeArrowheads="1"/>
          </xdr:cNvSpPr>
        </xdr:nvSpPr>
        <xdr:spPr bwMode="auto">
          <a:xfrm>
            <a:off x="3469833" y="9969953"/>
            <a:ext cx="2520000" cy="999054"/>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pitchFamily="34" charset="0"/>
                <a:cs typeface="Arial" pitchFamily="34" charset="0"/>
              </a:rPr>
              <a:t>Calculate restated ex ante </a:t>
            </a:r>
          </a:p>
          <a:p>
            <a:pPr algn="ctr" rtl="0">
              <a:defRPr sz="1000"/>
            </a:pPr>
            <a:r>
              <a:rPr lang="en-GB" sz="1000" b="1" i="0" u="none" strike="noStrike" baseline="0">
                <a:solidFill>
                  <a:srgbClr val="000000"/>
                </a:solidFill>
                <a:latin typeface="Arial" pitchFamily="34" charset="0"/>
                <a:cs typeface="Arial" pitchFamily="34" charset="0"/>
              </a:rPr>
              <a:t>company bid ratio</a:t>
            </a:r>
          </a:p>
          <a:p>
            <a:pPr algn="l" rtl="0">
              <a:defRPr sz="1000"/>
            </a:pPr>
            <a:r>
              <a:rPr lang="en-GB" sz="1000" b="0" i="0" u="none" strike="noStrike" baseline="0">
                <a:solidFill>
                  <a:srgbClr val="000000"/>
                </a:solidFill>
                <a:latin typeface="Arial" pitchFamily="34" charset="0"/>
                <a:cs typeface="Arial" pitchFamily="34" charset="0"/>
              </a:rPr>
              <a:t>Divide adjusted company forecast of capital expenditure by adjusted baseline view of capital expenditure </a:t>
            </a:r>
          </a:p>
          <a:p>
            <a:pPr algn="l" rtl="0">
              <a:defRPr sz="1000"/>
            </a:pPr>
            <a:endParaRPr lang="en-GB" sz="1000" b="0" i="0" u="none" strike="noStrike" baseline="0">
              <a:solidFill>
                <a:srgbClr val="000000"/>
              </a:solidFill>
              <a:latin typeface="Arial" pitchFamily="34" charset="0"/>
              <a:cs typeface="Arial" pitchFamily="34" charset="0"/>
            </a:endParaRPr>
          </a:p>
          <a:p>
            <a:pPr algn="l" rtl="0">
              <a:defRPr sz="1000"/>
            </a:pPr>
            <a:endParaRPr lang="en-GB" sz="1000">
              <a:latin typeface="Arial" pitchFamily="34" charset="0"/>
              <a:cs typeface="Arial" pitchFamily="34" charset="0"/>
            </a:endParaRPr>
          </a:p>
        </xdr:txBody>
      </xdr:sp>
      <xdr:sp macro="" textlink="">
        <xdr:nvSpPr>
          <xdr:cNvPr id="15" name="AutoShape 10"/>
          <xdr:cNvSpPr>
            <a:spLocks noChangeArrowheads="1"/>
          </xdr:cNvSpPr>
        </xdr:nvSpPr>
        <xdr:spPr bwMode="auto">
          <a:xfrm>
            <a:off x="3473543" y="11291207"/>
            <a:ext cx="2520000" cy="1016005"/>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mn-lt"/>
              <a:cs typeface="Arial"/>
            </a:endParaRPr>
          </a:p>
          <a:p>
            <a:pPr algn="ctr" rtl="0"/>
            <a:r>
              <a:rPr lang="en-GB" sz="1000" b="1" i="0" u="none" strike="noStrike" baseline="0">
                <a:solidFill>
                  <a:srgbClr val="000000"/>
                </a:solidFill>
                <a:latin typeface="+mn-lt"/>
                <a:cs typeface="Arial"/>
              </a:rPr>
              <a:t>Calculate outturn ratio </a:t>
            </a:r>
          </a:p>
          <a:p>
            <a:pPr algn="ctr" rtl="0"/>
            <a:r>
              <a:rPr lang="en-GB" sz="800" b="0" i="0" u="none" strike="noStrike" baseline="0">
                <a:solidFill>
                  <a:srgbClr val="000000"/>
                </a:solidFill>
                <a:latin typeface="+mn-lt"/>
                <a:cs typeface="Arial"/>
              </a:rPr>
              <a:t>(</a:t>
            </a:r>
            <a:r>
              <a:rPr lang="en-GB" sz="800" b="0" i="0" baseline="0">
                <a:effectLst/>
                <a:latin typeface="+mn-lt"/>
                <a:ea typeface="+mn-ea"/>
                <a:cs typeface="+mn-cs"/>
              </a:rPr>
              <a:t>2007/08 prices using </a:t>
            </a:r>
            <a:r>
              <a:rPr lang="en-GB" sz="800" baseline="0">
                <a:effectLst/>
                <a:latin typeface="+mn-lt"/>
                <a:ea typeface="+mn-ea"/>
                <a:cs typeface="+mn-cs"/>
              </a:rPr>
              <a:t>outturn </a:t>
            </a:r>
            <a:r>
              <a:rPr lang="en-GB" sz="800">
                <a:effectLst/>
                <a:latin typeface="+mn-lt"/>
                <a:ea typeface="+mn-ea"/>
                <a:cs typeface="+mn-cs"/>
              </a:rPr>
              <a:t>notified index) </a:t>
            </a:r>
            <a:r>
              <a:rPr lang="en-GB" sz="800" baseline="0">
                <a:effectLst/>
                <a:latin typeface="+mn-lt"/>
                <a:ea typeface="+mn-ea"/>
                <a:cs typeface="+mn-cs"/>
              </a:rPr>
              <a:t> </a:t>
            </a:r>
            <a:endParaRPr lang="en-GB" sz="800">
              <a:effectLst/>
              <a:latin typeface="+mn-lt"/>
            </a:endParaRPr>
          </a:p>
          <a:p>
            <a:pPr algn="l" rtl="0">
              <a:defRPr sz="1000"/>
            </a:pPr>
            <a:r>
              <a:rPr lang="en-GB" sz="1000" b="0" i="0" u="none" strike="noStrike" baseline="0">
                <a:solidFill>
                  <a:srgbClr val="000000"/>
                </a:solidFill>
                <a:latin typeface="+mn-lt"/>
                <a:cs typeface="Arial"/>
              </a:rPr>
              <a:t>Divide actual capital expenditure by adjusted baseline view of capital expenditure</a:t>
            </a:r>
            <a:endParaRPr lang="en-GB" sz="1000">
              <a:latin typeface="+mn-lt"/>
              <a:cs typeface="Arial" pitchFamily="34" charset="0"/>
            </a:endParaRPr>
          </a:p>
        </xdr:txBody>
      </xdr:sp>
      <xdr:sp macro="" textlink="">
        <xdr:nvSpPr>
          <xdr:cNvPr id="16" name="AutoShape 10"/>
          <xdr:cNvSpPr>
            <a:spLocks noChangeArrowheads="1"/>
          </xdr:cNvSpPr>
        </xdr:nvSpPr>
        <xdr:spPr bwMode="auto">
          <a:xfrm>
            <a:off x="3472296" y="12774880"/>
            <a:ext cx="2520000" cy="1173657"/>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ex post reward/penalty</a:t>
            </a:r>
          </a:p>
          <a:p>
            <a:pPr algn="l" rtl="0">
              <a:defRPr sz="1000"/>
            </a:pPr>
            <a:r>
              <a:rPr lang="en-GB" sz="1000">
                <a:latin typeface="Arial" pitchFamily="34" charset="0"/>
                <a:cs typeface="Arial" pitchFamily="34" charset="0"/>
              </a:rPr>
              <a:t>= Adjusted baseline capital</a:t>
            </a:r>
            <a:r>
              <a:rPr lang="en-GB" sz="1000" baseline="0">
                <a:latin typeface="Arial" pitchFamily="34" charset="0"/>
                <a:cs typeface="Arial" pitchFamily="34" charset="0"/>
              </a:rPr>
              <a:t> expenditure </a:t>
            </a:r>
          </a:p>
          <a:p>
            <a:pPr algn="l" rtl="0">
              <a:defRPr sz="1000"/>
            </a:pPr>
            <a:r>
              <a:rPr lang="en-GB" sz="1000" baseline="0">
                <a:latin typeface="Arial" pitchFamily="34" charset="0"/>
                <a:cs typeface="Arial" pitchFamily="34" charset="0"/>
              </a:rPr>
              <a:t>   restated to 2007/08 prices (using outturn </a:t>
            </a:r>
          </a:p>
          <a:p>
            <a:pPr algn="l" rtl="0">
              <a:defRPr sz="1000"/>
            </a:pPr>
            <a:r>
              <a:rPr lang="en-GB" sz="1000" baseline="0">
                <a:latin typeface="Arial" pitchFamily="34" charset="0"/>
                <a:cs typeface="Arial" pitchFamily="34" charset="0"/>
              </a:rPr>
              <a:t>   </a:t>
            </a:r>
            <a:r>
              <a:rPr lang="en-GB" sz="1000">
                <a:latin typeface="Arial" pitchFamily="34" charset="0"/>
                <a:cs typeface="Arial" pitchFamily="34" charset="0"/>
              </a:rPr>
              <a:t>notified index) </a:t>
            </a:r>
            <a:r>
              <a:rPr lang="en-GB" sz="1000" baseline="0">
                <a:latin typeface="Arial" pitchFamily="34" charset="0"/>
                <a:cs typeface="Arial" pitchFamily="34" charset="0"/>
              </a:rPr>
              <a:t> </a:t>
            </a:r>
          </a:p>
          <a:p>
            <a:pPr algn="l" rtl="0">
              <a:defRPr sz="1000"/>
            </a:pPr>
            <a:r>
              <a:rPr lang="en-GB" sz="1000" baseline="0">
                <a:latin typeface="Arial" pitchFamily="34" charset="0"/>
                <a:cs typeface="Arial" pitchFamily="34" charset="0"/>
              </a:rPr>
              <a:t>x % reward/penalty (as per CIS matrix)</a:t>
            </a:r>
          </a:p>
          <a:p>
            <a:pPr algn="l" rtl="0">
              <a:defRPr sz="1000"/>
            </a:pPr>
            <a:r>
              <a:rPr lang="en-GB" sz="1000" baseline="0">
                <a:latin typeface="Arial" pitchFamily="34" charset="0"/>
                <a:cs typeface="Arial" pitchFamily="34" charset="0"/>
              </a:rPr>
              <a:t>- Ex ante additional income </a:t>
            </a:r>
            <a:endParaRPr lang="en-GB" sz="1000">
              <a:latin typeface="Arial" pitchFamily="34" charset="0"/>
              <a:cs typeface="Arial" pitchFamily="34" charset="0"/>
            </a:endParaRPr>
          </a:p>
        </xdr:txBody>
      </xdr:sp>
      <xdr:sp macro="" textlink="">
        <xdr:nvSpPr>
          <xdr:cNvPr id="17" name="AutoShape 10"/>
          <xdr:cNvSpPr>
            <a:spLocks noChangeArrowheads="1"/>
          </xdr:cNvSpPr>
        </xdr:nvSpPr>
        <xdr:spPr bwMode="auto">
          <a:xfrm>
            <a:off x="7451271" y="12273801"/>
            <a:ext cx="2514557" cy="1728350"/>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financing cost on under/overfunded gross capex</a:t>
            </a:r>
          </a:p>
          <a:p>
            <a:pPr rtl="0"/>
            <a:r>
              <a:rPr lang="en-GB" sz="1000" b="0" i="0" u="none" strike="noStrike" baseline="0">
                <a:solidFill>
                  <a:srgbClr val="000000"/>
                </a:solidFill>
                <a:latin typeface="Arial"/>
                <a:cs typeface="Arial"/>
              </a:rPr>
              <a:t>= Capex under/overfunded </a:t>
            </a:r>
          </a:p>
          <a:p>
            <a:pPr rtl="0"/>
            <a:r>
              <a:rPr lang="en-GB" sz="1000" b="0" i="0" u="none" strike="noStrike" baseline="0">
                <a:solidFill>
                  <a:srgbClr val="000000"/>
                </a:solidFill>
                <a:latin typeface="Arial"/>
                <a:cs typeface="Arial"/>
              </a:rPr>
              <a:t>   (difference between </a:t>
            </a:r>
            <a:r>
              <a:rPr lang="en-GB" sz="1000">
                <a:effectLst/>
                <a:latin typeface="+mn-lt"/>
                <a:ea typeface="+mn-ea"/>
                <a:cs typeface="+mn-cs"/>
              </a:rPr>
              <a:t>year average </a:t>
            </a:r>
          </a:p>
          <a:p>
            <a:pPr rtl="0"/>
            <a:r>
              <a:rPr lang="en-GB" sz="1000">
                <a:effectLst/>
                <a:latin typeface="+mn-lt"/>
                <a:ea typeface="+mn-ea"/>
                <a:cs typeface="+mn-cs"/>
              </a:rPr>
              <a:t>    RCV based on actual gross capex </a:t>
            </a:r>
            <a:r>
              <a:rPr lang="en-GB" sz="1000" baseline="0">
                <a:effectLst/>
                <a:latin typeface="+mn-lt"/>
                <a:ea typeface="+mn-ea"/>
                <a:cs typeface="+mn-cs"/>
              </a:rPr>
              <a:t>in </a:t>
            </a:r>
            <a:r>
              <a:rPr lang="en-GB" sz="1000">
                <a:effectLst/>
                <a:latin typeface="+mn-lt"/>
                <a:ea typeface="+mn-ea"/>
                <a:cs typeface="+mn-cs"/>
              </a:rPr>
              <a:t> </a:t>
            </a:r>
          </a:p>
          <a:p>
            <a:pPr rtl="0"/>
            <a:r>
              <a:rPr lang="en-GB" sz="1000" baseline="0">
                <a:effectLst/>
                <a:latin typeface="+mn-lt"/>
                <a:ea typeface="+mn-ea"/>
                <a:cs typeface="+mn-cs"/>
              </a:rPr>
              <a:t>    2007/08 prices (using outturn notified </a:t>
            </a:r>
          </a:p>
          <a:p>
            <a:pPr rtl="0"/>
            <a:r>
              <a:rPr lang="en-GB" sz="1000" baseline="0">
                <a:effectLst/>
                <a:latin typeface="+mn-lt"/>
                <a:ea typeface="+mn-ea"/>
                <a:cs typeface="+mn-cs"/>
              </a:rPr>
              <a:t>    index) and year average RCV based on </a:t>
            </a:r>
          </a:p>
          <a:p>
            <a:pPr rtl="0"/>
            <a:r>
              <a:rPr lang="en-GB" sz="1000" baseline="0">
                <a:effectLst/>
                <a:latin typeface="+mn-lt"/>
                <a:ea typeface="+mn-ea"/>
                <a:cs typeface="+mn-cs"/>
              </a:rPr>
              <a:t>    a</a:t>
            </a:r>
            <a:r>
              <a:rPr lang="en-GB" sz="1000">
                <a:effectLst/>
                <a:latin typeface="+mn-lt"/>
                <a:ea typeface="+mn-ea"/>
                <a:cs typeface="+mn-cs"/>
              </a:rPr>
              <a:t>llowance gross c</a:t>
            </a:r>
            <a:r>
              <a:rPr lang="en-GB" sz="1000" b="0" i="0" baseline="0">
                <a:effectLst/>
                <a:latin typeface="+mn-lt"/>
                <a:ea typeface="+mn-ea"/>
                <a:cs typeface="+mn-cs"/>
              </a:rPr>
              <a:t>apex (inc IDoK) in </a:t>
            </a:r>
          </a:p>
          <a:p>
            <a:pPr rtl="0"/>
            <a:r>
              <a:rPr lang="en-GB" sz="1000" b="0" i="0" baseline="0">
                <a:effectLst/>
                <a:latin typeface="+mn-lt"/>
                <a:ea typeface="+mn-ea"/>
                <a:cs typeface="+mn-cs"/>
              </a:rPr>
              <a:t>    2007/08 prices (using FD notified index)) </a:t>
            </a:r>
            <a:endParaRPr lang="en-GB" sz="1000">
              <a:effectLst/>
            </a:endParaRPr>
          </a:p>
          <a:p>
            <a:pPr algn="l" rtl="0">
              <a:defRPr sz="1000"/>
            </a:pPr>
            <a:r>
              <a:rPr lang="en-GB" sz="1000" b="0" i="0" u="none" strike="noStrike" baseline="0">
                <a:solidFill>
                  <a:srgbClr val="000000"/>
                </a:solidFill>
                <a:latin typeface="+mn-lt"/>
                <a:cs typeface="Arial"/>
              </a:rPr>
              <a:t>x PR09 vanilla rate of return</a:t>
            </a:r>
            <a:endParaRPr lang="en-GB" sz="1000" b="0" i="0" u="none" strike="noStrike" baseline="0">
              <a:solidFill>
                <a:srgbClr val="000000"/>
              </a:solidFill>
              <a:latin typeface="Arial"/>
              <a:cs typeface="Arial"/>
            </a:endParaRPr>
          </a:p>
          <a:p>
            <a:pPr algn="l" rtl="0">
              <a:defRPr sz="1000"/>
            </a:pPr>
            <a:endParaRPr lang="en-GB" sz="1000">
              <a:latin typeface="Arial" pitchFamily="34" charset="0"/>
              <a:cs typeface="Arial" pitchFamily="34" charset="0"/>
            </a:endParaRPr>
          </a:p>
        </xdr:txBody>
      </xdr:sp>
      <xdr:sp macro="" textlink="">
        <xdr:nvSpPr>
          <xdr:cNvPr id="19" name="AutoShape 10"/>
          <xdr:cNvSpPr>
            <a:spLocks noChangeArrowheads="1"/>
          </xdr:cNvSpPr>
        </xdr:nvSpPr>
        <xdr:spPr bwMode="auto">
          <a:xfrm>
            <a:off x="5453743" y="14584135"/>
            <a:ext cx="2514067" cy="1128940"/>
          </a:xfrm>
          <a:prstGeom prst="flowChartProcess">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Calculate NPV of ex post </a:t>
            </a:r>
          </a:p>
          <a:p>
            <a:pPr algn="ctr" rtl="0">
              <a:defRPr sz="1000"/>
            </a:pPr>
            <a:r>
              <a:rPr lang="en-GB" sz="1000" b="1" i="0" u="none" strike="noStrike" baseline="0">
                <a:solidFill>
                  <a:srgbClr val="000000"/>
                </a:solidFill>
                <a:latin typeface="Arial"/>
                <a:cs typeface="Arial"/>
              </a:rPr>
              <a:t>revenue adjustment</a:t>
            </a:r>
          </a:p>
          <a:p>
            <a:pPr algn="l" rtl="0">
              <a:defRPr sz="1000"/>
            </a:pPr>
            <a:r>
              <a:rPr lang="en-GB" sz="1000">
                <a:latin typeface="Arial" pitchFamily="34" charset="0"/>
                <a:cs typeface="Arial" pitchFamily="34" charset="0"/>
              </a:rPr>
              <a:t>= Future discounted value (as at 2014/15) </a:t>
            </a:r>
          </a:p>
          <a:p>
            <a:pPr algn="l" rtl="0">
              <a:defRPr sz="1000"/>
            </a:pPr>
            <a:r>
              <a:rPr lang="en-GB" sz="1000">
                <a:latin typeface="Arial" pitchFamily="34" charset="0"/>
                <a:cs typeface="Arial" pitchFamily="34" charset="0"/>
              </a:rPr>
              <a:t>   of sum of;</a:t>
            </a:r>
          </a:p>
          <a:p>
            <a:pPr algn="l" rtl="0">
              <a:defRPr sz="1000"/>
            </a:pPr>
            <a:r>
              <a:rPr lang="en-GB" sz="1000">
                <a:latin typeface="Arial" pitchFamily="34" charset="0"/>
                <a:cs typeface="Arial" pitchFamily="34" charset="0"/>
              </a:rPr>
              <a:t>   Ex post reward/penalty and financing </a:t>
            </a:r>
          </a:p>
          <a:p>
            <a:pPr algn="l" rtl="0">
              <a:defRPr sz="1000"/>
            </a:pPr>
            <a:r>
              <a:rPr lang="en-GB" sz="1000">
                <a:latin typeface="Arial" pitchFamily="34" charset="0"/>
                <a:cs typeface="Arial" pitchFamily="34" charset="0"/>
              </a:rPr>
              <a:t>   cost of under/overfunded</a:t>
            </a:r>
            <a:r>
              <a:rPr lang="en-GB" sz="1000" baseline="0">
                <a:latin typeface="Arial" pitchFamily="34" charset="0"/>
                <a:cs typeface="Arial" pitchFamily="34" charset="0"/>
              </a:rPr>
              <a:t> capex</a:t>
            </a:r>
            <a:endParaRPr lang="en-GB" sz="1000">
              <a:latin typeface="Arial" pitchFamily="34" charset="0"/>
              <a:cs typeface="Arial" pitchFamily="34" charset="0"/>
            </a:endParaRPr>
          </a:p>
        </xdr:txBody>
      </xdr:sp>
      <xdr:sp macro="" textlink="">
        <xdr:nvSpPr>
          <xdr:cNvPr id="20" name="AutoShape 10"/>
          <xdr:cNvSpPr>
            <a:spLocks noChangeArrowheads="1"/>
          </xdr:cNvSpPr>
        </xdr:nvSpPr>
        <xdr:spPr bwMode="auto">
          <a:xfrm>
            <a:off x="2310494" y="17053832"/>
            <a:ext cx="2514557" cy="543175"/>
          </a:xfrm>
          <a:prstGeom prst="flowChartProcess">
            <a:avLst/>
          </a:prstGeom>
          <a:solidFill>
            <a:schemeClr val="accent3">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endParaRPr lang="en-GB" sz="1000" b="1" i="0" baseline="0">
              <a:effectLst/>
              <a:latin typeface="Arial" pitchFamily="34" charset="0"/>
              <a:ea typeface="+mn-ea"/>
              <a:cs typeface="Arial" pitchFamily="34" charset="0"/>
            </a:endParaRPr>
          </a:p>
          <a:p>
            <a:pPr algn="ctr" rtl="0"/>
            <a:r>
              <a:rPr lang="en-GB" sz="1000" b="1" i="0" baseline="0">
                <a:effectLst/>
                <a:latin typeface="Arial" pitchFamily="34" charset="0"/>
                <a:ea typeface="+mn-ea"/>
                <a:cs typeface="Arial" pitchFamily="34" charset="0"/>
              </a:rPr>
              <a:t>Midnight RCV </a:t>
            </a:r>
          </a:p>
          <a:p>
            <a:pPr algn="ctr" rtl="0"/>
            <a:r>
              <a:rPr lang="en-GB" sz="1000" b="1" i="0" baseline="0">
                <a:effectLst/>
                <a:latin typeface="Arial" pitchFamily="34" charset="0"/>
                <a:ea typeface="+mn-ea"/>
                <a:cs typeface="Arial" pitchFamily="34" charset="0"/>
              </a:rPr>
              <a:t>adjustment</a:t>
            </a:r>
            <a:endParaRPr lang="en-GB" sz="1000">
              <a:effectLst/>
              <a:latin typeface="Arial" pitchFamily="34" charset="0"/>
              <a:cs typeface="Arial" pitchFamily="34" charset="0"/>
            </a:endParaRPr>
          </a:p>
          <a:p>
            <a:pPr algn="ctr" rtl="0">
              <a:defRPr sz="1000"/>
            </a:pPr>
            <a:endParaRPr lang="en-GB" sz="1000" b="1" i="0" u="none" strike="noStrike" baseline="0">
              <a:solidFill>
                <a:srgbClr val="000000"/>
              </a:solidFill>
              <a:latin typeface="Arial"/>
              <a:cs typeface="Arial"/>
            </a:endParaRPr>
          </a:p>
          <a:p>
            <a:pPr algn="l" rtl="0">
              <a:defRPr sz="1000"/>
            </a:pPr>
            <a:endParaRPr lang="en-GB" sz="1000">
              <a:latin typeface="Arial" pitchFamily="34" charset="0"/>
              <a:cs typeface="Arial" pitchFamily="34" charset="0"/>
            </a:endParaRPr>
          </a:p>
        </xdr:txBody>
      </xdr:sp>
      <xdr:sp macro="" textlink="">
        <xdr:nvSpPr>
          <xdr:cNvPr id="21" name="AutoShape 10"/>
          <xdr:cNvSpPr>
            <a:spLocks noChangeArrowheads="1"/>
          </xdr:cNvSpPr>
        </xdr:nvSpPr>
        <xdr:spPr bwMode="auto">
          <a:xfrm>
            <a:off x="7383236" y="17040225"/>
            <a:ext cx="2519999" cy="543175"/>
          </a:xfrm>
          <a:prstGeom prst="flowChartProcess">
            <a:avLst/>
          </a:prstGeom>
          <a:solidFill>
            <a:schemeClr val="accent3">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Arial"/>
              <a:cs typeface="Arial"/>
            </a:endParaRPr>
          </a:p>
          <a:p>
            <a:pPr algn="ctr" rtl="0">
              <a:defRPr sz="1000"/>
            </a:pPr>
            <a:r>
              <a:rPr lang="en-GB" sz="1000" b="1" i="0" u="none" strike="noStrike" baseline="0">
                <a:solidFill>
                  <a:srgbClr val="000000"/>
                </a:solidFill>
                <a:latin typeface="Arial"/>
                <a:cs typeface="Arial"/>
              </a:rPr>
              <a:t>NPV ex post </a:t>
            </a:r>
          </a:p>
          <a:p>
            <a:pPr algn="ctr" rtl="0">
              <a:defRPr sz="1000"/>
            </a:pPr>
            <a:r>
              <a:rPr lang="en-GB" sz="1000" b="1" i="0" u="none" strike="noStrike" baseline="0">
                <a:solidFill>
                  <a:srgbClr val="000000"/>
                </a:solidFill>
                <a:latin typeface="Arial"/>
                <a:cs typeface="Arial"/>
              </a:rPr>
              <a:t>revenue adjustment</a:t>
            </a:r>
          </a:p>
          <a:p>
            <a:pPr algn="ctr" rtl="0">
              <a:defRPr sz="1000"/>
            </a:pPr>
            <a:endParaRPr lang="en-GB" sz="1000" b="1" i="0" u="none" strike="noStrike" baseline="0">
              <a:solidFill>
                <a:srgbClr val="000000"/>
              </a:solidFill>
              <a:latin typeface="Arial"/>
              <a:cs typeface="Arial"/>
            </a:endParaRPr>
          </a:p>
          <a:p>
            <a:pPr algn="l" rtl="0">
              <a:defRPr sz="1000"/>
            </a:pPr>
            <a:endParaRPr lang="en-GB" sz="1000">
              <a:latin typeface="Arial" pitchFamily="34" charset="0"/>
              <a:cs typeface="Arial" pitchFamily="34" charset="0"/>
            </a:endParaRPr>
          </a:p>
        </xdr:txBody>
      </xdr:sp>
      <xdr:sp macro="" textlink="">
        <xdr:nvSpPr>
          <xdr:cNvPr id="23" name="AutoShape 24"/>
          <xdr:cNvSpPr>
            <a:spLocks noChangeArrowheads="1"/>
          </xdr:cNvSpPr>
        </xdr:nvSpPr>
        <xdr:spPr bwMode="auto">
          <a:xfrm>
            <a:off x="7229436" y="6522360"/>
            <a:ext cx="2311200" cy="1368425"/>
          </a:xfrm>
          <a:prstGeom prst="flowChartDecision">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GB" sz="1000" b="0" i="0" u="none" strike="noStrike" baseline="0">
                <a:solidFill>
                  <a:srgbClr val="000000"/>
                </a:solidFill>
                <a:latin typeface="Arial" pitchFamily="34" charset="0"/>
                <a:cs typeface="Arial" pitchFamily="34" charset="0"/>
              </a:rPr>
              <a:t>Is there an IDoK adjustment or </a:t>
            </a:r>
            <a:r>
              <a:rPr lang="en-GB" sz="1000" b="0" i="0" baseline="0">
                <a:effectLst/>
                <a:latin typeface="Arial" pitchFamily="34" charset="0"/>
                <a:ea typeface="+mn-ea"/>
                <a:cs typeface="Arial" pitchFamily="34" charset="0"/>
              </a:rPr>
              <a:t>any agreed logging up/(down)?</a:t>
            </a:r>
            <a:endParaRPr lang="en-GB" sz="1000">
              <a:effectLst/>
              <a:latin typeface="Arial" pitchFamily="34" charset="0"/>
              <a:cs typeface="Arial" pitchFamily="34" charset="0"/>
            </a:endParaRPr>
          </a:p>
          <a:p>
            <a:pPr algn="ctr" rtl="0">
              <a:defRPr sz="1000"/>
            </a:pPr>
            <a:endParaRPr lang="en-GB" sz="1000">
              <a:latin typeface="Arial" pitchFamily="34" charset="0"/>
              <a:cs typeface="Arial" pitchFamily="34" charset="0"/>
            </a:endParaRPr>
          </a:p>
        </xdr:txBody>
      </xdr:sp>
      <xdr:cxnSp macro="">
        <xdr:nvCxnSpPr>
          <xdr:cNvPr id="24" name="AutoShape 6"/>
          <xdr:cNvCxnSpPr>
            <a:cxnSpLocks noChangeShapeType="1"/>
          </xdr:cNvCxnSpPr>
        </xdr:nvCxnSpPr>
        <xdr:spPr bwMode="auto">
          <a:xfrm rot="5400000" flipH="1">
            <a:off x="8160869" y="8119511"/>
            <a:ext cx="482400"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sp macro="" textlink="">
        <xdr:nvSpPr>
          <xdr:cNvPr id="25" name="AutoShape 24"/>
          <xdr:cNvSpPr>
            <a:spLocks noChangeArrowheads="1"/>
          </xdr:cNvSpPr>
        </xdr:nvSpPr>
        <xdr:spPr bwMode="auto">
          <a:xfrm>
            <a:off x="7239333" y="8354787"/>
            <a:ext cx="2311200" cy="1213350"/>
          </a:xfrm>
          <a:prstGeom prst="flowChartDecision">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GB" sz="1000" b="0" i="0" u="none" strike="noStrike" baseline="0">
                <a:solidFill>
                  <a:srgbClr val="000000"/>
                </a:solidFill>
                <a:latin typeface="Arial"/>
                <a:cs typeface="Arial"/>
              </a:rPr>
              <a:t>Is there any shortfalled capital expenditure?</a:t>
            </a:r>
            <a:endParaRPr lang="en-GB" sz="1000"/>
          </a:p>
        </xdr:txBody>
      </xdr:sp>
      <xdr:cxnSp macro="">
        <xdr:nvCxnSpPr>
          <xdr:cNvPr id="26" name="AutoShape 6"/>
          <xdr:cNvCxnSpPr>
            <a:cxnSpLocks noChangeShapeType="1"/>
          </xdr:cNvCxnSpPr>
        </xdr:nvCxnSpPr>
        <xdr:spPr bwMode="auto">
          <a:xfrm flipH="1">
            <a:off x="5997538" y="7212033"/>
            <a:ext cx="1247861" cy="1"/>
          </a:xfrm>
          <a:prstGeom prst="straightConnector1">
            <a:avLst/>
          </a:prstGeom>
          <a:noFill/>
          <a:ln w="12700">
            <a:solidFill>
              <a:schemeClr val="tx1"/>
            </a:solidFill>
            <a:prstDash val="sysDot"/>
            <a:round/>
            <a:headEnd type="none"/>
            <a:tailEnd type="triangle" w="med" len="med"/>
          </a:ln>
          <a:extLst>
            <a:ext uri="{909E8E84-426E-40DD-AFC4-6F175D3DCCD1}">
              <a14:hiddenFill xmlns:a14="http://schemas.microsoft.com/office/drawing/2010/main">
                <a:noFill/>
              </a14:hiddenFill>
            </a:ext>
          </a:extLst>
        </xdr:spPr>
      </xdr:cxnSp>
      <xdr:cxnSp macro="">
        <xdr:nvCxnSpPr>
          <xdr:cNvPr id="28" name="AutoShape 6"/>
          <xdr:cNvCxnSpPr>
            <a:cxnSpLocks noChangeShapeType="1"/>
          </xdr:cNvCxnSpPr>
        </xdr:nvCxnSpPr>
        <xdr:spPr bwMode="auto">
          <a:xfrm flipH="1">
            <a:off x="5992588" y="8213766"/>
            <a:ext cx="2388804"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29" name="AutoShape 6"/>
          <xdr:cNvCxnSpPr>
            <a:cxnSpLocks noChangeShapeType="1"/>
          </xdr:cNvCxnSpPr>
        </xdr:nvCxnSpPr>
        <xdr:spPr bwMode="auto">
          <a:xfrm flipV="1">
            <a:off x="8393842" y="9567181"/>
            <a:ext cx="2" cy="92775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30" name="AutoShape 6"/>
          <xdr:cNvCxnSpPr>
            <a:cxnSpLocks noChangeShapeType="1"/>
          </xdr:cNvCxnSpPr>
        </xdr:nvCxnSpPr>
        <xdr:spPr bwMode="auto">
          <a:xfrm>
            <a:off x="5994372" y="10506871"/>
            <a:ext cx="2388392" cy="0"/>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2" name="AutoShape 6"/>
          <xdr:cNvCxnSpPr>
            <a:cxnSpLocks noChangeShapeType="1"/>
          </xdr:cNvCxnSpPr>
        </xdr:nvCxnSpPr>
        <xdr:spPr bwMode="auto">
          <a:xfrm>
            <a:off x="8807432" y="11789347"/>
            <a:ext cx="1535925" cy="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33" name="AutoShape 6"/>
          <xdr:cNvCxnSpPr>
            <a:cxnSpLocks noChangeShapeType="1"/>
          </xdr:cNvCxnSpPr>
        </xdr:nvCxnSpPr>
        <xdr:spPr bwMode="auto">
          <a:xfrm rot="5400000" flipH="1">
            <a:off x="8553132" y="12038557"/>
            <a:ext cx="505831"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4" name="AutoShape 6"/>
          <xdr:cNvCxnSpPr>
            <a:cxnSpLocks noChangeShapeType="1"/>
          </xdr:cNvCxnSpPr>
        </xdr:nvCxnSpPr>
        <xdr:spPr bwMode="auto">
          <a:xfrm flipV="1">
            <a:off x="4726340" y="7798254"/>
            <a:ext cx="0" cy="300668"/>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5" name="AutoShape 6"/>
          <xdr:cNvCxnSpPr>
            <a:cxnSpLocks noChangeShapeType="1"/>
          </xdr:cNvCxnSpPr>
        </xdr:nvCxnSpPr>
        <xdr:spPr bwMode="auto">
          <a:xfrm flipV="1">
            <a:off x="4723409" y="9580789"/>
            <a:ext cx="0" cy="394268"/>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6" name="AutoShape 6"/>
          <xdr:cNvCxnSpPr>
            <a:cxnSpLocks noChangeShapeType="1"/>
          </xdr:cNvCxnSpPr>
        </xdr:nvCxnSpPr>
        <xdr:spPr bwMode="auto">
          <a:xfrm flipV="1">
            <a:off x="4720934" y="10968594"/>
            <a:ext cx="0" cy="322404"/>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7" name="AutoShape 6"/>
          <xdr:cNvCxnSpPr>
            <a:cxnSpLocks noChangeShapeType="1"/>
          </xdr:cNvCxnSpPr>
        </xdr:nvCxnSpPr>
        <xdr:spPr bwMode="auto">
          <a:xfrm flipV="1">
            <a:off x="4719696" y="12312237"/>
            <a:ext cx="0" cy="460207"/>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38" name="AutoShape 6"/>
          <xdr:cNvCxnSpPr>
            <a:cxnSpLocks noChangeShapeType="1"/>
          </xdr:cNvCxnSpPr>
        </xdr:nvCxnSpPr>
        <xdr:spPr bwMode="auto">
          <a:xfrm>
            <a:off x="4879184" y="14260285"/>
            <a:ext cx="3798000" cy="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39" name="AutoShape 6"/>
          <xdr:cNvCxnSpPr>
            <a:cxnSpLocks noChangeShapeType="1"/>
          </xdr:cNvCxnSpPr>
        </xdr:nvCxnSpPr>
        <xdr:spPr bwMode="auto">
          <a:xfrm flipV="1">
            <a:off x="4874078" y="13963650"/>
            <a:ext cx="2" cy="281649"/>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40" name="AutoShape 6"/>
          <xdr:cNvCxnSpPr>
            <a:cxnSpLocks noChangeShapeType="1"/>
          </xdr:cNvCxnSpPr>
        </xdr:nvCxnSpPr>
        <xdr:spPr bwMode="auto">
          <a:xfrm flipV="1">
            <a:off x="8677730" y="14013649"/>
            <a:ext cx="2" cy="22357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41" name="AutoShape 6"/>
          <xdr:cNvCxnSpPr>
            <a:cxnSpLocks noChangeShapeType="1"/>
          </xdr:cNvCxnSpPr>
        </xdr:nvCxnSpPr>
        <xdr:spPr bwMode="auto">
          <a:xfrm rot="5400000" flipH="1">
            <a:off x="6543146" y="14422438"/>
            <a:ext cx="330350"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43" name="AutoShape 6"/>
          <xdr:cNvCxnSpPr>
            <a:cxnSpLocks noChangeShapeType="1"/>
          </xdr:cNvCxnSpPr>
        </xdr:nvCxnSpPr>
        <xdr:spPr bwMode="auto">
          <a:xfrm rot="5400000" flipH="1">
            <a:off x="7675661" y="16091651"/>
            <a:ext cx="1888017" cy="1"/>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cxnSp macro="">
        <xdr:nvCxnSpPr>
          <xdr:cNvPr id="44" name="AutoShape 6"/>
          <xdr:cNvCxnSpPr>
            <a:cxnSpLocks noChangeShapeType="1"/>
          </xdr:cNvCxnSpPr>
        </xdr:nvCxnSpPr>
        <xdr:spPr bwMode="auto">
          <a:xfrm rot="5400000" flipH="1">
            <a:off x="-68260" y="8977084"/>
            <a:ext cx="5604325" cy="1"/>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48" name="AutoShape 6"/>
          <xdr:cNvCxnSpPr>
            <a:cxnSpLocks noChangeShapeType="1"/>
          </xdr:cNvCxnSpPr>
        </xdr:nvCxnSpPr>
        <xdr:spPr bwMode="auto">
          <a:xfrm flipH="1">
            <a:off x="5992587" y="8964881"/>
            <a:ext cx="1256536" cy="1"/>
          </a:xfrm>
          <a:prstGeom prst="straightConnector1">
            <a:avLst/>
          </a:prstGeom>
          <a:noFill/>
          <a:ln w="12700">
            <a:solidFill>
              <a:schemeClr val="tx1"/>
            </a:solidFill>
            <a:prstDash val="sysDot"/>
            <a:round/>
            <a:headEnd type="none"/>
            <a:tailEnd type="triangle" w="med" len="med"/>
          </a:ln>
          <a:extLst>
            <a:ext uri="{909E8E84-426E-40DD-AFC4-6F175D3DCCD1}">
              <a14:hiddenFill xmlns:a14="http://schemas.microsoft.com/office/drawing/2010/main">
                <a:noFill/>
              </a14:hiddenFill>
            </a:ext>
          </a:extLst>
        </xdr:spPr>
      </xdr:cxnSp>
      <xdr:cxnSp macro="">
        <xdr:nvCxnSpPr>
          <xdr:cNvPr id="55" name="AutoShape 6"/>
          <xdr:cNvCxnSpPr>
            <a:cxnSpLocks noChangeShapeType="1"/>
          </xdr:cNvCxnSpPr>
        </xdr:nvCxnSpPr>
        <xdr:spPr bwMode="auto">
          <a:xfrm>
            <a:off x="7973483" y="15150041"/>
            <a:ext cx="650117" cy="0"/>
          </a:xfrm>
          <a:prstGeom prst="straightConnector1">
            <a:avLst/>
          </a:prstGeom>
          <a:noFill/>
          <a:ln w="12700">
            <a:solidFill>
              <a:schemeClr val="tx1"/>
            </a:solidFill>
            <a:prstDash val="sysDot"/>
            <a:round/>
            <a:headEnd type="none"/>
            <a:tailEnd type="none" w="med" len="med"/>
          </a:ln>
          <a:extLst>
            <a:ext uri="{909E8E84-426E-40DD-AFC4-6F175D3DCCD1}">
              <a14:hiddenFill xmlns:a14="http://schemas.microsoft.com/office/drawing/2010/main">
                <a:noFill/>
              </a14:hiddenFill>
            </a:ext>
          </a:extLst>
        </xdr:spPr>
      </xdr:cxnSp>
      <xdr:cxnSp macro="">
        <xdr:nvCxnSpPr>
          <xdr:cNvPr id="50" name="AutoShape 6"/>
          <xdr:cNvCxnSpPr>
            <a:cxnSpLocks noChangeShapeType="1"/>
          </xdr:cNvCxnSpPr>
        </xdr:nvCxnSpPr>
        <xdr:spPr bwMode="auto">
          <a:xfrm flipV="1">
            <a:off x="3557501" y="15784151"/>
            <a:ext cx="0" cy="1292817"/>
          </a:xfrm>
          <a:prstGeom prst="straightConnector1">
            <a:avLst/>
          </a:prstGeom>
          <a:noFill/>
          <a:ln w="12700">
            <a:solidFill>
              <a:schemeClr val="tx1"/>
            </a:solidFill>
            <a:prstDash val="sysDot"/>
            <a:round/>
            <a:headEnd type="triangle"/>
            <a:tailEnd type="none" w="med" len="me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wat">
  <a:themeElements>
    <a:clrScheme name="Ofwat">
      <a:dk1>
        <a:sysClr val="windowText" lastClr="000000"/>
      </a:dk1>
      <a:lt1>
        <a:sysClr val="window" lastClr="FFFFFF"/>
      </a:lt1>
      <a:dk2>
        <a:srgbClr val="1F497D"/>
      </a:dk2>
      <a:lt2>
        <a:srgbClr val="EEECE1"/>
      </a:lt2>
      <a:accent1>
        <a:srgbClr val="002664"/>
      </a:accent1>
      <a:accent2>
        <a:srgbClr val="4B92DB"/>
      </a:accent2>
      <a:accent3>
        <a:srgbClr val="F0AB00"/>
      </a:accent3>
      <a:accent4>
        <a:srgbClr val="007EA3"/>
      </a:accent4>
      <a:accent5>
        <a:srgbClr val="A8B400"/>
      </a:accent5>
      <a:accent6>
        <a:srgbClr val="EA3BAE"/>
      </a:accent6>
      <a:hlink>
        <a:srgbClr val="4B92DB"/>
      </a:hlink>
      <a:folHlink>
        <a:srgbClr val="240078"/>
      </a:folHlink>
    </a:clrScheme>
    <a:fontScheme name="Ofwat">
      <a:majorFont>
        <a:latin typeface="Arial Rounded MT Bold"/>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ons.gov.uk/ons/index.html" TargetMode="External"/><Relationship Id="rId7" Type="http://schemas.openxmlformats.org/officeDocument/2006/relationships/hyperlink" Target="http://www.ofwat.gov.uk/pricereview/pr09phase3/det_pr09_finalfull.pdf" TargetMode="External"/><Relationship Id="rId2" Type="http://schemas.openxmlformats.org/officeDocument/2006/relationships/hyperlink" Target="http://www.ofwat.gov.uk/pricereview/pr09phase3/ltr_pr0936_fdchgprotocol2010-15" TargetMode="External"/><Relationship Id="rId1" Type="http://schemas.openxmlformats.org/officeDocument/2006/relationships/hyperlink" Target="http://www.ofwat.gov.uk/publications/rdletters/ltr_rd1310idok" TargetMode="External"/><Relationship Id="rId6" Type="http://schemas.openxmlformats.org/officeDocument/2006/relationships/hyperlink" Target="http://www.ofwat.gov.uk/publication/ofwat-pr14-reconciliation-rulebook/" TargetMode="External"/><Relationship Id="rId5" Type="http://schemas.openxmlformats.org/officeDocument/2006/relationships/hyperlink" Target="http://www.ofwat.gov.uk/regulating/prs_in1108copi.pdf" TargetMode="External"/><Relationship Id="rId4" Type="http://schemas.openxmlformats.org/officeDocument/2006/relationships/hyperlink" Target="http://www.ofwat.gov.uk/regulating/prs_in1108copi.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O90"/>
  <sheetViews>
    <sheetView showGridLines="0" zoomScaleNormal="100" workbookViewId="0">
      <pane ySplit="2" topLeftCell="A3" activePane="bottomLeft" state="frozen"/>
      <selection activeCell="A3" sqref="A3"/>
      <selection pane="bottomLeft" activeCell="A3" sqref="A3"/>
    </sheetView>
  </sheetViews>
  <sheetFormatPr defaultColWidth="9.109375" defaultRowHeight="13.2"/>
  <cols>
    <col min="1" max="1" width="2.5546875" style="109" customWidth="1"/>
    <col min="2" max="4" width="10.109375" style="109" customWidth="1"/>
    <col min="5" max="5" width="33.6640625" style="109" customWidth="1"/>
    <col min="6" max="6" width="13.88671875" style="109" customWidth="1"/>
    <col min="7" max="7" width="10.88671875" style="109" customWidth="1"/>
    <col min="8" max="8" width="16.88671875" style="109" customWidth="1"/>
    <col min="9" max="13" width="10.88671875" style="109" customWidth="1"/>
    <col min="14" max="16384" width="9.109375" style="109"/>
  </cols>
  <sheetData>
    <row r="1" spans="1:15" ht="17.399999999999999">
      <c r="A1" s="434" t="s">
        <v>277</v>
      </c>
    </row>
    <row r="2" spans="1:15">
      <c r="A2" s="435" t="s">
        <v>753</v>
      </c>
    </row>
    <row r="4" spans="1:15" s="542" customFormat="1">
      <c r="B4" s="543" t="s">
        <v>485</v>
      </c>
    </row>
    <row r="5" spans="1:15" s="531" customFormat="1">
      <c r="B5" s="532"/>
    </row>
    <row r="6" spans="1:15" s="531" customFormat="1" ht="12.75" customHeight="1">
      <c r="B6" s="533"/>
      <c r="C6" s="534" t="s">
        <v>486</v>
      </c>
      <c r="D6" s="534" t="s">
        <v>487</v>
      </c>
      <c r="E6" s="758" t="s">
        <v>488</v>
      </c>
      <c r="F6" s="759"/>
      <c r="G6" s="759"/>
      <c r="H6" s="759"/>
      <c r="I6" s="759"/>
      <c r="J6" s="759"/>
      <c r="K6" s="759"/>
      <c r="L6" s="759"/>
      <c r="M6" s="759"/>
      <c r="N6" s="760"/>
      <c r="O6" s="535" t="s">
        <v>489</v>
      </c>
    </row>
    <row r="7" spans="1:15" s="531" customFormat="1" ht="12.75" customHeight="1">
      <c r="B7" s="533"/>
      <c r="C7" s="536"/>
      <c r="D7" s="667"/>
      <c r="E7" s="545"/>
      <c r="F7" s="546" t="s">
        <v>410</v>
      </c>
      <c r="G7" s="546" t="s">
        <v>414</v>
      </c>
      <c r="H7" s="750" t="s">
        <v>491</v>
      </c>
      <c r="I7" s="750"/>
      <c r="J7" s="750"/>
      <c r="K7" s="750"/>
      <c r="L7" s="750"/>
      <c r="M7" s="750"/>
      <c r="N7" s="751"/>
      <c r="O7" s="546"/>
    </row>
    <row r="8" spans="1:15" s="531" customFormat="1" ht="45" customHeight="1">
      <c r="B8" s="533"/>
      <c r="C8" s="767" t="s">
        <v>613</v>
      </c>
      <c r="D8" s="769" t="s">
        <v>620</v>
      </c>
      <c r="E8" s="771" t="s">
        <v>616</v>
      </c>
      <c r="F8" s="546" t="s">
        <v>88</v>
      </c>
      <c r="G8" s="546">
        <v>156</v>
      </c>
      <c r="H8" s="750" t="s">
        <v>617</v>
      </c>
      <c r="I8" s="750"/>
      <c r="J8" s="750"/>
      <c r="K8" s="750"/>
      <c r="L8" s="750"/>
      <c r="M8" s="750"/>
      <c r="N8" s="751"/>
      <c r="O8" s="546">
        <v>3.3</v>
      </c>
    </row>
    <row r="9" spans="1:15" s="531" customFormat="1" ht="45" customHeight="1">
      <c r="B9" s="533"/>
      <c r="C9" s="768"/>
      <c r="D9" s="770"/>
      <c r="E9" s="772"/>
      <c r="F9" s="546" t="s">
        <v>614</v>
      </c>
      <c r="G9" s="546" t="s">
        <v>615</v>
      </c>
      <c r="H9" s="750" t="s">
        <v>618</v>
      </c>
      <c r="I9" s="750"/>
      <c r="J9" s="750"/>
      <c r="K9" s="750"/>
      <c r="L9" s="750"/>
      <c r="M9" s="750"/>
      <c r="N9" s="751"/>
      <c r="O9" s="546">
        <v>3.3</v>
      </c>
    </row>
    <row r="10" spans="1:15" s="531" customFormat="1" ht="26.4" customHeight="1">
      <c r="B10" s="533"/>
      <c r="C10" s="674" t="s">
        <v>622</v>
      </c>
      <c r="D10" s="683" t="s">
        <v>619</v>
      </c>
      <c r="E10" s="546" t="s">
        <v>623</v>
      </c>
      <c r="F10" s="546" t="s">
        <v>624</v>
      </c>
      <c r="G10" s="546" t="s">
        <v>698</v>
      </c>
      <c r="H10" s="757" t="s">
        <v>699</v>
      </c>
      <c r="I10" s="750"/>
      <c r="J10" s="750"/>
      <c r="K10" s="750"/>
      <c r="L10" s="750"/>
      <c r="M10" s="750"/>
      <c r="N10" s="751"/>
      <c r="O10" s="546">
        <v>3.4</v>
      </c>
    </row>
    <row r="11" spans="1:15" s="531" customFormat="1" ht="26.4" customHeight="1">
      <c r="B11" s="533"/>
      <c r="C11" s="674" t="s">
        <v>749</v>
      </c>
      <c r="D11" s="683" t="s">
        <v>620</v>
      </c>
      <c r="E11" s="546" t="s">
        <v>748</v>
      </c>
      <c r="F11" s="546" t="s">
        <v>745</v>
      </c>
      <c r="G11" s="546" t="s">
        <v>698</v>
      </c>
      <c r="H11" s="757" t="s">
        <v>750</v>
      </c>
      <c r="I11" s="750"/>
      <c r="J11" s="750"/>
      <c r="K11" s="750"/>
      <c r="L11" s="750"/>
      <c r="M11" s="750"/>
      <c r="N11" s="751"/>
      <c r="O11" s="546">
        <v>3.5</v>
      </c>
    </row>
    <row r="12" spans="1:15" s="531" customFormat="1" ht="40.049999999999997" customHeight="1">
      <c r="B12" s="533"/>
      <c r="C12" s="674" t="s">
        <v>749</v>
      </c>
      <c r="D12" s="683" t="s">
        <v>620</v>
      </c>
      <c r="E12" s="546" t="s">
        <v>756</v>
      </c>
      <c r="F12" s="546" t="s">
        <v>757</v>
      </c>
      <c r="G12" s="546"/>
      <c r="H12" s="757" t="s">
        <v>764</v>
      </c>
      <c r="I12" s="750"/>
      <c r="J12" s="750"/>
      <c r="K12" s="750"/>
      <c r="L12" s="750"/>
      <c r="M12" s="750"/>
      <c r="N12" s="751"/>
      <c r="O12" s="546">
        <v>3.5</v>
      </c>
    </row>
    <row r="13" spans="1:15" s="531" customFormat="1" ht="26.4" customHeight="1">
      <c r="B13" s="533"/>
      <c r="C13" s="680"/>
      <c r="D13" s="681"/>
      <c r="E13" s="682"/>
      <c r="F13" s="682"/>
      <c r="G13" s="682"/>
      <c r="H13" s="682"/>
      <c r="I13" s="682"/>
      <c r="J13" s="682"/>
      <c r="K13" s="682"/>
      <c r="L13" s="682"/>
      <c r="M13" s="682"/>
      <c r="N13" s="682"/>
      <c r="O13" s="682"/>
    </row>
    <row r="14" spans="1:15" s="542" customFormat="1">
      <c r="B14" s="544" t="s">
        <v>490</v>
      </c>
      <c r="C14" s="436"/>
      <c r="D14" s="436"/>
      <c r="E14" s="436"/>
      <c r="F14" s="436"/>
      <c r="G14" s="436"/>
      <c r="H14" s="436"/>
      <c r="I14" s="436"/>
      <c r="J14" s="436"/>
      <c r="K14" s="436"/>
      <c r="L14" s="436"/>
      <c r="M14" s="436"/>
      <c r="N14" s="436"/>
    </row>
    <row r="15" spans="1:15" s="531" customFormat="1">
      <c r="B15" s="270"/>
      <c r="C15" s="109"/>
      <c r="D15" s="109"/>
      <c r="E15" s="109"/>
      <c r="F15" s="109"/>
      <c r="G15" s="109"/>
      <c r="H15" s="109"/>
      <c r="I15" s="109"/>
      <c r="J15" s="109"/>
      <c r="K15" s="109"/>
      <c r="L15" s="109"/>
      <c r="M15" s="109"/>
      <c r="N15" s="109"/>
    </row>
    <row r="16" spans="1:15" s="531" customFormat="1">
      <c r="B16" s="537"/>
      <c r="C16" s="538" t="s">
        <v>486</v>
      </c>
      <c r="D16" s="538" t="s">
        <v>487</v>
      </c>
      <c r="E16" s="539" t="s">
        <v>692</v>
      </c>
      <c r="F16" s="540"/>
      <c r="G16" s="540"/>
      <c r="H16" s="540"/>
      <c r="I16" s="540"/>
      <c r="J16" s="540"/>
      <c r="K16" s="540"/>
      <c r="L16" s="540"/>
      <c r="M16" s="540"/>
      <c r="N16" s="541"/>
    </row>
    <row r="17" spans="1:14" s="531" customFormat="1">
      <c r="B17" s="537"/>
      <c r="C17" s="674" t="s">
        <v>622</v>
      </c>
      <c r="D17" s="668" t="s">
        <v>620</v>
      </c>
      <c r="E17" s="752" t="s">
        <v>693</v>
      </c>
      <c r="F17" s="753"/>
      <c r="G17" s="753"/>
      <c r="H17" s="753"/>
      <c r="I17" s="753"/>
      <c r="J17" s="753"/>
      <c r="K17" s="753"/>
      <c r="L17" s="753"/>
      <c r="M17" s="753"/>
      <c r="N17" s="754"/>
    </row>
    <row r="18" spans="1:14" s="531" customFormat="1">
      <c r="B18" s="537"/>
      <c r="C18" s="674" t="s">
        <v>622</v>
      </c>
      <c r="D18" s="668" t="s">
        <v>694</v>
      </c>
      <c r="E18" s="752" t="s">
        <v>695</v>
      </c>
      <c r="F18" s="776"/>
      <c r="G18" s="776"/>
      <c r="H18" s="776"/>
      <c r="I18" s="776"/>
      <c r="J18" s="776"/>
      <c r="K18" s="776"/>
      <c r="L18" s="776"/>
      <c r="M18" s="776"/>
      <c r="N18" s="777"/>
    </row>
    <row r="19" spans="1:14" s="531" customFormat="1">
      <c r="B19" s="537"/>
      <c r="C19" s="674" t="s">
        <v>752</v>
      </c>
      <c r="D19" s="668" t="s">
        <v>751</v>
      </c>
      <c r="E19" s="752" t="s">
        <v>693</v>
      </c>
      <c r="F19" s="753"/>
      <c r="G19" s="753"/>
      <c r="H19" s="753"/>
      <c r="I19" s="753"/>
      <c r="J19" s="753"/>
      <c r="K19" s="753"/>
      <c r="L19" s="753"/>
      <c r="M19" s="753"/>
      <c r="N19" s="754"/>
    </row>
    <row r="20" spans="1:14" s="531" customFormat="1"/>
    <row r="21" spans="1:14">
      <c r="B21" s="555" t="s">
        <v>501</v>
      </c>
    </row>
    <row r="22" spans="1:14">
      <c r="A22" s="555"/>
    </row>
    <row r="23" spans="1:14">
      <c r="A23" s="436" t="s">
        <v>500</v>
      </c>
    </row>
    <row r="24" spans="1:14">
      <c r="A24" s="109" t="s">
        <v>766</v>
      </c>
    </row>
    <row r="25" spans="1:14">
      <c r="A25" s="700" t="s">
        <v>763</v>
      </c>
      <c r="G25" s="275" t="s">
        <v>765</v>
      </c>
      <c r="H25" s="275"/>
    </row>
    <row r="27" spans="1:14">
      <c r="A27" s="436" t="s">
        <v>257</v>
      </c>
    </row>
    <row r="28" spans="1:14">
      <c r="A28" s="109" t="s">
        <v>769</v>
      </c>
    </row>
    <row r="29" spans="1:14">
      <c r="A29" s="109" t="s">
        <v>768</v>
      </c>
      <c r="E29" s="275" t="s">
        <v>268</v>
      </c>
    </row>
    <row r="30" spans="1:14">
      <c r="A30" s="701" t="s">
        <v>767</v>
      </c>
      <c r="C30" s="275"/>
    </row>
    <row r="31" spans="1:14">
      <c r="A31" s="278" t="s">
        <v>256</v>
      </c>
      <c r="B31" s="109" t="s">
        <v>377</v>
      </c>
    </row>
    <row r="32" spans="1:14">
      <c r="A32" s="278"/>
      <c r="B32" s="109" t="s">
        <v>378</v>
      </c>
    </row>
    <row r="33" spans="1:13">
      <c r="A33" s="278" t="s">
        <v>256</v>
      </c>
      <c r="B33" s="37" t="s">
        <v>373</v>
      </c>
    </row>
    <row r="34" spans="1:13">
      <c r="A34" s="278" t="s">
        <v>256</v>
      </c>
      <c r="B34" s="37" t="s">
        <v>710</v>
      </c>
    </row>
    <row r="35" spans="1:13">
      <c r="A35" s="278"/>
      <c r="B35" s="37" t="s">
        <v>274</v>
      </c>
    </row>
    <row r="36" spans="1:13">
      <c r="A36" s="278" t="s">
        <v>256</v>
      </c>
      <c r="B36" s="303" t="s">
        <v>379</v>
      </c>
    </row>
    <row r="37" spans="1:13">
      <c r="A37" s="278"/>
      <c r="B37" s="37" t="s">
        <v>380</v>
      </c>
    </row>
    <row r="38" spans="1:13">
      <c r="A38" s="278" t="s">
        <v>256</v>
      </c>
      <c r="B38" s="109" t="s">
        <v>375</v>
      </c>
    </row>
    <row r="39" spans="1:13">
      <c r="A39" s="278"/>
      <c r="B39" s="109" t="s">
        <v>361</v>
      </c>
    </row>
    <row r="40" spans="1:13">
      <c r="A40" s="109" t="s">
        <v>770</v>
      </c>
    </row>
    <row r="42" spans="1:13">
      <c r="A42" s="437" t="s">
        <v>275</v>
      </c>
    </row>
    <row r="43" spans="1:13">
      <c r="A43" s="274" t="s">
        <v>381</v>
      </c>
    </row>
    <row r="44" spans="1:13">
      <c r="A44" s="274"/>
    </row>
    <row r="45" spans="1:13" s="282" customFormat="1" ht="18" customHeight="1">
      <c r="A45" s="281"/>
      <c r="B45" s="773" t="s">
        <v>288</v>
      </c>
      <c r="C45" s="774"/>
      <c r="D45" s="775"/>
      <c r="E45" s="755" t="s">
        <v>258</v>
      </c>
      <c r="F45" s="755"/>
      <c r="G45" s="756" t="s">
        <v>289</v>
      </c>
      <c r="H45" s="756"/>
      <c r="I45" s="755" t="s">
        <v>271</v>
      </c>
      <c r="J45" s="755"/>
      <c r="K45" s="755"/>
      <c r="L45" s="755"/>
      <c r="M45" s="755"/>
    </row>
    <row r="46" spans="1:13" s="284" customFormat="1" ht="15" customHeight="1">
      <c r="A46" s="283"/>
      <c r="B46" s="705" t="s">
        <v>278</v>
      </c>
      <c r="C46" s="706"/>
      <c r="D46" s="707"/>
      <c r="E46" s="745"/>
      <c r="F46" s="746"/>
      <c r="G46" s="745"/>
      <c r="H46" s="746"/>
      <c r="I46" s="766"/>
      <c r="J46" s="766"/>
      <c r="K46" s="766"/>
      <c r="L46" s="766"/>
      <c r="M46" s="766"/>
    </row>
    <row r="47" spans="1:13" s="282" customFormat="1" ht="59.25" customHeight="1">
      <c r="A47" s="285"/>
      <c r="B47" s="716" t="s">
        <v>112</v>
      </c>
      <c r="C47" s="717"/>
      <c r="D47" s="718"/>
      <c r="E47" s="716" t="s">
        <v>264</v>
      </c>
      <c r="F47" s="718"/>
      <c r="G47" s="747" t="s">
        <v>283</v>
      </c>
      <c r="H47" s="748"/>
      <c r="I47" s="716" t="s">
        <v>362</v>
      </c>
      <c r="J47" s="717"/>
      <c r="K47" s="717"/>
      <c r="L47" s="717"/>
      <c r="M47" s="718"/>
    </row>
    <row r="48" spans="1:13" s="282" customFormat="1" ht="77.25" customHeight="1">
      <c r="A48" s="285"/>
      <c r="B48" s="719"/>
      <c r="C48" s="720"/>
      <c r="D48" s="721"/>
      <c r="E48" s="719"/>
      <c r="F48" s="721"/>
      <c r="G48" s="738"/>
      <c r="H48" s="749"/>
      <c r="I48" s="719" t="s">
        <v>295</v>
      </c>
      <c r="J48" s="720"/>
      <c r="K48" s="720"/>
      <c r="L48" s="720"/>
      <c r="M48" s="721"/>
    </row>
    <row r="49" spans="1:13" s="282" customFormat="1" ht="50.25" customHeight="1">
      <c r="A49" s="285"/>
      <c r="B49" s="728" t="s">
        <v>162</v>
      </c>
      <c r="C49" s="729"/>
      <c r="D49" s="730"/>
      <c r="E49" s="711" t="s">
        <v>259</v>
      </c>
      <c r="F49" s="711"/>
      <c r="G49" s="711" t="s">
        <v>260</v>
      </c>
      <c r="H49" s="711"/>
      <c r="I49" s="716" t="s">
        <v>362</v>
      </c>
      <c r="J49" s="717"/>
      <c r="K49" s="717"/>
      <c r="L49" s="717"/>
      <c r="M49" s="718"/>
    </row>
    <row r="50" spans="1:13" s="282" customFormat="1" ht="76.5" customHeight="1">
      <c r="A50" s="285"/>
      <c r="B50" s="728" t="s">
        <v>263</v>
      </c>
      <c r="C50" s="729"/>
      <c r="D50" s="730"/>
      <c r="E50" s="711" t="s">
        <v>259</v>
      </c>
      <c r="F50" s="711"/>
      <c r="G50" s="711" t="s">
        <v>261</v>
      </c>
      <c r="H50" s="711"/>
      <c r="I50" s="728" t="s">
        <v>363</v>
      </c>
      <c r="J50" s="729"/>
      <c r="K50" s="729"/>
      <c r="L50" s="729"/>
      <c r="M50" s="730"/>
    </row>
    <row r="51" spans="1:13" s="282" customFormat="1" ht="29.25" customHeight="1">
      <c r="A51" s="285"/>
      <c r="B51" s="728" t="s">
        <v>194</v>
      </c>
      <c r="C51" s="729"/>
      <c r="D51" s="730"/>
      <c r="E51" s="711" t="s">
        <v>259</v>
      </c>
      <c r="F51" s="711"/>
      <c r="G51" s="711" t="s">
        <v>262</v>
      </c>
      <c r="H51" s="711"/>
      <c r="I51" s="763"/>
      <c r="J51" s="764"/>
      <c r="K51" s="764"/>
      <c r="L51" s="764"/>
      <c r="M51" s="765"/>
    </row>
    <row r="52" spans="1:13" s="282" customFormat="1" ht="16.5" customHeight="1">
      <c r="B52" s="716" t="s">
        <v>195</v>
      </c>
      <c r="C52" s="717"/>
      <c r="D52" s="718"/>
      <c r="E52" s="716" t="s">
        <v>259</v>
      </c>
      <c r="F52" s="718"/>
      <c r="G52" s="716" t="s">
        <v>265</v>
      </c>
      <c r="H52" s="718"/>
      <c r="I52" s="716" t="s">
        <v>507</v>
      </c>
      <c r="J52" s="717"/>
      <c r="K52" s="717"/>
      <c r="L52" s="717"/>
      <c r="M52" s="718"/>
    </row>
    <row r="53" spans="1:13" s="282" customFormat="1" ht="13.5" customHeight="1">
      <c r="B53" s="739"/>
      <c r="C53" s="736"/>
      <c r="D53" s="740"/>
      <c r="E53" s="739"/>
      <c r="F53" s="740"/>
      <c r="G53" s="739"/>
      <c r="H53" s="740"/>
      <c r="I53" s="735" t="s">
        <v>509</v>
      </c>
      <c r="J53" s="736"/>
      <c r="K53" s="736"/>
      <c r="L53" s="736"/>
      <c r="M53" s="737"/>
    </row>
    <row r="54" spans="1:13" s="282" customFormat="1" ht="11.4" customHeight="1">
      <c r="B54" s="739"/>
      <c r="C54" s="736"/>
      <c r="D54" s="740"/>
      <c r="E54" s="739"/>
      <c r="F54" s="740"/>
      <c r="G54" s="739"/>
      <c r="H54" s="740"/>
      <c r="I54" s="735" t="s">
        <v>508</v>
      </c>
      <c r="J54" s="736"/>
      <c r="K54" s="736"/>
      <c r="L54" s="736"/>
      <c r="M54" s="737"/>
    </row>
    <row r="55" spans="1:13" s="282" customFormat="1" ht="11.4">
      <c r="B55" s="739"/>
      <c r="C55" s="736"/>
      <c r="D55" s="737"/>
      <c r="E55" s="739"/>
      <c r="F55" s="737"/>
      <c r="G55" s="739"/>
      <c r="H55" s="737"/>
      <c r="I55" s="735" t="s">
        <v>510</v>
      </c>
      <c r="J55" s="736"/>
      <c r="K55" s="736"/>
      <c r="L55" s="736"/>
      <c r="M55" s="740"/>
    </row>
    <row r="56" spans="1:13" s="282" customFormat="1" ht="11.4">
      <c r="B56" s="719"/>
      <c r="C56" s="720"/>
      <c r="D56" s="721"/>
      <c r="E56" s="719"/>
      <c r="F56" s="721"/>
      <c r="G56" s="719"/>
      <c r="H56" s="721"/>
      <c r="I56" s="738" t="s">
        <v>360</v>
      </c>
      <c r="J56" s="720"/>
      <c r="K56" s="720"/>
      <c r="L56" s="720"/>
      <c r="M56" s="721"/>
    </row>
    <row r="57" spans="1:13" s="282" customFormat="1" ht="15" customHeight="1">
      <c r="A57" s="285"/>
      <c r="B57" s="705" t="s">
        <v>280</v>
      </c>
      <c r="C57" s="706"/>
      <c r="D57" s="707"/>
      <c r="E57" s="715"/>
      <c r="F57" s="715"/>
      <c r="G57" s="715"/>
      <c r="H57" s="715"/>
      <c r="I57" s="731"/>
      <c r="J57" s="732"/>
      <c r="K57" s="732"/>
      <c r="L57" s="732"/>
      <c r="M57" s="733"/>
    </row>
    <row r="58" spans="1:13" s="282" customFormat="1" ht="56.25" customHeight="1">
      <c r="A58" s="285"/>
      <c r="B58" s="728" t="s">
        <v>279</v>
      </c>
      <c r="C58" s="729"/>
      <c r="D58" s="730"/>
      <c r="E58" s="711" t="s">
        <v>266</v>
      </c>
      <c r="F58" s="711"/>
      <c r="G58" s="711" t="s">
        <v>272</v>
      </c>
      <c r="H58" s="711"/>
      <c r="I58" s="728" t="s">
        <v>506</v>
      </c>
      <c r="J58" s="729"/>
      <c r="K58" s="729"/>
      <c r="L58" s="729"/>
      <c r="M58" s="730"/>
    </row>
    <row r="59" spans="1:13" s="282" customFormat="1" ht="27" customHeight="1">
      <c r="A59" s="285"/>
      <c r="B59" s="705" t="s">
        <v>287</v>
      </c>
      <c r="C59" s="706"/>
      <c r="D59" s="707"/>
      <c r="E59" s="714"/>
      <c r="F59" s="714"/>
      <c r="G59" s="714"/>
      <c r="H59" s="714"/>
      <c r="I59" s="715"/>
      <c r="J59" s="715"/>
      <c r="K59" s="715"/>
      <c r="L59" s="715"/>
      <c r="M59" s="715"/>
    </row>
    <row r="60" spans="1:13" s="282" customFormat="1" ht="37.5" customHeight="1">
      <c r="A60" s="285"/>
      <c r="B60" s="747" t="s">
        <v>291</v>
      </c>
      <c r="C60" s="761"/>
      <c r="D60" s="748"/>
      <c r="E60" s="716" t="s">
        <v>276</v>
      </c>
      <c r="F60" s="718"/>
      <c r="G60" s="716" t="s">
        <v>281</v>
      </c>
      <c r="H60" s="718"/>
      <c r="I60" s="722" t="s">
        <v>290</v>
      </c>
      <c r="J60" s="723"/>
      <c r="K60" s="723"/>
      <c r="L60" s="723"/>
      <c r="M60" s="724"/>
    </row>
    <row r="61" spans="1:13" s="282" customFormat="1" ht="61.5" customHeight="1">
      <c r="A61" s="285"/>
      <c r="B61" s="738"/>
      <c r="C61" s="762"/>
      <c r="D61" s="749"/>
      <c r="E61" s="719"/>
      <c r="F61" s="721"/>
      <c r="G61" s="719"/>
      <c r="H61" s="721"/>
      <c r="I61" s="708" t="s">
        <v>369</v>
      </c>
      <c r="J61" s="709"/>
      <c r="K61" s="709"/>
      <c r="L61" s="709"/>
      <c r="M61" s="710"/>
    </row>
    <row r="62" spans="1:13" s="282" customFormat="1" ht="57.75" customHeight="1">
      <c r="A62" s="285"/>
      <c r="B62" s="734" t="s">
        <v>292</v>
      </c>
      <c r="C62" s="729"/>
      <c r="D62" s="730"/>
      <c r="E62" s="711" t="s">
        <v>755</v>
      </c>
      <c r="F62" s="711"/>
      <c r="G62" s="711" t="s">
        <v>282</v>
      </c>
      <c r="H62" s="711"/>
      <c r="I62" s="725" t="s">
        <v>293</v>
      </c>
      <c r="J62" s="726"/>
      <c r="K62" s="726"/>
      <c r="L62" s="726"/>
      <c r="M62" s="727"/>
    </row>
    <row r="63" spans="1:13" s="282" customFormat="1" ht="29.25" customHeight="1">
      <c r="A63" s="285"/>
      <c r="B63" s="734" t="s">
        <v>273</v>
      </c>
      <c r="C63" s="729"/>
      <c r="D63" s="730"/>
      <c r="E63" s="711" t="s">
        <v>755</v>
      </c>
      <c r="F63" s="711"/>
      <c r="G63" s="711" t="s">
        <v>282</v>
      </c>
      <c r="H63" s="711"/>
      <c r="I63" s="712"/>
      <c r="J63" s="712"/>
      <c r="K63" s="712"/>
      <c r="L63" s="712"/>
      <c r="M63" s="712"/>
    </row>
    <row r="64" spans="1:13" s="282" customFormat="1" ht="15" customHeight="1">
      <c r="A64" s="285"/>
      <c r="B64" s="705" t="s">
        <v>286</v>
      </c>
      <c r="C64" s="706"/>
      <c r="D64" s="707"/>
      <c r="E64" s="714"/>
      <c r="F64" s="714"/>
      <c r="G64" s="714"/>
      <c r="H64" s="714"/>
      <c r="I64" s="715"/>
      <c r="J64" s="715"/>
      <c r="K64" s="715"/>
      <c r="L64" s="715"/>
      <c r="M64" s="715"/>
    </row>
    <row r="65" spans="1:13" s="282" customFormat="1" ht="50.25" customHeight="1">
      <c r="A65" s="285"/>
      <c r="B65" s="716" t="s">
        <v>171</v>
      </c>
      <c r="C65" s="717"/>
      <c r="D65" s="718"/>
      <c r="E65" s="741" t="s">
        <v>294</v>
      </c>
      <c r="F65" s="742"/>
      <c r="G65" s="716"/>
      <c r="H65" s="718"/>
      <c r="I65" s="716" t="s">
        <v>298</v>
      </c>
      <c r="J65" s="717"/>
      <c r="K65" s="717"/>
      <c r="L65" s="717"/>
      <c r="M65" s="718"/>
    </row>
    <row r="66" spans="1:13" s="282" customFormat="1" ht="42" customHeight="1">
      <c r="A66" s="285"/>
      <c r="B66" s="719"/>
      <c r="C66" s="720"/>
      <c r="D66" s="721"/>
      <c r="E66" s="743" t="s">
        <v>754</v>
      </c>
      <c r="F66" s="744"/>
      <c r="G66" s="719"/>
      <c r="H66" s="721"/>
      <c r="I66" s="719"/>
      <c r="J66" s="720"/>
      <c r="K66" s="720"/>
      <c r="L66" s="720"/>
      <c r="M66" s="721"/>
    </row>
    <row r="67" spans="1:13" s="282" customFormat="1" ht="68.25" customHeight="1">
      <c r="A67" s="285"/>
      <c r="B67" s="716" t="s">
        <v>172</v>
      </c>
      <c r="C67" s="717"/>
      <c r="D67" s="718"/>
      <c r="E67" s="716" t="s">
        <v>259</v>
      </c>
      <c r="F67" s="718"/>
      <c r="G67" s="716" t="s">
        <v>296</v>
      </c>
      <c r="H67" s="718"/>
      <c r="I67" s="722" t="s">
        <v>370</v>
      </c>
      <c r="J67" s="723"/>
      <c r="K67" s="723"/>
      <c r="L67" s="723"/>
      <c r="M67" s="724"/>
    </row>
    <row r="68" spans="1:13" s="282" customFormat="1" ht="55.5" customHeight="1">
      <c r="A68" s="285"/>
      <c r="B68" s="719"/>
      <c r="C68" s="720"/>
      <c r="D68" s="721"/>
      <c r="E68" s="719" t="s">
        <v>582</v>
      </c>
      <c r="F68" s="721"/>
      <c r="G68" s="719"/>
      <c r="H68" s="721"/>
      <c r="I68" s="708" t="s">
        <v>372</v>
      </c>
      <c r="J68" s="709"/>
      <c r="K68" s="709"/>
      <c r="L68" s="709"/>
      <c r="M68" s="710"/>
    </row>
    <row r="69" spans="1:13" s="282" customFormat="1" ht="15" customHeight="1">
      <c r="A69" s="285"/>
      <c r="B69" s="705" t="s">
        <v>285</v>
      </c>
      <c r="C69" s="706"/>
      <c r="D69" s="707"/>
      <c r="E69" s="714"/>
      <c r="F69" s="714"/>
      <c r="G69" s="714"/>
      <c r="H69" s="714"/>
      <c r="I69" s="715"/>
      <c r="J69" s="715"/>
      <c r="K69" s="715"/>
      <c r="L69" s="715"/>
      <c r="M69" s="715"/>
    </row>
    <row r="70" spans="1:13" s="282" customFormat="1" ht="39" customHeight="1">
      <c r="A70" s="285"/>
      <c r="B70" s="711" t="s">
        <v>269</v>
      </c>
      <c r="C70" s="711"/>
      <c r="D70" s="711"/>
      <c r="E70" s="711" t="s">
        <v>264</v>
      </c>
      <c r="F70" s="711"/>
      <c r="G70" s="713" t="s">
        <v>284</v>
      </c>
      <c r="H70" s="711"/>
      <c r="I70" s="712"/>
      <c r="J70" s="712"/>
      <c r="K70" s="712"/>
      <c r="L70" s="712"/>
      <c r="M70" s="712"/>
    </row>
    <row r="71" spans="1:13" s="282" customFormat="1" ht="30.75" customHeight="1">
      <c r="A71" s="285"/>
      <c r="B71" s="711" t="s">
        <v>174</v>
      </c>
      <c r="C71" s="711"/>
      <c r="D71" s="711"/>
      <c r="E71" s="711" t="s">
        <v>580</v>
      </c>
      <c r="F71" s="711"/>
      <c r="G71" s="711" t="s">
        <v>88</v>
      </c>
      <c r="H71" s="711"/>
      <c r="I71" s="712"/>
      <c r="J71" s="712"/>
      <c r="K71" s="712"/>
      <c r="L71" s="712"/>
      <c r="M71" s="712"/>
    </row>
    <row r="72" spans="1:13">
      <c r="A72" s="273"/>
      <c r="B72" s="276"/>
      <c r="C72" s="276"/>
      <c r="D72" s="276"/>
      <c r="E72" s="277"/>
      <c r="F72" s="277"/>
      <c r="G72" s="277"/>
      <c r="H72" s="277"/>
      <c r="I72" s="277"/>
      <c r="J72" s="277"/>
      <c r="K72" s="277"/>
      <c r="L72" s="277"/>
      <c r="M72" s="277"/>
    </row>
    <row r="73" spans="1:13">
      <c r="A73" s="273"/>
      <c r="B73" s="276"/>
      <c r="C73" s="276"/>
      <c r="D73" s="276"/>
      <c r="E73" s="277"/>
      <c r="F73" s="277"/>
      <c r="G73" s="277"/>
      <c r="H73" s="277"/>
      <c r="I73" s="277"/>
      <c r="J73" s="277"/>
      <c r="K73" s="277"/>
      <c r="L73" s="277"/>
      <c r="M73" s="277"/>
    </row>
    <row r="74" spans="1:13">
      <c r="A74" s="436" t="s">
        <v>297</v>
      </c>
    </row>
    <row r="75" spans="1:13">
      <c r="A75" s="109" t="s">
        <v>376</v>
      </c>
    </row>
    <row r="76" spans="1:13">
      <c r="A76" s="109" t="s">
        <v>371</v>
      </c>
    </row>
    <row r="78" spans="1:13">
      <c r="A78" s="109" t="s">
        <v>374</v>
      </c>
    </row>
    <row r="79" spans="1:13">
      <c r="A79" s="274" t="s">
        <v>299</v>
      </c>
      <c r="B79" s="109" t="s">
        <v>409</v>
      </c>
    </row>
    <row r="80" spans="1:13">
      <c r="A80" s="274" t="s">
        <v>299</v>
      </c>
      <c r="B80" s="109" t="s">
        <v>357</v>
      </c>
    </row>
    <row r="83" spans="1:2">
      <c r="A83" s="274"/>
    </row>
    <row r="84" spans="1:2">
      <c r="A84" s="270"/>
    </row>
    <row r="89" spans="1:2">
      <c r="B89" s="275"/>
    </row>
    <row r="90" spans="1:2">
      <c r="B90" s="275"/>
    </row>
  </sheetData>
  <mergeCells count="99">
    <mergeCell ref="C8:C9"/>
    <mergeCell ref="D8:D9"/>
    <mergeCell ref="E8:E9"/>
    <mergeCell ref="B47:D48"/>
    <mergeCell ref="B45:D45"/>
    <mergeCell ref="B46:D46"/>
    <mergeCell ref="E18:N18"/>
    <mergeCell ref="H11:N11"/>
    <mergeCell ref="E19:N19"/>
    <mergeCell ref="E6:N6"/>
    <mergeCell ref="B64:D64"/>
    <mergeCell ref="E64:F64"/>
    <mergeCell ref="G64:H64"/>
    <mergeCell ref="I64:M64"/>
    <mergeCell ref="B62:D62"/>
    <mergeCell ref="E62:F62"/>
    <mergeCell ref="E63:F63"/>
    <mergeCell ref="G63:H63"/>
    <mergeCell ref="B60:D61"/>
    <mergeCell ref="E49:F49"/>
    <mergeCell ref="I63:M63"/>
    <mergeCell ref="G62:H62"/>
    <mergeCell ref="I51:M51"/>
    <mergeCell ref="I45:M45"/>
    <mergeCell ref="I46:M46"/>
    <mergeCell ref="H7:N7"/>
    <mergeCell ref="E17:N17"/>
    <mergeCell ref="E45:F45"/>
    <mergeCell ref="G45:H45"/>
    <mergeCell ref="H8:N8"/>
    <mergeCell ref="H9:N9"/>
    <mergeCell ref="H10:N10"/>
    <mergeCell ref="H12:N12"/>
    <mergeCell ref="I50:M50"/>
    <mergeCell ref="E46:F46"/>
    <mergeCell ref="G46:H46"/>
    <mergeCell ref="G47:H48"/>
    <mergeCell ref="E47:F48"/>
    <mergeCell ref="I49:M49"/>
    <mergeCell ref="G49:H49"/>
    <mergeCell ref="G50:H50"/>
    <mergeCell ref="I47:M47"/>
    <mergeCell ref="I48:M48"/>
    <mergeCell ref="B65:D66"/>
    <mergeCell ref="E65:F65"/>
    <mergeCell ref="G65:H65"/>
    <mergeCell ref="G66:H66"/>
    <mergeCell ref="E66:F66"/>
    <mergeCell ref="B49:D49"/>
    <mergeCell ref="B58:D58"/>
    <mergeCell ref="E58:F58"/>
    <mergeCell ref="G58:H58"/>
    <mergeCell ref="E50:F50"/>
    <mergeCell ref="B50:D50"/>
    <mergeCell ref="B51:D51"/>
    <mergeCell ref="E51:F51"/>
    <mergeCell ref="G51:H51"/>
    <mergeCell ref="B63:D63"/>
    <mergeCell ref="I53:M53"/>
    <mergeCell ref="I54:M54"/>
    <mergeCell ref="I56:M56"/>
    <mergeCell ref="E52:F56"/>
    <mergeCell ref="G52:H56"/>
    <mergeCell ref="B52:D56"/>
    <mergeCell ref="E57:F57"/>
    <mergeCell ref="B59:D59"/>
    <mergeCell ref="E59:F59"/>
    <mergeCell ref="B57:D57"/>
    <mergeCell ref="I52:M52"/>
    <mergeCell ref="E60:F61"/>
    <mergeCell ref="G60:H61"/>
    <mergeCell ref="I61:M61"/>
    <mergeCell ref="I55:M55"/>
    <mergeCell ref="I58:M58"/>
    <mergeCell ref="G57:H57"/>
    <mergeCell ref="G59:H59"/>
    <mergeCell ref="I59:M59"/>
    <mergeCell ref="I57:M57"/>
    <mergeCell ref="E68:F68"/>
    <mergeCell ref="I65:M66"/>
    <mergeCell ref="I60:M60"/>
    <mergeCell ref="I62:M62"/>
    <mergeCell ref="G67:H68"/>
    <mergeCell ref="B69:D69"/>
    <mergeCell ref="I68:M68"/>
    <mergeCell ref="B71:D71"/>
    <mergeCell ref="E71:F71"/>
    <mergeCell ref="G71:H71"/>
    <mergeCell ref="I71:M71"/>
    <mergeCell ref="B70:D70"/>
    <mergeCell ref="E70:F70"/>
    <mergeCell ref="G70:H70"/>
    <mergeCell ref="I70:M70"/>
    <mergeCell ref="E69:F69"/>
    <mergeCell ref="G69:H69"/>
    <mergeCell ref="I69:M69"/>
    <mergeCell ref="B67:D68"/>
    <mergeCell ref="I67:M67"/>
    <mergeCell ref="E67:F67"/>
  </mergeCells>
  <hyperlinks>
    <hyperlink ref="I60:M60" r:id="rId1" display="Refer to RD 13/10 Interim determinations 2010-15 (see link below) section C for further information on applying CIS to interim determinations. "/>
    <hyperlink ref="I61:M61" location="IDoK_submissions_for_claim_under_RCC4" display="See note below on IDoK submissions for claim under RCC4. For all other claims, extract the total additional IDoK capex from 'ID4 Financial model export' report."/>
    <hyperlink ref="I62:M62" r:id="rId2" display="Refer to PR09/36 Change protocol for 2010-15. Company claimed for logging up or down and amount we accept"/>
    <hyperlink ref="E65:F65" r:id="rId3" display="Detailed RPI reference tables are readily accessible and released monthly on the ONS website"/>
    <hyperlink ref="I67:M67" r:id="rId4" display="Refer to IN 11/08 Change in COPI for further information on our approach for using the new COPI (2010) series to compare outturn 2010-15 capital expenditure with the 2009 price review assumptions that were based on using the discontinued COPI series."/>
    <hyperlink ref="I68:M68" location="IDoK_submissions_for_claim_under_RCC4" display="See note below on IDoK submissions for claim under RCC4. For all other claims, extract the total additional IDoK capex from 'ID4 Financial model export' report."/>
    <hyperlink ref="E66:F66" r:id="rId5" display="http://www.ofwat.gov.uk/regulating/prs_in1108copi.pdf"/>
    <hyperlink ref="G25" r:id="rId6"/>
    <hyperlink ref="E29" r:id="rId7"/>
  </hyperlinks>
  <pageMargins left="0.70866141732283472" right="0.70866141732283472" top="0.74803149606299213" bottom="0.74803149606299213" header="0.31496062992125984" footer="0.31496062992125984"/>
  <pageSetup paperSize="9" scale="43" orientation="portrait" r:id="rId8"/>
  <headerFooter>
    <oddHeader>&amp;L&amp;A</oddHeader>
    <oddFooter>&amp;LPL14L012 CIS v3.5
Ofwat, February 2016</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6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A3" sqref="A3"/>
    </sheetView>
  </sheetViews>
  <sheetFormatPr defaultColWidth="9.109375" defaultRowHeight="13.2"/>
  <cols>
    <col min="1" max="1" width="0.44140625" customWidth="1"/>
    <col min="2" max="2" width="0.5546875" customWidth="1"/>
    <col min="3" max="3" width="12.5546875" customWidth="1"/>
    <col min="4" max="4" width="10" customWidth="1"/>
    <col min="5" max="5" width="91" style="650" customWidth="1"/>
    <col min="6" max="6" width="14.33203125" customWidth="1"/>
    <col min="7" max="7" width="11.44140625" customWidth="1"/>
    <col min="8" max="8" width="11.6640625" customWidth="1"/>
    <col min="9" max="9" width="12.33203125" customWidth="1"/>
    <col min="10" max="10" width="13.33203125" customWidth="1"/>
    <col min="11" max="14" width="11.5546875" customWidth="1"/>
    <col min="15" max="15" width="4.33203125" customWidth="1"/>
    <col min="16" max="16" width="17.6640625" style="22" customWidth="1"/>
    <col min="17" max="17" width="4.33203125" style="22" customWidth="1"/>
    <col min="18" max="22" width="11.5546875" style="101" customWidth="1"/>
    <col min="23" max="32" width="9.109375" style="22"/>
    <col min="33" max="33" width="10.109375" style="22" customWidth="1"/>
    <col min="34" max="16384" width="9.109375" style="22"/>
  </cols>
  <sheetData>
    <row r="1" spans="1:23" ht="37.5" customHeight="1">
      <c r="A1" s="577" t="s">
        <v>20</v>
      </c>
      <c r="B1" s="578"/>
      <c r="C1" s="469"/>
      <c r="D1" s="478" t="s">
        <v>22</v>
      </c>
      <c r="E1" s="634" t="s">
        <v>537</v>
      </c>
      <c r="F1" s="470"/>
      <c r="G1" s="470"/>
      <c r="H1" s="470"/>
      <c r="I1" s="470"/>
      <c r="J1" s="470"/>
      <c r="K1" s="470"/>
      <c r="L1" s="470"/>
      <c r="M1" s="470"/>
      <c r="N1" s="471"/>
      <c r="O1" s="470"/>
      <c r="P1" s="472"/>
      <c r="Q1" s="473"/>
      <c r="R1" s="579"/>
      <c r="S1" s="580"/>
      <c r="T1" s="580"/>
      <c r="U1" s="580"/>
      <c r="V1" s="581"/>
      <c r="W1" s="2"/>
    </row>
    <row r="2" spans="1:23" ht="17.399999999999999">
      <c r="A2" s="3"/>
      <c r="B2" s="4"/>
      <c r="C2" s="45"/>
      <c r="D2" s="46"/>
      <c r="E2" s="635"/>
      <c r="F2" s="48"/>
      <c r="G2" s="49"/>
      <c r="H2" s="49"/>
      <c r="I2" s="49"/>
      <c r="J2" s="50"/>
      <c r="K2" s="50"/>
      <c r="L2" s="50"/>
      <c r="M2" s="50"/>
      <c r="N2" s="371"/>
      <c r="O2" s="5"/>
      <c r="P2" s="81"/>
      <c r="Q2" s="49"/>
      <c r="R2" s="582"/>
      <c r="S2" s="98"/>
      <c r="T2" s="98"/>
      <c r="U2" s="98"/>
      <c r="V2" s="583"/>
      <c r="W2" s="2"/>
    </row>
    <row r="3" spans="1:23" ht="17.399999999999999">
      <c r="A3" s="6" t="s">
        <v>25</v>
      </c>
      <c r="B3" s="7"/>
      <c r="C3" s="8"/>
      <c r="D3" s="9" t="s">
        <v>26</v>
      </c>
      <c r="E3" s="636"/>
      <c r="F3" s="488" t="s">
        <v>27</v>
      </c>
      <c r="G3" s="487" t="s">
        <v>28</v>
      </c>
      <c r="H3" s="487" t="s">
        <v>29</v>
      </c>
      <c r="I3" s="487" t="s">
        <v>30</v>
      </c>
      <c r="J3" s="487" t="s">
        <v>31</v>
      </c>
      <c r="K3" s="487" t="s">
        <v>32</v>
      </c>
      <c r="L3" s="487" t="s">
        <v>33</v>
      </c>
      <c r="M3" s="487" t="s">
        <v>34</v>
      </c>
      <c r="N3" s="488" t="s">
        <v>35</v>
      </c>
      <c r="O3" s="487"/>
      <c r="P3" s="489" t="s">
        <v>86</v>
      </c>
      <c r="Q3" s="490"/>
      <c r="R3" s="584" t="s">
        <v>165</v>
      </c>
      <c r="S3" s="490" t="s">
        <v>540</v>
      </c>
      <c r="T3" s="490" t="s">
        <v>541</v>
      </c>
      <c r="U3" s="490" t="s">
        <v>542</v>
      </c>
      <c r="V3" s="585" t="s">
        <v>543</v>
      </c>
      <c r="W3" s="12"/>
    </row>
    <row r="4" spans="1:23">
      <c r="A4" s="13"/>
      <c r="B4" s="14"/>
      <c r="C4" s="18"/>
      <c r="D4" s="68"/>
      <c r="E4" s="637"/>
      <c r="F4" s="15"/>
      <c r="G4" s="15"/>
      <c r="H4" s="15"/>
      <c r="I4" s="15"/>
      <c r="J4" s="70"/>
      <c r="K4" s="70"/>
      <c r="L4" s="70"/>
      <c r="M4" s="70"/>
      <c r="N4" s="372"/>
      <c r="O4" s="16"/>
      <c r="P4" s="82"/>
      <c r="Q4" s="15"/>
      <c r="R4" s="586"/>
      <c r="S4" s="99"/>
      <c r="T4" s="99"/>
      <c r="U4" s="99"/>
      <c r="V4" s="587"/>
      <c r="W4" s="12"/>
    </row>
    <row r="5" spans="1:23" s="29" customFormat="1">
      <c r="A5" s="61" t="s">
        <v>19</v>
      </c>
      <c r="B5" s="14"/>
      <c r="C5" s="62" t="s">
        <v>17</v>
      </c>
      <c r="D5" s="68" t="s">
        <v>16</v>
      </c>
      <c r="E5" s="638"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588">
        <f>IF(COLUMN()=23,1,N5+1)</f>
        <v>9</v>
      </c>
      <c r="S5" s="576">
        <f>IF(COLUMN()=23,1,R5+1)</f>
        <v>10</v>
      </c>
      <c r="T5" s="576">
        <f t="shared" ref="T5:V5" si="1">IF(COLUMN()=23,1,S5+1)</f>
        <v>11</v>
      </c>
      <c r="U5" s="576">
        <f t="shared" si="1"/>
        <v>12</v>
      </c>
      <c r="V5" s="589">
        <f t="shared" si="1"/>
        <v>13</v>
      </c>
      <c r="W5" s="12"/>
    </row>
    <row r="6" spans="1:23" ht="12.75" customHeight="1">
      <c r="C6" s="19"/>
      <c r="D6" s="19"/>
      <c r="E6" s="639" t="s">
        <v>80</v>
      </c>
      <c r="F6" s="19">
        <f t="shared" ref="F6:N6" si="2">IF(F5=8,0,F5-8)</f>
        <v>-8</v>
      </c>
      <c r="G6" s="19">
        <f t="shared" si="2"/>
        <v>-7</v>
      </c>
      <c r="H6" s="19">
        <f t="shared" si="2"/>
        <v>-6</v>
      </c>
      <c r="I6" s="19">
        <f t="shared" si="2"/>
        <v>-5</v>
      </c>
      <c r="J6" s="65">
        <f t="shared" si="2"/>
        <v>-4</v>
      </c>
      <c r="K6" s="65">
        <f t="shared" si="2"/>
        <v>-3</v>
      </c>
      <c r="L6" s="65">
        <f t="shared" si="2"/>
        <v>-2</v>
      </c>
      <c r="M6" s="65">
        <f t="shared" si="2"/>
        <v>-1</v>
      </c>
      <c r="N6" s="374">
        <f t="shared" si="2"/>
        <v>0</v>
      </c>
      <c r="P6" s="84"/>
      <c r="Q6" s="19"/>
      <c r="R6" s="590">
        <f>IF(R5=9,0,R5-9)</f>
        <v>0</v>
      </c>
      <c r="S6" s="553">
        <f t="shared" ref="S6:V6" si="3">IF(S5=9,0,S5-9)</f>
        <v>1</v>
      </c>
      <c r="T6" s="553">
        <f t="shared" si="3"/>
        <v>2</v>
      </c>
      <c r="U6" s="553">
        <f t="shared" si="3"/>
        <v>3</v>
      </c>
      <c r="V6" s="591">
        <f t="shared" si="3"/>
        <v>4</v>
      </c>
    </row>
    <row r="7" spans="1:23">
      <c r="A7" s="13"/>
      <c r="B7" s="14"/>
      <c r="C7" s="18"/>
      <c r="D7" s="68"/>
      <c r="E7" s="637"/>
      <c r="F7" s="73"/>
      <c r="G7" s="73"/>
      <c r="H7" s="73"/>
      <c r="I7" s="15"/>
      <c r="J7" s="70"/>
      <c r="K7" s="70"/>
      <c r="L7" s="70"/>
      <c r="M7" s="70"/>
      <c r="N7" s="372"/>
      <c r="O7" s="16"/>
      <c r="P7" s="82"/>
      <c r="Q7" s="15"/>
      <c r="R7" s="588"/>
      <c r="S7" s="576"/>
      <c r="T7" s="576"/>
      <c r="U7" s="576"/>
      <c r="V7" s="589"/>
      <c r="W7" s="12"/>
    </row>
    <row r="8" spans="1:23">
      <c r="A8" s="13"/>
      <c r="B8" s="14"/>
      <c r="C8" s="18"/>
      <c r="D8" s="68"/>
      <c r="E8" s="637"/>
      <c r="F8" s="73"/>
      <c r="G8" s="73"/>
      <c r="H8" s="73"/>
      <c r="I8" s="15"/>
      <c r="J8" s="70"/>
      <c r="K8" s="70"/>
      <c r="L8" s="70"/>
      <c r="M8" s="70"/>
      <c r="N8" s="372"/>
      <c r="O8" s="16"/>
      <c r="P8" s="82"/>
      <c r="Q8" s="15"/>
      <c r="R8" s="588"/>
      <c r="S8" s="576"/>
      <c r="T8" s="576"/>
      <c r="U8" s="576"/>
      <c r="V8" s="589"/>
      <c r="W8" s="12"/>
    </row>
    <row r="9" spans="1:23">
      <c r="A9" s="479"/>
      <c r="B9" s="452"/>
      <c r="C9" s="453"/>
      <c r="D9" s="467"/>
      <c r="E9" s="640"/>
      <c r="F9" s="440"/>
      <c r="G9" s="440"/>
      <c r="H9" s="440"/>
      <c r="I9" s="440"/>
      <c r="J9" s="440"/>
      <c r="K9" s="440"/>
      <c r="L9" s="440"/>
      <c r="M9" s="440"/>
      <c r="N9" s="446"/>
      <c r="O9" s="440"/>
      <c r="P9" s="475"/>
      <c r="Q9" s="476"/>
      <c r="R9" s="592"/>
      <c r="S9" s="503"/>
      <c r="T9" s="503"/>
      <c r="U9" s="503"/>
      <c r="V9" s="593"/>
    </row>
    <row r="10" spans="1:23">
      <c r="C10" s="19"/>
      <c r="D10" s="19"/>
      <c r="E10" s="641"/>
      <c r="F10" s="19"/>
      <c r="G10" s="19"/>
      <c r="H10" s="19"/>
      <c r="I10" s="19"/>
      <c r="J10" s="65"/>
      <c r="K10" s="65"/>
      <c r="L10" s="65"/>
      <c r="M10" s="65"/>
      <c r="N10" s="374"/>
      <c r="O10" s="28"/>
      <c r="P10" s="84"/>
      <c r="Q10" s="19"/>
      <c r="R10" s="590"/>
      <c r="S10" s="553"/>
      <c r="T10" s="553"/>
      <c r="U10" s="553"/>
      <c r="V10" s="591"/>
    </row>
    <row r="11" spans="1:23">
      <c r="A11" s="479"/>
      <c r="B11" s="452"/>
      <c r="C11" s="574"/>
      <c r="D11" s="467"/>
      <c r="E11" s="642" t="s">
        <v>544</v>
      </c>
      <c r="F11" s="440"/>
      <c r="G11" s="440"/>
      <c r="H11" s="440"/>
      <c r="I11" s="440"/>
      <c r="J11" s="440"/>
      <c r="K11" s="440"/>
      <c r="L11" s="440"/>
      <c r="M11" s="440"/>
      <c r="N11" s="446"/>
      <c r="O11" s="440"/>
      <c r="P11" s="475"/>
      <c r="Q11" s="476"/>
      <c r="R11" s="592"/>
      <c r="S11" s="503"/>
      <c r="T11" s="503"/>
      <c r="U11" s="503"/>
      <c r="V11" s="593"/>
    </row>
    <row r="12" spans="1:23" s="37" customFormat="1">
      <c r="C12" s="131"/>
      <c r="D12" s="131"/>
      <c r="E12" s="643"/>
      <c r="F12" s="131"/>
      <c r="G12" s="131"/>
      <c r="H12" s="131"/>
      <c r="I12" s="131"/>
      <c r="J12" s="106"/>
      <c r="K12" s="106"/>
      <c r="L12" s="106"/>
      <c r="M12" s="106"/>
      <c r="N12" s="364"/>
      <c r="O12" s="203"/>
      <c r="P12" s="136"/>
      <c r="Q12" s="131"/>
      <c r="R12" s="594"/>
      <c r="S12" s="131"/>
      <c r="T12" s="131"/>
      <c r="U12" s="131"/>
      <c r="V12" s="595"/>
    </row>
    <row r="13" spans="1:23" s="37" customFormat="1">
      <c r="A13" s="109"/>
      <c r="B13" s="109"/>
      <c r="C13" s="104"/>
      <c r="D13" s="104" t="s">
        <v>57</v>
      </c>
      <c r="E13" s="643" t="s">
        <v>411</v>
      </c>
      <c r="F13" s="104"/>
      <c r="G13" s="104"/>
      <c r="H13" s="104"/>
      <c r="I13" s="104"/>
      <c r="J13" s="185"/>
      <c r="K13" s="185"/>
      <c r="L13" s="185"/>
      <c r="M13" s="185"/>
      <c r="N13" s="382"/>
      <c r="O13" s="368"/>
      <c r="P13" s="554">
        <f>Calc!$P$196</f>
        <v>-15.060711754238387</v>
      </c>
      <c r="Q13" s="104"/>
      <c r="R13" s="102"/>
      <c r="S13" s="104"/>
      <c r="T13" s="104"/>
      <c r="U13" s="104"/>
      <c r="V13" s="596"/>
    </row>
    <row r="14" spans="1:23" s="37" customFormat="1">
      <c r="A14" s="109"/>
      <c r="B14" s="109"/>
      <c r="C14" s="104"/>
      <c r="D14" s="104" t="s">
        <v>57</v>
      </c>
      <c r="E14" s="644" t="s">
        <v>412</v>
      </c>
      <c r="F14" s="104"/>
      <c r="G14" s="104"/>
      <c r="H14" s="131"/>
      <c r="I14" s="131"/>
      <c r="J14" s="106"/>
      <c r="K14" s="106"/>
      <c r="L14" s="106"/>
      <c r="M14" s="106"/>
      <c r="N14" s="364"/>
      <c r="O14" s="109"/>
      <c r="P14" s="554">
        <f>Calc!$P$197</f>
        <v>-72.320242653420109</v>
      </c>
      <c r="Q14" s="131"/>
      <c r="R14" s="594"/>
      <c r="S14" s="131"/>
      <c r="T14" s="131"/>
      <c r="U14" s="131"/>
      <c r="V14" s="595"/>
    </row>
    <row r="15" spans="1:23" s="138" customFormat="1">
      <c r="C15" s="139"/>
      <c r="D15" s="140"/>
      <c r="E15" s="645"/>
      <c r="F15" s="142"/>
      <c r="G15" s="143"/>
      <c r="H15" s="143"/>
      <c r="I15" s="143"/>
      <c r="J15" s="144"/>
      <c r="K15" s="144"/>
      <c r="L15" s="144"/>
      <c r="M15" s="144"/>
      <c r="N15" s="377"/>
      <c r="O15" s="145"/>
      <c r="P15" s="136"/>
      <c r="Q15" s="143"/>
      <c r="R15" s="397"/>
      <c r="S15" s="153"/>
      <c r="T15" s="153"/>
      <c r="U15" s="153"/>
      <c r="V15" s="597"/>
    </row>
    <row r="16" spans="1:23">
      <c r="A16" s="479"/>
      <c r="B16" s="452"/>
      <c r="C16" s="574"/>
      <c r="D16" s="467"/>
      <c r="E16" s="642" t="s">
        <v>545</v>
      </c>
      <c r="F16" s="440"/>
      <c r="G16" s="440"/>
      <c r="H16" s="440"/>
      <c r="I16" s="440"/>
      <c r="J16" s="440"/>
      <c r="K16" s="440"/>
      <c r="L16" s="440"/>
      <c r="M16" s="440"/>
      <c r="N16" s="446"/>
      <c r="O16" s="440"/>
      <c r="P16" s="475"/>
      <c r="Q16" s="476"/>
      <c r="R16" s="592"/>
      <c r="S16" s="503"/>
      <c r="T16" s="503"/>
      <c r="U16" s="503"/>
      <c r="V16" s="593"/>
    </row>
    <row r="17" spans="1:22" s="37" customFormat="1">
      <c r="C17" s="131"/>
      <c r="D17" s="131"/>
      <c r="E17" s="643"/>
      <c r="F17" s="131"/>
      <c r="G17" s="204"/>
      <c r="H17" s="204"/>
      <c r="I17" s="204"/>
      <c r="J17" s="106"/>
      <c r="K17" s="106"/>
      <c r="L17" s="106"/>
      <c r="M17" s="106"/>
      <c r="N17" s="364"/>
      <c r="O17" s="203"/>
      <c r="P17" s="136"/>
      <c r="Q17" s="131"/>
      <c r="R17" s="594"/>
      <c r="S17" s="131"/>
      <c r="T17" s="131"/>
      <c r="U17" s="131"/>
      <c r="V17" s="595"/>
    </row>
    <row r="18" spans="1:22" s="138" customFormat="1">
      <c r="C18" s="654" t="s">
        <v>578</v>
      </c>
      <c r="D18" s="153" t="s">
        <v>522</v>
      </c>
      <c r="E18" s="646" t="s">
        <v>535</v>
      </c>
      <c r="F18" s="142"/>
      <c r="G18" s="143"/>
      <c r="H18" s="143"/>
      <c r="I18" s="143"/>
      <c r="J18" s="144"/>
      <c r="K18" s="144"/>
      <c r="L18" s="144"/>
      <c r="M18" s="146"/>
      <c r="N18" s="378"/>
      <c r="O18" s="37"/>
      <c r="P18" s="652">
        <f>'Input FD'!$O$153</f>
        <v>3.5999999999999997E-2</v>
      </c>
      <c r="Q18" s="143"/>
      <c r="R18" s="397"/>
      <c r="S18" s="153"/>
      <c r="T18" s="153"/>
      <c r="U18" s="153"/>
      <c r="V18" s="597"/>
    </row>
    <row r="19" spans="1:22" s="138" customFormat="1">
      <c r="C19" s="139"/>
      <c r="D19" s="140"/>
      <c r="E19" s="645"/>
      <c r="F19" s="142"/>
      <c r="G19" s="134"/>
      <c r="H19" s="134"/>
      <c r="I19" s="134"/>
      <c r="J19" s="135"/>
      <c r="K19" s="135"/>
      <c r="L19" s="135"/>
      <c r="M19" s="135"/>
      <c r="N19" s="375"/>
      <c r="O19" s="37"/>
      <c r="P19" s="136"/>
      <c r="Q19" s="143"/>
      <c r="R19" s="397"/>
      <c r="S19" s="153"/>
      <c r="T19" s="153"/>
      <c r="U19" s="153"/>
      <c r="V19" s="597"/>
    </row>
    <row r="20" spans="1:22" s="138" customFormat="1">
      <c r="C20" s="139"/>
      <c r="D20" s="153" t="s">
        <v>556</v>
      </c>
      <c r="E20" s="645" t="s">
        <v>554</v>
      </c>
      <c r="F20" s="142"/>
      <c r="G20" s="134"/>
      <c r="H20" s="134"/>
      <c r="I20" s="134"/>
      <c r="J20" s="135"/>
      <c r="K20" s="135"/>
      <c r="L20" s="135"/>
      <c r="M20" s="135"/>
      <c r="N20" s="608"/>
      <c r="O20" s="37"/>
      <c r="P20" s="613"/>
      <c r="Q20" s="614"/>
      <c r="R20" s="609">
        <f>1/((1+$P18)^R$6)</f>
        <v>1</v>
      </c>
      <c r="S20" s="610">
        <f t="shared" ref="S20:V20" si="4">1/((1+$P18)^S$6)</f>
        <v>0.96525096525096521</v>
      </c>
      <c r="T20" s="610">
        <f t="shared" si="4"/>
        <v>0.93170942591792005</v>
      </c>
      <c r="U20" s="610">
        <f t="shared" si="4"/>
        <v>0.89933342270069505</v>
      </c>
      <c r="V20" s="611">
        <f t="shared" si="4"/>
        <v>0.8680824543443002</v>
      </c>
    </row>
    <row r="21" spans="1:22" s="138" customFormat="1">
      <c r="C21" s="139"/>
      <c r="D21" s="153" t="s">
        <v>556</v>
      </c>
      <c r="E21" s="645" t="s">
        <v>570</v>
      </c>
      <c r="F21" s="142"/>
      <c r="G21" s="134"/>
      <c r="H21" s="134"/>
      <c r="I21" s="134"/>
      <c r="J21" s="135"/>
      <c r="K21" s="135"/>
      <c r="L21" s="135"/>
      <c r="M21" s="135"/>
      <c r="N21" s="608"/>
      <c r="O21" s="37"/>
      <c r="P21" s="613">
        <f>SUM(R20:V20)</f>
        <v>4.6643762682138803</v>
      </c>
      <c r="Q21" s="614"/>
      <c r="R21" s="609"/>
      <c r="S21" s="610"/>
      <c r="T21" s="610"/>
      <c r="U21" s="610"/>
      <c r="V21" s="611"/>
    </row>
    <row r="22" spans="1:22" s="138" customFormat="1">
      <c r="C22" s="139"/>
      <c r="D22" s="140"/>
      <c r="E22" s="645"/>
      <c r="F22" s="142"/>
      <c r="G22" s="134"/>
      <c r="H22" s="134"/>
      <c r="I22" s="134"/>
      <c r="J22" s="135"/>
      <c r="K22" s="135"/>
      <c r="L22" s="135"/>
      <c r="M22" s="135"/>
      <c r="N22" s="606"/>
      <c r="O22" s="37"/>
      <c r="P22" s="136"/>
      <c r="Q22" s="143"/>
      <c r="R22" s="397"/>
      <c r="S22" s="153"/>
      <c r="T22" s="153"/>
      <c r="U22" s="153"/>
      <c r="V22" s="607"/>
    </row>
    <row r="23" spans="1:22">
      <c r="A23" s="479"/>
      <c r="B23" s="452"/>
      <c r="C23" s="453"/>
      <c r="D23" s="467"/>
      <c r="E23" s="640" t="s">
        <v>553</v>
      </c>
      <c r="F23" s="440"/>
      <c r="G23" s="440"/>
      <c r="H23" s="440"/>
      <c r="I23" s="440"/>
      <c r="J23" s="440"/>
      <c r="K23" s="440"/>
      <c r="L23" s="440"/>
      <c r="M23" s="440"/>
      <c r="N23" s="446"/>
      <c r="O23" s="440"/>
      <c r="P23" s="475"/>
      <c r="Q23" s="476"/>
      <c r="R23" s="592"/>
      <c r="S23" s="503"/>
      <c r="T23" s="503"/>
      <c r="U23" s="503"/>
      <c r="V23" s="593"/>
    </row>
    <row r="24" spans="1:22" s="138" customFormat="1">
      <c r="C24" s="139"/>
      <c r="D24" s="140"/>
      <c r="E24" s="645"/>
      <c r="F24" s="142"/>
      <c r="G24" s="134"/>
      <c r="H24" s="134"/>
      <c r="I24" s="134"/>
      <c r="J24" s="135"/>
      <c r="K24" s="135"/>
      <c r="L24" s="135"/>
      <c r="M24" s="135"/>
      <c r="N24" s="375"/>
      <c r="O24" s="37"/>
      <c r="P24" s="136"/>
      <c r="Q24" s="143"/>
      <c r="R24" s="397"/>
      <c r="S24" s="153"/>
      <c r="T24" s="153"/>
      <c r="U24" s="153"/>
      <c r="V24" s="597"/>
    </row>
    <row r="25" spans="1:22" s="37" customFormat="1">
      <c r="C25" s="131"/>
      <c r="D25" s="153" t="s">
        <v>16</v>
      </c>
      <c r="E25" s="646" t="s">
        <v>579</v>
      </c>
      <c r="F25" s="155"/>
      <c r="G25" s="148"/>
      <c r="H25" s="148"/>
      <c r="I25" s="148"/>
      <c r="J25" s="156"/>
      <c r="K25" s="156"/>
      <c r="L25" s="156"/>
      <c r="M25" s="156"/>
      <c r="N25" s="604"/>
      <c r="O25" s="157"/>
      <c r="P25" s="602">
        <f>'Input FD'!$O$155</f>
        <v>5</v>
      </c>
      <c r="Q25" s="148"/>
      <c r="R25" s="594"/>
      <c r="S25" s="131"/>
      <c r="T25" s="131"/>
      <c r="U25" s="131"/>
      <c r="V25" s="605"/>
    </row>
    <row r="26" spans="1:22" s="138" customFormat="1">
      <c r="C26" s="139"/>
      <c r="D26" s="140"/>
      <c r="E26" s="645"/>
      <c r="F26" s="142"/>
      <c r="G26" s="134"/>
      <c r="H26" s="134"/>
      <c r="I26" s="134"/>
      <c r="J26" s="135"/>
      <c r="K26" s="135"/>
      <c r="L26" s="135"/>
      <c r="M26" s="135"/>
      <c r="N26" s="375"/>
      <c r="O26" s="37"/>
      <c r="P26" s="136"/>
      <c r="Q26" s="143"/>
      <c r="R26" s="397"/>
      <c r="S26" s="153"/>
      <c r="T26" s="153"/>
      <c r="U26" s="153"/>
      <c r="V26" s="597"/>
    </row>
    <row r="27" spans="1:22">
      <c r="A27" s="479"/>
      <c r="B27" s="452"/>
      <c r="C27" s="453"/>
      <c r="D27" s="467"/>
      <c r="E27" s="640" t="s">
        <v>546</v>
      </c>
      <c r="F27" s="440"/>
      <c r="G27" s="440"/>
      <c r="H27" s="440"/>
      <c r="I27" s="440"/>
      <c r="J27" s="440"/>
      <c r="K27" s="440"/>
      <c r="L27" s="440"/>
      <c r="M27" s="440"/>
      <c r="N27" s="446"/>
      <c r="O27" s="440"/>
      <c r="P27" s="475"/>
      <c r="Q27" s="476"/>
      <c r="R27" s="592"/>
      <c r="S27" s="503"/>
      <c r="T27" s="503"/>
      <c r="U27" s="503"/>
      <c r="V27" s="593"/>
    </row>
    <row r="28" spans="1:22">
      <c r="C28" s="19"/>
      <c r="D28" s="19"/>
      <c r="E28" s="641"/>
      <c r="F28" s="19"/>
      <c r="G28" s="75"/>
      <c r="H28" s="19"/>
      <c r="I28" s="19"/>
      <c r="J28" s="65"/>
      <c r="K28" s="65"/>
      <c r="L28" s="65"/>
      <c r="M28" s="65"/>
      <c r="N28" s="374"/>
      <c r="O28" s="28"/>
      <c r="P28" s="84"/>
      <c r="Q28" s="19"/>
      <c r="R28" s="590"/>
      <c r="S28" s="553"/>
      <c r="T28" s="553"/>
      <c r="U28" s="553"/>
      <c r="V28" s="591"/>
    </row>
    <row r="29" spans="1:22">
      <c r="A29" s="479"/>
      <c r="B29" s="452"/>
      <c r="C29" s="601">
        <v>0</v>
      </c>
      <c r="D29" s="601"/>
      <c r="E29" s="640" t="s">
        <v>552</v>
      </c>
      <c r="F29" s="440"/>
      <c r="G29" s="480"/>
      <c r="H29" s="480"/>
      <c r="I29" s="480"/>
      <c r="J29" s="440"/>
      <c r="K29" s="440"/>
      <c r="L29" s="440"/>
      <c r="M29" s="440"/>
      <c r="N29" s="446"/>
      <c r="O29" s="440"/>
      <c r="P29" s="475"/>
      <c r="Q29" s="476"/>
      <c r="R29" s="592"/>
      <c r="S29" s="503"/>
      <c r="T29" s="503"/>
      <c r="U29" s="503"/>
      <c r="V29" s="593"/>
    </row>
    <row r="30" spans="1:22" s="37" customFormat="1">
      <c r="C30" s="131"/>
      <c r="D30" s="131"/>
      <c r="E30" s="643"/>
      <c r="F30" s="131"/>
      <c r="G30" s="148"/>
      <c r="H30" s="148"/>
      <c r="I30" s="148"/>
      <c r="J30" s="106"/>
      <c r="K30" s="106"/>
      <c r="L30" s="106"/>
      <c r="M30" s="106"/>
      <c r="N30" s="364"/>
      <c r="O30" s="203"/>
      <c r="P30" s="136"/>
      <c r="Q30" s="131"/>
      <c r="R30" s="594"/>
      <c r="S30" s="131"/>
      <c r="T30" s="131"/>
      <c r="U30" s="131"/>
      <c r="V30" s="595"/>
    </row>
    <row r="31" spans="1:22" s="37" customFormat="1">
      <c r="C31" s="131">
        <f>C29</f>
        <v>0</v>
      </c>
      <c r="D31" s="104" t="s">
        <v>57</v>
      </c>
      <c r="E31" s="643" t="s">
        <v>562</v>
      </c>
      <c r="F31" s="131"/>
      <c r="G31" s="148"/>
      <c r="H31" s="148"/>
      <c r="I31" s="148"/>
      <c r="J31" s="106"/>
      <c r="K31" s="106"/>
      <c r="L31" s="106"/>
      <c r="M31" s="106"/>
      <c r="N31" s="575"/>
      <c r="O31" s="203"/>
      <c r="P31" s="136"/>
      <c r="Q31" s="131"/>
      <c r="R31" s="603">
        <f>P13</f>
        <v>-15.060711754238387</v>
      </c>
      <c r="S31" s="131"/>
      <c r="T31" s="131"/>
      <c r="U31" s="131"/>
      <c r="V31" s="595"/>
    </row>
    <row r="32" spans="1:22" s="37" customFormat="1">
      <c r="C32" s="131">
        <f>C31</f>
        <v>0</v>
      </c>
      <c r="D32" s="104" t="s">
        <v>57</v>
      </c>
      <c r="E32" s="643" t="s">
        <v>563</v>
      </c>
      <c r="F32" s="131"/>
      <c r="G32" s="148"/>
      <c r="H32" s="148"/>
      <c r="I32" s="148"/>
      <c r="J32" s="106"/>
      <c r="K32" s="106"/>
      <c r="L32" s="106"/>
      <c r="M32" s="106"/>
      <c r="N32" s="575"/>
      <c r="O32" s="203"/>
      <c r="P32" s="136"/>
      <c r="Q32" s="131"/>
      <c r="R32" s="603">
        <f>P14</f>
        <v>-72.320242653420109</v>
      </c>
      <c r="S32" s="131"/>
      <c r="T32" s="131"/>
      <c r="U32" s="131"/>
      <c r="V32" s="595"/>
    </row>
    <row r="33" spans="1:22" s="37" customFormat="1">
      <c r="C33" s="131"/>
      <c r="D33" s="104"/>
      <c r="E33" s="644"/>
      <c r="F33" s="131"/>
      <c r="G33" s="148"/>
      <c r="H33" s="148"/>
      <c r="I33" s="148"/>
      <c r="J33" s="106"/>
      <c r="K33" s="106"/>
      <c r="L33" s="106"/>
      <c r="M33" s="106"/>
      <c r="N33" s="612"/>
      <c r="O33" s="203"/>
      <c r="P33" s="136"/>
      <c r="Q33" s="131"/>
      <c r="R33" s="603"/>
      <c r="S33" s="131"/>
      <c r="T33" s="131"/>
      <c r="U33" s="131"/>
      <c r="V33" s="605"/>
    </row>
    <row r="34" spans="1:22" s="37" customFormat="1">
      <c r="C34" s="131" t="s">
        <v>555</v>
      </c>
      <c r="D34" s="104"/>
      <c r="E34" s="644"/>
      <c r="F34" s="131"/>
      <c r="G34" s="148"/>
      <c r="H34" s="148"/>
      <c r="I34" s="148"/>
      <c r="J34" s="106"/>
      <c r="K34" s="106"/>
      <c r="L34" s="106"/>
      <c r="M34" s="106"/>
      <c r="N34" s="612"/>
      <c r="O34" s="203"/>
      <c r="P34" s="136"/>
      <c r="Q34" s="131"/>
      <c r="R34" s="603"/>
      <c r="S34" s="131"/>
      <c r="T34" s="131"/>
      <c r="U34" s="131"/>
      <c r="V34" s="605"/>
    </row>
    <row r="35" spans="1:22" s="37" customFormat="1">
      <c r="C35" s="131"/>
      <c r="D35" s="615" t="str">
        <f>D$20</f>
        <v>Nr 3dp</v>
      </c>
      <c r="E35" s="644" t="str">
        <f>E$20</f>
        <v>Discount factors</v>
      </c>
      <c r="F35" s="616"/>
      <c r="G35" s="616"/>
      <c r="H35" s="616"/>
      <c r="I35" s="616"/>
      <c r="J35" s="617"/>
      <c r="K35" s="617"/>
      <c r="L35" s="617"/>
      <c r="M35" s="617"/>
      <c r="N35" s="618"/>
      <c r="O35" s="619"/>
      <c r="P35" s="613"/>
      <c r="Q35" s="616"/>
      <c r="R35" s="620">
        <f>R$20</f>
        <v>1</v>
      </c>
      <c r="S35" s="616">
        <f>S$20</f>
        <v>0.96525096525096521</v>
      </c>
      <c r="T35" s="616">
        <f>T$20</f>
        <v>0.93170942591792005</v>
      </c>
      <c r="U35" s="616">
        <f>U$20</f>
        <v>0.89933342270069505</v>
      </c>
      <c r="V35" s="621">
        <f>V$20</f>
        <v>0.8680824543443002</v>
      </c>
    </row>
    <row r="36" spans="1:22" s="37" customFormat="1">
      <c r="C36" s="131"/>
      <c r="D36" s="104" t="s">
        <v>57</v>
      </c>
      <c r="E36" s="643" t="s">
        <v>411</v>
      </c>
      <c r="F36" s="131"/>
      <c r="G36" s="148"/>
      <c r="H36" s="148"/>
      <c r="I36" s="148"/>
      <c r="J36" s="106"/>
      <c r="K36" s="106"/>
      <c r="L36" s="106"/>
      <c r="M36" s="106"/>
      <c r="N36" s="612"/>
      <c r="O36" s="203"/>
      <c r="P36" s="136"/>
      <c r="Q36" s="131"/>
      <c r="R36" s="603">
        <f>R31*R35</f>
        <v>-15.060711754238387</v>
      </c>
      <c r="S36" s="131">
        <f t="shared" ref="S36:V36" si="5">S31*S35</f>
        <v>0</v>
      </c>
      <c r="T36" s="131">
        <f t="shared" si="5"/>
        <v>0</v>
      </c>
      <c r="U36" s="131">
        <f t="shared" si="5"/>
        <v>0</v>
      </c>
      <c r="V36" s="605">
        <f t="shared" si="5"/>
        <v>0</v>
      </c>
    </row>
    <row r="37" spans="1:22" s="37" customFormat="1">
      <c r="C37" s="131"/>
      <c r="D37" s="104" t="s">
        <v>57</v>
      </c>
      <c r="E37" s="644" t="s">
        <v>412</v>
      </c>
      <c r="F37" s="131"/>
      <c r="G37" s="148"/>
      <c r="H37" s="148"/>
      <c r="I37" s="148"/>
      <c r="J37" s="106"/>
      <c r="K37" s="106"/>
      <c r="L37" s="106"/>
      <c r="M37" s="106"/>
      <c r="N37" s="612"/>
      <c r="O37" s="203"/>
      <c r="P37" s="136"/>
      <c r="Q37" s="131"/>
      <c r="R37" s="603">
        <f>R32*R35</f>
        <v>-72.320242653420109</v>
      </c>
      <c r="S37" s="131">
        <f t="shared" ref="S37:V37" si="6">S32*S35</f>
        <v>0</v>
      </c>
      <c r="T37" s="131">
        <f t="shared" si="6"/>
        <v>0</v>
      </c>
      <c r="U37" s="131">
        <f t="shared" si="6"/>
        <v>0</v>
      </c>
      <c r="V37" s="605">
        <f t="shared" si="6"/>
        <v>0</v>
      </c>
    </row>
    <row r="38" spans="1:22" s="37" customFormat="1">
      <c r="C38" s="131"/>
      <c r="D38" s="104" t="s">
        <v>57</v>
      </c>
      <c r="E38" s="643" t="s">
        <v>557</v>
      </c>
      <c r="F38" s="131"/>
      <c r="G38" s="148"/>
      <c r="H38" s="148"/>
      <c r="I38" s="148"/>
      <c r="J38" s="106"/>
      <c r="K38" s="106"/>
      <c r="L38" s="106"/>
      <c r="M38" s="106"/>
      <c r="N38" s="612"/>
      <c r="O38" s="203"/>
      <c r="P38" s="622">
        <f>SUM(R36:V36)</f>
        <v>-15.060711754238387</v>
      </c>
      <c r="Q38" s="131"/>
      <c r="R38" s="603"/>
      <c r="S38" s="131"/>
      <c r="T38" s="131"/>
      <c r="U38" s="131"/>
      <c r="V38" s="605"/>
    </row>
    <row r="39" spans="1:22" s="37" customFormat="1">
      <c r="C39" s="131"/>
      <c r="D39" s="104" t="s">
        <v>57</v>
      </c>
      <c r="E39" s="643" t="s">
        <v>558</v>
      </c>
      <c r="F39" s="155"/>
      <c r="G39" s="148"/>
      <c r="H39" s="148"/>
      <c r="I39" s="148"/>
      <c r="J39" s="156"/>
      <c r="K39" s="156"/>
      <c r="L39" s="156"/>
      <c r="M39" s="156"/>
      <c r="N39" s="365"/>
      <c r="O39" s="157"/>
      <c r="P39" s="622">
        <f>SUM(R37:V37)</f>
        <v>-72.320242653420109</v>
      </c>
      <c r="Q39" s="148"/>
      <c r="R39" s="594"/>
      <c r="S39" s="131"/>
      <c r="T39" s="131"/>
      <c r="U39" s="131"/>
      <c r="V39" s="595"/>
    </row>
    <row r="40" spans="1:22" s="37" customFormat="1">
      <c r="C40" s="131"/>
      <c r="D40" s="153"/>
      <c r="E40" s="646"/>
      <c r="F40" s="155"/>
      <c r="G40" s="148"/>
      <c r="H40" s="148"/>
      <c r="I40" s="148"/>
      <c r="J40" s="156"/>
      <c r="K40" s="156"/>
      <c r="L40" s="156"/>
      <c r="M40" s="156"/>
      <c r="N40" s="365"/>
      <c r="O40" s="157"/>
      <c r="P40" s="158"/>
      <c r="Q40" s="148"/>
      <c r="R40" s="594"/>
      <c r="S40" s="131"/>
      <c r="T40" s="131"/>
      <c r="U40" s="131"/>
      <c r="V40" s="595"/>
    </row>
    <row r="41" spans="1:22">
      <c r="A41" s="479"/>
      <c r="B41" s="452"/>
      <c r="C41" s="601">
        <v>1</v>
      </c>
      <c r="D41" s="601"/>
      <c r="E41" s="640" t="s">
        <v>547</v>
      </c>
      <c r="F41" s="440"/>
      <c r="G41" s="480"/>
      <c r="H41" s="480"/>
      <c r="I41" s="480"/>
      <c r="J41" s="440"/>
      <c r="K41" s="440"/>
      <c r="L41" s="440"/>
      <c r="M41" s="440"/>
      <c r="N41" s="446"/>
      <c r="O41" s="440"/>
      <c r="P41" s="475"/>
      <c r="Q41" s="476"/>
      <c r="R41" s="592"/>
      <c r="S41" s="503"/>
      <c r="T41" s="503"/>
      <c r="U41" s="503"/>
      <c r="V41" s="593"/>
    </row>
    <row r="42" spans="1:22" s="37" customFormat="1">
      <c r="C42" s="131"/>
      <c r="D42" s="131"/>
      <c r="E42" s="643"/>
      <c r="F42" s="131"/>
      <c r="G42" s="148"/>
      <c r="H42" s="148"/>
      <c r="I42" s="148"/>
      <c r="J42" s="106"/>
      <c r="K42" s="106"/>
      <c r="L42" s="106"/>
      <c r="M42" s="106"/>
      <c r="N42" s="364"/>
      <c r="O42" s="203"/>
      <c r="P42" s="136"/>
      <c r="Q42" s="131"/>
      <c r="R42" s="651"/>
      <c r="S42" s="131"/>
      <c r="T42" s="131"/>
      <c r="U42" s="131"/>
      <c r="V42" s="595"/>
    </row>
    <row r="43" spans="1:22" s="37" customFormat="1">
      <c r="C43" s="131"/>
      <c r="D43" s="149" t="str">
        <f>D$13</f>
        <v>£m 3dp</v>
      </c>
      <c r="E43" s="643" t="str">
        <f>E$13</f>
        <v>Water: Future value of ex post revenue adjustment of prior year annual adjustments (2012-13 prices)</v>
      </c>
      <c r="F43" s="131"/>
      <c r="G43" s="148"/>
      <c r="H43" s="148"/>
      <c r="I43" s="148"/>
      <c r="J43" s="106"/>
      <c r="K43" s="106"/>
      <c r="L43" s="106"/>
      <c r="M43" s="106"/>
      <c r="N43" s="612"/>
      <c r="O43" s="203"/>
      <c r="P43" s="622">
        <f>P$13</f>
        <v>-15.060711754238387</v>
      </c>
      <c r="Q43" s="131"/>
      <c r="R43" s="594"/>
      <c r="S43" s="131"/>
      <c r="T43" s="131"/>
      <c r="U43" s="131"/>
      <c r="V43" s="605"/>
    </row>
    <row r="44" spans="1:22" s="37" customFormat="1">
      <c r="C44" s="131"/>
      <c r="D44" s="149" t="str">
        <f>D$14</f>
        <v>£m 3dp</v>
      </c>
      <c r="E44" s="643" t="str">
        <f>E$14</f>
        <v>Sewerage: Future value of ex post revenue adjustment of prior year annual adjustments (2012-13 prices)</v>
      </c>
      <c r="F44" s="131"/>
      <c r="G44" s="148"/>
      <c r="H44" s="148"/>
      <c r="I44" s="148"/>
      <c r="J44" s="106"/>
      <c r="K44" s="106"/>
      <c r="L44" s="106"/>
      <c r="M44" s="106"/>
      <c r="N44" s="612"/>
      <c r="O44" s="203"/>
      <c r="P44" s="622">
        <f>P$14</f>
        <v>-72.320242653420109</v>
      </c>
      <c r="Q44" s="131"/>
      <c r="R44" s="594"/>
      <c r="S44" s="131"/>
      <c r="T44" s="131"/>
      <c r="U44" s="131"/>
      <c r="V44" s="605"/>
    </row>
    <row r="45" spans="1:22" s="37" customFormat="1">
      <c r="C45" s="131"/>
      <c r="D45" s="615" t="str">
        <f t="shared" ref="D45" si="7">D31</f>
        <v>£m 3dp</v>
      </c>
      <c r="E45" s="643" t="str">
        <f>E21</f>
        <v>Equivalent Annual Cost (EAC) factor</v>
      </c>
      <c r="F45" s="131"/>
      <c r="G45" s="148"/>
      <c r="H45" s="148"/>
      <c r="I45" s="148"/>
      <c r="J45" s="106"/>
      <c r="K45" s="106"/>
      <c r="L45" s="106"/>
      <c r="M45" s="106"/>
      <c r="N45" s="612"/>
      <c r="O45" s="203"/>
      <c r="P45" s="613">
        <f>P21</f>
        <v>4.6643762682138803</v>
      </c>
      <c r="Q45" s="131"/>
      <c r="R45" s="594"/>
      <c r="S45" s="131"/>
      <c r="T45" s="131"/>
      <c r="U45" s="131"/>
      <c r="V45" s="605"/>
    </row>
    <row r="46" spans="1:22" s="37" customFormat="1">
      <c r="C46" s="131"/>
      <c r="D46" s="131"/>
      <c r="E46" s="643"/>
      <c r="F46" s="131"/>
      <c r="G46" s="148"/>
      <c r="H46" s="148"/>
      <c r="I46" s="148"/>
      <c r="J46" s="106"/>
      <c r="K46" s="106"/>
      <c r="L46" s="106"/>
      <c r="M46" s="106"/>
      <c r="N46" s="612"/>
      <c r="O46" s="203"/>
      <c r="P46" s="136"/>
      <c r="Q46" s="131"/>
      <c r="R46" s="594"/>
      <c r="S46" s="131"/>
      <c r="T46" s="131"/>
      <c r="U46" s="131"/>
      <c r="V46" s="605"/>
    </row>
    <row r="47" spans="1:22" s="37" customFormat="1">
      <c r="C47" s="131">
        <f>C41</f>
        <v>1</v>
      </c>
      <c r="D47" s="104" t="s">
        <v>57</v>
      </c>
      <c r="E47" s="643" t="s">
        <v>568</v>
      </c>
      <c r="F47" s="131"/>
      <c r="G47" s="148"/>
      <c r="H47" s="148"/>
      <c r="I47" s="148"/>
      <c r="J47" s="106"/>
      <c r="K47" s="106"/>
      <c r="L47" s="106"/>
      <c r="M47" s="106"/>
      <c r="N47" s="575"/>
      <c r="O47" s="203"/>
      <c r="P47" s="136"/>
      <c r="Q47" s="131"/>
      <c r="R47" s="620">
        <f t="shared" ref="R47:V48" si="8">$P43/$P$45</f>
        <v>-3.2288801091952974</v>
      </c>
      <c r="S47" s="616">
        <f t="shared" si="8"/>
        <v>-3.2288801091952974</v>
      </c>
      <c r="T47" s="616">
        <f t="shared" si="8"/>
        <v>-3.2288801091952974</v>
      </c>
      <c r="U47" s="616">
        <f t="shared" si="8"/>
        <v>-3.2288801091952974</v>
      </c>
      <c r="V47" s="623">
        <f t="shared" si="8"/>
        <v>-3.2288801091952974</v>
      </c>
    </row>
    <row r="48" spans="1:22" s="37" customFormat="1">
      <c r="C48" s="131">
        <f>C47</f>
        <v>1</v>
      </c>
      <c r="D48" s="104" t="s">
        <v>57</v>
      </c>
      <c r="E48" s="643" t="s">
        <v>569</v>
      </c>
      <c r="F48" s="131"/>
      <c r="G48" s="148"/>
      <c r="H48" s="148"/>
      <c r="I48" s="148"/>
      <c r="J48" s="106"/>
      <c r="K48" s="106"/>
      <c r="L48" s="106"/>
      <c r="M48" s="106"/>
      <c r="N48" s="575"/>
      <c r="O48" s="203"/>
      <c r="P48" s="136"/>
      <c r="Q48" s="131"/>
      <c r="R48" s="620">
        <f t="shared" si="8"/>
        <v>-15.504804607265003</v>
      </c>
      <c r="S48" s="616">
        <f t="shared" si="8"/>
        <v>-15.504804607265003</v>
      </c>
      <c r="T48" s="616">
        <f t="shared" si="8"/>
        <v>-15.504804607265003</v>
      </c>
      <c r="U48" s="616">
        <f t="shared" si="8"/>
        <v>-15.504804607265003</v>
      </c>
      <c r="V48" s="623">
        <f t="shared" si="8"/>
        <v>-15.504804607265003</v>
      </c>
    </row>
    <row r="49" spans="1:22" s="37" customFormat="1">
      <c r="C49" s="131"/>
      <c r="D49" s="104"/>
      <c r="E49" s="644"/>
      <c r="F49" s="131"/>
      <c r="G49" s="148"/>
      <c r="H49" s="148"/>
      <c r="I49" s="148"/>
      <c r="J49" s="106"/>
      <c r="K49" s="106"/>
      <c r="L49" s="106"/>
      <c r="M49" s="106"/>
      <c r="N49" s="612"/>
      <c r="O49" s="203"/>
      <c r="P49" s="136"/>
      <c r="Q49" s="131"/>
      <c r="R49" s="620"/>
      <c r="S49" s="616"/>
      <c r="T49" s="616"/>
      <c r="U49" s="616"/>
      <c r="V49" s="621"/>
    </row>
    <row r="50" spans="1:22" s="37" customFormat="1">
      <c r="C50" s="131" t="s">
        <v>555</v>
      </c>
      <c r="D50" s="104"/>
      <c r="E50" s="644"/>
      <c r="F50" s="131"/>
      <c r="G50" s="148"/>
      <c r="H50" s="148"/>
      <c r="I50" s="148"/>
      <c r="J50" s="106"/>
      <c r="K50" s="106"/>
      <c r="L50" s="106"/>
      <c r="M50" s="106"/>
      <c r="N50" s="612"/>
      <c r="O50" s="203"/>
      <c r="P50" s="136"/>
      <c r="Q50" s="131"/>
      <c r="R50" s="603"/>
      <c r="S50" s="131"/>
      <c r="T50" s="131"/>
      <c r="U50" s="131"/>
      <c r="V50" s="605"/>
    </row>
    <row r="51" spans="1:22" s="37" customFormat="1">
      <c r="C51" s="131"/>
      <c r="D51" s="615" t="str">
        <f>D$20</f>
        <v>Nr 3dp</v>
      </c>
      <c r="E51" s="644" t="str">
        <f>E$20</f>
        <v>Discount factors</v>
      </c>
      <c r="F51" s="616"/>
      <c r="G51" s="616"/>
      <c r="H51" s="616"/>
      <c r="I51" s="616"/>
      <c r="J51" s="617"/>
      <c r="K51" s="617"/>
      <c r="L51" s="617"/>
      <c r="M51" s="617"/>
      <c r="N51" s="618"/>
      <c r="O51" s="619"/>
      <c r="P51" s="613"/>
      <c r="Q51" s="616"/>
      <c r="R51" s="620">
        <f>R$20</f>
        <v>1</v>
      </c>
      <c r="S51" s="616">
        <f>S$20</f>
        <v>0.96525096525096521</v>
      </c>
      <c r="T51" s="616">
        <f>T$20</f>
        <v>0.93170942591792005</v>
      </c>
      <c r="U51" s="616">
        <f>U$20</f>
        <v>0.89933342270069505</v>
      </c>
      <c r="V51" s="621">
        <f>V$20</f>
        <v>0.8680824543443002</v>
      </c>
    </row>
    <row r="52" spans="1:22" s="37" customFormat="1">
      <c r="C52" s="131"/>
      <c r="D52" s="104" t="s">
        <v>57</v>
      </c>
      <c r="E52" s="643" t="s">
        <v>411</v>
      </c>
      <c r="F52" s="131"/>
      <c r="G52" s="148"/>
      <c r="H52" s="148"/>
      <c r="I52" s="148"/>
      <c r="J52" s="106"/>
      <c r="K52" s="106"/>
      <c r="L52" s="106"/>
      <c r="M52" s="106"/>
      <c r="N52" s="612"/>
      <c r="O52" s="203"/>
      <c r="P52" s="136"/>
      <c r="Q52" s="131"/>
      <c r="R52" s="603">
        <f>R47*R51</f>
        <v>-3.2288801091952974</v>
      </c>
      <c r="S52" s="616">
        <f t="shared" ref="S52" si="9">S47*S51</f>
        <v>-3.1166796420804026</v>
      </c>
      <c r="T52" s="616">
        <f t="shared" ref="T52" si="10">T47*T51</f>
        <v>-3.0083780328961418</v>
      </c>
      <c r="U52" s="616">
        <f t="shared" ref="U52" si="11">U47*U51</f>
        <v>-2.903839800092801</v>
      </c>
      <c r="V52" s="621">
        <f t="shared" ref="V52" si="12">V47*V51</f>
        <v>-2.8029341699737458</v>
      </c>
    </row>
    <row r="53" spans="1:22" s="37" customFormat="1">
      <c r="C53" s="131"/>
      <c r="D53" s="104" t="s">
        <v>57</v>
      </c>
      <c r="E53" s="644" t="s">
        <v>412</v>
      </c>
      <c r="F53" s="131"/>
      <c r="G53" s="148"/>
      <c r="H53" s="148"/>
      <c r="I53" s="148"/>
      <c r="J53" s="106"/>
      <c r="K53" s="106"/>
      <c r="L53" s="106"/>
      <c r="M53" s="106"/>
      <c r="N53" s="612"/>
      <c r="O53" s="203"/>
      <c r="P53" s="136"/>
      <c r="Q53" s="131"/>
      <c r="R53" s="603">
        <f>R48*R51</f>
        <v>-15.504804607265003</v>
      </c>
      <c r="S53" s="616">
        <f t="shared" ref="S53:V53" si="13">S48*S51</f>
        <v>-14.966027613190157</v>
      </c>
      <c r="T53" s="616">
        <f t="shared" si="13"/>
        <v>-14.445972599604398</v>
      </c>
      <c r="U53" s="616">
        <f t="shared" si="13"/>
        <v>-13.943988995757142</v>
      </c>
      <c r="V53" s="621">
        <f t="shared" si="13"/>
        <v>-13.459448837603418</v>
      </c>
    </row>
    <row r="54" spans="1:22" s="37" customFormat="1">
      <c r="C54" s="131"/>
      <c r="D54" s="104" t="s">
        <v>57</v>
      </c>
      <c r="E54" s="643" t="s">
        <v>557</v>
      </c>
      <c r="F54" s="131"/>
      <c r="G54" s="148"/>
      <c r="H54" s="148"/>
      <c r="I54" s="148"/>
      <c r="J54" s="106"/>
      <c r="K54" s="106"/>
      <c r="L54" s="106"/>
      <c r="M54" s="106"/>
      <c r="N54" s="612"/>
      <c r="O54" s="203"/>
      <c r="P54" s="622">
        <f>SUM(R52:V52)</f>
        <v>-15.060711754238389</v>
      </c>
      <c r="Q54" s="131"/>
      <c r="R54" s="603"/>
      <c r="S54" s="131"/>
      <c r="T54" s="131"/>
      <c r="U54" s="131"/>
      <c r="V54" s="605"/>
    </row>
    <row r="55" spans="1:22" s="37" customFormat="1">
      <c r="C55" s="131"/>
      <c r="D55" s="104" t="s">
        <v>57</v>
      </c>
      <c r="E55" s="643" t="s">
        <v>558</v>
      </c>
      <c r="F55" s="155"/>
      <c r="G55" s="148"/>
      <c r="H55" s="148"/>
      <c r="I55" s="148"/>
      <c r="J55" s="156"/>
      <c r="K55" s="156"/>
      <c r="L55" s="156"/>
      <c r="M55" s="156"/>
      <c r="N55" s="365"/>
      <c r="O55" s="157"/>
      <c r="P55" s="622">
        <f>SUM(R53:V53)</f>
        <v>-72.320242653420109</v>
      </c>
      <c r="Q55" s="148"/>
      <c r="R55" s="594"/>
      <c r="S55" s="131"/>
      <c r="T55" s="131"/>
      <c r="U55" s="131"/>
      <c r="V55" s="595"/>
    </row>
    <row r="56" spans="1:22" s="37" customFormat="1">
      <c r="C56" s="131"/>
      <c r="D56" s="153"/>
      <c r="E56" s="646"/>
      <c r="F56" s="155"/>
      <c r="G56" s="148"/>
      <c r="H56" s="148"/>
      <c r="I56" s="148"/>
      <c r="J56" s="156"/>
      <c r="K56" s="156"/>
      <c r="L56" s="156"/>
      <c r="M56" s="156"/>
      <c r="N56" s="365"/>
      <c r="O56" s="157"/>
      <c r="P56" s="158"/>
      <c r="Q56" s="148"/>
      <c r="R56" s="594"/>
      <c r="S56" s="131"/>
      <c r="T56" s="131"/>
      <c r="U56" s="131"/>
      <c r="V56" s="595"/>
    </row>
    <row r="57" spans="1:22">
      <c r="A57" s="479"/>
      <c r="B57" s="452"/>
      <c r="C57" s="601">
        <v>2</v>
      </c>
      <c r="D57" s="601"/>
      <c r="E57" s="640" t="s">
        <v>548</v>
      </c>
      <c r="F57" s="440"/>
      <c r="G57" s="480"/>
      <c r="H57" s="480"/>
      <c r="I57" s="480"/>
      <c r="J57" s="440"/>
      <c r="K57" s="440"/>
      <c r="L57" s="440"/>
      <c r="M57" s="440"/>
      <c r="N57" s="446"/>
      <c r="O57" s="440"/>
      <c r="P57" s="475"/>
      <c r="Q57" s="476"/>
      <c r="R57" s="592"/>
      <c r="S57" s="503"/>
      <c r="T57" s="503"/>
      <c r="U57" s="503"/>
      <c r="V57" s="593"/>
    </row>
    <row r="58" spans="1:22" s="37" customFormat="1">
      <c r="C58" s="131"/>
      <c r="D58" s="153"/>
      <c r="E58" s="646"/>
      <c r="F58" s="155"/>
      <c r="G58" s="148"/>
      <c r="H58" s="148"/>
      <c r="I58" s="148"/>
      <c r="J58" s="156"/>
      <c r="K58" s="156"/>
      <c r="L58" s="156"/>
      <c r="M58" s="156"/>
      <c r="N58" s="365"/>
      <c r="O58" s="157"/>
      <c r="P58" s="158"/>
      <c r="Q58" s="148"/>
      <c r="R58" s="594"/>
      <c r="S58" s="131"/>
      <c r="T58" s="131"/>
      <c r="U58" s="131"/>
      <c r="V58" s="595"/>
    </row>
    <row r="59" spans="1:22" s="37" customFormat="1">
      <c r="C59" s="131"/>
      <c r="D59" s="149" t="str">
        <f>D$13</f>
        <v>£m 3dp</v>
      </c>
      <c r="E59" s="643" t="str">
        <f>E$13</f>
        <v>Water: Future value of ex post revenue adjustment of prior year annual adjustments (2012-13 prices)</v>
      </c>
      <c r="F59" s="131"/>
      <c r="G59" s="148"/>
      <c r="H59" s="148"/>
      <c r="I59" s="148"/>
      <c r="J59" s="106"/>
      <c r="K59" s="106"/>
      <c r="L59" s="106"/>
      <c r="M59" s="106"/>
      <c r="N59" s="612"/>
      <c r="O59" s="203"/>
      <c r="P59" s="622">
        <f>P$13</f>
        <v>-15.060711754238387</v>
      </c>
      <c r="Q59" s="148"/>
      <c r="R59" s="594"/>
      <c r="S59" s="131"/>
      <c r="T59" s="131"/>
      <c r="U59" s="131"/>
      <c r="V59" s="605"/>
    </row>
    <row r="60" spans="1:22" s="37" customFormat="1">
      <c r="C60" s="131"/>
      <c r="D60" s="149" t="str">
        <f>D$14</f>
        <v>£m 3dp</v>
      </c>
      <c r="E60" s="643" t="str">
        <f>E$14</f>
        <v>Sewerage: Future value of ex post revenue adjustment of prior year annual adjustments (2012-13 prices)</v>
      </c>
      <c r="F60" s="131"/>
      <c r="G60" s="148"/>
      <c r="H60" s="148"/>
      <c r="I60" s="148"/>
      <c r="J60" s="106"/>
      <c r="K60" s="106"/>
      <c r="L60" s="106"/>
      <c r="M60" s="106"/>
      <c r="N60" s="612"/>
      <c r="O60" s="203"/>
      <c r="P60" s="622">
        <f>P$14</f>
        <v>-72.320242653420109</v>
      </c>
      <c r="Q60" s="148"/>
      <c r="R60" s="594"/>
      <c r="S60" s="131"/>
      <c r="T60" s="131"/>
      <c r="U60" s="131"/>
      <c r="V60" s="605"/>
    </row>
    <row r="61" spans="1:22" s="37" customFormat="1">
      <c r="C61" s="131"/>
      <c r="D61" s="153" t="str">
        <f t="shared" ref="D61:E61" si="14">D25</f>
        <v>Nr 0dp</v>
      </c>
      <c r="E61" s="646" t="str">
        <f t="shared" si="14"/>
        <v>Number of years to profile over (needed for profiles 2 and 3)</v>
      </c>
      <c r="F61" s="155"/>
      <c r="G61" s="148"/>
      <c r="H61" s="148"/>
      <c r="I61" s="148"/>
      <c r="J61" s="156"/>
      <c r="K61" s="156"/>
      <c r="L61" s="156"/>
      <c r="M61" s="156"/>
      <c r="N61" s="604"/>
      <c r="O61" s="157"/>
      <c r="P61" s="625">
        <f t="shared" ref="P61" si="15">P25</f>
        <v>5</v>
      </c>
      <c r="Q61" s="148"/>
      <c r="R61" s="594"/>
      <c r="S61" s="131"/>
      <c r="T61" s="131"/>
      <c r="U61" s="131"/>
      <c r="V61" s="605"/>
    </row>
    <row r="62" spans="1:22" s="37" customFormat="1">
      <c r="C62" s="131"/>
      <c r="D62" s="153"/>
      <c r="E62" s="646" t="str">
        <f>E6</f>
        <v>Difference between Year and Application Year</v>
      </c>
      <c r="F62" s="155"/>
      <c r="G62" s="148"/>
      <c r="H62" s="148"/>
      <c r="I62" s="148"/>
      <c r="J62" s="156"/>
      <c r="K62" s="156"/>
      <c r="L62" s="156"/>
      <c r="M62" s="156"/>
      <c r="N62" s="604"/>
      <c r="O62" s="157"/>
      <c r="P62" s="158"/>
      <c r="Q62" s="148"/>
      <c r="R62" s="594">
        <f t="shared" ref="R62:V62" si="16">R6</f>
        <v>0</v>
      </c>
      <c r="S62" s="131">
        <f t="shared" si="16"/>
        <v>1</v>
      </c>
      <c r="T62" s="131">
        <f t="shared" si="16"/>
        <v>2</v>
      </c>
      <c r="U62" s="131">
        <f t="shared" si="16"/>
        <v>3</v>
      </c>
      <c r="V62" s="605">
        <f t="shared" si="16"/>
        <v>4</v>
      </c>
    </row>
    <row r="63" spans="1:22" s="37" customFormat="1">
      <c r="C63" s="131"/>
      <c r="D63" s="153"/>
      <c r="E63" s="646"/>
      <c r="F63" s="155"/>
      <c r="G63" s="148"/>
      <c r="H63" s="148"/>
      <c r="I63" s="148"/>
      <c r="J63" s="156"/>
      <c r="K63" s="156"/>
      <c r="L63" s="156"/>
      <c r="M63" s="156"/>
      <c r="N63" s="604"/>
      <c r="O63" s="157"/>
      <c r="P63" s="158"/>
      <c r="Q63" s="148"/>
      <c r="R63" s="594"/>
      <c r="S63" s="131"/>
      <c r="T63" s="131"/>
      <c r="U63" s="131"/>
      <c r="V63" s="605"/>
    </row>
    <row r="64" spans="1:22" s="37" customFormat="1">
      <c r="C64" s="131">
        <f>C57</f>
        <v>2</v>
      </c>
      <c r="D64" s="104" t="s">
        <v>57</v>
      </c>
      <c r="E64" s="643" t="s">
        <v>564</v>
      </c>
      <c r="F64" s="155"/>
      <c r="G64" s="148"/>
      <c r="H64" s="148"/>
      <c r="I64" s="148"/>
      <c r="J64" s="156"/>
      <c r="K64" s="156"/>
      <c r="L64" s="156"/>
      <c r="M64" s="156"/>
      <c r="N64" s="365"/>
      <c r="O64" s="157"/>
      <c r="P64" s="158"/>
      <c r="Q64" s="148"/>
      <c r="R64" s="620">
        <f>IF(R$62+1&lt;=$P$61,$P59/$P$61,0)</f>
        <v>-3.0121423508476775</v>
      </c>
      <c r="S64" s="616">
        <f t="shared" ref="S64:V64" si="17">IF(S$62+1&lt;=$P$61,$P59/$P$61,0)</f>
        <v>-3.0121423508476775</v>
      </c>
      <c r="T64" s="616">
        <f t="shared" si="17"/>
        <v>-3.0121423508476775</v>
      </c>
      <c r="U64" s="616">
        <f t="shared" si="17"/>
        <v>-3.0121423508476775</v>
      </c>
      <c r="V64" s="623">
        <f t="shared" si="17"/>
        <v>-3.0121423508476775</v>
      </c>
    </row>
    <row r="65" spans="1:22" s="37" customFormat="1">
      <c r="C65" s="131">
        <f>C64</f>
        <v>2</v>
      </c>
      <c r="D65" s="104" t="s">
        <v>57</v>
      </c>
      <c r="E65" s="643" t="s">
        <v>565</v>
      </c>
      <c r="F65" s="155"/>
      <c r="G65" s="148"/>
      <c r="H65" s="148"/>
      <c r="I65" s="148"/>
      <c r="J65" s="156"/>
      <c r="K65" s="156"/>
      <c r="L65" s="156"/>
      <c r="M65" s="156"/>
      <c r="N65" s="573"/>
      <c r="O65" s="157"/>
      <c r="P65" s="158"/>
      <c r="Q65" s="148"/>
      <c r="R65" s="620">
        <f t="shared" ref="R65:V65" si="18">IF(R$62+1&lt;=$P$61,$P60/$P$61,0)</f>
        <v>-14.464048530684021</v>
      </c>
      <c r="S65" s="616">
        <f t="shared" si="18"/>
        <v>-14.464048530684021</v>
      </c>
      <c r="T65" s="616">
        <f t="shared" si="18"/>
        <v>-14.464048530684021</v>
      </c>
      <c r="U65" s="616">
        <f t="shared" si="18"/>
        <v>-14.464048530684021</v>
      </c>
      <c r="V65" s="623">
        <f t="shared" si="18"/>
        <v>-14.464048530684021</v>
      </c>
    </row>
    <row r="66" spans="1:22" s="37" customFormat="1">
      <c r="C66" s="131"/>
      <c r="D66" s="153"/>
      <c r="E66" s="646"/>
      <c r="F66" s="155"/>
      <c r="G66" s="148"/>
      <c r="H66" s="148"/>
      <c r="I66" s="148"/>
      <c r="J66" s="156"/>
      <c r="K66" s="156"/>
      <c r="L66" s="156"/>
      <c r="M66" s="156"/>
      <c r="N66" s="365"/>
      <c r="O66" s="157"/>
      <c r="P66" s="158"/>
      <c r="Q66" s="148"/>
      <c r="R66" s="594"/>
      <c r="S66" s="131"/>
      <c r="T66" s="131"/>
      <c r="U66" s="131"/>
      <c r="V66" s="595"/>
    </row>
    <row r="67" spans="1:22" s="37" customFormat="1">
      <c r="C67" s="131" t="s">
        <v>555</v>
      </c>
      <c r="D67" s="104"/>
      <c r="E67" s="644"/>
      <c r="F67" s="131"/>
      <c r="G67" s="148"/>
      <c r="H67" s="148"/>
      <c r="I67" s="148"/>
      <c r="J67" s="106"/>
      <c r="K67" s="106"/>
      <c r="L67" s="106"/>
      <c r="M67" s="106"/>
      <c r="N67" s="612"/>
      <c r="O67" s="203"/>
      <c r="P67" s="136"/>
      <c r="Q67" s="131"/>
      <c r="R67" s="603"/>
      <c r="S67" s="131"/>
      <c r="T67" s="131"/>
      <c r="U67" s="131"/>
      <c r="V67" s="605"/>
    </row>
    <row r="68" spans="1:22" s="37" customFormat="1">
      <c r="C68" s="131"/>
      <c r="D68" s="615" t="str">
        <f>D$20</f>
        <v>Nr 3dp</v>
      </c>
      <c r="E68" s="644" t="str">
        <f>E$20</f>
        <v>Discount factors</v>
      </c>
      <c r="F68" s="616"/>
      <c r="G68" s="616"/>
      <c r="H68" s="616"/>
      <c r="I68" s="616"/>
      <c r="J68" s="617"/>
      <c r="K68" s="617"/>
      <c r="L68" s="617"/>
      <c r="M68" s="617"/>
      <c r="N68" s="618"/>
      <c r="O68" s="619"/>
      <c r="P68" s="613"/>
      <c r="Q68" s="616"/>
      <c r="R68" s="620">
        <f>R$20</f>
        <v>1</v>
      </c>
      <c r="S68" s="616">
        <f>S$20</f>
        <v>0.96525096525096521</v>
      </c>
      <c r="T68" s="616">
        <f>T$20</f>
        <v>0.93170942591792005</v>
      </c>
      <c r="U68" s="616">
        <f>U$20</f>
        <v>0.89933342270069505</v>
      </c>
      <c r="V68" s="621">
        <f>V$20</f>
        <v>0.8680824543443002</v>
      </c>
    </row>
    <row r="69" spans="1:22" s="37" customFormat="1">
      <c r="C69" s="131"/>
      <c r="D69" s="104" t="s">
        <v>57</v>
      </c>
      <c r="E69" s="643" t="s">
        <v>411</v>
      </c>
      <c r="F69" s="131"/>
      <c r="G69" s="148"/>
      <c r="H69" s="148"/>
      <c r="I69" s="148"/>
      <c r="J69" s="106"/>
      <c r="K69" s="106"/>
      <c r="L69" s="106"/>
      <c r="M69" s="106"/>
      <c r="N69" s="612"/>
      <c r="O69" s="203"/>
      <c r="P69" s="136"/>
      <c r="Q69" s="131"/>
      <c r="R69" s="603">
        <f>R64*R68</f>
        <v>-3.0121423508476775</v>
      </c>
      <c r="S69" s="616">
        <f t="shared" ref="S69" si="19">S64*S68</f>
        <v>-2.9074733116290323</v>
      </c>
      <c r="T69" s="616">
        <f t="shared" ref="T69" si="20">T64*T68</f>
        <v>-2.8064414204913435</v>
      </c>
      <c r="U69" s="616">
        <f t="shared" ref="U69" si="21">U64*U68</f>
        <v>-2.7089202900495595</v>
      </c>
      <c r="V69" s="621">
        <f t="shared" ref="V69" si="22">V64*V68</f>
        <v>-2.6147879247582622</v>
      </c>
    </row>
    <row r="70" spans="1:22" s="37" customFormat="1">
      <c r="C70" s="131"/>
      <c r="D70" s="104" t="s">
        <v>57</v>
      </c>
      <c r="E70" s="644" t="s">
        <v>412</v>
      </c>
      <c r="F70" s="131"/>
      <c r="G70" s="148"/>
      <c r="H70" s="148"/>
      <c r="I70" s="148"/>
      <c r="J70" s="106"/>
      <c r="K70" s="106"/>
      <c r="L70" s="106"/>
      <c r="M70" s="106"/>
      <c r="N70" s="612"/>
      <c r="O70" s="203"/>
      <c r="P70" s="136"/>
      <c r="Q70" s="131"/>
      <c r="R70" s="603">
        <f>R65*R68</f>
        <v>-14.464048530684021</v>
      </c>
      <c r="S70" s="616">
        <f t="shared" ref="S70:V70" si="23">S65*S68</f>
        <v>-13.961436805679556</v>
      </c>
      <c r="T70" s="616">
        <f t="shared" si="23"/>
        <v>-13.476290352972544</v>
      </c>
      <c r="U70" s="616">
        <f t="shared" si="23"/>
        <v>-13.008002271209021</v>
      </c>
      <c r="V70" s="621">
        <f t="shared" si="23"/>
        <v>-12.555986748271254</v>
      </c>
    </row>
    <row r="71" spans="1:22" s="37" customFormat="1">
      <c r="C71" s="131"/>
      <c r="D71" s="104" t="s">
        <v>57</v>
      </c>
      <c r="E71" s="643" t="s">
        <v>557</v>
      </c>
      <c r="F71" s="131"/>
      <c r="G71" s="148"/>
      <c r="H71" s="148"/>
      <c r="I71" s="148"/>
      <c r="J71" s="106"/>
      <c r="K71" s="106"/>
      <c r="L71" s="106"/>
      <c r="M71" s="106"/>
      <c r="N71" s="612"/>
      <c r="O71" s="203"/>
      <c r="P71" s="622">
        <f>SUM(R69:V69)</f>
        <v>-14.049765297775876</v>
      </c>
      <c r="Q71" s="131"/>
      <c r="R71" s="603"/>
      <c r="S71" s="131"/>
      <c r="T71" s="131"/>
      <c r="U71" s="131"/>
      <c r="V71" s="605"/>
    </row>
    <row r="72" spans="1:22" s="37" customFormat="1">
      <c r="C72" s="131"/>
      <c r="D72" s="104" t="s">
        <v>57</v>
      </c>
      <c r="E72" s="643" t="s">
        <v>558</v>
      </c>
      <c r="F72" s="155"/>
      <c r="G72" s="148"/>
      <c r="H72" s="148"/>
      <c r="I72" s="148"/>
      <c r="J72" s="156"/>
      <c r="K72" s="156"/>
      <c r="L72" s="156"/>
      <c r="M72" s="156"/>
      <c r="N72" s="365"/>
      <c r="O72" s="157"/>
      <c r="P72" s="622">
        <f>SUM(R70:V70)</f>
        <v>-67.465764708816394</v>
      </c>
      <c r="Q72" s="148"/>
      <c r="R72" s="594"/>
      <c r="S72" s="131"/>
      <c r="T72" s="131"/>
      <c r="U72" s="131"/>
      <c r="V72" s="595"/>
    </row>
    <row r="73" spans="1:22" s="37" customFormat="1">
      <c r="C73" s="131"/>
      <c r="D73" s="104"/>
      <c r="E73" s="643"/>
      <c r="F73" s="155"/>
      <c r="G73" s="148"/>
      <c r="H73" s="148"/>
      <c r="I73" s="148"/>
      <c r="J73" s="156"/>
      <c r="K73" s="156"/>
      <c r="L73" s="156"/>
      <c r="M73" s="156"/>
      <c r="N73" s="604"/>
      <c r="O73" s="157"/>
      <c r="P73" s="622"/>
      <c r="Q73" s="148"/>
      <c r="R73" s="594"/>
      <c r="S73" s="131"/>
      <c r="T73" s="131"/>
      <c r="U73" s="131"/>
      <c r="V73" s="605"/>
    </row>
    <row r="74" spans="1:22">
      <c r="A74" s="479"/>
      <c r="B74" s="452"/>
      <c r="C74" s="601">
        <v>3</v>
      </c>
      <c r="D74" s="601"/>
      <c r="E74" s="640" t="s">
        <v>549</v>
      </c>
      <c r="F74" s="440"/>
      <c r="G74" s="480"/>
      <c r="H74" s="480"/>
      <c r="I74" s="480"/>
      <c r="J74" s="440"/>
      <c r="K74" s="440"/>
      <c r="L74" s="440"/>
      <c r="M74" s="440"/>
      <c r="N74" s="446"/>
      <c r="O74" s="440"/>
      <c r="P74" s="475"/>
      <c r="Q74" s="476"/>
      <c r="R74" s="592"/>
      <c r="S74" s="503"/>
      <c r="T74" s="503"/>
      <c r="U74" s="503"/>
      <c r="V74" s="593"/>
    </row>
    <row r="75" spans="1:22" s="37" customFormat="1">
      <c r="C75" s="131"/>
      <c r="D75" s="153"/>
      <c r="E75" s="646"/>
      <c r="F75" s="155"/>
      <c r="G75" s="148"/>
      <c r="H75" s="148"/>
      <c r="I75" s="148"/>
      <c r="J75" s="156"/>
      <c r="K75" s="156"/>
      <c r="L75" s="156"/>
      <c r="M75" s="156"/>
      <c r="N75" s="365"/>
      <c r="O75" s="157"/>
      <c r="P75" s="158"/>
      <c r="Q75" s="148"/>
      <c r="R75" s="594"/>
      <c r="S75" s="131"/>
      <c r="T75" s="131"/>
      <c r="U75" s="131"/>
      <c r="V75" s="595"/>
    </row>
    <row r="76" spans="1:22" s="37" customFormat="1">
      <c r="C76" s="131"/>
      <c r="D76" s="149" t="str">
        <f>D$13</f>
        <v>£m 3dp</v>
      </c>
      <c r="E76" s="643" t="str">
        <f>E$13</f>
        <v>Water: Future value of ex post revenue adjustment of prior year annual adjustments (2012-13 prices)</v>
      </c>
      <c r="F76" s="131"/>
      <c r="G76" s="148"/>
      <c r="H76" s="148"/>
      <c r="I76" s="148"/>
      <c r="J76" s="106"/>
      <c r="K76" s="106"/>
      <c r="L76" s="106"/>
      <c r="M76" s="106"/>
      <c r="N76" s="612"/>
      <c r="O76" s="203"/>
      <c r="P76" s="622">
        <f>P$13</f>
        <v>-15.060711754238387</v>
      </c>
      <c r="Q76" s="148"/>
      <c r="R76" s="594"/>
      <c r="S76" s="131"/>
      <c r="T76" s="131"/>
      <c r="U76" s="131"/>
      <c r="V76" s="605"/>
    </row>
    <row r="77" spans="1:22" s="37" customFormat="1">
      <c r="C77" s="131"/>
      <c r="D77" s="149" t="str">
        <f>D$14</f>
        <v>£m 3dp</v>
      </c>
      <c r="E77" s="643" t="str">
        <f>E$14</f>
        <v>Sewerage: Future value of ex post revenue adjustment of prior year annual adjustments (2012-13 prices)</v>
      </c>
      <c r="F77" s="131"/>
      <c r="G77" s="148"/>
      <c r="H77" s="148"/>
      <c r="I77" s="148"/>
      <c r="J77" s="106"/>
      <c r="K77" s="106"/>
      <c r="L77" s="106"/>
      <c r="M77" s="106"/>
      <c r="N77" s="612"/>
      <c r="O77" s="203"/>
      <c r="P77" s="622">
        <f>P$14</f>
        <v>-72.320242653420109</v>
      </c>
      <c r="Q77" s="148"/>
      <c r="R77" s="594"/>
      <c r="S77" s="131"/>
      <c r="T77" s="131"/>
      <c r="U77" s="131"/>
      <c r="V77" s="605"/>
    </row>
    <row r="78" spans="1:22" s="37" customFormat="1">
      <c r="C78" s="131"/>
      <c r="D78" s="154" t="str">
        <f t="shared" ref="D78" si="24">D25</f>
        <v>Nr 0dp</v>
      </c>
      <c r="E78" s="646" t="str">
        <f>E25</f>
        <v>Number of years to profile over (needed for profiles 2 and 3)</v>
      </c>
      <c r="F78" s="155"/>
      <c r="G78" s="148"/>
      <c r="H78" s="148"/>
      <c r="I78" s="148"/>
      <c r="J78" s="156"/>
      <c r="K78" s="156"/>
      <c r="L78" s="156"/>
      <c r="M78" s="156"/>
      <c r="N78" s="604"/>
      <c r="O78" s="157"/>
      <c r="P78" s="625">
        <f>P25</f>
        <v>5</v>
      </c>
      <c r="Q78" s="148"/>
      <c r="R78" s="594"/>
      <c r="S78" s="131"/>
      <c r="T78" s="131"/>
      <c r="U78" s="131"/>
      <c r="V78" s="605"/>
    </row>
    <row r="79" spans="1:22" s="37" customFormat="1">
      <c r="C79" s="131"/>
      <c r="D79" s="154" t="str">
        <f>D18</f>
        <v>%</v>
      </c>
      <c r="E79" s="646" t="str">
        <f>E18</f>
        <v>Discount rate (PR14 Vanilla WACC)</v>
      </c>
      <c r="F79" s="155"/>
      <c r="G79" s="148"/>
      <c r="H79" s="148"/>
      <c r="I79" s="148"/>
      <c r="J79" s="156"/>
      <c r="K79" s="156"/>
      <c r="L79" s="156"/>
      <c r="M79" s="156"/>
      <c r="N79" s="604"/>
      <c r="O79" s="157"/>
      <c r="P79" s="171">
        <f>P18</f>
        <v>3.5999999999999997E-2</v>
      </c>
      <c r="Q79" s="148"/>
      <c r="R79" s="594"/>
      <c r="S79" s="131"/>
      <c r="T79" s="131"/>
      <c r="U79" s="131"/>
      <c r="V79" s="605"/>
    </row>
    <row r="80" spans="1:22" s="37" customFormat="1">
      <c r="C80" s="131"/>
      <c r="D80" s="153"/>
      <c r="E80" s="646" t="str">
        <f>E6</f>
        <v>Difference between Year and Application Year</v>
      </c>
      <c r="F80" s="155"/>
      <c r="G80" s="148"/>
      <c r="H80" s="148"/>
      <c r="I80" s="148"/>
      <c r="J80" s="156"/>
      <c r="K80" s="156"/>
      <c r="L80" s="156"/>
      <c r="M80" s="156"/>
      <c r="N80" s="604"/>
      <c r="O80" s="157"/>
      <c r="P80" s="158"/>
      <c r="Q80" s="148"/>
      <c r="R80" s="594">
        <f t="shared" ref="R80:V80" si="25">R6</f>
        <v>0</v>
      </c>
      <c r="S80" s="131">
        <f t="shared" si="25"/>
        <v>1</v>
      </c>
      <c r="T80" s="131">
        <f t="shared" si="25"/>
        <v>2</v>
      </c>
      <c r="U80" s="131">
        <f t="shared" si="25"/>
        <v>3</v>
      </c>
      <c r="V80" s="605">
        <f t="shared" si="25"/>
        <v>4</v>
      </c>
    </row>
    <row r="81" spans="1:22" s="37" customFormat="1">
      <c r="C81" s="131"/>
      <c r="D81" s="153"/>
      <c r="E81" s="646"/>
      <c r="F81" s="155"/>
      <c r="G81" s="148"/>
      <c r="H81" s="148"/>
      <c r="I81" s="148"/>
      <c r="J81" s="156"/>
      <c r="K81" s="156"/>
      <c r="L81" s="156"/>
      <c r="M81" s="156"/>
      <c r="N81" s="604"/>
      <c r="O81" s="157"/>
      <c r="P81" s="158"/>
      <c r="Q81" s="148"/>
      <c r="R81" s="594"/>
      <c r="S81" s="131"/>
      <c r="T81" s="131"/>
      <c r="U81" s="131"/>
      <c r="V81" s="605"/>
    </row>
    <row r="82" spans="1:22" s="37" customFormat="1">
      <c r="C82" s="131">
        <f>C74</f>
        <v>3</v>
      </c>
      <c r="D82" s="104" t="s">
        <v>57</v>
      </c>
      <c r="E82" s="643" t="s">
        <v>566</v>
      </c>
      <c r="F82" s="155"/>
      <c r="G82" s="148"/>
      <c r="H82" s="148"/>
      <c r="I82" s="148"/>
      <c r="J82" s="156"/>
      <c r="K82" s="156"/>
      <c r="L82" s="156"/>
      <c r="M82" s="156"/>
      <c r="N82" s="365"/>
      <c r="O82" s="157"/>
      <c r="P82" s="158"/>
      <c r="Q82" s="148"/>
      <c r="R82" s="620">
        <f>IF(R$62+1&lt;=$P$78,$P76/$P$78,0) * (1+$P$79)^R$80</f>
        <v>-3.0121423508476775</v>
      </c>
      <c r="S82" s="616">
        <f t="shared" ref="S82:V82" si="26">IF(S$62+1&lt;=$P$78,$P76/$P$78,0) * (1+$P$79)^S$80</f>
        <v>-3.1205794754781939</v>
      </c>
      <c r="T82" s="616">
        <f t="shared" si="26"/>
        <v>-3.2329203365954089</v>
      </c>
      <c r="U82" s="616">
        <f t="shared" si="26"/>
        <v>-3.3493054687128438</v>
      </c>
      <c r="V82" s="623">
        <f t="shared" si="26"/>
        <v>-3.4698804655865061</v>
      </c>
    </row>
    <row r="83" spans="1:22" s="37" customFormat="1">
      <c r="C83" s="131">
        <f>C82</f>
        <v>3</v>
      </c>
      <c r="D83" s="104" t="s">
        <v>57</v>
      </c>
      <c r="E83" s="643" t="s">
        <v>567</v>
      </c>
      <c r="F83" s="155"/>
      <c r="G83" s="148"/>
      <c r="H83" s="148"/>
      <c r="I83" s="148"/>
      <c r="J83" s="156"/>
      <c r="K83" s="156"/>
      <c r="L83" s="156"/>
      <c r="M83" s="156"/>
      <c r="N83" s="573"/>
      <c r="O83" s="157"/>
      <c r="P83" s="158"/>
      <c r="Q83" s="148"/>
      <c r="R83" s="620">
        <f>IF(R$62+1&lt;=$P$78,$P77/$P$78,0) * (1+$P$79)^R$80</f>
        <v>-14.464048530684021</v>
      </c>
      <c r="S83" s="616">
        <f t="shared" ref="S83:V83" si="27">IF(S$62+1&lt;=$P$78,$P77/$P$78,0) * (1+$P$79)^S$80</f>
        <v>-14.984754277788646</v>
      </c>
      <c r="T83" s="616">
        <f t="shared" si="27"/>
        <v>-15.524205431789037</v>
      </c>
      <c r="U83" s="616">
        <f t="shared" si="27"/>
        <v>-16.083076827333443</v>
      </c>
      <c r="V83" s="623">
        <f t="shared" si="27"/>
        <v>-16.662067593117449</v>
      </c>
    </row>
    <row r="84" spans="1:22" s="37" customFormat="1">
      <c r="C84" s="131"/>
      <c r="D84" s="153"/>
      <c r="E84" s="646"/>
      <c r="F84" s="155"/>
      <c r="G84" s="148"/>
      <c r="H84" s="148"/>
      <c r="I84" s="148"/>
      <c r="J84" s="156"/>
      <c r="K84" s="156"/>
      <c r="L84" s="156"/>
      <c r="M84" s="156"/>
      <c r="N84" s="365"/>
      <c r="O84" s="157"/>
      <c r="P84" s="158"/>
      <c r="Q84" s="148"/>
      <c r="R84" s="594"/>
      <c r="S84" s="131"/>
      <c r="T84" s="131"/>
      <c r="U84" s="131"/>
      <c r="V84" s="595"/>
    </row>
    <row r="85" spans="1:22" s="37" customFormat="1">
      <c r="C85" s="131" t="s">
        <v>555</v>
      </c>
      <c r="D85" s="104"/>
      <c r="E85" s="644"/>
      <c r="F85" s="131"/>
      <c r="G85" s="148"/>
      <c r="H85" s="148"/>
      <c r="I85" s="148"/>
      <c r="J85" s="106"/>
      <c r="K85" s="106"/>
      <c r="L85" s="106"/>
      <c r="M85" s="106"/>
      <c r="N85" s="612"/>
      <c r="O85" s="203"/>
      <c r="P85" s="136"/>
      <c r="Q85" s="131"/>
      <c r="R85" s="603"/>
      <c r="S85" s="131"/>
      <c r="T85" s="131"/>
      <c r="U85" s="131"/>
      <c r="V85" s="605"/>
    </row>
    <row r="86" spans="1:22" s="37" customFormat="1">
      <c r="C86" s="131"/>
      <c r="D86" s="615" t="str">
        <f>D$20</f>
        <v>Nr 3dp</v>
      </c>
      <c r="E86" s="644" t="str">
        <f>E$20</f>
        <v>Discount factors</v>
      </c>
      <c r="F86" s="616"/>
      <c r="G86" s="616"/>
      <c r="H86" s="616"/>
      <c r="I86" s="616"/>
      <c r="J86" s="617"/>
      <c r="K86" s="617"/>
      <c r="L86" s="617"/>
      <c r="M86" s="617"/>
      <c r="N86" s="618"/>
      <c r="O86" s="619"/>
      <c r="P86" s="613"/>
      <c r="Q86" s="616"/>
      <c r="R86" s="620">
        <f>R$20</f>
        <v>1</v>
      </c>
      <c r="S86" s="616">
        <f>S$20</f>
        <v>0.96525096525096521</v>
      </c>
      <c r="T86" s="616">
        <f>T$20</f>
        <v>0.93170942591792005</v>
      </c>
      <c r="U86" s="616">
        <f>U$20</f>
        <v>0.89933342270069505</v>
      </c>
      <c r="V86" s="621">
        <f>V$20</f>
        <v>0.8680824543443002</v>
      </c>
    </row>
    <row r="87" spans="1:22" s="37" customFormat="1">
      <c r="C87" s="131"/>
      <c r="D87" s="104" t="s">
        <v>57</v>
      </c>
      <c r="E87" s="643" t="s">
        <v>411</v>
      </c>
      <c r="F87" s="131"/>
      <c r="G87" s="148"/>
      <c r="H87" s="148"/>
      <c r="I87" s="148"/>
      <c r="J87" s="106"/>
      <c r="K87" s="106"/>
      <c r="L87" s="106"/>
      <c r="M87" s="106"/>
      <c r="N87" s="612"/>
      <c r="O87" s="203"/>
      <c r="P87" s="136"/>
      <c r="Q87" s="131"/>
      <c r="R87" s="603">
        <f>R82*R86</f>
        <v>-3.0121423508476775</v>
      </c>
      <c r="S87" s="616">
        <f t="shared" ref="S87" si="28">S82*S86</f>
        <v>-3.0121423508476775</v>
      </c>
      <c r="T87" s="616">
        <f t="shared" ref="T87" si="29">T82*T86</f>
        <v>-3.0121423508476775</v>
      </c>
      <c r="U87" s="616">
        <f t="shared" ref="U87" si="30">U82*U86</f>
        <v>-3.0121423508476775</v>
      </c>
      <c r="V87" s="621">
        <f t="shared" ref="V87" si="31">V82*V86</f>
        <v>-3.0121423508476775</v>
      </c>
    </row>
    <row r="88" spans="1:22" s="37" customFormat="1">
      <c r="C88" s="131"/>
      <c r="D88" s="104" t="s">
        <v>57</v>
      </c>
      <c r="E88" s="644" t="s">
        <v>412</v>
      </c>
      <c r="F88" s="131"/>
      <c r="G88" s="148"/>
      <c r="H88" s="148"/>
      <c r="I88" s="148"/>
      <c r="J88" s="106"/>
      <c r="K88" s="106"/>
      <c r="L88" s="106"/>
      <c r="M88" s="106"/>
      <c r="N88" s="612"/>
      <c r="O88" s="203"/>
      <c r="P88" s="136"/>
      <c r="Q88" s="131"/>
      <c r="R88" s="603">
        <f>R83*R86</f>
        <v>-14.464048530684021</v>
      </c>
      <c r="S88" s="616">
        <f t="shared" ref="S88:V88" si="32">S83*S86</f>
        <v>-14.464048530684021</v>
      </c>
      <c r="T88" s="616">
        <f t="shared" si="32"/>
        <v>-14.464048530684019</v>
      </c>
      <c r="U88" s="616">
        <f t="shared" si="32"/>
        <v>-14.464048530684021</v>
      </c>
      <c r="V88" s="621">
        <f t="shared" si="32"/>
        <v>-14.464048530684021</v>
      </c>
    </row>
    <row r="89" spans="1:22" s="37" customFormat="1">
      <c r="C89" s="131"/>
      <c r="D89" s="104" t="s">
        <v>57</v>
      </c>
      <c r="E89" s="643" t="s">
        <v>557</v>
      </c>
      <c r="F89" s="131"/>
      <c r="G89" s="148"/>
      <c r="H89" s="148"/>
      <c r="I89" s="148"/>
      <c r="J89" s="106"/>
      <c r="K89" s="106"/>
      <c r="L89" s="106"/>
      <c r="M89" s="106"/>
      <c r="N89" s="612"/>
      <c r="O89" s="203"/>
      <c r="P89" s="622">
        <f>SUM(R87:V87)</f>
        <v>-15.060711754238387</v>
      </c>
      <c r="Q89" s="131"/>
      <c r="R89" s="603"/>
      <c r="S89" s="131"/>
      <c r="T89" s="131"/>
      <c r="U89" s="131"/>
      <c r="V89" s="605"/>
    </row>
    <row r="90" spans="1:22" s="37" customFormat="1">
      <c r="C90" s="131"/>
      <c r="D90" s="104" t="s">
        <v>57</v>
      </c>
      <c r="E90" s="643" t="s">
        <v>558</v>
      </c>
      <c r="F90" s="155"/>
      <c r="G90" s="148"/>
      <c r="H90" s="148"/>
      <c r="I90" s="148"/>
      <c r="J90" s="156"/>
      <c r="K90" s="156"/>
      <c r="L90" s="156"/>
      <c r="M90" s="156"/>
      <c r="N90" s="365"/>
      <c r="O90" s="157"/>
      <c r="P90" s="622">
        <f>SUM(R88:V88)</f>
        <v>-72.320242653420109</v>
      </c>
      <c r="Q90" s="148"/>
      <c r="R90" s="594"/>
      <c r="S90" s="131"/>
      <c r="T90" s="131"/>
      <c r="U90" s="131"/>
      <c r="V90" s="595"/>
    </row>
    <row r="91" spans="1:22" s="37" customFormat="1">
      <c r="C91" s="131"/>
      <c r="D91" s="153"/>
      <c r="E91" s="646"/>
      <c r="F91" s="155"/>
      <c r="G91" s="148"/>
      <c r="H91" s="148"/>
      <c r="I91" s="148"/>
      <c r="J91" s="156"/>
      <c r="K91" s="156"/>
      <c r="L91" s="156"/>
      <c r="M91" s="156"/>
      <c r="N91" s="365"/>
      <c r="O91" s="157"/>
      <c r="P91" s="158"/>
      <c r="Q91" s="148"/>
      <c r="R91" s="594"/>
      <c r="S91" s="131"/>
      <c r="T91" s="131"/>
      <c r="U91" s="131"/>
      <c r="V91" s="595"/>
    </row>
    <row r="92" spans="1:22">
      <c r="A92" s="479"/>
      <c r="B92" s="452"/>
      <c r="C92" s="601">
        <v>4</v>
      </c>
      <c r="D92" s="601"/>
      <c r="E92" s="640" t="s">
        <v>550</v>
      </c>
      <c r="F92" s="440"/>
      <c r="G92" s="440"/>
      <c r="H92" s="440"/>
      <c r="I92" s="440"/>
      <c r="J92" s="440"/>
      <c r="K92" s="440"/>
      <c r="L92" s="440"/>
      <c r="M92" s="440"/>
      <c r="N92" s="446"/>
      <c r="O92" s="440"/>
      <c r="P92" s="475"/>
      <c r="Q92" s="476"/>
      <c r="R92" s="592"/>
      <c r="S92" s="503"/>
      <c r="T92" s="503"/>
      <c r="U92" s="503"/>
      <c r="V92" s="624"/>
    </row>
    <row r="93" spans="1:22" s="37" customFormat="1">
      <c r="C93" s="131"/>
      <c r="D93" s="153"/>
      <c r="E93" s="646"/>
      <c r="F93" s="155"/>
      <c r="G93" s="148"/>
      <c r="H93" s="148"/>
      <c r="I93" s="148"/>
      <c r="J93" s="156"/>
      <c r="K93" s="156"/>
      <c r="L93" s="156"/>
      <c r="M93" s="156"/>
      <c r="N93" s="604"/>
      <c r="O93" s="157"/>
      <c r="P93" s="158"/>
      <c r="Q93" s="148"/>
      <c r="R93" s="594"/>
      <c r="S93" s="131"/>
      <c r="T93" s="131"/>
      <c r="U93" s="131"/>
      <c r="V93" s="605"/>
    </row>
    <row r="94" spans="1:22" s="37" customFormat="1">
      <c r="C94" s="131">
        <f>C92</f>
        <v>4</v>
      </c>
      <c r="D94" s="104" t="s">
        <v>57</v>
      </c>
      <c r="E94" s="643" t="s">
        <v>573</v>
      </c>
      <c r="F94" s="155"/>
      <c r="G94" s="148"/>
      <c r="H94" s="148"/>
      <c r="I94" s="148"/>
      <c r="J94" s="156"/>
      <c r="K94" s="156"/>
      <c r="L94" s="156"/>
      <c r="M94" s="156"/>
      <c r="N94" s="365"/>
      <c r="O94" s="157"/>
      <c r="P94" s="158"/>
      <c r="Q94" s="148"/>
      <c r="R94" s="620">
        <f>Calc!J196</f>
        <v>2.6016688892521</v>
      </c>
      <c r="S94" s="616">
        <f>Calc!K196</f>
        <v>2.3389438266131077</v>
      </c>
      <c r="T94" s="616">
        <f>Calc!L196</f>
        <v>-3.102517030650171</v>
      </c>
      <c r="U94" s="616">
        <f>Calc!M196</f>
        <v>-7.8808803429584389</v>
      </c>
      <c r="V94" s="623">
        <f>Calc!N196</f>
        <v>-9.0179270964949829</v>
      </c>
    </row>
    <row r="95" spans="1:22" s="37" customFormat="1">
      <c r="C95" s="131">
        <f>C94</f>
        <v>4</v>
      </c>
      <c r="D95" s="104" t="s">
        <v>57</v>
      </c>
      <c r="E95" s="643" t="s">
        <v>574</v>
      </c>
      <c r="F95" s="155"/>
      <c r="G95" s="148"/>
      <c r="H95" s="148"/>
      <c r="I95" s="148"/>
      <c r="J95" s="156"/>
      <c r="K95" s="156"/>
      <c r="L95" s="156"/>
      <c r="M95" s="156"/>
      <c r="N95" s="573"/>
      <c r="O95" s="157"/>
      <c r="P95" s="158"/>
      <c r="Q95" s="148"/>
      <c r="R95" s="620">
        <f>Calc!J197</f>
        <v>5.2747006925072011</v>
      </c>
      <c r="S95" s="616">
        <f>Calc!K197</f>
        <v>-4.895306783251935</v>
      </c>
      <c r="T95" s="616">
        <f>Calc!L197</f>
        <v>-19.595974594776248</v>
      </c>
      <c r="U95" s="616">
        <f>Calc!M197</f>
        <v>-26.1105583717648</v>
      </c>
      <c r="V95" s="623">
        <f>Calc!N197</f>
        <v>-26.993103596134333</v>
      </c>
    </row>
    <row r="96" spans="1:22" s="37" customFormat="1">
      <c r="C96" s="131"/>
      <c r="D96" s="153"/>
      <c r="E96" s="646"/>
      <c r="F96" s="155"/>
      <c r="G96" s="148"/>
      <c r="H96" s="148"/>
      <c r="I96" s="148"/>
      <c r="J96" s="156"/>
      <c r="K96" s="156"/>
      <c r="L96" s="156"/>
      <c r="M96" s="156"/>
      <c r="N96" s="365"/>
      <c r="O96" s="157"/>
      <c r="P96" s="158"/>
      <c r="Q96" s="148"/>
      <c r="R96" s="594"/>
      <c r="S96" s="131"/>
      <c r="T96" s="131"/>
      <c r="U96" s="131"/>
      <c r="V96" s="595"/>
    </row>
    <row r="97" spans="1:22" s="37" customFormat="1">
      <c r="C97" s="131" t="s">
        <v>555</v>
      </c>
      <c r="D97" s="104"/>
      <c r="E97" s="644"/>
      <c r="F97" s="131"/>
      <c r="G97" s="148"/>
      <c r="H97" s="148"/>
      <c r="I97" s="148"/>
      <c r="J97" s="106"/>
      <c r="K97" s="106"/>
      <c r="L97" s="106"/>
      <c r="M97" s="106"/>
      <c r="N97" s="612"/>
      <c r="O97" s="203"/>
      <c r="P97" s="136"/>
      <c r="Q97" s="131"/>
      <c r="R97" s="603"/>
      <c r="S97" s="131"/>
      <c r="T97" s="131"/>
      <c r="U97" s="131"/>
      <c r="V97" s="605"/>
    </row>
    <row r="98" spans="1:22" s="37" customFormat="1">
      <c r="C98" s="131"/>
      <c r="D98" s="615" t="str">
        <f>D$20</f>
        <v>Nr 3dp</v>
      </c>
      <c r="E98" s="644" t="str">
        <f>E$20</f>
        <v>Discount factors</v>
      </c>
      <c r="F98" s="616"/>
      <c r="G98" s="616"/>
      <c r="H98" s="616"/>
      <c r="I98" s="616"/>
      <c r="J98" s="617"/>
      <c r="K98" s="617"/>
      <c r="L98" s="617"/>
      <c r="M98" s="617"/>
      <c r="N98" s="618"/>
      <c r="O98" s="619"/>
      <c r="P98" s="613"/>
      <c r="Q98" s="616"/>
      <c r="R98" s="620">
        <f>R$20</f>
        <v>1</v>
      </c>
      <c r="S98" s="616">
        <f>S$20</f>
        <v>0.96525096525096521</v>
      </c>
      <c r="T98" s="616">
        <f>T$20</f>
        <v>0.93170942591792005</v>
      </c>
      <c r="U98" s="616">
        <f>U$20</f>
        <v>0.89933342270069505</v>
      </c>
      <c r="V98" s="621">
        <f>V$20</f>
        <v>0.8680824543443002</v>
      </c>
    </row>
    <row r="99" spans="1:22" s="37" customFormat="1">
      <c r="C99" s="131"/>
      <c r="D99" s="104" t="s">
        <v>57</v>
      </c>
      <c r="E99" s="643" t="s">
        <v>411</v>
      </c>
      <c r="F99" s="131"/>
      <c r="G99" s="148"/>
      <c r="H99" s="148"/>
      <c r="I99" s="148"/>
      <c r="J99" s="106"/>
      <c r="K99" s="106"/>
      <c r="L99" s="106"/>
      <c r="M99" s="106"/>
      <c r="N99" s="612"/>
      <c r="O99" s="203"/>
      <c r="P99" s="136"/>
      <c r="Q99" s="131"/>
      <c r="R99" s="603">
        <f>R94*R98</f>
        <v>2.6016688892521</v>
      </c>
      <c r="S99" s="616">
        <f t="shared" ref="S99" si="33">S94*S98</f>
        <v>2.2576677863060883</v>
      </c>
      <c r="T99" s="616">
        <f t="shared" ref="T99" si="34">T94*T98</f>
        <v>-2.8906443615276407</v>
      </c>
      <c r="U99" s="616">
        <f t="shared" ref="U99" si="35">U94*U98</f>
        <v>-7.0875390927274404</v>
      </c>
      <c r="V99" s="621">
        <f t="shared" ref="V99" si="36">V94*V98</f>
        <v>-7.8283042870233341</v>
      </c>
    </row>
    <row r="100" spans="1:22" s="37" customFormat="1">
      <c r="C100" s="131"/>
      <c r="D100" s="104" t="s">
        <v>57</v>
      </c>
      <c r="E100" s="644" t="s">
        <v>412</v>
      </c>
      <c r="F100" s="131"/>
      <c r="G100" s="148"/>
      <c r="H100" s="148"/>
      <c r="I100" s="148"/>
      <c r="J100" s="106"/>
      <c r="K100" s="106"/>
      <c r="L100" s="106"/>
      <c r="M100" s="106"/>
      <c r="N100" s="612"/>
      <c r="O100" s="203"/>
      <c r="P100" s="136"/>
      <c r="Q100" s="131"/>
      <c r="R100" s="603">
        <f>R95*R98</f>
        <v>5.2747006925072011</v>
      </c>
      <c r="S100" s="616">
        <f t="shared" ref="S100:V100" si="37">S95*S98</f>
        <v>-4.7251995977335275</v>
      </c>
      <c r="T100" s="616">
        <f t="shared" si="37"/>
        <v>-18.257754240001123</v>
      </c>
      <c r="U100" s="616">
        <f t="shared" si="37"/>
        <v>-23.482097829105523</v>
      </c>
      <c r="V100" s="621">
        <f t="shared" si="37"/>
        <v>-23.432239620102248</v>
      </c>
    </row>
    <row r="101" spans="1:22" s="37" customFormat="1">
      <c r="C101" s="131"/>
      <c r="D101" s="104" t="s">
        <v>57</v>
      </c>
      <c r="E101" s="643" t="s">
        <v>557</v>
      </c>
      <c r="F101" s="131"/>
      <c r="G101" s="148"/>
      <c r="H101" s="148"/>
      <c r="I101" s="148"/>
      <c r="J101" s="106"/>
      <c r="K101" s="106"/>
      <c r="L101" s="106"/>
      <c r="M101" s="106"/>
      <c r="N101" s="612"/>
      <c r="O101" s="203"/>
      <c r="P101" s="622">
        <f>SUM(R99:V99)</f>
        <v>-12.947151065720227</v>
      </c>
      <c r="Q101" s="131"/>
      <c r="R101" s="603"/>
      <c r="S101" s="131"/>
      <c r="T101" s="131"/>
      <c r="U101" s="131"/>
      <c r="V101" s="605"/>
    </row>
    <row r="102" spans="1:22" s="37" customFormat="1">
      <c r="C102" s="131"/>
      <c r="D102" s="104" t="s">
        <v>57</v>
      </c>
      <c r="E102" s="643" t="s">
        <v>558</v>
      </c>
      <c r="F102" s="155"/>
      <c r="G102" s="148"/>
      <c r="H102" s="148"/>
      <c r="I102" s="148"/>
      <c r="J102" s="156"/>
      <c r="K102" s="156"/>
      <c r="L102" s="156"/>
      <c r="M102" s="156"/>
      <c r="N102" s="365"/>
      <c r="O102" s="157"/>
      <c r="P102" s="622">
        <f>SUM(R100:V100)</f>
        <v>-64.622590594435223</v>
      </c>
      <c r="Q102" s="148"/>
      <c r="R102" s="594"/>
      <c r="S102" s="131"/>
      <c r="T102" s="131"/>
      <c r="U102" s="131"/>
      <c r="V102" s="595"/>
    </row>
    <row r="103" spans="1:22" s="37" customFormat="1">
      <c r="C103" s="131"/>
      <c r="D103" s="153"/>
      <c r="E103" s="646"/>
      <c r="F103" s="155"/>
      <c r="G103" s="148"/>
      <c r="H103" s="148"/>
      <c r="I103" s="148"/>
      <c r="J103" s="156"/>
      <c r="K103" s="156"/>
      <c r="L103" s="156"/>
      <c r="M103" s="156"/>
      <c r="N103" s="604"/>
      <c r="O103" s="157"/>
      <c r="P103" s="158"/>
      <c r="Q103" s="148"/>
      <c r="R103" s="594"/>
      <c r="S103" s="131"/>
      <c r="T103" s="131"/>
      <c r="U103" s="131"/>
      <c r="V103" s="605"/>
    </row>
    <row r="104" spans="1:22">
      <c r="A104" s="479"/>
      <c r="B104" s="452"/>
      <c r="C104" s="601">
        <v>5</v>
      </c>
      <c r="D104" s="601"/>
      <c r="E104" s="640" t="s">
        <v>551</v>
      </c>
      <c r="F104" s="440"/>
      <c r="G104" s="440"/>
      <c r="H104" s="440"/>
      <c r="I104" s="440"/>
      <c r="J104" s="440"/>
      <c r="K104" s="440"/>
      <c r="L104" s="440"/>
      <c r="M104" s="440"/>
      <c r="N104" s="446"/>
      <c r="O104" s="440"/>
      <c r="P104" s="475"/>
      <c r="Q104" s="476"/>
      <c r="R104" s="592"/>
      <c r="S104" s="503"/>
      <c r="T104" s="503"/>
      <c r="U104" s="503"/>
      <c r="V104" s="593"/>
    </row>
    <row r="105" spans="1:22" s="37" customFormat="1">
      <c r="C105" s="131"/>
      <c r="D105" s="153"/>
      <c r="E105" s="646"/>
      <c r="F105" s="155"/>
      <c r="G105" s="148"/>
      <c r="H105" s="148"/>
      <c r="I105" s="148"/>
      <c r="J105" s="156"/>
      <c r="K105" s="156"/>
      <c r="L105" s="156"/>
      <c r="M105" s="156"/>
      <c r="N105" s="365"/>
      <c r="O105" s="157"/>
      <c r="P105" s="158"/>
      <c r="Q105" s="148"/>
      <c r="R105" s="594"/>
      <c r="S105" s="131"/>
      <c r="T105" s="131"/>
      <c r="U105" s="131"/>
      <c r="V105" s="595"/>
    </row>
    <row r="106" spans="1:22" s="37" customFormat="1">
      <c r="C106" s="131"/>
      <c r="D106" s="104" t="s">
        <v>57</v>
      </c>
      <c r="E106" s="643" t="s">
        <v>411</v>
      </c>
      <c r="F106" s="155"/>
      <c r="G106" s="148"/>
      <c r="H106" s="148"/>
      <c r="I106" s="148"/>
      <c r="J106" s="156"/>
      <c r="K106" s="156"/>
      <c r="L106" s="156"/>
      <c r="M106" s="156"/>
      <c r="N106" s="365"/>
      <c r="O106" s="157"/>
      <c r="P106" s="158"/>
      <c r="Q106" s="148"/>
      <c r="R106" s="620">
        <f>Calc!J196</f>
        <v>2.6016688892521</v>
      </c>
      <c r="S106" s="616">
        <f>Calc!K196</f>
        <v>2.3389438266131077</v>
      </c>
      <c r="T106" s="616">
        <f>Calc!L196</f>
        <v>-3.102517030650171</v>
      </c>
      <c r="U106" s="616">
        <f>Calc!M196</f>
        <v>-7.8808803429584389</v>
      </c>
      <c r="V106" s="623">
        <f>Calc!N196</f>
        <v>-9.0179270964949829</v>
      </c>
    </row>
    <row r="107" spans="1:22" s="37" customFormat="1">
      <c r="C107" s="131"/>
      <c r="D107" s="104" t="s">
        <v>57</v>
      </c>
      <c r="E107" s="644" t="s">
        <v>412</v>
      </c>
      <c r="F107" s="155"/>
      <c r="G107" s="148"/>
      <c r="H107" s="148"/>
      <c r="I107" s="148"/>
      <c r="J107" s="156"/>
      <c r="K107" s="156"/>
      <c r="L107" s="156"/>
      <c r="M107" s="156"/>
      <c r="N107" s="573"/>
      <c r="O107" s="157"/>
      <c r="P107" s="158"/>
      <c r="Q107" s="148"/>
      <c r="R107" s="620">
        <f>Calc!J197</f>
        <v>5.2747006925072011</v>
      </c>
      <c r="S107" s="616">
        <f>Calc!K197</f>
        <v>-4.895306783251935</v>
      </c>
      <c r="T107" s="616">
        <f>Calc!L197</f>
        <v>-19.595974594776248</v>
      </c>
      <c r="U107" s="616">
        <f>Calc!M197</f>
        <v>-26.1105583717648</v>
      </c>
      <c r="V107" s="623">
        <f>Calc!N197</f>
        <v>-26.993103596134333</v>
      </c>
    </row>
    <row r="108" spans="1:22" s="37" customFormat="1">
      <c r="C108" s="131"/>
      <c r="D108" s="153"/>
      <c r="E108" s="646"/>
      <c r="F108" s="155"/>
      <c r="G108" s="148"/>
      <c r="H108" s="148"/>
      <c r="I108" s="148"/>
      <c r="J108" s="156"/>
      <c r="K108" s="156"/>
      <c r="L108" s="156"/>
      <c r="M108" s="156"/>
      <c r="N108" s="365"/>
      <c r="O108" s="157"/>
      <c r="P108" s="158"/>
      <c r="Q108" s="148"/>
      <c r="R108" s="594"/>
      <c r="S108" s="131"/>
      <c r="T108" s="131"/>
      <c r="U108" s="131"/>
      <c r="V108" s="595"/>
    </row>
    <row r="109" spans="1:22" s="37" customFormat="1">
      <c r="C109" s="131"/>
      <c r="D109" s="104"/>
      <c r="E109" s="644"/>
      <c r="F109" s="131"/>
      <c r="G109" s="148"/>
      <c r="H109" s="148"/>
      <c r="I109" s="148"/>
      <c r="J109" s="106"/>
      <c r="K109" s="106"/>
      <c r="L109" s="106"/>
      <c r="M109" s="106"/>
      <c r="N109" s="612"/>
      <c r="O109" s="203"/>
      <c r="P109" s="136"/>
      <c r="Q109" s="131"/>
      <c r="R109" s="603"/>
      <c r="S109" s="131"/>
      <c r="T109" s="131"/>
      <c r="U109" s="131"/>
      <c r="V109" s="605"/>
    </row>
    <row r="110" spans="1:22" s="37" customFormat="1">
      <c r="C110" s="131"/>
      <c r="D110" s="615" t="str">
        <f>D$20</f>
        <v>Nr 3dp</v>
      </c>
      <c r="E110" s="644" t="str">
        <f>E$20</f>
        <v>Discount factors</v>
      </c>
      <c r="F110" s="616"/>
      <c r="G110" s="616"/>
      <c r="H110" s="616"/>
      <c r="I110" s="616"/>
      <c r="J110" s="617"/>
      <c r="K110" s="617"/>
      <c r="L110" s="617"/>
      <c r="M110" s="617"/>
      <c r="N110" s="618"/>
      <c r="O110" s="619"/>
      <c r="P110" s="613"/>
      <c r="Q110" s="616"/>
      <c r="R110" s="620">
        <f>R$20</f>
        <v>1</v>
      </c>
      <c r="S110" s="616">
        <f>S$20</f>
        <v>0.96525096525096521</v>
      </c>
      <c r="T110" s="616">
        <f>T$20</f>
        <v>0.93170942591792005</v>
      </c>
      <c r="U110" s="616">
        <f>U$20</f>
        <v>0.89933342270069505</v>
      </c>
      <c r="V110" s="621">
        <f>V$20</f>
        <v>0.8680824543443002</v>
      </c>
    </row>
    <row r="111" spans="1:22" s="37" customFormat="1">
      <c r="C111" s="131"/>
      <c r="D111" s="104" t="s">
        <v>57</v>
      </c>
      <c r="E111" s="643" t="s">
        <v>411</v>
      </c>
      <c r="F111" s="131"/>
      <c r="G111" s="148"/>
      <c r="H111" s="148"/>
      <c r="I111" s="148"/>
      <c r="J111" s="106"/>
      <c r="K111" s="106"/>
      <c r="L111" s="106"/>
      <c r="M111" s="106"/>
      <c r="N111" s="612"/>
      <c r="O111" s="203"/>
      <c r="P111" s="136"/>
      <c r="Q111" s="131"/>
      <c r="R111" s="603">
        <f>R106*R110</f>
        <v>2.6016688892521</v>
      </c>
      <c r="S111" s="616">
        <f t="shared" ref="S111" si="38">S106*S110</f>
        <v>2.2576677863060883</v>
      </c>
      <c r="T111" s="616">
        <f t="shared" ref="T111" si="39">T106*T110</f>
        <v>-2.8906443615276407</v>
      </c>
      <c r="U111" s="616">
        <f t="shared" ref="U111" si="40">U106*U110</f>
        <v>-7.0875390927274404</v>
      </c>
      <c r="V111" s="621">
        <f t="shared" ref="V111" si="41">V106*V110</f>
        <v>-7.8283042870233341</v>
      </c>
    </row>
    <row r="112" spans="1:22" s="37" customFormat="1">
      <c r="C112" s="131"/>
      <c r="D112" s="104" t="s">
        <v>57</v>
      </c>
      <c r="E112" s="644" t="s">
        <v>412</v>
      </c>
      <c r="F112" s="131"/>
      <c r="G112" s="148"/>
      <c r="H112" s="148"/>
      <c r="I112" s="148"/>
      <c r="J112" s="106"/>
      <c r="K112" s="106"/>
      <c r="L112" s="106"/>
      <c r="M112" s="106"/>
      <c r="N112" s="612"/>
      <c r="O112" s="203"/>
      <c r="P112" s="136"/>
      <c r="Q112" s="131"/>
      <c r="R112" s="603">
        <f>R107*R110</f>
        <v>5.2747006925072011</v>
      </c>
      <c r="S112" s="616">
        <f t="shared" ref="S112:V112" si="42">S107*S110</f>
        <v>-4.7251995977335275</v>
      </c>
      <c r="T112" s="616">
        <f t="shared" si="42"/>
        <v>-18.257754240001123</v>
      </c>
      <c r="U112" s="616">
        <f t="shared" si="42"/>
        <v>-23.482097829105523</v>
      </c>
      <c r="V112" s="621">
        <f t="shared" si="42"/>
        <v>-23.432239620102248</v>
      </c>
    </row>
    <row r="113" spans="3:22" s="37" customFormat="1">
      <c r="C113" s="131"/>
      <c r="D113" s="104" t="s">
        <v>57</v>
      </c>
      <c r="E113" s="643" t="s">
        <v>557</v>
      </c>
      <c r="F113" s="131"/>
      <c r="G113" s="148"/>
      <c r="H113" s="148"/>
      <c r="I113" s="148"/>
      <c r="J113" s="106"/>
      <c r="K113" s="106"/>
      <c r="L113" s="106"/>
      <c r="M113" s="106"/>
      <c r="N113" s="612"/>
      <c r="O113" s="203"/>
      <c r="P113" s="622">
        <f>SUM(R111:V111)</f>
        <v>-12.947151065720227</v>
      </c>
      <c r="Q113" s="131"/>
      <c r="R113" s="603"/>
      <c r="S113" s="131"/>
      <c r="T113" s="131"/>
      <c r="U113" s="131"/>
      <c r="V113" s="605"/>
    </row>
    <row r="114" spans="3:22" s="37" customFormat="1">
      <c r="C114" s="131"/>
      <c r="D114" s="104" t="s">
        <v>57</v>
      </c>
      <c r="E114" s="643" t="s">
        <v>558</v>
      </c>
      <c r="F114" s="155"/>
      <c r="G114" s="148"/>
      <c r="H114" s="148"/>
      <c r="I114" s="148"/>
      <c r="J114" s="156"/>
      <c r="K114" s="156"/>
      <c r="L114" s="156"/>
      <c r="M114" s="156"/>
      <c r="N114" s="365"/>
      <c r="O114" s="157"/>
      <c r="P114" s="622">
        <f>SUM(R112:V112)</f>
        <v>-64.622590594435223</v>
      </c>
      <c r="Q114" s="148"/>
      <c r="R114" s="594"/>
      <c r="S114" s="131"/>
      <c r="T114" s="131"/>
      <c r="U114" s="131"/>
      <c r="V114" s="595"/>
    </row>
    <row r="115" spans="3:22" s="37" customFormat="1">
      <c r="C115" s="131"/>
      <c r="D115" s="153"/>
      <c r="E115" s="646"/>
      <c r="F115" s="155"/>
      <c r="G115" s="148"/>
      <c r="H115" s="148"/>
      <c r="I115" s="148"/>
      <c r="J115" s="156"/>
      <c r="K115" s="156"/>
      <c r="L115" s="156"/>
      <c r="M115" s="156"/>
      <c r="N115" s="604"/>
      <c r="O115" s="157"/>
      <c r="P115" s="158"/>
      <c r="Q115" s="148"/>
      <c r="R115" s="594"/>
      <c r="S115" s="131"/>
      <c r="T115" s="131"/>
      <c r="U115" s="131"/>
      <c r="V115" s="605"/>
    </row>
    <row r="116" spans="3:22" s="37" customFormat="1">
      <c r="C116" s="131"/>
      <c r="D116" s="153" t="str">
        <f>D113</f>
        <v>£m 3dp</v>
      </c>
      <c r="E116" s="655" t="str">
        <f>E113</f>
        <v>Water: Present value of revenue adjustments (2012-13 prices)</v>
      </c>
      <c r="F116" s="155"/>
      <c r="G116" s="148"/>
      <c r="H116" s="148"/>
      <c r="I116" s="148"/>
      <c r="J116" s="156"/>
      <c r="K116" s="156"/>
      <c r="L116" s="156"/>
      <c r="M116" s="156"/>
      <c r="N116" s="604"/>
      <c r="O116" s="157"/>
      <c r="P116" s="613">
        <f>P113</f>
        <v>-12.947151065720227</v>
      </c>
      <c r="Q116" s="148"/>
      <c r="R116" s="594"/>
      <c r="S116" s="131"/>
      <c r="T116" s="131"/>
      <c r="U116" s="131"/>
      <c r="V116" s="605"/>
    </row>
    <row r="117" spans="3:22" s="37" customFormat="1">
      <c r="C117" s="131"/>
      <c r="D117" s="153" t="str">
        <f>D114</f>
        <v>£m 3dp</v>
      </c>
      <c r="E117" s="655" t="str">
        <f>E114</f>
        <v>Sewerage: Present value of revenue adjustments (2012-13 prices)</v>
      </c>
      <c r="F117" s="155"/>
      <c r="G117" s="148"/>
      <c r="H117" s="148"/>
      <c r="I117" s="148"/>
      <c r="J117" s="156"/>
      <c r="K117" s="156"/>
      <c r="L117" s="156"/>
      <c r="M117" s="156"/>
      <c r="N117" s="604"/>
      <c r="O117" s="157"/>
      <c r="P117" s="613">
        <f>P114</f>
        <v>-64.622590594435223</v>
      </c>
      <c r="Q117" s="148"/>
      <c r="R117" s="594"/>
      <c r="S117" s="131"/>
      <c r="T117" s="131"/>
      <c r="U117" s="131"/>
      <c r="V117" s="605"/>
    </row>
    <row r="118" spans="3:22" s="37" customFormat="1">
      <c r="C118" s="131"/>
      <c r="D118" s="153" t="str">
        <f>D13</f>
        <v>£m 3dp</v>
      </c>
      <c r="E118" s="646" t="str">
        <f>E13</f>
        <v>Water: Future value of ex post revenue adjustment of prior year annual adjustments (2012-13 prices)</v>
      </c>
      <c r="F118" s="155"/>
      <c r="G118" s="148"/>
      <c r="H118" s="148"/>
      <c r="I118" s="148"/>
      <c r="J118" s="156"/>
      <c r="K118" s="156"/>
      <c r="L118" s="156"/>
      <c r="M118" s="156"/>
      <c r="N118" s="604"/>
      <c r="O118" s="157"/>
      <c r="P118" s="613">
        <f>P13</f>
        <v>-15.060711754238387</v>
      </c>
      <c r="Q118" s="148"/>
      <c r="R118" s="594"/>
      <c r="S118" s="131"/>
      <c r="T118" s="131"/>
      <c r="U118" s="131"/>
      <c r="V118" s="605"/>
    </row>
    <row r="119" spans="3:22" s="37" customFormat="1">
      <c r="C119" s="131"/>
      <c r="D119" s="153" t="str">
        <f>D14</f>
        <v>£m 3dp</v>
      </c>
      <c r="E119" s="646" t="str">
        <f>E14</f>
        <v>Sewerage: Future value of ex post revenue adjustment of prior year annual adjustments (2012-13 prices)</v>
      </c>
      <c r="F119" s="155"/>
      <c r="G119" s="148"/>
      <c r="H119" s="148"/>
      <c r="I119" s="148"/>
      <c r="J119" s="156"/>
      <c r="K119" s="156"/>
      <c r="L119" s="156"/>
      <c r="M119" s="156"/>
      <c r="N119" s="365"/>
      <c r="O119" s="157"/>
      <c r="P119" s="613">
        <f>P14</f>
        <v>-72.320242653420109</v>
      </c>
      <c r="Q119" s="148"/>
      <c r="R119" s="594"/>
      <c r="S119" s="131"/>
      <c r="T119" s="131"/>
      <c r="U119" s="131"/>
      <c r="V119" s="595"/>
    </row>
    <row r="120" spans="3:22" s="37" customFormat="1">
      <c r="C120" s="131"/>
      <c r="D120" s="615" t="str">
        <f>D$20</f>
        <v>Nr 3dp</v>
      </c>
      <c r="E120" s="646" t="s">
        <v>560</v>
      </c>
      <c r="F120" s="155"/>
      <c r="G120" s="148"/>
      <c r="H120" s="148"/>
      <c r="I120" s="148"/>
      <c r="J120" s="156"/>
      <c r="K120" s="156"/>
      <c r="L120" s="156"/>
      <c r="M120" s="156"/>
      <c r="N120" s="604"/>
      <c r="O120" s="157"/>
      <c r="P120" s="613">
        <f>P118/P116</f>
        <v>1.1632452326994291</v>
      </c>
      <c r="Q120" s="148"/>
      <c r="R120" s="594"/>
      <c r="S120" s="131"/>
      <c r="T120" s="131"/>
      <c r="U120" s="131"/>
      <c r="V120" s="605"/>
    </row>
    <row r="121" spans="3:22" s="37" customFormat="1">
      <c r="C121" s="131"/>
      <c r="D121" s="615" t="str">
        <f>D$20</f>
        <v>Nr 3dp</v>
      </c>
      <c r="E121" s="646" t="s">
        <v>561</v>
      </c>
      <c r="F121" s="155"/>
      <c r="G121" s="148"/>
      <c r="H121" s="148"/>
      <c r="I121" s="148"/>
      <c r="J121" s="156"/>
      <c r="K121" s="156"/>
      <c r="L121" s="156"/>
      <c r="M121" s="156"/>
      <c r="N121" s="604"/>
      <c r="O121" s="157"/>
      <c r="P121" s="613">
        <f>P119/P117</f>
        <v>1.1191170454198371</v>
      </c>
      <c r="Q121" s="148"/>
      <c r="R121" s="594"/>
      <c r="S121" s="131"/>
      <c r="T121" s="131"/>
      <c r="U121" s="131"/>
      <c r="V121" s="605"/>
    </row>
    <row r="122" spans="3:22" s="37" customFormat="1">
      <c r="C122" s="131"/>
      <c r="D122" s="153"/>
      <c r="E122" s="646"/>
      <c r="F122" s="155"/>
      <c r="G122" s="148"/>
      <c r="H122" s="148"/>
      <c r="I122" s="148"/>
      <c r="J122" s="156"/>
      <c r="K122" s="156"/>
      <c r="L122" s="156"/>
      <c r="M122" s="156"/>
      <c r="N122" s="604"/>
      <c r="O122" s="157"/>
      <c r="P122" s="158"/>
      <c r="Q122" s="148"/>
      <c r="R122" s="594"/>
      <c r="S122" s="131"/>
      <c r="T122" s="131"/>
      <c r="U122" s="131"/>
      <c r="V122" s="605"/>
    </row>
    <row r="123" spans="3:22" s="37" customFormat="1">
      <c r="C123" s="131">
        <v>5</v>
      </c>
      <c r="D123" s="131" t="s">
        <v>57</v>
      </c>
      <c r="E123" s="643" t="s">
        <v>571</v>
      </c>
      <c r="F123" s="155"/>
      <c r="G123" s="148"/>
      <c r="H123" s="148"/>
      <c r="I123" s="148"/>
      <c r="J123" s="156"/>
      <c r="K123" s="156"/>
      <c r="L123" s="156"/>
      <c r="M123" s="156"/>
      <c r="N123" s="604"/>
      <c r="O123" s="157"/>
      <c r="P123" s="158"/>
      <c r="Q123" s="148"/>
      <c r="R123" s="620">
        <f t="shared" ref="R123:V124" si="43">$P120*R106</f>
        <v>3.0263789324849246</v>
      </c>
      <c r="S123" s="616">
        <f t="shared" si="43"/>
        <v>2.7207652558594577</v>
      </c>
      <c r="T123" s="616">
        <f t="shared" si="43"/>
        <v>-3.6089881452726003</v>
      </c>
      <c r="U123" s="616">
        <f t="shared" si="43"/>
        <v>-9.1673964884210459</v>
      </c>
      <c r="V123" s="621">
        <f t="shared" si="43"/>
        <v>-10.490060703828794</v>
      </c>
    </row>
    <row r="124" spans="3:22" s="37" customFormat="1">
      <c r="C124" s="131">
        <v>5</v>
      </c>
      <c r="D124" s="131" t="s">
        <v>57</v>
      </c>
      <c r="E124" s="643" t="s">
        <v>572</v>
      </c>
      <c r="F124" s="155"/>
      <c r="G124" s="148"/>
      <c r="H124" s="148"/>
      <c r="I124" s="148"/>
      <c r="J124" s="156"/>
      <c r="K124" s="156"/>
      <c r="L124" s="156"/>
      <c r="M124" s="156"/>
      <c r="N124" s="604"/>
      <c r="O124" s="157"/>
      <c r="P124" s="158"/>
      <c r="Q124" s="148"/>
      <c r="R124" s="620">
        <f t="shared" si="43"/>
        <v>5.9030074544726281</v>
      </c>
      <c r="S124" s="616">
        <f t="shared" si="43"/>
        <v>-5.4784212636965925</v>
      </c>
      <c r="T124" s="616">
        <f t="shared" si="43"/>
        <v>-21.930189190628184</v>
      </c>
      <c r="U124" s="616">
        <f t="shared" si="43"/>
        <v>-29.220770939271617</v>
      </c>
      <c r="V124" s="621">
        <f t="shared" si="43"/>
        <v>-30.208442343217435</v>
      </c>
    </row>
    <row r="125" spans="3:22" s="37" customFormat="1">
      <c r="C125" s="131"/>
      <c r="D125" s="153"/>
      <c r="E125" s="646"/>
      <c r="F125" s="155"/>
      <c r="G125" s="148"/>
      <c r="H125" s="148"/>
      <c r="I125" s="148"/>
      <c r="J125" s="156"/>
      <c r="K125" s="156"/>
      <c r="L125" s="156"/>
      <c r="M125" s="156"/>
      <c r="N125" s="604"/>
      <c r="O125" s="157"/>
      <c r="P125" s="158"/>
      <c r="Q125" s="148"/>
      <c r="R125" s="594"/>
      <c r="S125" s="131"/>
      <c r="T125" s="131"/>
      <c r="U125" s="131"/>
      <c r="V125" s="605"/>
    </row>
    <row r="126" spans="3:22" s="37" customFormat="1">
      <c r="C126" s="131" t="s">
        <v>555</v>
      </c>
      <c r="D126" s="131"/>
      <c r="E126" s="643"/>
      <c r="F126" s="131"/>
      <c r="G126" s="148"/>
      <c r="H126" s="148"/>
      <c r="I126" s="148"/>
      <c r="J126" s="106"/>
      <c r="K126" s="106"/>
      <c r="L126" s="106"/>
      <c r="M126" s="106"/>
      <c r="N126" s="612"/>
      <c r="O126" s="203"/>
      <c r="P126" s="136"/>
      <c r="Q126" s="131"/>
      <c r="R126" s="603"/>
      <c r="S126" s="131"/>
      <c r="T126" s="131"/>
      <c r="U126" s="131"/>
      <c r="V126" s="605"/>
    </row>
    <row r="127" spans="3:22" s="37" customFormat="1">
      <c r="C127" s="131"/>
      <c r="D127" s="616" t="str">
        <f>D$20</f>
        <v>Nr 3dp</v>
      </c>
      <c r="E127" s="643" t="str">
        <f>E$20</f>
        <v>Discount factors</v>
      </c>
      <c r="F127" s="616"/>
      <c r="G127" s="616"/>
      <c r="H127" s="616"/>
      <c r="I127" s="616"/>
      <c r="J127" s="617"/>
      <c r="K127" s="617"/>
      <c r="L127" s="617"/>
      <c r="M127" s="617"/>
      <c r="N127" s="618"/>
      <c r="O127" s="619"/>
      <c r="P127" s="613"/>
      <c r="Q127" s="616"/>
      <c r="R127" s="620">
        <f>R$20</f>
        <v>1</v>
      </c>
      <c r="S127" s="616">
        <f>S$20</f>
        <v>0.96525096525096521</v>
      </c>
      <c r="T127" s="616">
        <f>T$20</f>
        <v>0.93170942591792005</v>
      </c>
      <c r="U127" s="616">
        <f>U$20</f>
        <v>0.89933342270069505</v>
      </c>
      <c r="V127" s="621">
        <f>V$20</f>
        <v>0.8680824543443002</v>
      </c>
    </row>
    <row r="128" spans="3:22" s="37" customFormat="1">
      <c r="C128" s="131"/>
      <c r="D128" s="131" t="s">
        <v>57</v>
      </c>
      <c r="E128" s="643" t="s">
        <v>411</v>
      </c>
      <c r="F128" s="131"/>
      <c r="G128" s="148"/>
      <c r="H128" s="148"/>
      <c r="I128" s="148"/>
      <c r="J128" s="106"/>
      <c r="K128" s="106"/>
      <c r="L128" s="106"/>
      <c r="M128" s="106"/>
      <c r="N128" s="612"/>
      <c r="O128" s="203"/>
      <c r="P128" s="136"/>
      <c r="Q128" s="131"/>
      <c r="R128" s="603">
        <f>R123*R127</f>
        <v>3.0263789324849246</v>
      </c>
      <c r="S128" s="616">
        <f t="shared" ref="S128" si="44">S123*S127</f>
        <v>2.6262212894396311</v>
      </c>
      <c r="T128" s="616">
        <f t="shared" ref="T128" si="45">T123*T127</f>
        <v>-3.3625282729765136</v>
      </c>
      <c r="U128" s="616">
        <f t="shared" ref="U128" si="46">U123*U127</f>
        <v>-8.2445460611860319</v>
      </c>
      <c r="V128" s="621">
        <f t="shared" ref="V128" si="47">V123*V127</f>
        <v>-9.1062376420003961</v>
      </c>
    </row>
    <row r="129" spans="1:22" s="37" customFormat="1">
      <c r="C129" s="131"/>
      <c r="D129" s="131" t="s">
        <v>57</v>
      </c>
      <c r="E129" s="643" t="s">
        <v>412</v>
      </c>
      <c r="F129" s="131"/>
      <c r="G129" s="148"/>
      <c r="H129" s="148"/>
      <c r="I129" s="148"/>
      <c r="J129" s="106"/>
      <c r="K129" s="106"/>
      <c r="L129" s="106"/>
      <c r="M129" s="106"/>
      <c r="N129" s="612"/>
      <c r="O129" s="203"/>
      <c r="P129" s="136"/>
      <c r="Q129" s="131"/>
      <c r="R129" s="603">
        <f>R124*R127</f>
        <v>5.9030074544726281</v>
      </c>
      <c r="S129" s="616">
        <f t="shared" ref="S129:V129" si="48">S124*S127</f>
        <v>-5.2880514128345482</v>
      </c>
      <c r="T129" s="616">
        <f t="shared" si="48"/>
        <v>-20.43256398107156</v>
      </c>
      <c r="U129" s="616">
        <f t="shared" si="48"/>
        <v>-26.279215942768147</v>
      </c>
      <c r="V129" s="621">
        <f t="shared" si="48"/>
        <v>-26.223418771218473</v>
      </c>
    </row>
    <row r="130" spans="1:22" s="37" customFormat="1">
      <c r="C130" s="131"/>
      <c r="D130" s="131" t="s">
        <v>57</v>
      </c>
      <c r="E130" s="643" t="s">
        <v>557</v>
      </c>
      <c r="F130" s="131"/>
      <c r="G130" s="148"/>
      <c r="H130" s="148"/>
      <c r="I130" s="148"/>
      <c r="J130" s="106"/>
      <c r="K130" s="106"/>
      <c r="L130" s="106"/>
      <c r="M130" s="106"/>
      <c r="N130" s="612"/>
      <c r="O130" s="203"/>
      <c r="P130" s="622">
        <f>SUM(R128:V128)</f>
        <v>-15.060711754238387</v>
      </c>
      <c r="Q130" s="131"/>
      <c r="R130" s="603"/>
      <c r="S130" s="131"/>
      <c r="T130" s="131"/>
      <c r="U130" s="131"/>
      <c r="V130" s="605"/>
    </row>
    <row r="131" spans="1:22" s="37" customFormat="1">
      <c r="C131" s="131"/>
      <c r="D131" s="131" t="s">
        <v>57</v>
      </c>
      <c r="E131" s="643" t="s">
        <v>558</v>
      </c>
      <c r="F131" s="155"/>
      <c r="G131" s="148"/>
      <c r="H131" s="148"/>
      <c r="I131" s="148"/>
      <c r="J131" s="156"/>
      <c r="K131" s="156"/>
      <c r="L131" s="156"/>
      <c r="M131" s="156"/>
      <c r="N131" s="365"/>
      <c r="O131" s="157"/>
      <c r="P131" s="622">
        <f>SUM(R129:V129)</f>
        <v>-72.320242653420095</v>
      </c>
      <c r="Q131" s="148"/>
      <c r="R131" s="594"/>
      <c r="S131" s="131"/>
      <c r="T131" s="131"/>
      <c r="U131" s="131"/>
      <c r="V131" s="595"/>
    </row>
    <row r="132" spans="1:22" s="37" customFormat="1">
      <c r="C132" s="131"/>
      <c r="D132" s="153"/>
      <c r="E132" s="646"/>
      <c r="F132" s="155"/>
      <c r="G132" s="148"/>
      <c r="H132" s="148"/>
      <c r="I132" s="148"/>
      <c r="J132" s="156"/>
      <c r="K132" s="156"/>
      <c r="L132" s="156"/>
      <c r="M132" s="156"/>
      <c r="N132" s="365"/>
      <c r="O132" s="157"/>
      <c r="P132" s="158"/>
      <c r="Q132" s="148"/>
      <c r="R132" s="594"/>
      <c r="S132" s="131"/>
      <c r="T132" s="131"/>
      <c r="U132" s="131"/>
      <c r="V132" s="595"/>
    </row>
    <row r="133" spans="1:22">
      <c r="A133" s="479"/>
      <c r="B133" s="452"/>
      <c r="C133" s="574"/>
      <c r="D133" s="481"/>
      <c r="E133" s="647" t="s">
        <v>538</v>
      </c>
      <c r="F133" s="440"/>
      <c r="G133" s="440"/>
      <c r="H133" s="440"/>
      <c r="I133" s="440"/>
      <c r="J133" s="440"/>
      <c r="K133" s="440"/>
      <c r="L133" s="440"/>
      <c r="M133" s="440"/>
      <c r="N133" s="446"/>
      <c r="O133" s="440"/>
      <c r="P133" s="475"/>
      <c r="Q133" s="476"/>
      <c r="R133" s="592"/>
      <c r="S133" s="503"/>
      <c r="T133" s="503"/>
      <c r="U133" s="503"/>
      <c r="V133" s="593"/>
    </row>
    <row r="134" spans="1:22" s="37" customFormat="1">
      <c r="C134" s="131"/>
      <c r="D134" s="153"/>
      <c r="E134" s="646"/>
      <c r="F134" s="155"/>
      <c r="G134" s="148"/>
      <c r="H134" s="148"/>
      <c r="I134" s="148"/>
      <c r="J134" s="156"/>
      <c r="K134" s="156"/>
      <c r="L134" s="156"/>
      <c r="M134" s="156"/>
      <c r="N134" s="365"/>
      <c r="O134" s="157"/>
      <c r="P134" s="158"/>
      <c r="Q134" s="148"/>
      <c r="R134" s="594"/>
      <c r="S134" s="131"/>
      <c r="T134" s="131"/>
      <c r="U134" s="131"/>
      <c r="V134" s="595"/>
    </row>
    <row r="135" spans="1:22" s="37" customFormat="1">
      <c r="C135" s="131"/>
      <c r="D135" s="153" t="s">
        <v>16</v>
      </c>
      <c r="E135" s="646" t="s">
        <v>536</v>
      </c>
      <c r="F135" s="155"/>
      <c r="G135" s="148"/>
      <c r="H135" s="148"/>
      <c r="I135" s="148"/>
      <c r="J135" s="156"/>
      <c r="K135" s="156"/>
      <c r="L135" s="156"/>
      <c r="M135" s="156"/>
      <c r="N135" s="365"/>
      <c r="O135" s="157"/>
      <c r="P135" s="602">
        <f>'Input FD'!$O$154</f>
        <v>1</v>
      </c>
      <c r="Q135" s="148"/>
      <c r="R135" s="594"/>
      <c r="S135" s="131"/>
      <c r="T135" s="131"/>
      <c r="U135" s="131"/>
      <c r="V135" s="595"/>
    </row>
    <row r="136" spans="1:22" s="37" customFormat="1">
      <c r="C136" s="131"/>
      <c r="D136" s="153"/>
      <c r="E136" s="643"/>
      <c r="F136" s="131"/>
      <c r="G136" s="131"/>
      <c r="H136" s="131"/>
      <c r="I136" s="131"/>
      <c r="J136" s="156"/>
      <c r="K136" s="156"/>
      <c r="L136" s="156"/>
      <c r="M136" s="156"/>
      <c r="N136" s="365"/>
      <c r="P136" s="625"/>
      <c r="Q136" s="131"/>
      <c r="R136" s="594"/>
      <c r="S136" s="131"/>
      <c r="T136" s="131"/>
      <c r="U136" s="131"/>
      <c r="V136" s="595"/>
    </row>
    <row r="137" spans="1:22" s="37" customFormat="1">
      <c r="C137" s="153">
        <f>C31</f>
        <v>0</v>
      </c>
      <c r="D137" s="153" t="str">
        <f>D31</f>
        <v>£m 3dp</v>
      </c>
      <c r="E137" s="646" t="str">
        <f>E31</f>
        <v>Water: value of ex post revenue adjustment if applied in first year (2012-13 prices)</v>
      </c>
      <c r="F137" s="131"/>
      <c r="G137" s="131"/>
      <c r="H137" s="131"/>
      <c r="I137" s="131"/>
      <c r="J137" s="156"/>
      <c r="K137" s="156"/>
      <c r="L137" s="156"/>
      <c r="M137" s="156"/>
      <c r="N137" s="604"/>
      <c r="P137" s="136"/>
      <c r="Q137" s="131"/>
      <c r="R137" s="620">
        <f>R31</f>
        <v>-15.060711754238387</v>
      </c>
      <c r="S137" s="616">
        <f>S31</f>
        <v>0</v>
      </c>
      <c r="T137" s="616">
        <f>T31</f>
        <v>0</v>
      </c>
      <c r="U137" s="616">
        <f>U31</f>
        <v>0</v>
      </c>
      <c r="V137" s="621">
        <f>V31</f>
        <v>0</v>
      </c>
    </row>
    <row r="138" spans="1:22" s="37" customFormat="1">
      <c r="C138" s="131">
        <f>C47</f>
        <v>1</v>
      </c>
      <c r="D138" s="131" t="str">
        <f>D47</f>
        <v>£m 3dp</v>
      </c>
      <c r="E138" s="643" t="str">
        <f>E47</f>
        <v>Water: value of ex post revenue adjustment with 5-year annuity approach (2012-13 prices)</v>
      </c>
      <c r="F138" s="131"/>
      <c r="G138" s="131"/>
      <c r="H138" s="131"/>
      <c r="I138" s="131"/>
      <c r="J138" s="156"/>
      <c r="K138" s="156"/>
      <c r="L138" s="156"/>
      <c r="M138" s="156"/>
      <c r="N138" s="604"/>
      <c r="P138" s="136"/>
      <c r="Q138" s="131"/>
      <c r="R138" s="620">
        <f>R47</f>
        <v>-3.2288801091952974</v>
      </c>
      <c r="S138" s="616">
        <f>S47</f>
        <v>-3.2288801091952974</v>
      </c>
      <c r="T138" s="616">
        <f>T47</f>
        <v>-3.2288801091952974</v>
      </c>
      <c r="U138" s="616">
        <f>U47</f>
        <v>-3.2288801091952974</v>
      </c>
      <c r="V138" s="621">
        <f>V47</f>
        <v>-3.2288801091952974</v>
      </c>
    </row>
    <row r="139" spans="1:22" s="37" customFormat="1">
      <c r="C139" s="131">
        <f>C64</f>
        <v>2</v>
      </c>
      <c r="D139" s="131" t="str">
        <f>D64</f>
        <v>£m 3dp</v>
      </c>
      <c r="E139" s="643" t="str">
        <f>E64</f>
        <v>Water: value of ex post revenue adjustment with Non NPV neutral even allocation(2012-13 prices)</v>
      </c>
      <c r="F139" s="131"/>
      <c r="G139" s="131"/>
      <c r="H139" s="131"/>
      <c r="I139" s="131"/>
      <c r="J139" s="156"/>
      <c r="K139" s="156"/>
      <c r="L139" s="156"/>
      <c r="M139" s="156"/>
      <c r="N139" s="604"/>
      <c r="P139" s="136"/>
      <c r="Q139" s="131"/>
      <c r="R139" s="620">
        <f>R64</f>
        <v>-3.0121423508476775</v>
      </c>
      <c r="S139" s="616">
        <f>S64</f>
        <v>-3.0121423508476775</v>
      </c>
      <c r="T139" s="616">
        <f>T64</f>
        <v>-3.0121423508476775</v>
      </c>
      <c r="U139" s="616">
        <f>U64</f>
        <v>-3.0121423508476775</v>
      </c>
      <c r="V139" s="621">
        <f>V64</f>
        <v>-3.0121423508476775</v>
      </c>
    </row>
    <row r="140" spans="1:22" s="37" customFormat="1">
      <c r="C140" s="131">
        <f>C82</f>
        <v>3</v>
      </c>
      <c r="D140" s="131" t="str">
        <f>D82</f>
        <v>£m 3dp</v>
      </c>
      <c r="E140" s="643" t="str">
        <f>E82</f>
        <v>Water: value of ex post revenue adjustment with NPV neutral even allocation(2012-13 prices)</v>
      </c>
      <c r="F140" s="131"/>
      <c r="G140" s="131"/>
      <c r="H140" s="131"/>
      <c r="I140" s="131"/>
      <c r="J140" s="156"/>
      <c r="K140" s="156"/>
      <c r="L140" s="156"/>
      <c r="M140" s="156"/>
      <c r="N140" s="604"/>
      <c r="P140" s="136"/>
      <c r="Q140" s="131"/>
      <c r="R140" s="620">
        <f>R82</f>
        <v>-3.0121423508476775</v>
      </c>
      <c r="S140" s="616">
        <f>S82</f>
        <v>-3.1205794754781939</v>
      </c>
      <c r="T140" s="616">
        <f>T82</f>
        <v>-3.2329203365954089</v>
      </c>
      <c r="U140" s="616">
        <f>U82</f>
        <v>-3.3493054687128438</v>
      </c>
      <c r="V140" s="621">
        <f>V82</f>
        <v>-3.4698804655865061</v>
      </c>
    </row>
    <row r="141" spans="1:22" s="37" customFormat="1">
      <c r="C141" s="131">
        <f>C94</f>
        <v>4</v>
      </c>
      <c r="D141" s="131" t="str">
        <f>D94</f>
        <v>£m 3dp</v>
      </c>
      <c r="E141" s="643" t="str">
        <f>E94</f>
        <v>Water: value of ex post revenue adjustment with lagged annual values non NPV neutral (2012-13 prices)</v>
      </c>
      <c r="F141" s="131"/>
      <c r="G141" s="131"/>
      <c r="H141" s="131"/>
      <c r="I141" s="131"/>
      <c r="J141" s="156"/>
      <c r="K141" s="156"/>
      <c r="L141" s="156"/>
      <c r="M141" s="156"/>
      <c r="N141" s="604"/>
      <c r="P141" s="136"/>
      <c r="Q141" s="131"/>
      <c r="R141" s="620">
        <f>R94</f>
        <v>2.6016688892521</v>
      </c>
      <c r="S141" s="616">
        <f>S94</f>
        <v>2.3389438266131077</v>
      </c>
      <c r="T141" s="616">
        <f>T94</f>
        <v>-3.102517030650171</v>
      </c>
      <c r="U141" s="616">
        <f>U94</f>
        <v>-7.8808803429584389</v>
      </c>
      <c r="V141" s="621">
        <f>V94</f>
        <v>-9.0179270964949829</v>
      </c>
    </row>
    <row r="142" spans="1:22" s="37" customFormat="1">
      <c r="C142" s="131">
        <f>C123</f>
        <v>5</v>
      </c>
      <c r="D142" s="131" t="str">
        <f t="shared" ref="D142:E142" si="49">D123</f>
        <v>£m 3dp</v>
      </c>
      <c r="E142" s="643" t="str">
        <f t="shared" si="49"/>
        <v>Water: value of ex post revenue adjustment with lagged annual values NPV neutral (2012-13 prices)</v>
      </c>
      <c r="F142" s="131"/>
      <c r="G142" s="131"/>
      <c r="H142" s="131"/>
      <c r="I142" s="131"/>
      <c r="J142" s="156"/>
      <c r="K142" s="156"/>
      <c r="L142" s="156"/>
      <c r="M142" s="156"/>
      <c r="N142" s="604"/>
      <c r="P142" s="136"/>
      <c r="Q142" s="131"/>
      <c r="R142" s="620">
        <f t="shared" ref="R142:V142" si="50">R123</f>
        <v>3.0263789324849246</v>
      </c>
      <c r="S142" s="616">
        <f t="shared" si="50"/>
        <v>2.7207652558594577</v>
      </c>
      <c r="T142" s="616">
        <f t="shared" si="50"/>
        <v>-3.6089881452726003</v>
      </c>
      <c r="U142" s="616">
        <f t="shared" si="50"/>
        <v>-9.1673964884210459</v>
      </c>
      <c r="V142" s="621">
        <f t="shared" si="50"/>
        <v>-10.490060703828794</v>
      </c>
    </row>
    <row r="143" spans="1:22" s="37" customFormat="1">
      <c r="C143" s="131"/>
      <c r="D143" s="632" t="s">
        <v>57</v>
      </c>
      <c r="E143" s="648" t="s">
        <v>411</v>
      </c>
      <c r="F143" s="632"/>
      <c r="G143" s="131"/>
      <c r="H143" s="131"/>
      <c r="I143" s="131"/>
      <c r="J143" s="156"/>
      <c r="K143" s="156"/>
      <c r="L143" s="156"/>
      <c r="M143" s="156"/>
      <c r="N143" s="604"/>
      <c r="P143" s="136"/>
      <c r="Q143" s="131"/>
      <c r="R143" s="629">
        <f>CHOOSE($P$135+1,R137,R138,R139,R140,R141,R142)</f>
        <v>-3.2288801091952974</v>
      </c>
      <c r="S143" s="630">
        <f t="shared" ref="S143:V143" si="51">CHOOSE($P$135+1,S137,S138,S139,S140,S141,S142)</f>
        <v>-3.2288801091952974</v>
      </c>
      <c r="T143" s="630">
        <f t="shared" si="51"/>
        <v>-3.2288801091952974</v>
      </c>
      <c r="U143" s="630">
        <f t="shared" si="51"/>
        <v>-3.2288801091952974</v>
      </c>
      <c r="V143" s="631">
        <f t="shared" si="51"/>
        <v>-3.2288801091952974</v>
      </c>
    </row>
    <row r="144" spans="1:22" s="37" customFormat="1">
      <c r="C144" s="131"/>
      <c r="D144" s="153"/>
      <c r="E144" s="643"/>
      <c r="F144" s="131"/>
      <c r="G144" s="131"/>
      <c r="H144" s="131"/>
      <c r="I144" s="131"/>
      <c r="J144" s="156"/>
      <c r="K144" s="156"/>
      <c r="L144" s="156"/>
      <c r="M144" s="156"/>
      <c r="N144" s="604"/>
      <c r="P144" s="136"/>
      <c r="Q144" s="131"/>
      <c r="R144" s="620"/>
      <c r="S144" s="616"/>
      <c r="T144" s="616"/>
      <c r="U144" s="616"/>
      <c r="V144" s="621"/>
    </row>
    <row r="145" spans="1:22" s="37" customFormat="1">
      <c r="C145" s="131">
        <f>C32</f>
        <v>0</v>
      </c>
      <c r="D145" s="131" t="str">
        <f>D32</f>
        <v>£m 3dp</v>
      </c>
      <c r="E145" s="643" t="str">
        <f>E32</f>
        <v>Sewerage: value of ex post revenue adjustment if applied in first year (2012-13 prices)</v>
      </c>
      <c r="F145" s="131"/>
      <c r="G145" s="131"/>
      <c r="H145" s="131"/>
      <c r="I145" s="131"/>
      <c r="J145" s="156"/>
      <c r="K145" s="156"/>
      <c r="L145" s="156"/>
      <c r="M145" s="156"/>
      <c r="N145" s="604"/>
      <c r="P145" s="136"/>
      <c r="Q145" s="131"/>
      <c r="R145" s="620">
        <f>R32</f>
        <v>-72.320242653420109</v>
      </c>
      <c r="S145" s="616">
        <f>S32</f>
        <v>0</v>
      </c>
      <c r="T145" s="616">
        <f>T32</f>
        <v>0</v>
      </c>
      <c r="U145" s="616">
        <f>U32</f>
        <v>0</v>
      </c>
      <c r="V145" s="621">
        <f>V32</f>
        <v>0</v>
      </c>
    </row>
    <row r="146" spans="1:22" s="37" customFormat="1">
      <c r="C146" s="131">
        <f>C48</f>
        <v>1</v>
      </c>
      <c r="D146" s="131" t="str">
        <f>D48</f>
        <v>£m 3dp</v>
      </c>
      <c r="E146" s="643" t="str">
        <f>E48</f>
        <v>Sewerage: value of ex post revenue adjustment with 5-year annuity approach (2012-13 prices)</v>
      </c>
      <c r="F146" s="131"/>
      <c r="G146" s="131"/>
      <c r="H146" s="131"/>
      <c r="I146" s="131"/>
      <c r="J146" s="156"/>
      <c r="K146" s="156"/>
      <c r="L146" s="156"/>
      <c r="M146" s="156"/>
      <c r="N146" s="604"/>
      <c r="P146" s="136"/>
      <c r="Q146" s="131"/>
      <c r="R146" s="620">
        <f>R48</f>
        <v>-15.504804607265003</v>
      </c>
      <c r="S146" s="616">
        <f>S48</f>
        <v>-15.504804607265003</v>
      </c>
      <c r="T146" s="616">
        <f>T48</f>
        <v>-15.504804607265003</v>
      </c>
      <c r="U146" s="616">
        <f>U48</f>
        <v>-15.504804607265003</v>
      </c>
      <c r="V146" s="621">
        <f>V48</f>
        <v>-15.504804607265003</v>
      </c>
    </row>
    <row r="147" spans="1:22" s="37" customFormat="1">
      <c r="C147" s="131">
        <f>C65</f>
        <v>2</v>
      </c>
      <c r="D147" s="131" t="str">
        <f>D65</f>
        <v>£m 3dp</v>
      </c>
      <c r="E147" s="643" t="str">
        <f>E65</f>
        <v>Sewerage: value of ex post revenue adjustment with Non NPV neutral even allocation(2012-13 prices)</v>
      </c>
      <c r="F147" s="131"/>
      <c r="G147" s="131"/>
      <c r="H147" s="131"/>
      <c r="I147" s="131"/>
      <c r="J147" s="156"/>
      <c r="K147" s="156"/>
      <c r="L147" s="156"/>
      <c r="M147" s="156"/>
      <c r="N147" s="604"/>
      <c r="P147" s="136"/>
      <c r="Q147" s="131"/>
      <c r="R147" s="620">
        <f>R65</f>
        <v>-14.464048530684021</v>
      </c>
      <c r="S147" s="616">
        <f>S65</f>
        <v>-14.464048530684021</v>
      </c>
      <c r="T147" s="616">
        <f>T65</f>
        <v>-14.464048530684021</v>
      </c>
      <c r="U147" s="616">
        <f>U65</f>
        <v>-14.464048530684021</v>
      </c>
      <c r="V147" s="621">
        <f>V65</f>
        <v>-14.464048530684021</v>
      </c>
    </row>
    <row r="148" spans="1:22" s="37" customFormat="1">
      <c r="C148" s="131">
        <f>C83</f>
        <v>3</v>
      </c>
      <c r="D148" s="131" t="str">
        <f>D83</f>
        <v>£m 3dp</v>
      </c>
      <c r="E148" s="643" t="str">
        <f>E83</f>
        <v>Sewerage: value of ex post revenue adjustment with NPV neutral even allocation(2012-13 prices)</v>
      </c>
      <c r="F148" s="131"/>
      <c r="G148" s="131"/>
      <c r="H148" s="131"/>
      <c r="I148" s="131"/>
      <c r="J148" s="156"/>
      <c r="K148" s="156"/>
      <c r="L148" s="156"/>
      <c r="M148" s="156"/>
      <c r="N148" s="604"/>
      <c r="P148" s="136"/>
      <c r="Q148" s="131"/>
      <c r="R148" s="620">
        <f>R83</f>
        <v>-14.464048530684021</v>
      </c>
      <c r="S148" s="616">
        <f>S83</f>
        <v>-14.984754277788646</v>
      </c>
      <c r="T148" s="616">
        <f>T83</f>
        <v>-15.524205431789037</v>
      </c>
      <c r="U148" s="616">
        <f>U83</f>
        <v>-16.083076827333443</v>
      </c>
      <c r="V148" s="621">
        <f>V83</f>
        <v>-16.662067593117449</v>
      </c>
    </row>
    <row r="149" spans="1:22" s="37" customFormat="1">
      <c r="C149" s="131">
        <f>C95</f>
        <v>4</v>
      </c>
      <c r="D149" s="131" t="str">
        <f>D95</f>
        <v>£m 3dp</v>
      </c>
      <c r="E149" s="643" t="str">
        <f>E95</f>
        <v>Sewerage: value of ex post revenue adjustment with lagged annual values non NPV neutral (2012-13 prices)</v>
      </c>
      <c r="F149" s="131"/>
      <c r="G149" s="131"/>
      <c r="H149" s="131"/>
      <c r="I149" s="131"/>
      <c r="J149" s="156"/>
      <c r="K149" s="156"/>
      <c r="L149" s="156"/>
      <c r="M149" s="156"/>
      <c r="N149" s="604"/>
      <c r="P149" s="136"/>
      <c r="Q149" s="131"/>
      <c r="R149" s="620">
        <f>R95</f>
        <v>5.2747006925072011</v>
      </c>
      <c r="S149" s="616">
        <f>S95</f>
        <v>-4.895306783251935</v>
      </c>
      <c r="T149" s="616">
        <f>T95</f>
        <v>-19.595974594776248</v>
      </c>
      <c r="U149" s="616">
        <f>U95</f>
        <v>-26.1105583717648</v>
      </c>
      <c r="V149" s="621">
        <f>V95</f>
        <v>-26.993103596134333</v>
      </c>
    </row>
    <row r="150" spans="1:22" s="37" customFormat="1">
      <c r="C150" s="131">
        <f>C124</f>
        <v>5</v>
      </c>
      <c r="D150" s="131" t="str">
        <f t="shared" ref="D150:E150" si="52">D124</f>
        <v>£m 3dp</v>
      </c>
      <c r="E150" s="643" t="str">
        <f t="shared" si="52"/>
        <v>Sewerage: value of ex post revenue adjustment with lagged annual values NPV neutral (2012-13 prices)</v>
      </c>
      <c r="F150" s="131"/>
      <c r="G150" s="131"/>
      <c r="H150" s="131"/>
      <c r="I150" s="131"/>
      <c r="J150" s="156"/>
      <c r="K150" s="156"/>
      <c r="L150" s="156"/>
      <c r="M150" s="156"/>
      <c r="N150" s="604"/>
      <c r="P150" s="136"/>
      <c r="Q150" s="131"/>
      <c r="R150" s="620">
        <f t="shared" ref="R150:V150" si="53">R124</f>
        <v>5.9030074544726281</v>
      </c>
      <c r="S150" s="616">
        <f t="shared" si="53"/>
        <v>-5.4784212636965925</v>
      </c>
      <c r="T150" s="616">
        <f t="shared" si="53"/>
        <v>-21.930189190628184</v>
      </c>
      <c r="U150" s="616">
        <f t="shared" si="53"/>
        <v>-29.220770939271617</v>
      </c>
      <c r="V150" s="621">
        <f t="shared" si="53"/>
        <v>-30.208442343217435</v>
      </c>
    </row>
    <row r="151" spans="1:22" s="37" customFormat="1">
      <c r="C151" s="131"/>
      <c r="D151" s="632" t="s">
        <v>57</v>
      </c>
      <c r="E151" s="648" t="s">
        <v>412</v>
      </c>
      <c r="F151" s="632"/>
      <c r="G151" s="131"/>
      <c r="H151" s="131"/>
      <c r="I151" s="131"/>
      <c r="J151" s="156"/>
      <c r="K151" s="156"/>
      <c r="L151" s="156"/>
      <c r="M151" s="156"/>
      <c r="N151" s="604"/>
      <c r="P151" s="136"/>
      <c r="Q151" s="131"/>
      <c r="R151" s="629">
        <f>CHOOSE($P$135+1,R145,R146,R147,R148,R149,R150)</f>
        <v>-15.504804607265003</v>
      </c>
      <c r="S151" s="630">
        <f t="shared" ref="S151" si="54">CHOOSE($P$135+1,S145,S146,S147,S148,S149,S150)</f>
        <v>-15.504804607265003</v>
      </c>
      <c r="T151" s="630">
        <f t="shared" ref="T151" si="55">CHOOSE($P$135+1,T145,T146,T147,T148,T149,T150)</f>
        <v>-15.504804607265003</v>
      </c>
      <c r="U151" s="630">
        <f t="shared" ref="U151" si="56">CHOOSE($P$135+1,U145,U146,U147,U148,U149,U150)</f>
        <v>-15.504804607265003</v>
      </c>
      <c r="V151" s="631">
        <f t="shared" ref="V151" si="57">CHOOSE($P$135+1,V145,V146,V147,V148,V149,V150)</f>
        <v>-15.504804607265003</v>
      </c>
    </row>
    <row r="152" spans="1:22" s="37" customFormat="1">
      <c r="C152" s="131"/>
      <c r="D152" s="153"/>
      <c r="E152" s="643"/>
      <c r="F152" s="131"/>
      <c r="G152" s="131"/>
      <c r="H152" s="131"/>
      <c r="I152" s="131"/>
      <c r="J152" s="156"/>
      <c r="K152" s="156"/>
      <c r="L152" s="156"/>
      <c r="M152" s="156"/>
      <c r="N152" s="604"/>
      <c r="P152" s="136"/>
      <c r="Q152" s="131"/>
      <c r="R152" s="594"/>
      <c r="S152" s="131"/>
      <c r="T152" s="131"/>
      <c r="U152" s="131"/>
      <c r="V152" s="605"/>
    </row>
    <row r="153" spans="1:22" s="37" customFormat="1">
      <c r="C153" s="131"/>
      <c r="D153" s="153"/>
      <c r="E153" s="643"/>
      <c r="F153" s="131"/>
      <c r="G153" s="131"/>
      <c r="H153" s="131"/>
      <c r="I153" s="131"/>
      <c r="J153" s="156"/>
      <c r="K153" s="156"/>
      <c r="L153" s="156"/>
      <c r="M153" s="156"/>
      <c r="N153" s="604"/>
      <c r="P153" s="136"/>
      <c r="Q153" s="131"/>
      <c r="R153" s="594"/>
      <c r="S153" s="131"/>
      <c r="T153" s="131"/>
      <c r="U153" s="131"/>
      <c r="V153" s="605"/>
    </row>
    <row r="154" spans="1:22">
      <c r="A154" s="479"/>
      <c r="B154" s="452"/>
      <c r="C154" s="574"/>
      <c r="D154" s="481"/>
      <c r="E154" s="647" t="s">
        <v>539</v>
      </c>
      <c r="F154" s="440"/>
      <c r="G154" s="440"/>
      <c r="H154" s="440"/>
      <c r="I154" s="440"/>
      <c r="J154" s="440"/>
      <c r="K154" s="440"/>
      <c r="L154" s="440"/>
      <c r="M154" s="440"/>
      <c r="N154" s="446"/>
      <c r="O154" s="440"/>
      <c r="P154" s="475"/>
      <c r="Q154" s="476"/>
      <c r="R154" s="592"/>
      <c r="S154" s="503"/>
      <c r="T154" s="503"/>
      <c r="U154" s="503"/>
      <c r="V154" s="593"/>
    </row>
    <row r="155" spans="1:22" s="37" customFormat="1">
      <c r="C155" s="131"/>
      <c r="D155" s="131"/>
      <c r="E155" s="643"/>
      <c r="F155" s="131"/>
      <c r="G155" s="131"/>
      <c r="H155" s="131"/>
      <c r="I155" s="131"/>
      <c r="J155" s="156"/>
      <c r="K155" s="156"/>
      <c r="L155" s="156"/>
      <c r="M155" s="156"/>
      <c r="N155" s="365"/>
      <c r="P155" s="136"/>
      <c r="Q155" s="131"/>
      <c r="R155" s="594"/>
      <c r="S155" s="131"/>
      <c r="T155" s="131"/>
      <c r="U155" s="131"/>
      <c r="V155" s="595"/>
    </row>
    <row r="156" spans="1:22" s="37" customFormat="1">
      <c r="B156" s="109"/>
      <c r="C156" s="104" t="s">
        <v>484</v>
      </c>
      <c r="D156" s="104" t="s">
        <v>57</v>
      </c>
      <c r="E156" s="643" t="s">
        <v>411</v>
      </c>
      <c r="F156" s="131"/>
      <c r="G156" s="131"/>
      <c r="H156" s="131"/>
      <c r="I156" s="131"/>
      <c r="J156" s="156"/>
      <c r="K156" s="156"/>
      <c r="L156" s="156"/>
      <c r="M156" s="156"/>
      <c r="N156" s="365"/>
      <c r="P156" s="136"/>
      <c r="Q156" s="131"/>
      <c r="R156" s="626">
        <f>R143</f>
        <v>-3.2288801091952974</v>
      </c>
      <c r="S156" s="627">
        <f t="shared" ref="S156:V156" si="58">S143</f>
        <v>-3.2288801091952974</v>
      </c>
      <c r="T156" s="627">
        <f t="shared" si="58"/>
        <v>-3.2288801091952974</v>
      </c>
      <c r="U156" s="627">
        <f t="shared" si="58"/>
        <v>-3.2288801091952974</v>
      </c>
      <c r="V156" s="628">
        <f t="shared" si="58"/>
        <v>-3.2288801091952974</v>
      </c>
    </row>
    <row r="157" spans="1:22" s="37" customFormat="1">
      <c r="B157" s="109"/>
      <c r="C157" s="104" t="s">
        <v>498</v>
      </c>
      <c r="D157" s="104" t="s">
        <v>57</v>
      </c>
      <c r="E157" s="643" t="s">
        <v>412</v>
      </c>
      <c r="F157" s="131"/>
      <c r="G157" s="131"/>
      <c r="H157" s="131"/>
      <c r="I157" s="131"/>
      <c r="J157" s="156"/>
      <c r="K157" s="156"/>
      <c r="L157" s="156"/>
      <c r="M157" s="156"/>
      <c r="N157" s="365"/>
      <c r="P157" s="136"/>
      <c r="Q157" s="131"/>
      <c r="R157" s="626">
        <f>R151</f>
        <v>-15.504804607265003</v>
      </c>
      <c r="S157" s="627">
        <f t="shared" ref="S157:V157" si="59">S151</f>
        <v>-15.504804607265003</v>
      </c>
      <c r="T157" s="627">
        <f t="shared" si="59"/>
        <v>-15.504804607265003</v>
      </c>
      <c r="U157" s="627">
        <f t="shared" si="59"/>
        <v>-15.504804607265003</v>
      </c>
      <c r="V157" s="628">
        <f t="shared" si="59"/>
        <v>-15.504804607265003</v>
      </c>
    </row>
    <row r="158" spans="1:22" s="37" customFormat="1">
      <c r="C158" s="131"/>
      <c r="D158" s="153"/>
      <c r="E158" s="643"/>
      <c r="F158" s="131"/>
      <c r="G158" s="131"/>
      <c r="H158" s="131"/>
      <c r="I158" s="131"/>
      <c r="J158" s="159"/>
      <c r="K158" s="159"/>
      <c r="L158" s="159"/>
      <c r="M158" s="159"/>
      <c r="N158" s="362"/>
      <c r="P158" s="136"/>
      <c r="Q158" s="131"/>
      <c r="R158" s="594"/>
      <c r="S158" s="131"/>
      <c r="T158" s="131"/>
      <c r="U158" s="131"/>
      <c r="V158" s="595"/>
    </row>
    <row r="159" spans="1:22" s="37" customFormat="1">
      <c r="A159" s="209"/>
      <c r="B159" s="209"/>
      <c r="C159" s="209"/>
      <c r="D159" s="209"/>
      <c r="E159" s="649"/>
      <c r="F159" s="209"/>
      <c r="G159" s="209"/>
      <c r="H159" s="209"/>
      <c r="I159" s="209"/>
      <c r="J159" s="211"/>
      <c r="K159" s="211"/>
      <c r="L159" s="211"/>
      <c r="M159" s="211"/>
      <c r="N159" s="212"/>
      <c r="O159" s="109"/>
      <c r="P159" s="188"/>
      <c r="Q159" s="131"/>
      <c r="R159" s="598"/>
      <c r="S159" s="599"/>
      <c r="T159" s="599"/>
      <c r="U159" s="599"/>
      <c r="V159" s="600"/>
    </row>
    <row r="160" spans="1:22">
      <c r="E160" s="643"/>
    </row>
    <row r="161" spans="8:14">
      <c r="J161" s="353"/>
      <c r="K161" s="353"/>
      <c r="L161" s="353"/>
      <c r="M161" s="353"/>
      <c r="N161" s="353"/>
    </row>
    <row r="163" spans="8:14">
      <c r="H163" s="22"/>
      <c r="J163" s="353"/>
      <c r="K163" s="353"/>
      <c r="L163" s="353"/>
      <c r="M163" s="353"/>
      <c r="N163" s="353"/>
    </row>
    <row r="164" spans="8:14">
      <c r="J164" s="354"/>
      <c r="K164" s="354"/>
      <c r="L164" s="354"/>
      <c r="M164" s="354"/>
      <c r="N164" s="354"/>
    </row>
    <row r="165" spans="8:14">
      <c r="J165" s="353"/>
      <c r="K165" s="353"/>
      <c r="L165" s="353"/>
      <c r="M165" s="353"/>
      <c r="N165" s="353"/>
    </row>
    <row r="167" spans="8:14">
      <c r="J167" s="354"/>
    </row>
  </sheetData>
  <pageMargins left="0.70866141732283472" right="0.70866141732283472" top="0.74803149606299213" bottom="0.74803149606299213" header="0.31496062992125984" footer="0.31496062992125984"/>
  <pageSetup paperSize="9" scale="48" fitToHeight="0" orientation="landscape" r:id="rId1"/>
  <headerFooter>
    <oddFooter>&amp;LPL14L012 CIS v3.5
Ofwat, February 2016</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B101"/>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A3" sqref="A3"/>
    </sheetView>
  </sheetViews>
  <sheetFormatPr defaultRowHeight="13.2"/>
  <cols>
    <col min="1" max="1" width="1.88671875" customWidth="1"/>
    <col min="2" max="2" width="8.88671875" customWidth="1"/>
    <col min="3" max="3" width="3.44140625" customWidth="1"/>
    <col min="4" max="4" width="0" hidden="1" customWidth="1"/>
    <col min="5" max="5" width="107.88671875" customWidth="1"/>
    <col min="6" max="14" width="18.88671875" customWidth="1"/>
    <col min="15" max="19" width="20.6640625" hidden="1" customWidth="1"/>
    <col min="20" max="20" width="3.109375" customWidth="1"/>
    <col min="21" max="21" width="23.886718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FD'!G150="","",'Input FD'!G150)</f>
        <v>TMS Inputs as at FD</v>
      </c>
      <c r="F2" s="510"/>
      <c r="G2" s="496"/>
      <c r="H2" s="496"/>
      <c r="I2" s="496"/>
      <c r="J2" s="496"/>
      <c r="K2" s="496"/>
      <c r="L2" s="496"/>
      <c r="M2" s="496"/>
      <c r="N2" s="496"/>
      <c r="O2" s="496"/>
      <c r="P2" s="496"/>
      <c r="Q2" s="496"/>
      <c r="R2" s="496"/>
      <c r="S2" s="496"/>
      <c r="T2" s="496"/>
      <c r="U2" s="498"/>
    </row>
    <row r="3" spans="1:27" ht="26.85" customHeight="1">
      <c r="A3" s="495"/>
      <c r="B3" s="496"/>
      <c r="C3" s="496"/>
      <c r="D3" s="496"/>
      <c r="E3" s="497" t="s">
        <v>747</v>
      </c>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358</v>
      </c>
      <c r="F5" s="511"/>
      <c r="G5" s="496"/>
      <c r="H5" s="496"/>
      <c r="I5" s="496"/>
      <c r="J5" s="496"/>
      <c r="K5" s="496"/>
      <c r="L5" s="496"/>
      <c r="M5" s="496"/>
      <c r="N5" s="502"/>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5"/>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14" t="s">
        <v>59</v>
      </c>
      <c r="V11" s="30"/>
      <c r="W11" s="2"/>
      <c r="X11" s="2"/>
      <c r="Y11" s="11"/>
      <c r="Z11" s="12"/>
      <c r="AA11" s="12"/>
    </row>
    <row r="12" spans="1:27"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108"/>
    </row>
    <row r="13" spans="1:27" s="109" customFormat="1" ht="18" customHeight="1">
      <c r="A13" s="102"/>
      <c r="B13" s="103">
        <v>1</v>
      </c>
      <c r="C13" s="104"/>
      <c r="D13" s="104"/>
      <c r="E13" s="105" t="s">
        <v>128</v>
      </c>
      <c r="F13" s="105"/>
      <c r="G13" s="104"/>
      <c r="H13" s="104"/>
      <c r="I13" s="104"/>
      <c r="J13" s="106"/>
      <c r="K13" s="106"/>
      <c r="L13" s="106"/>
      <c r="M13" s="106"/>
      <c r="N13" s="106"/>
      <c r="O13" s="104"/>
      <c r="P13" s="104"/>
      <c r="Q13" s="104"/>
      <c r="R13" s="104"/>
      <c r="S13" s="104"/>
      <c r="T13" s="107"/>
      <c r="U13" s="108"/>
    </row>
    <row r="14" spans="1:27"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108"/>
    </row>
    <row r="15" spans="1:27" s="117" customFormat="1" ht="17.399999999999999">
      <c r="A15" s="110"/>
      <c r="B15" s="111">
        <v>1.1000000000000001</v>
      </c>
      <c r="C15" s="112"/>
      <c r="D15" s="113"/>
      <c r="E15" s="105" t="s">
        <v>163</v>
      </c>
      <c r="F15" s="105"/>
      <c r="G15" s="113"/>
      <c r="H15" s="113"/>
      <c r="I15" s="113"/>
      <c r="J15" s="114"/>
      <c r="K15" s="114"/>
      <c r="L15" s="114"/>
      <c r="M15" s="114"/>
      <c r="N15" s="114"/>
      <c r="O15" s="113"/>
      <c r="P15" s="113"/>
      <c r="Q15" s="113"/>
      <c r="R15" s="113"/>
      <c r="S15" s="113"/>
      <c r="T15" s="115"/>
      <c r="U15" s="116"/>
    </row>
    <row r="16" spans="1:27" s="117" customFormat="1" ht="17.399999999999999">
      <c r="A16" s="110"/>
      <c r="B16" s="118" t="s">
        <v>129</v>
      </c>
      <c r="C16" s="119"/>
      <c r="D16" s="113"/>
      <c r="E16" s="113" t="str">
        <f>'Input FD'!E10</f>
        <v>Water: FBP IRE (net of grants &amp; contributions)</v>
      </c>
      <c r="F16" s="113"/>
      <c r="G16" s="120"/>
      <c r="H16" s="120"/>
      <c r="I16" s="120"/>
      <c r="J16" s="121">
        <f>'Input FD'!J10</f>
        <v>103.470908642818</v>
      </c>
      <c r="K16" s="121">
        <f>'Input FD'!K10</f>
        <v>132.99800637627399</v>
      </c>
      <c r="L16" s="121">
        <f>'Input FD'!L10</f>
        <v>111.563416483532</v>
      </c>
      <c r="M16" s="121">
        <f>'Input FD'!M10</f>
        <v>129.981643721457</v>
      </c>
      <c r="N16" s="121">
        <f>'Input FD'!N10</f>
        <v>124.476495414871</v>
      </c>
      <c r="O16" s="113"/>
      <c r="P16" s="113"/>
      <c r="Q16" s="113"/>
      <c r="R16" s="113"/>
      <c r="S16" s="113"/>
      <c r="T16" s="115"/>
      <c r="U16" s="122">
        <f t="shared" ref="U16:U34" si="0">SUM(J16:N16)</f>
        <v>602.49047063895193</v>
      </c>
      <c r="W16" s="123"/>
      <c r="X16" s="123"/>
      <c r="Y16" s="123"/>
      <c r="Z16" s="123"/>
      <c r="AA16" s="123"/>
    </row>
    <row r="17" spans="1:27" s="117" customFormat="1" ht="17.399999999999999">
      <c r="A17" s="110"/>
      <c r="B17" s="118" t="s">
        <v>131</v>
      </c>
      <c r="C17" s="119"/>
      <c r="D17" s="113"/>
      <c r="E17" s="113" t="str">
        <f>'Input FD'!E11</f>
        <v>Water: FBP MNI (net of grants &amp; contributions)</v>
      </c>
      <c r="F17" s="113"/>
      <c r="G17" s="120"/>
      <c r="H17" s="120"/>
      <c r="I17" s="120"/>
      <c r="J17" s="121">
        <f>'Input FD'!J11</f>
        <v>113.913414843349</v>
      </c>
      <c r="K17" s="121">
        <f>'Input FD'!K11</f>
        <v>166.357511332</v>
      </c>
      <c r="L17" s="121">
        <f>'Input FD'!L11</f>
        <v>140.887898901509</v>
      </c>
      <c r="M17" s="121">
        <f>'Input FD'!M11</f>
        <v>118.387980577061</v>
      </c>
      <c r="N17" s="121">
        <f>'Input FD'!N11</f>
        <v>84.269135592107304</v>
      </c>
      <c r="O17" s="113"/>
      <c r="P17" s="113"/>
      <c r="Q17" s="113"/>
      <c r="R17" s="113"/>
      <c r="S17" s="113"/>
      <c r="T17" s="115"/>
      <c r="U17" s="122">
        <f t="shared" si="0"/>
        <v>623.81594124602634</v>
      </c>
      <c r="W17" s="123"/>
      <c r="X17" s="123"/>
      <c r="Y17" s="123"/>
      <c r="Z17" s="123"/>
      <c r="AA17" s="123"/>
    </row>
    <row r="18" spans="1:27" s="117" customFormat="1" ht="17.399999999999999">
      <c r="A18" s="110"/>
      <c r="B18" s="118" t="s">
        <v>132</v>
      </c>
      <c r="C18" s="119"/>
      <c r="D18" s="113"/>
      <c r="E18" s="113" t="str">
        <f>'Input FD'!E12</f>
        <v>Water: FBP infrastructure expenditure</v>
      </c>
      <c r="F18" s="113"/>
      <c r="G18" s="120"/>
      <c r="H18" s="120"/>
      <c r="I18" s="120"/>
      <c r="J18" s="121">
        <f>'Input FD'!J12</f>
        <v>107.772134616793</v>
      </c>
      <c r="K18" s="121">
        <f>'Input FD'!K12</f>
        <v>128.94885703399399</v>
      </c>
      <c r="L18" s="121">
        <f>'Input FD'!L12</f>
        <v>39.916639210552901</v>
      </c>
      <c r="M18" s="121">
        <f>'Input FD'!M12</f>
        <v>28.593380651569401</v>
      </c>
      <c r="N18" s="121">
        <f>'Input FD'!N12</f>
        <v>15.432786951569399</v>
      </c>
      <c r="O18" s="113"/>
      <c r="P18" s="113"/>
      <c r="Q18" s="113"/>
      <c r="R18" s="113"/>
      <c r="S18" s="113"/>
      <c r="T18" s="115"/>
      <c r="U18" s="122">
        <f t="shared" si="0"/>
        <v>320.6637984644787</v>
      </c>
      <c r="W18" s="123"/>
      <c r="X18" s="123"/>
      <c r="Y18" s="123"/>
      <c r="Z18" s="123"/>
      <c r="AA18" s="123"/>
    </row>
    <row r="19" spans="1:27" s="117" customFormat="1" ht="17.399999999999999">
      <c r="A19" s="110"/>
      <c r="B19" s="118" t="s">
        <v>133</v>
      </c>
      <c r="C19" s="119"/>
      <c r="D19" s="113"/>
      <c r="E19" s="113" t="str">
        <f>'Input FD'!E13</f>
        <v>Water: FBP non-infrastructure expenditure</v>
      </c>
      <c r="F19" s="113"/>
      <c r="G19" s="120"/>
      <c r="H19" s="120"/>
      <c r="I19" s="120"/>
      <c r="J19" s="121">
        <f>'Input FD'!J13</f>
        <v>68.677982659469805</v>
      </c>
      <c r="K19" s="121">
        <f>'Input FD'!K13</f>
        <v>79.775220134809601</v>
      </c>
      <c r="L19" s="121">
        <f>'Input FD'!L13</f>
        <v>52.664264101835997</v>
      </c>
      <c r="M19" s="121">
        <f>'Input FD'!M13</f>
        <v>42.8514853069493</v>
      </c>
      <c r="N19" s="121">
        <f>'Input FD'!N13</f>
        <v>32.973380172967403</v>
      </c>
      <c r="O19" s="113"/>
      <c r="P19" s="113"/>
      <c r="Q19" s="113"/>
      <c r="R19" s="113"/>
      <c r="S19" s="113"/>
      <c r="T19" s="115"/>
      <c r="U19" s="122">
        <f t="shared" si="0"/>
        <v>276.94233237603208</v>
      </c>
      <c r="W19" s="123"/>
      <c r="X19" s="123"/>
      <c r="Y19" s="123"/>
      <c r="Z19" s="123"/>
      <c r="AA19" s="123"/>
    </row>
    <row r="20" spans="1:27" s="117" customFormat="1" ht="17.399999999999999">
      <c r="A20" s="110"/>
      <c r="B20" s="118" t="s">
        <v>134</v>
      </c>
      <c r="C20" s="119"/>
      <c r="D20" s="113"/>
      <c r="E20" s="113" t="str">
        <f>'Input FD'!E14</f>
        <v>Water: FBP enhancement grants and contributions</v>
      </c>
      <c r="F20" s="113"/>
      <c r="G20" s="120"/>
      <c r="H20" s="120"/>
      <c r="I20" s="120"/>
      <c r="J20" s="121">
        <f>-'Input FD'!J14</f>
        <v>-5.7140000000000004</v>
      </c>
      <c r="K20" s="121">
        <f>-'Input FD'!K14</f>
        <v>-7.7889999999999997</v>
      </c>
      <c r="L20" s="121">
        <f>-'Input FD'!L14</f>
        <v>-8.3089999999999993</v>
      </c>
      <c r="M20" s="121">
        <f>-'Input FD'!M14</f>
        <v>-9.66</v>
      </c>
      <c r="N20" s="121">
        <f>-'Input FD'!N14</f>
        <v>-9.9890000000000008</v>
      </c>
      <c r="O20" s="113"/>
      <c r="P20" s="113"/>
      <c r="Q20" s="113"/>
      <c r="R20" s="113"/>
      <c r="S20" s="113"/>
      <c r="T20" s="115"/>
      <c r="U20" s="122">
        <f t="shared" si="0"/>
        <v>-41.460999999999999</v>
      </c>
      <c r="W20" s="123"/>
      <c r="X20" s="123"/>
      <c r="Y20" s="123"/>
      <c r="Z20" s="123"/>
      <c r="AA20" s="123"/>
    </row>
    <row r="21" spans="1:27" s="117" customFormat="1" ht="17.399999999999999">
      <c r="A21" s="110"/>
      <c r="B21" s="118" t="s">
        <v>135</v>
      </c>
      <c r="C21" s="119"/>
      <c r="D21" s="113"/>
      <c r="E21" s="113" t="str">
        <f>'Input FD'!E17</f>
        <v>Water: FBP adjustment for Competition Commission determination</v>
      </c>
      <c r="F21" s="113"/>
      <c r="G21" s="120"/>
      <c r="H21" s="120"/>
      <c r="I21" s="120"/>
      <c r="J21" s="121">
        <f>-'Input FD'!J17</f>
        <v>0</v>
      </c>
      <c r="K21" s="121">
        <f>-'Input FD'!K17</f>
        <v>0</v>
      </c>
      <c r="L21" s="121">
        <f>-'Input FD'!L17</f>
        <v>0</v>
      </c>
      <c r="M21" s="121">
        <f>-'Input FD'!M17</f>
        <v>0</v>
      </c>
      <c r="N21" s="121">
        <f>-'Input FD'!N17</f>
        <v>0</v>
      </c>
      <c r="O21" s="113"/>
      <c r="P21" s="113"/>
      <c r="Q21" s="113"/>
      <c r="R21" s="113"/>
      <c r="S21" s="113"/>
      <c r="T21" s="115"/>
      <c r="U21" s="122">
        <f t="shared" ref="U21" si="1">SUM(J21:N21)</f>
        <v>0</v>
      </c>
      <c r="W21" s="123"/>
      <c r="X21" s="123"/>
      <c r="Y21" s="123"/>
      <c r="Z21" s="123"/>
      <c r="AA21" s="123"/>
    </row>
    <row r="22" spans="1:27" s="117" customFormat="1" ht="17.399999999999999">
      <c r="A22" s="110"/>
      <c r="B22" s="118" t="s">
        <v>136</v>
      </c>
      <c r="C22" s="119"/>
      <c r="D22" s="113"/>
      <c r="E22" s="113" t="str">
        <f>'Input FD'!E15</f>
        <v>Water: FBP large projects infrastructure (exc large project capex not subject to CIS)</v>
      </c>
      <c r="F22" s="113"/>
      <c r="G22" s="120"/>
      <c r="H22" s="120"/>
      <c r="I22" s="120"/>
      <c r="J22" s="121">
        <f>-'Input FD'!J15</f>
        <v>0</v>
      </c>
      <c r="K22" s="121">
        <f>-'Input FD'!K15</f>
        <v>0</v>
      </c>
      <c r="L22" s="121">
        <f>-'Input FD'!L15</f>
        <v>0</v>
      </c>
      <c r="M22" s="121">
        <f>-'Input FD'!M15</f>
        <v>0</v>
      </c>
      <c r="N22" s="121">
        <f>-'Input FD'!N15</f>
        <v>0</v>
      </c>
      <c r="O22" s="113"/>
      <c r="P22" s="113"/>
      <c r="Q22" s="113"/>
      <c r="R22" s="113"/>
      <c r="S22" s="113"/>
      <c r="T22" s="115"/>
      <c r="U22" s="122">
        <f t="shared" ref="U22:U23" si="2">SUM(J22:N22)</f>
        <v>0</v>
      </c>
      <c r="W22" s="123"/>
      <c r="X22" s="123"/>
      <c r="Y22" s="123"/>
      <c r="Z22" s="123"/>
      <c r="AA22" s="123"/>
    </row>
    <row r="23" spans="1:27" s="117" customFormat="1" ht="17.399999999999999">
      <c r="A23" s="110"/>
      <c r="B23" s="118" t="s">
        <v>137</v>
      </c>
      <c r="C23" s="119"/>
      <c r="D23" s="113"/>
      <c r="E23" s="113" t="str">
        <f>'Input FD'!E16</f>
        <v>Water: FBP large projects non-infrastructure (exc large project capex not subject to CIS)</v>
      </c>
      <c r="F23" s="113"/>
      <c r="G23" s="120"/>
      <c r="H23" s="120"/>
      <c r="I23" s="120"/>
      <c r="J23" s="121">
        <f>-'Input FD'!J16</f>
        <v>0</v>
      </c>
      <c r="K23" s="121">
        <f>-'Input FD'!K16</f>
        <v>0</v>
      </c>
      <c r="L23" s="121">
        <f>-'Input FD'!L16</f>
        <v>0</v>
      </c>
      <c r="M23" s="121">
        <f>-'Input FD'!M16</f>
        <v>0</v>
      </c>
      <c r="N23" s="121">
        <f>-'Input FD'!N16</f>
        <v>0</v>
      </c>
      <c r="O23" s="113"/>
      <c r="P23" s="113"/>
      <c r="Q23" s="113"/>
      <c r="R23" s="113"/>
      <c r="S23" s="113"/>
      <c r="T23" s="115"/>
      <c r="U23" s="122">
        <f t="shared" si="2"/>
        <v>0</v>
      </c>
      <c r="W23" s="123"/>
      <c r="X23" s="123"/>
      <c r="Y23" s="123"/>
      <c r="Z23" s="123"/>
      <c r="AA23" s="123"/>
    </row>
    <row r="24" spans="1:27" s="117" customFormat="1" ht="17.399999999999999">
      <c r="A24" s="110"/>
      <c r="B24" s="118" t="s">
        <v>138</v>
      </c>
      <c r="C24" s="119"/>
      <c r="D24" s="113"/>
      <c r="E24" s="113" t="str">
        <f>Calc!E55</f>
        <v>Water: Company bid capex (gross of adjustments)</v>
      </c>
      <c r="F24" s="113"/>
      <c r="G24" s="120"/>
      <c r="H24" s="120"/>
      <c r="I24" s="120"/>
      <c r="J24" s="121">
        <f>Calc!J55</f>
        <v>388.12044076242984</v>
      </c>
      <c r="K24" s="121">
        <f>Calc!K55</f>
        <v>500.29059487707758</v>
      </c>
      <c r="L24" s="121">
        <f>Calc!L55</f>
        <v>336.7232186974299</v>
      </c>
      <c r="M24" s="121">
        <f>Calc!M55</f>
        <v>310.15449025703668</v>
      </c>
      <c r="N24" s="121">
        <f>Calc!N55</f>
        <v>247.16279813151507</v>
      </c>
      <c r="O24" s="113"/>
      <c r="P24" s="113"/>
      <c r="Q24" s="113"/>
      <c r="R24" s="113"/>
      <c r="S24" s="113"/>
      <c r="T24" s="115"/>
      <c r="U24" s="122">
        <f t="shared" si="0"/>
        <v>1782.4515427254892</v>
      </c>
      <c r="W24" s="123"/>
      <c r="X24" s="123"/>
      <c r="Y24" s="123"/>
      <c r="Z24" s="123"/>
      <c r="AA24" s="123"/>
    </row>
    <row r="25" spans="1:27" s="117" customFormat="1" ht="17.399999999999999">
      <c r="A25" s="110"/>
      <c r="B25" s="118"/>
      <c r="C25" s="119"/>
      <c r="D25" s="113"/>
      <c r="E25" s="113"/>
      <c r="F25" s="113"/>
      <c r="G25" s="113"/>
      <c r="H25" s="113"/>
      <c r="I25" s="113"/>
      <c r="J25" s="121"/>
      <c r="K25" s="121"/>
      <c r="L25" s="121"/>
      <c r="M25" s="121"/>
      <c r="N25" s="121"/>
      <c r="O25" s="113"/>
      <c r="P25" s="113"/>
      <c r="Q25" s="113"/>
      <c r="R25" s="113"/>
      <c r="S25" s="113"/>
      <c r="T25" s="115"/>
      <c r="U25" s="122"/>
    </row>
    <row r="26" spans="1:27" s="117" customFormat="1" ht="17.399999999999999">
      <c r="A26" s="110"/>
      <c r="B26" s="118" t="s">
        <v>139</v>
      </c>
      <c r="C26" s="119"/>
      <c r="D26" s="113"/>
      <c r="E26" s="113" t="str">
        <f>'Input FD'!E19</f>
        <v>Sewerage: FBP IRE (net of grants &amp; contributions)</v>
      </c>
      <c r="F26" s="113"/>
      <c r="G26" s="120"/>
      <c r="H26" s="120"/>
      <c r="I26" s="120"/>
      <c r="J26" s="121">
        <f>'Input FD'!J19</f>
        <v>42.720897600000001</v>
      </c>
      <c r="K26" s="121">
        <f>'Input FD'!K19</f>
        <v>38.648853000000003</v>
      </c>
      <c r="L26" s="121">
        <f>'Input FD'!L19</f>
        <v>45.982225700000001</v>
      </c>
      <c r="M26" s="121">
        <f>'Input FD'!M19</f>
        <v>47.438052999999996</v>
      </c>
      <c r="N26" s="121">
        <f>'Input FD'!N19</f>
        <v>47.2990274</v>
      </c>
      <c r="O26" s="113"/>
      <c r="P26" s="113"/>
      <c r="Q26" s="113"/>
      <c r="R26" s="113"/>
      <c r="S26" s="113"/>
      <c r="T26" s="115"/>
      <c r="U26" s="122">
        <f t="shared" si="0"/>
        <v>222.08905670000001</v>
      </c>
    </row>
    <row r="27" spans="1:27" s="117" customFormat="1" ht="17.399999999999999">
      <c r="A27" s="110"/>
      <c r="B27" s="118" t="s">
        <v>140</v>
      </c>
      <c r="C27" s="119"/>
      <c r="D27" s="113"/>
      <c r="E27" s="113" t="str">
        <f>'Input FD'!E20</f>
        <v>Sewerage: FBP MNI (net of grants &amp; contributions)</v>
      </c>
      <c r="F27" s="113"/>
      <c r="G27" s="120"/>
      <c r="H27" s="120"/>
      <c r="I27" s="120"/>
      <c r="J27" s="121">
        <f>'Input FD'!J20</f>
        <v>174.42350429999999</v>
      </c>
      <c r="K27" s="121">
        <f>'Input FD'!K20</f>
        <v>249.0989931</v>
      </c>
      <c r="L27" s="121">
        <f>'Input FD'!L20</f>
        <v>148.0181566</v>
      </c>
      <c r="M27" s="121">
        <f>'Input FD'!M20</f>
        <v>158.6278312</v>
      </c>
      <c r="N27" s="121">
        <f>'Input FD'!N20</f>
        <v>122.76039400000001</v>
      </c>
      <c r="O27" s="113"/>
      <c r="P27" s="113"/>
      <c r="Q27" s="113"/>
      <c r="R27" s="113"/>
      <c r="S27" s="113"/>
      <c r="T27" s="115"/>
      <c r="U27" s="122">
        <f t="shared" si="0"/>
        <v>852.9288792000001</v>
      </c>
    </row>
    <row r="28" spans="1:27" s="117" customFormat="1" ht="17.399999999999999">
      <c r="A28" s="110"/>
      <c r="B28" s="118" t="s">
        <v>141</v>
      </c>
      <c r="C28" s="119"/>
      <c r="D28" s="113"/>
      <c r="E28" s="113" t="str">
        <f>'Input FD'!E21</f>
        <v>Sewerage: FBP infrastructure expenditure</v>
      </c>
      <c r="F28" s="113"/>
      <c r="G28" s="120"/>
      <c r="H28" s="120"/>
      <c r="I28" s="120"/>
      <c r="J28" s="121">
        <f>'Input FD'!J21</f>
        <v>63.993343000000003</v>
      </c>
      <c r="K28" s="121">
        <f>'Input FD'!K21</f>
        <v>107.633421</v>
      </c>
      <c r="L28" s="121">
        <f>'Input FD'!L21</f>
        <v>138.6957151</v>
      </c>
      <c r="M28" s="121">
        <f>'Input FD'!M21</f>
        <v>121.4034858</v>
      </c>
      <c r="N28" s="121">
        <f>'Input FD'!N21</f>
        <v>114.6391064</v>
      </c>
      <c r="O28" s="113"/>
      <c r="P28" s="113"/>
      <c r="Q28" s="113"/>
      <c r="R28" s="113"/>
      <c r="S28" s="113"/>
      <c r="T28" s="115"/>
      <c r="U28" s="122">
        <f t="shared" si="0"/>
        <v>546.36507129999995</v>
      </c>
    </row>
    <row r="29" spans="1:27" s="117" customFormat="1" ht="17.399999999999999">
      <c r="A29" s="110"/>
      <c r="B29" s="118" t="s">
        <v>212</v>
      </c>
      <c r="C29" s="118"/>
      <c r="D29" s="113"/>
      <c r="E29" s="113" t="str">
        <f>'Input FD'!E22</f>
        <v>Sewerage: FBP non-infrastructure expenditure</v>
      </c>
      <c r="F29" s="113"/>
      <c r="G29" s="120"/>
      <c r="H29" s="120"/>
      <c r="I29" s="120"/>
      <c r="J29" s="121">
        <f>'Input FD'!J22</f>
        <v>286.69337969999998</v>
      </c>
      <c r="K29" s="121">
        <f>'Input FD'!K22</f>
        <v>323.45532571049398</v>
      </c>
      <c r="L29" s="121">
        <f>'Input FD'!L22</f>
        <v>274.44730395646098</v>
      </c>
      <c r="M29" s="121">
        <f>'Input FD'!M22</f>
        <v>174.79395094065501</v>
      </c>
      <c r="N29" s="121">
        <f>'Input FD'!N22</f>
        <v>122.67399018527</v>
      </c>
      <c r="O29" s="113"/>
      <c r="P29" s="113"/>
      <c r="Q29" s="113"/>
      <c r="R29" s="113"/>
      <c r="S29" s="113"/>
      <c r="T29" s="115"/>
      <c r="U29" s="122">
        <f t="shared" si="0"/>
        <v>1182.0639504928797</v>
      </c>
    </row>
    <row r="30" spans="1:27" s="117" customFormat="1" ht="17.399999999999999">
      <c r="A30" s="110"/>
      <c r="B30" s="118" t="s">
        <v>213</v>
      </c>
      <c r="C30" s="118"/>
      <c r="D30" s="113"/>
      <c r="E30" s="113" t="str">
        <f>'Input FD'!E23</f>
        <v>Sewerage: FBP enhancement grants and contributions</v>
      </c>
      <c r="F30" s="113"/>
      <c r="G30" s="120"/>
      <c r="H30" s="120"/>
      <c r="I30" s="120"/>
      <c r="J30" s="121">
        <f>-'Input FD'!J23</f>
        <v>-9.1329999999999991</v>
      </c>
      <c r="K30" s="121">
        <f>-'Input FD'!K23</f>
        <v>-12.135</v>
      </c>
      <c r="L30" s="121">
        <f>-'Input FD'!L23</f>
        <v>-13.163</v>
      </c>
      <c r="M30" s="121">
        <f>-'Input FD'!M23</f>
        <v>-15.06</v>
      </c>
      <c r="N30" s="121">
        <f>-'Input FD'!N23</f>
        <v>-15.964</v>
      </c>
      <c r="O30" s="113"/>
      <c r="P30" s="113"/>
      <c r="Q30" s="113"/>
      <c r="R30" s="113"/>
      <c r="S30" s="113"/>
      <c r="T30" s="115"/>
      <c r="U30" s="122">
        <f t="shared" si="0"/>
        <v>-65.454999999999998</v>
      </c>
    </row>
    <row r="31" spans="1:27" s="117" customFormat="1" ht="17.399999999999999">
      <c r="A31" s="110"/>
      <c r="B31" s="118" t="s">
        <v>234</v>
      </c>
      <c r="C31" s="118"/>
      <c r="D31" s="113"/>
      <c r="E31" s="113" t="str">
        <f>'Input FD'!E26</f>
        <v>Sewerage: FBP adjustment for Competition Commission determination</v>
      </c>
      <c r="F31" s="113"/>
      <c r="G31" s="120"/>
      <c r="H31" s="120"/>
      <c r="I31" s="120"/>
      <c r="J31" s="121">
        <f>-'Input FD'!J26</f>
        <v>0</v>
      </c>
      <c r="K31" s="121">
        <f>-'Input FD'!K26</f>
        <v>0</v>
      </c>
      <c r="L31" s="121">
        <f>-'Input FD'!L26</f>
        <v>0</v>
      </c>
      <c r="M31" s="121">
        <f>-'Input FD'!M26</f>
        <v>0</v>
      </c>
      <c r="N31" s="121">
        <f>-'Input FD'!N26</f>
        <v>0</v>
      </c>
      <c r="O31" s="113"/>
      <c r="P31" s="113"/>
      <c r="Q31" s="113"/>
      <c r="R31" s="113"/>
      <c r="S31" s="113"/>
      <c r="T31" s="115"/>
      <c r="U31" s="122">
        <f t="shared" ref="U31:U33" si="3">SUM(J31:N31)</f>
        <v>0</v>
      </c>
    </row>
    <row r="32" spans="1:27" s="117" customFormat="1" ht="17.399999999999999">
      <c r="A32" s="110"/>
      <c r="B32" s="118" t="s">
        <v>235</v>
      </c>
      <c r="C32" s="118"/>
      <c r="D32" s="113"/>
      <c r="E32" s="113" t="str">
        <f>'Input FD'!E24</f>
        <v>Sewerage: FBP large projects infrastructure (exc large project capex not subject to CIS)</v>
      </c>
      <c r="F32" s="113"/>
      <c r="G32" s="120"/>
      <c r="H32" s="120"/>
      <c r="I32" s="120"/>
      <c r="J32" s="121">
        <f>'Input FD'!J24</f>
        <v>124.684</v>
      </c>
      <c r="K32" s="121">
        <f>'Input FD'!K24</f>
        <v>136.78299999999999</v>
      </c>
      <c r="L32" s="121">
        <f>'Input FD'!L24</f>
        <v>99.774000000000001</v>
      </c>
      <c r="M32" s="121">
        <f>'Input FD'!M24</f>
        <v>90.923000000000002</v>
      </c>
      <c r="N32" s="121">
        <f>'Input FD'!N24</f>
        <v>74.247</v>
      </c>
      <c r="O32" s="113"/>
      <c r="P32" s="113"/>
      <c r="Q32" s="113"/>
      <c r="R32" s="113"/>
      <c r="S32" s="113"/>
      <c r="T32" s="115"/>
      <c r="U32" s="122">
        <f t="shared" si="3"/>
        <v>526.41099999999994</v>
      </c>
    </row>
    <row r="33" spans="1:28" s="117" customFormat="1" ht="17.399999999999999">
      <c r="A33" s="110"/>
      <c r="B33" s="118" t="s">
        <v>236</v>
      </c>
      <c r="C33" s="118"/>
      <c r="D33" s="113"/>
      <c r="E33" s="113" t="str">
        <f>'Input FD'!E25</f>
        <v>Sewerage: FBP large projects non-infrastructure (exc large project capex not subject to CIS)</v>
      </c>
      <c r="F33" s="113"/>
      <c r="G33" s="120"/>
      <c r="H33" s="120"/>
      <c r="I33" s="120"/>
      <c r="J33" s="121">
        <f>'Input FD'!J25</f>
        <v>15.026999999999999</v>
      </c>
      <c r="K33" s="121">
        <f>'Input FD'!K25</f>
        <v>16.484999999999999</v>
      </c>
      <c r="L33" s="121">
        <f>'Input FD'!L25</f>
        <v>12.023999999999999</v>
      </c>
      <c r="M33" s="121">
        <f>'Input FD'!M25</f>
        <v>10.958</v>
      </c>
      <c r="N33" s="121">
        <f>'Input FD'!N25</f>
        <v>8.9480000000000004</v>
      </c>
      <c r="O33" s="113"/>
      <c r="P33" s="113"/>
      <c r="Q33" s="113"/>
      <c r="R33" s="113"/>
      <c r="S33" s="113"/>
      <c r="T33" s="115"/>
      <c r="U33" s="122">
        <f t="shared" si="3"/>
        <v>63.442</v>
      </c>
    </row>
    <row r="34" spans="1:28" s="117" customFormat="1" ht="17.399999999999999">
      <c r="A34" s="110"/>
      <c r="B34" s="118" t="s">
        <v>237</v>
      </c>
      <c r="C34" s="118"/>
      <c r="D34" s="113"/>
      <c r="E34" s="113" t="str">
        <f>Calc!E66</f>
        <v>Sewerage: Company bid capex (gross of adjustments)</v>
      </c>
      <c r="F34" s="113"/>
      <c r="G34" s="113"/>
      <c r="H34" s="113"/>
      <c r="I34" s="113"/>
      <c r="J34" s="121">
        <f>Calc!J66</f>
        <v>698.40912459999993</v>
      </c>
      <c r="K34" s="121">
        <f>Calc!K66</f>
        <v>859.96959281049408</v>
      </c>
      <c r="L34" s="121">
        <f>Calc!L66</f>
        <v>705.77840135646102</v>
      </c>
      <c r="M34" s="121">
        <f>Calc!M66</f>
        <v>589.08432094065495</v>
      </c>
      <c r="N34" s="121">
        <f>Calc!N66</f>
        <v>474.60351798527</v>
      </c>
      <c r="O34" s="113"/>
      <c r="P34" s="113"/>
      <c r="Q34" s="113"/>
      <c r="R34" s="113"/>
      <c r="S34" s="113"/>
      <c r="T34" s="115"/>
      <c r="U34" s="122">
        <f t="shared" si="0"/>
        <v>3327.8449576928801</v>
      </c>
    </row>
    <row r="35" spans="1:28" s="117" customFormat="1" ht="17.399999999999999">
      <c r="A35" s="110"/>
      <c r="B35" s="119"/>
      <c r="C35" s="119"/>
      <c r="D35" s="113"/>
      <c r="E35" s="113"/>
      <c r="F35" s="113"/>
      <c r="G35" s="113"/>
      <c r="H35" s="113"/>
      <c r="I35" s="113"/>
      <c r="J35" s="121"/>
      <c r="K35" s="121"/>
      <c r="L35" s="121"/>
      <c r="M35" s="121"/>
      <c r="N35" s="121"/>
      <c r="O35" s="113"/>
      <c r="P35" s="113"/>
      <c r="Q35" s="113"/>
      <c r="R35" s="113"/>
      <c r="S35" s="113"/>
      <c r="T35" s="115"/>
      <c r="U35" s="122"/>
    </row>
    <row r="36" spans="1:28" s="117" customFormat="1" ht="17.399999999999999">
      <c r="A36" s="110"/>
      <c r="B36" s="111">
        <v>1.2</v>
      </c>
      <c r="C36" s="112"/>
      <c r="D36" s="113"/>
      <c r="E36" s="105" t="s">
        <v>164</v>
      </c>
      <c r="F36" s="105"/>
      <c r="G36" s="113"/>
      <c r="H36" s="113"/>
      <c r="I36" s="113"/>
      <c r="J36" s="121"/>
      <c r="K36" s="121"/>
      <c r="L36" s="121"/>
      <c r="M36" s="121"/>
      <c r="N36" s="121"/>
      <c r="O36" s="113"/>
      <c r="P36" s="113"/>
      <c r="Q36" s="113"/>
      <c r="R36" s="113"/>
      <c r="S36" s="113"/>
      <c r="T36" s="115"/>
      <c r="U36" s="122"/>
    </row>
    <row r="37" spans="1:28" s="117" customFormat="1" ht="17.399999999999999">
      <c r="A37" s="110"/>
      <c r="B37" s="119" t="s">
        <v>130</v>
      </c>
      <c r="C37" s="119"/>
      <c r="D37" s="113"/>
      <c r="E37" s="113" t="str">
        <f>'Input FD'!E30</f>
        <v>Water: IRE (net of grants &amp; contributions)</v>
      </c>
      <c r="F37" s="113"/>
      <c r="G37" s="120"/>
      <c r="H37" s="120"/>
      <c r="I37" s="120"/>
      <c r="J37" s="121">
        <f>'Input FD'!J30</f>
        <v>87.234824625137904</v>
      </c>
      <c r="K37" s="121">
        <f>'Input FD'!K30</f>
        <v>116.24143844602401</v>
      </c>
      <c r="L37" s="121">
        <f>'Input FD'!L30</f>
        <v>100.113592207853</v>
      </c>
      <c r="M37" s="121">
        <f>'Input FD'!M30</f>
        <v>118.78149153639799</v>
      </c>
      <c r="N37" s="121">
        <f>'Input FD'!N30</f>
        <v>113.233114207279</v>
      </c>
      <c r="O37" s="113"/>
      <c r="P37" s="113"/>
      <c r="Q37" s="113"/>
      <c r="R37" s="113"/>
      <c r="S37" s="113"/>
      <c r="T37" s="115"/>
      <c r="U37" s="122">
        <f t="shared" ref="U37:U51" si="4">SUM(J37:N37)</f>
        <v>535.60446102269191</v>
      </c>
      <c r="W37" s="123"/>
      <c r="X37" s="123"/>
      <c r="Y37" s="123"/>
      <c r="Z37" s="123"/>
      <c r="AA37" s="123"/>
      <c r="AB37" s="123"/>
    </row>
    <row r="38" spans="1:28" s="117" customFormat="1" ht="17.399999999999999">
      <c r="A38" s="110"/>
      <c r="B38" s="119" t="s">
        <v>142</v>
      </c>
      <c r="C38" s="119"/>
      <c r="D38" s="113"/>
      <c r="E38" s="113" t="str">
        <f>'Input FD'!E31</f>
        <v>Water: MNI (net of grants &amp; contributions)</v>
      </c>
      <c r="F38" s="113"/>
      <c r="G38" s="120"/>
      <c r="H38" s="120"/>
      <c r="I38" s="120"/>
      <c r="J38" s="121">
        <f>'Input FD'!J31</f>
        <v>99.545006652130994</v>
      </c>
      <c r="K38" s="121">
        <f>'Input FD'!K31</f>
        <v>150.844562776717</v>
      </c>
      <c r="L38" s="121">
        <f>'Input FD'!L31</f>
        <v>134.191808450297</v>
      </c>
      <c r="M38" s="121">
        <f>'Input FD'!M31</f>
        <v>113.33852173593</v>
      </c>
      <c r="N38" s="121">
        <f>'Input FD'!N31</f>
        <v>80.167266017515203</v>
      </c>
      <c r="O38" s="113"/>
      <c r="P38" s="113"/>
      <c r="Q38" s="113"/>
      <c r="R38" s="113"/>
      <c r="S38" s="113"/>
      <c r="T38" s="115"/>
      <c r="U38" s="122">
        <f t="shared" si="4"/>
        <v>578.0871656325902</v>
      </c>
      <c r="W38" s="123"/>
      <c r="X38" s="123"/>
      <c r="Y38" s="123"/>
      <c r="Z38" s="123"/>
      <c r="AA38" s="123"/>
    </row>
    <row r="39" spans="1:28" s="117" customFormat="1" ht="17.399999999999999">
      <c r="A39" s="110"/>
      <c r="B39" s="119" t="s">
        <v>143</v>
      </c>
      <c r="C39" s="119"/>
      <c r="D39" s="113"/>
      <c r="E39" s="113" t="str">
        <f>'Input FD'!E32</f>
        <v>Water: Total enhancements (infra) net of grants &amp; contributions</v>
      </c>
      <c r="F39" s="113"/>
      <c r="G39" s="120"/>
      <c r="H39" s="120"/>
      <c r="I39" s="120"/>
      <c r="J39" s="121">
        <f>'Input FD'!J32</f>
        <v>14.6630093946795</v>
      </c>
      <c r="K39" s="121">
        <f>'Input FD'!K32</f>
        <v>28.3972202217724</v>
      </c>
      <c r="L39" s="121">
        <f>'Input FD'!L32</f>
        <v>35.886578219887397</v>
      </c>
      <c r="M39" s="121">
        <f>'Input FD'!M32</f>
        <v>24.7722318520544</v>
      </c>
      <c r="N39" s="121">
        <f>'Input FD'!N32</f>
        <v>12.2079348953171</v>
      </c>
      <c r="O39" s="113"/>
      <c r="P39" s="113"/>
      <c r="Q39" s="113"/>
      <c r="R39" s="113"/>
      <c r="S39" s="113"/>
      <c r="T39" s="115"/>
      <c r="U39" s="122">
        <f t="shared" si="4"/>
        <v>115.9269745837108</v>
      </c>
      <c r="W39" s="123"/>
      <c r="X39" s="123"/>
      <c r="Y39" s="123"/>
      <c r="Z39" s="123"/>
      <c r="AA39" s="123"/>
    </row>
    <row r="40" spans="1:28" s="117" customFormat="1" ht="17.399999999999999">
      <c r="A40" s="110"/>
      <c r="B40" s="119" t="s">
        <v>144</v>
      </c>
      <c r="C40" s="119"/>
      <c r="D40" s="113"/>
      <c r="E40" s="113" t="str">
        <f>'Input FD'!E33</f>
        <v>Water: Total enhancements (non-infra) net of grants &amp; contributions</v>
      </c>
      <c r="F40" s="113"/>
      <c r="G40" s="120"/>
      <c r="H40" s="120"/>
      <c r="I40" s="120"/>
      <c r="J40" s="121">
        <f>'Input FD'!J33</f>
        <v>36.395993577846603</v>
      </c>
      <c r="K40" s="121">
        <f>'Input FD'!K33</f>
        <v>50.356710850691897</v>
      </c>
      <c r="L40" s="121">
        <f>'Input FD'!L33</f>
        <v>43.3124901487842</v>
      </c>
      <c r="M40" s="121">
        <f>'Input FD'!M33</f>
        <v>37.075628137562802</v>
      </c>
      <c r="N40" s="121">
        <f>'Input FD'!N33</f>
        <v>26.200056726643101</v>
      </c>
      <c r="O40" s="113"/>
      <c r="P40" s="113"/>
      <c r="Q40" s="113"/>
      <c r="R40" s="113"/>
      <c r="S40" s="113"/>
      <c r="T40" s="115"/>
      <c r="U40" s="122">
        <f t="shared" si="4"/>
        <v>193.34087944152861</v>
      </c>
      <c r="W40" s="123"/>
      <c r="X40" s="123"/>
      <c r="Y40" s="123"/>
      <c r="Z40" s="123"/>
      <c r="AA40" s="123"/>
    </row>
    <row r="41" spans="1:28" s="117" customFormat="1" ht="17.399999999999999">
      <c r="A41" s="110"/>
      <c r="B41" s="119" t="s">
        <v>145</v>
      </c>
      <c r="C41" s="119"/>
      <c r="D41" s="113"/>
      <c r="E41" s="113" t="str">
        <f>'Input FD'!E34</f>
        <v>Water: Large projects infrastructure (exc large project capex not subject to CIS)</v>
      </c>
      <c r="F41" s="113"/>
      <c r="G41" s="120"/>
      <c r="H41" s="120"/>
      <c r="I41" s="120"/>
      <c r="J41" s="121">
        <f>'Input FD'!J34</f>
        <v>0</v>
      </c>
      <c r="K41" s="121">
        <f>'Input FD'!K34</f>
        <v>0</v>
      </c>
      <c r="L41" s="121">
        <f>'Input FD'!L34</f>
        <v>0</v>
      </c>
      <c r="M41" s="121">
        <f>'Input FD'!M34</f>
        <v>0</v>
      </c>
      <c r="N41" s="121">
        <f>'Input FD'!N34</f>
        <v>0</v>
      </c>
      <c r="O41" s="113"/>
      <c r="P41" s="113"/>
      <c r="Q41" s="113"/>
      <c r="R41" s="113"/>
      <c r="S41" s="113"/>
      <c r="T41" s="115"/>
      <c r="U41" s="122">
        <f t="shared" ref="U41:U42" si="5">SUM(J41:N41)</f>
        <v>0</v>
      </c>
      <c r="W41" s="123"/>
      <c r="X41" s="123"/>
      <c r="Y41" s="123"/>
      <c r="Z41" s="123"/>
      <c r="AA41" s="123"/>
    </row>
    <row r="42" spans="1:28" s="117" customFormat="1" ht="17.399999999999999">
      <c r="A42" s="110"/>
      <c r="B42" s="119" t="s">
        <v>146</v>
      </c>
      <c r="C42" s="119"/>
      <c r="D42" s="113"/>
      <c r="E42" s="113" t="str">
        <f>'Input FD'!E35</f>
        <v>Water: Large projects non-infrastructure (exc large project capex not subject to CIS)</v>
      </c>
      <c r="F42" s="113"/>
      <c r="G42" s="120"/>
      <c r="H42" s="120"/>
      <c r="I42" s="120"/>
      <c r="J42" s="121">
        <f>'Input FD'!J35</f>
        <v>0</v>
      </c>
      <c r="K42" s="121">
        <f>'Input FD'!K35</f>
        <v>0</v>
      </c>
      <c r="L42" s="121">
        <f>'Input FD'!L35</f>
        <v>0</v>
      </c>
      <c r="M42" s="121">
        <f>'Input FD'!M35</f>
        <v>0</v>
      </c>
      <c r="N42" s="121">
        <f>'Input FD'!N35</f>
        <v>0</v>
      </c>
      <c r="O42" s="113"/>
      <c r="P42" s="113"/>
      <c r="Q42" s="113"/>
      <c r="R42" s="113"/>
      <c r="S42" s="113"/>
      <c r="T42" s="115"/>
      <c r="U42" s="122">
        <f t="shared" si="5"/>
        <v>0</v>
      </c>
      <c r="W42" s="123"/>
      <c r="X42" s="123"/>
      <c r="Y42" s="123"/>
      <c r="Z42" s="123"/>
      <c r="AA42" s="123"/>
    </row>
    <row r="43" spans="1:28" s="117" customFormat="1" ht="17.399999999999999">
      <c r="A43" s="110"/>
      <c r="B43" s="119" t="s">
        <v>147</v>
      </c>
      <c r="C43" s="119"/>
      <c r="D43" s="113"/>
      <c r="E43" s="113" t="str">
        <f>Calc!E56</f>
        <v>Water: Baseline capex (gross of adjustments)</v>
      </c>
      <c r="F43" s="113"/>
      <c r="G43" s="120"/>
      <c r="H43" s="120"/>
      <c r="I43" s="120"/>
      <c r="J43" s="121">
        <f>Calc!J56</f>
        <v>237.83883424979501</v>
      </c>
      <c r="K43" s="121">
        <f>Calc!K56</f>
        <v>345.8399322952053</v>
      </c>
      <c r="L43" s="121">
        <f>Calc!L56</f>
        <v>313.5044690268216</v>
      </c>
      <c r="M43" s="121">
        <f>Calc!M56</f>
        <v>293.96787326194521</v>
      </c>
      <c r="N43" s="121">
        <f>Calc!N56</f>
        <v>231.80837184675443</v>
      </c>
      <c r="O43" s="113"/>
      <c r="P43" s="113"/>
      <c r="Q43" s="113"/>
      <c r="R43" s="113"/>
      <c r="S43" s="113"/>
      <c r="T43" s="115"/>
      <c r="U43" s="122">
        <f t="shared" si="4"/>
        <v>1422.9594806805217</v>
      </c>
      <c r="W43" s="123"/>
      <c r="X43" s="123"/>
      <c r="Y43" s="123"/>
      <c r="Z43" s="123"/>
      <c r="AA43" s="123"/>
    </row>
    <row r="44" spans="1:28" s="117" customFormat="1" ht="17.399999999999999">
      <c r="A44" s="110"/>
      <c r="B44" s="119"/>
      <c r="C44" s="119"/>
      <c r="D44" s="113"/>
      <c r="E44" s="113"/>
      <c r="F44" s="113"/>
      <c r="G44" s="113"/>
      <c r="H44" s="113"/>
      <c r="I44" s="113"/>
      <c r="J44" s="121"/>
      <c r="K44" s="121"/>
      <c r="L44" s="121"/>
      <c r="M44" s="121"/>
      <c r="N44" s="121"/>
      <c r="O44" s="113"/>
      <c r="P44" s="113"/>
      <c r="Q44" s="113"/>
      <c r="R44" s="113"/>
      <c r="S44" s="113"/>
      <c r="T44" s="115"/>
      <c r="U44" s="122"/>
    </row>
    <row r="45" spans="1:28" s="117" customFormat="1" ht="17.399999999999999">
      <c r="A45" s="110"/>
      <c r="B45" s="119" t="s">
        <v>148</v>
      </c>
      <c r="C45" s="119"/>
      <c r="D45" s="113"/>
      <c r="E45" s="113" t="str">
        <f>'Input FD'!E37</f>
        <v>Sewerage: IRE (net of grants &amp; contributions)</v>
      </c>
      <c r="F45" s="113"/>
      <c r="G45" s="120"/>
      <c r="H45" s="120"/>
      <c r="I45" s="120"/>
      <c r="J45" s="121">
        <f>'Input FD'!J37</f>
        <v>38.865761372709599</v>
      </c>
      <c r="K45" s="121">
        <f>'Input FD'!K37</f>
        <v>35.781513546488704</v>
      </c>
      <c r="L45" s="121">
        <f>'Input FD'!L37</f>
        <v>43.532020009209504</v>
      </c>
      <c r="M45" s="121">
        <f>'Input FD'!M37</f>
        <v>45.321577742291701</v>
      </c>
      <c r="N45" s="121">
        <f>'Input FD'!N37</f>
        <v>44.6772327147224</v>
      </c>
      <c r="O45" s="113"/>
      <c r="P45" s="113"/>
      <c r="Q45" s="113"/>
      <c r="R45" s="113"/>
      <c r="S45" s="113"/>
      <c r="T45" s="115"/>
      <c r="U45" s="122">
        <f t="shared" si="4"/>
        <v>208.17810538542193</v>
      </c>
    </row>
    <row r="46" spans="1:28" s="117" customFormat="1" ht="17.399999999999999">
      <c r="A46" s="110"/>
      <c r="B46" s="119" t="s">
        <v>149</v>
      </c>
      <c r="C46" s="119"/>
      <c r="D46" s="113"/>
      <c r="E46" s="113" t="str">
        <f>'Input FD'!E38</f>
        <v>Sewerage: MNI (net of grants &amp; contributions)</v>
      </c>
      <c r="F46" s="113"/>
      <c r="G46" s="120"/>
      <c r="H46" s="120"/>
      <c r="I46" s="120"/>
      <c r="J46" s="121">
        <f>'Input FD'!J38</f>
        <v>147.81277901553301</v>
      </c>
      <c r="K46" s="121">
        <f>'Input FD'!K38</f>
        <v>221.861562203463</v>
      </c>
      <c r="L46" s="121">
        <f>'Input FD'!L38</f>
        <v>130.194251699132</v>
      </c>
      <c r="M46" s="121">
        <f>'Input FD'!M38</f>
        <v>143.986736667993</v>
      </c>
      <c r="N46" s="121">
        <f>'Input FD'!N38</f>
        <v>110.83618408906401</v>
      </c>
      <c r="O46" s="113"/>
      <c r="P46" s="113"/>
      <c r="Q46" s="113"/>
      <c r="R46" s="113"/>
      <c r="S46" s="113"/>
      <c r="T46" s="115"/>
      <c r="U46" s="122">
        <f t="shared" si="4"/>
        <v>754.69151367518498</v>
      </c>
    </row>
    <row r="47" spans="1:28" s="117" customFormat="1" ht="17.399999999999999">
      <c r="A47" s="110"/>
      <c r="B47" s="119" t="s">
        <v>150</v>
      </c>
      <c r="C47" s="119"/>
      <c r="D47" s="113"/>
      <c r="E47" s="113" t="str">
        <f>'Input FD'!E39</f>
        <v>Sewerage: Total enhancements (infra) net of grants &amp; contributions</v>
      </c>
      <c r="F47" s="113"/>
      <c r="G47" s="120"/>
      <c r="H47" s="120"/>
      <c r="I47" s="120"/>
      <c r="J47" s="121">
        <f>'Input FD'!J39</f>
        <v>56.530581629279297</v>
      </c>
      <c r="K47" s="121">
        <f>'Input FD'!K39</f>
        <v>95.368745344233602</v>
      </c>
      <c r="L47" s="121">
        <f>'Input FD'!L39</f>
        <v>100.421626739213</v>
      </c>
      <c r="M47" s="121">
        <f>'Input FD'!M39</f>
        <v>83.751564155600406</v>
      </c>
      <c r="N47" s="121">
        <f>'Input FD'!N39</f>
        <v>74.585730211598403</v>
      </c>
      <c r="O47" s="113"/>
      <c r="P47" s="113"/>
      <c r="Q47" s="113"/>
      <c r="R47" s="113"/>
      <c r="S47" s="113"/>
      <c r="T47" s="115"/>
      <c r="U47" s="122">
        <f t="shared" si="4"/>
        <v>410.6582480799247</v>
      </c>
    </row>
    <row r="48" spans="1:28" s="117" customFormat="1" ht="17.399999999999999">
      <c r="A48" s="110"/>
      <c r="B48" s="119" t="s">
        <v>214</v>
      </c>
      <c r="C48" s="119"/>
      <c r="D48" s="113"/>
      <c r="E48" s="113" t="str">
        <f>'Input FD'!E40</f>
        <v>Sewerage: Total enhancements (non-infra) net of grants &amp; contributions</v>
      </c>
      <c r="F48" s="113"/>
      <c r="G48" s="120"/>
      <c r="H48" s="120"/>
      <c r="I48" s="120"/>
      <c r="J48" s="121">
        <f>'Input FD'!J40</f>
        <v>271.55400562869698</v>
      </c>
      <c r="K48" s="121">
        <f>'Input FD'!K40</f>
        <v>307.44605639175199</v>
      </c>
      <c r="L48" s="121">
        <f>'Input FD'!L40</f>
        <v>261.40140772536898</v>
      </c>
      <c r="M48" s="121">
        <f>'Input FD'!M40</f>
        <v>163.49351378198699</v>
      </c>
      <c r="N48" s="121">
        <f>'Input FD'!N40</f>
        <v>114.792250671535</v>
      </c>
      <c r="O48" s="113"/>
      <c r="P48" s="113"/>
      <c r="Q48" s="113"/>
      <c r="R48" s="113"/>
      <c r="S48" s="113"/>
      <c r="T48" s="115"/>
      <c r="U48" s="122">
        <f t="shared" si="4"/>
        <v>1118.6872341993399</v>
      </c>
    </row>
    <row r="49" spans="1:27" s="117" customFormat="1" ht="17.399999999999999">
      <c r="A49" s="110"/>
      <c r="B49" s="119" t="s">
        <v>215</v>
      </c>
      <c r="C49" s="119"/>
      <c r="D49" s="113"/>
      <c r="E49" s="113" t="str">
        <f>'Input FD'!E41</f>
        <v>Sewerage: Large projects infrastructure (exc large project capex not subject to CIS)</v>
      </c>
      <c r="F49" s="113"/>
      <c r="G49" s="120"/>
      <c r="H49" s="120"/>
      <c r="I49" s="120"/>
      <c r="J49" s="121">
        <f>'Input FD'!J41</f>
        <v>124.684</v>
      </c>
      <c r="K49" s="121">
        <f>'Input FD'!K41</f>
        <v>136.78299999999999</v>
      </c>
      <c r="L49" s="121">
        <f>'Input FD'!L41</f>
        <v>99.774000000000001</v>
      </c>
      <c r="M49" s="121">
        <f>'Input FD'!M41</f>
        <v>90.923000000000002</v>
      </c>
      <c r="N49" s="121">
        <f>'Input FD'!N41</f>
        <v>74.247</v>
      </c>
      <c r="O49" s="113"/>
      <c r="P49" s="113"/>
      <c r="Q49" s="113"/>
      <c r="R49" s="113"/>
      <c r="S49" s="113"/>
      <c r="T49" s="115"/>
      <c r="U49" s="122">
        <f t="shared" ref="U49:U50" si="6">SUM(J49:N49)</f>
        <v>526.41099999999994</v>
      </c>
    </row>
    <row r="50" spans="1:27" s="117" customFormat="1" ht="17.399999999999999">
      <c r="A50" s="110"/>
      <c r="B50" s="119" t="s">
        <v>216</v>
      </c>
      <c r="C50" s="119"/>
      <c r="D50" s="113"/>
      <c r="E50" s="113" t="str">
        <f>'Input FD'!E42</f>
        <v>Sewerage: Large projects non-infrastructure (exc large project capex not subject to CIS)</v>
      </c>
      <c r="F50" s="113"/>
      <c r="G50" s="120"/>
      <c r="H50" s="120"/>
      <c r="I50" s="120"/>
      <c r="J50" s="121">
        <f>'Input FD'!J42</f>
        <v>15.026999999999999</v>
      </c>
      <c r="K50" s="121">
        <f>'Input FD'!K42</f>
        <v>16.484999999999999</v>
      </c>
      <c r="L50" s="121">
        <f>'Input FD'!L42</f>
        <v>12.023999999999999</v>
      </c>
      <c r="M50" s="121">
        <f>'Input FD'!M42</f>
        <v>10.958</v>
      </c>
      <c r="N50" s="121">
        <f>'Input FD'!N42</f>
        <v>8.9480000000000004</v>
      </c>
      <c r="O50" s="113"/>
      <c r="P50" s="113"/>
      <c r="Q50" s="113"/>
      <c r="R50" s="113"/>
      <c r="S50" s="113"/>
      <c r="T50" s="115"/>
      <c r="U50" s="122">
        <f t="shared" si="6"/>
        <v>63.442</v>
      </c>
    </row>
    <row r="51" spans="1:27" s="117" customFormat="1" ht="17.399999999999999">
      <c r="A51" s="110"/>
      <c r="B51" s="119" t="s">
        <v>217</v>
      </c>
      <c r="C51" s="118"/>
      <c r="D51" s="113"/>
      <c r="E51" s="113" t="str">
        <f>Calc!E67</f>
        <v>Sewerage: Baseline capex (gross of adjustments)</v>
      </c>
      <c r="F51" s="113"/>
      <c r="G51" s="120"/>
      <c r="H51" s="120"/>
      <c r="I51" s="120"/>
      <c r="J51" s="121">
        <f>Calc!J67</f>
        <v>654.4741276462189</v>
      </c>
      <c r="K51" s="121">
        <f>Calc!K67</f>
        <v>813.72587748593742</v>
      </c>
      <c r="L51" s="121">
        <f>Calc!L67</f>
        <v>647.34730617292348</v>
      </c>
      <c r="M51" s="121">
        <f>Calc!M67</f>
        <v>538.43439234787206</v>
      </c>
      <c r="N51" s="121">
        <f>Calc!N67</f>
        <v>428.08639768691978</v>
      </c>
      <c r="O51" s="113"/>
      <c r="P51" s="113"/>
      <c r="Q51" s="113"/>
      <c r="R51" s="113"/>
      <c r="S51" s="113"/>
      <c r="T51" s="115"/>
      <c r="U51" s="122">
        <f t="shared" si="4"/>
        <v>3082.0681013398716</v>
      </c>
    </row>
    <row r="52" spans="1:27" s="117" customFormat="1" ht="17.399999999999999">
      <c r="A52" s="110"/>
      <c r="B52" s="118"/>
      <c r="C52" s="118"/>
      <c r="D52" s="113"/>
      <c r="E52" s="113"/>
      <c r="F52" s="113"/>
      <c r="G52" s="113"/>
      <c r="H52" s="113"/>
      <c r="I52" s="113"/>
      <c r="J52" s="121"/>
      <c r="K52" s="121"/>
      <c r="L52" s="121"/>
      <c r="M52" s="121"/>
      <c r="N52" s="121"/>
      <c r="O52" s="113"/>
      <c r="P52" s="113"/>
      <c r="Q52" s="113"/>
      <c r="R52" s="113"/>
      <c r="S52" s="113"/>
      <c r="T52" s="115"/>
      <c r="U52" s="122"/>
    </row>
    <row r="53" spans="1:27" s="117" customFormat="1" ht="17.399999999999999">
      <c r="A53" s="110"/>
      <c r="B53" s="111">
        <v>1.3</v>
      </c>
      <c r="C53" s="112"/>
      <c r="D53" s="113"/>
      <c r="E53" s="105" t="s">
        <v>51</v>
      </c>
      <c r="F53" s="105"/>
      <c r="G53" s="113"/>
      <c r="H53" s="113"/>
      <c r="I53" s="113"/>
      <c r="J53" s="121"/>
      <c r="K53" s="121"/>
      <c r="L53" s="121"/>
      <c r="M53" s="121"/>
      <c r="N53" s="121"/>
      <c r="O53" s="113"/>
      <c r="P53" s="113"/>
      <c r="Q53" s="113"/>
      <c r="R53" s="113"/>
      <c r="S53" s="113"/>
      <c r="T53" s="115"/>
      <c r="U53" s="122"/>
    </row>
    <row r="54" spans="1:27" s="117" customFormat="1" ht="17.399999999999999">
      <c r="A54" s="110"/>
      <c r="B54" s="119" t="s">
        <v>151</v>
      </c>
      <c r="C54" s="119"/>
      <c r="D54" s="113"/>
      <c r="E54" s="113" t="str">
        <f>Calc!E39</f>
        <v>Water: IRE</v>
      </c>
      <c r="F54" s="113"/>
      <c r="G54" s="120"/>
      <c r="H54" s="120"/>
      <c r="I54" s="120"/>
      <c r="J54" s="121">
        <f>Calc!J39</f>
        <v>92.744508388519577</v>
      </c>
      <c r="K54" s="121">
        <f>Calc!K39</f>
        <v>123.58315740734844</v>
      </c>
      <c r="L54" s="121">
        <f>Calc!L39</f>
        <v>106.43668892813312</v>
      </c>
      <c r="M54" s="121">
        <f>Calc!M39</f>
        <v>126.28363827791573</v>
      </c>
      <c r="N54" s="121">
        <f>Calc!N39</f>
        <v>120.38482974641023</v>
      </c>
      <c r="O54" s="113"/>
      <c r="P54" s="113"/>
      <c r="Q54" s="113"/>
      <c r="R54" s="113"/>
      <c r="S54" s="113"/>
      <c r="T54" s="115"/>
      <c r="U54" s="122">
        <f>SUM(J54:N54)</f>
        <v>569.43282274832711</v>
      </c>
      <c r="W54" s="123"/>
      <c r="X54" s="123"/>
      <c r="Y54" s="123"/>
      <c r="Z54" s="123"/>
      <c r="AA54" s="123"/>
    </row>
    <row r="55" spans="1:27" s="117" customFormat="1" ht="17.399999999999999">
      <c r="A55" s="110"/>
      <c r="B55" s="119" t="s">
        <v>152</v>
      </c>
      <c r="C55" s="119"/>
      <c r="D55" s="113"/>
      <c r="E55" s="113" t="str">
        <f>Calc!E40</f>
        <v>Water: MNI</v>
      </c>
      <c r="F55" s="113"/>
      <c r="G55" s="120"/>
      <c r="H55" s="120"/>
      <c r="I55" s="120"/>
      <c r="J55" s="121">
        <f>Calc!J40</f>
        <v>105.83219195036244</v>
      </c>
      <c r="K55" s="121">
        <f>Calc!K40</f>
        <v>160.37178819267535</v>
      </c>
      <c r="L55" s="121">
        <f>Calc!L40</f>
        <v>142.66725883808135</v>
      </c>
      <c r="M55" s="121">
        <f>Calc!M40</f>
        <v>120.49689473269518</v>
      </c>
      <c r="N55" s="121">
        <f>Calc!N40</f>
        <v>85.230568268989231</v>
      </c>
      <c r="O55" s="113"/>
      <c r="P55" s="113"/>
      <c r="Q55" s="113"/>
      <c r="R55" s="113"/>
      <c r="S55" s="113"/>
      <c r="T55" s="115"/>
      <c r="U55" s="122">
        <f>SUM(J55:N55)</f>
        <v>614.59870198280362</v>
      </c>
      <c r="W55" s="123"/>
      <c r="X55" s="123"/>
      <c r="Y55" s="123"/>
      <c r="Z55" s="123"/>
      <c r="AA55" s="123"/>
    </row>
    <row r="56" spans="1:27" s="117" customFormat="1" ht="17.399999999999999">
      <c r="A56" s="110"/>
      <c r="B56" s="119" t="s">
        <v>153</v>
      </c>
      <c r="C56" s="119"/>
      <c r="D56" s="113"/>
      <c r="E56" s="113" t="str">
        <f>Calc!E41</f>
        <v>Water: Infrastructure enhancements</v>
      </c>
      <c r="F56" s="113"/>
      <c r="G56" s="120"/>
      <c r="H56" s="120"/>
      <c r="I56" s="120"/>
      <c r="J56" s="121">
        <f>Calc!J41</f>
        <v>15.589113678505825</v>
      </c>
      <c r="K56" s="121">
        <f>Calc!K41</f>
        <v>30.190766593343678</v>
      </c>
      <c r="L56" s="121">
        <f>Calc!L41</f>
        <v>38.153146625235721</v>
      </c>
      <c r="M56" s="121">
        <f>Calc!M41</f>
        <v>26.33682677391614</v>
      </c>
      <c r="N56" s="121">
        <f>Calc!N41</f>
        <v>12.978978580751031</v>
      </c>
      <c r="O56" s="113"/>
      <c r="P56" s="113"/>
      <c r="Q56" s="113"/>
      <c r="R56" s="113"/>
      <c r="S56" s="113"/>
      <c r="T56" s="115"/>
      <c r="U56" s="122">
        <f>SUM(J56:N56)</f>
        <v>123.2488322517524</v>
      </c>
      <c r="W56" s="123"/>
      <c r="X56" s="123"/>
      <c r="Y56" s="123"/>
      <c r="Z56" s="123"/>
      <c r="AA56" s="123"/>
    </row>
    <row r="57" spans="1:27" s="117" customFormat="1" ht="17.399999999999999">
      <c r="A57" s="110"/>
      <c r="B57" s="119" t="s">
        <v>154</v>
      </c>
      <c r="C57" s="119"/>
      <c r="D57" s="113"/>
      <c r="E57" s="113" t="str">
        <f>Calc!E42</f>
        <v>Water: Non-infrastructure enhancements</v>
      </c>
      <c r="F57" s="113"/>
      <c r="G57" s="120"/>
      <c r="H57" s="120"/>
      <c r="I57" s="120"/>
      <c r="J57" s="121">
        <f>Calc!J42</f>
        <v>38.694736261513548</v>
      </c>
      <c r="K57" s="121">
        <f>Calc!K42</f>
        <v>53.537201593277878</v>
      </c>
      <c r="L57" s="121">
        <f>Calc!L42</f>
        <v>46.048073383459695</v>
      </c>
      <c r="M57" s="121">
        <f>Calc!M42</f>
        <v>39.417296012112999</v>
      </c>
      <c r="N57" s="121">
        <f>Calc!N42</f>
        <v>27.854831958516112</v>
      </c>
      <c r="O57" s="113"/>
      <c r="P57" s="113"/>
      <c r="Q57" s="113"/>
      <c r="R57" s="113"/>
      <c r="S57" s="113"/>
      <c r="T57" s="115"/>
      <c r="U57" s="122">
        <f>SUM(J57:N57)</f>
        <v>205.55213920888025</v>
      </c>
      <c r="W57" s="123"/>
      <c r="X57" s="123"/>
      <c r="Y57" s="123"/>
      <c r="Z57" s="123"/>
      <c r="AA57" s="123"/>
    </row>
    <row r="58" spans="1:27" s="117" customFormat="1" ht="17.399999999999999">
      <c r="A58" s="110"/>
      <c r="B58" s="119" t="s">
        <v>155</v>
      </c>
      <c r="C58" s="119"/>
      <c r="D58" s="113"/>
      <c r="E58" s="113" t="str">
        <f>Calc!E43</f>
        <v>Water: Large projects infrastructure</v>
      </c>
      <c r="F58" s="113"/>
      <c r="G58" s="120"/>
      <c r="H58" s="120"/>
      <c r="I58" s="120"/>
      <c r="J58" s="121">
        <f>Calc!J43</f>
        <v>0</v>
      </c>
      <c r="K58" s="121">
        <f>Calc!K43</f>
        <v>0</v>
      </c>
      <c r="L58" s="121">
        <f>Calc!L43</f>
        <v>0</v>
      </c>
      <c r="M58" s="121">
        <f>Calc!M43</f>
        <v>0</v>
      </c>
      <c r="N58" s="121">
        <f>Calc!N43</f>
        <v>0</v>
      </c>
      <c r="O58" s="113"/>
      <c r="P58" s="113"/>
      <c r="Q58" s="113"/>
      <c r="R58" s="113"/>
      <c r="S58" s="113"/>
      <c r="T58" s="115"/>
      <c r="U58" s="122">
        <f t="shared" ref="U58:U59" si="7">SUM(J58:N58)</f>
        <v>0</v>
      </c>
      <c r="W58" s="123"/>
      <c r="X58" s="123"/>
      <c r="Y58" s="123"/>
      <c r="Z58" s="123"/>
      <c r="AA58" s="123"/>
    </row>
    <row r="59" spans="1:27" s="117" customFormat="1" ht="17.399999999999999">
      <c r="A59" s="110"/>
      <c r="B59" s="119" t="s">
        <v>156</v>
      </c>
      <c r="C59" s="119"/>
      <c r="D59" s="113"/>
      <c r="E59" s="113" t="str">
        <f>Calc!E44</f>
        <v>Water: Large projects non-infrastructure</v>
      </c>
      <c r="F59" s="113"/>
      <c r="G59" s="120"/>
      <c r="H59" s="120"/>
      <c r="I59" s="120"/>
      <c r="J59" s="121">
        <f>Calc!J44</f>
        <v>0</v>
      </c>
      <c r="K59" s="121">
        <f>Calc!K44</f>
        <v>0</v>
      </c>
      <c r="L59" s="121">
        <f>Calc!L44</f>
        <v>0</v>
      </c>
      <c r="M59" s="121">
        <f>Calc!M44</f>
        <v>0</v>
      </c>
      <c r="N59" s="121">
        <f>Calc!N44</f>
        <v>0</v>
      </c>
      <c r="O59" s="113"/>
      <c r="P59" s="113"/>
      <c r="Q59" s="113"/>
      <c r="R59" s="113"/>
      <c r="S59" s="113"/>
      <c r="T59" s="115"/>
      <c r="U59" s="122">
        <f t="shared" si="7"/>
        <v>0</v>
      </c>
      <c r="W59" s="123"/>
      <c r="X59" s="123"/>
      <c r="Y59" s="123"/>
      <c r="Z59" s="123"/>
      <c r="AA59" s="123"/>
    </row>
    <row r="60" spans="1:27" s="117" customFormat="1" ht="17.399999999999999">
      <c r="A60" s="110"/>
      <c r="B60" s="119" t="s">
        <v>157</v>
      </c>
      <c r="C60" s="119"/>
      <c r="D60" s="113"/>
      <c r="E60" s="113" t="str">
        <f>Calc!E57</f>
        <v>Water: Allowance capex (gross of adjustments)</v>
      </c>
      <c r="F60" s="113"/>
      <c r="G60" s="120"/>
      <c r="H60" s="120"/>
      <c r="I60" s="120"/>
      <c r="J60" s="121">
        <f>Calc!J57</f>
        <v>252.8605502789014</v>
      </c>
      <c r="K60" s="121">
        <f>Calc!K57</f>
        <v>367.68291378664532</v>
      </c>
      <c r="L60" s="121">
        <f>Calc!L57</f>
        <v>333.30516777490993</v>
      </c>
      <c r="M60" s="121">
        <f>Calc!M57</f>
        <v>312.53465579664004</v>
      </c>
      <c r="N60" s="121">
        <f>Calc!N57</f>
        <v>246.44920855466663</v>
      </c>
      <c r="O60" s="113"/>
      <c r="P60" s="113"/>
      <c r="Q60" s="113"/>
      <c r="R60" s="113"/>
      <c r="S60" s="113"/>
      <c r="T60" s="115"/>
      <c r="U60" s="122">
        <f>SUM(J60:N60)</f>
        <v>1512.8324961917633</v>
      </c>
      <c r="W60" s="123"/>
      <c r="X60" s="123"/>
      <c r="Y60" s="123"/>
      <c r="Z60" s="123"/>
      <c r="AA60" s="123"/>
    </row>
    <row r="61" spans="1:27" s="117" customFormat="1" ht="17.399999999999999">
      <c r="A61" s="110"/>
      <c r="B61" s="119"/>
      <c r="C61" s="119"/>
      <c r="D61" s="113"/>
      <c r="E61" s="113"/>
      <c r="F61" s="113"/>
      <c r="G61" s="120"/>
      <c r="H61" s="120"/>
      <c r="I61" s="120"/>
      <c r="J61" s="121"/>
      <c r="K61" s="121"/>
      <c r="L61" s="121"/>
      <c r="M61" s="121"/>
      <c r="N61" s="121"/>
      <c r="O61" s="113"/>
      <c r="P61" s="113"/>
      <c r="Q61" s="113"/>
      <c r="R61" s="113"/>
      <c r="S61" s="113"/>
      <c r="T61" s="115"/>
      <c r="U61" s="122"/>
    </row>
    <row r="62" spans="1:27" s="117" customFormat="1" ht="17.399999999999999">
      <c r="A62" s="110"/>
      <c r="B62" s="119" t="s">
        <v>158</v>
      </c>
      <c r="C62" s="119"/>
      <c r="D62" s="113"/>
      <c r="E62" s="113" t="str">
        <f>Calc!E46</f>
        <v>Sewerage: IRE</v>
      </c>
      <c r="F62" s="113"/>
      <c r="G62" s="120"/>
      <c r="H62" s="120"/>
      <c r="I62" s="120"/>
      <c r="J62" s="121">
        <f>Calc!J46</f>
        <v>39.640590508201292</v>
      </c>
      <c r="K62" s="121">
        <f>Calc!K46</f>
        <v>36.494855012823066</v>
      </c>
      <c r="L62" s="121">
        <f>Calc!L46</f>
        <v>44.399875834970501</v>
      </c>
      <c r="M62" s="121">
        <f>Calc!M46</f>
        <v>46.225110251649333</v>
      </c>
      <c r="N62" s="121">
        <f>Calc!N46</f>
        <v>45.567919539780114</v>
      </c>
      <c r="O62" s="113"/>
      <c r="P62" s="113"/>
      <c r="Q62" s="113"/>
      <c r="R62" s="113"/>
      <c r="S62" s="113"/>
      <c r="T62" s="115"/>
      <c r="U62" s="122">
        <f>SUM(J62:N62)</f>
        <v>212.32835114742431</v>
      </c>
    </row>
    <row r="63" spans="1:27" s="117" customFormat="1" ht="17.399999999999999">
      <c r="A63" s="110"/>
      <c r="B63" s="119" t="s">
        <v>159</v>
      </c>
      <c r="C63" s="119"/>
      <c r="D63" s="113"/>
      <c r="E63" s="113" t="str">
        <f>Calc!E47</f>
        <v>Sewerage: MNI</v>
      </c>
      <c r="F63" s="113"/>
      <c r="G63" s="120"/>
      <c r="H63" s="120"/>
      <c r="I63" s="120"/>
      <c r="J63" s="121">
        <f>Calc!J47</f>
        <v>150.75957958585835</v>
      </c>
      <c r="K63" s="121">
        <f>Calc!K47</f>
        <v>226.284601824183</v>
      </c>
      <c r="L63" s="121">
        <f>Calc!L47</f>
        <v>132.78980871196487</v>
      </c>
      <c r="M63" s="121">
        <f>Calc!M47</f>
        <v>146.85726112845211</v>
      </c>
      <c r="N63" s="121">
        <f>Calc!N47</f>
        <v>113.04581801017456</v>
      </c>
      <c r="O63" s="113"/>
      <c r="P63" s="113"/>
      <c r="Q63" s="113"/>
      <c r="R63" s="113"/>
      <c r="S63" s="113"/>
      <c r="T63" s="115"/>
      <c r="U63" s="122">
        <f>SUM(J63:N63)</f>
        <v>769.73706926063289</v>
      </c>
    </row>
    <row r="64" spans="1:27" s="117" customFormat="1" ht="17.399999999999999">
      <c r="A64" s="110"/>
      <c r="B64" s="119" t="s">
        <v>160</v>
      </c>
      <c r="C64" s="119"/>
      <c r="D64" s="113"/>
      <c r="E64" s="113" t="str">
        <f>Calc!E48</f>
        <v>Sewerage: Infrastructure enhancements</v>
      </c>
      <c r="F64" s="113"/>
      <c r="G64" s="120"/>
      <c r="H64" s="120"/>
      <c r="I64" s="120"/>
      <c r="J64" s="121">
        <f>Calc!J48</f>
        <v>57.657577219887052</v>
      </c>
      <c r="K64" s="121">
        <f>Calc!K48</f>
        <v>97.270019882493031</v>
      </c>
      <c r="L64" s="121">
        <f>Calc!L48</f>
        <v>102.4236356921535</v>
      </c>
      <c r="M64" s="121">
        <f>Calc!M48</f>
        <v>85.421238176095116</v>
      </c>
      <c r="N64" s="121">
        <f>Calc!N48</f>
        <v>76.07267385604861</v>
      </c>
      <c r="O64" s="113"/>
      <c r="P64" s="113"/>
      <c r="Q64" s="113"/>
      <c r="R64" s="113"/>
      <c r="S64" s="113"/>
      <c r="T64" s="115"/>
      <c r="U64" s="122">
        <f>SUM(J64:N64)</f>
        <v>418.84514482667731</v>
      </c>
    </row>
    <row r="65" spans="1:21" s="117" customFormat="1" ht="17.399999999999999">
      <c r="A65" s="110"/>
      <c r="B65" s="119" t="s">
        <v>238</v>
      </c>
      <c r="C65" s="119"/>
      <c r="D65" s="113"/>
      <c r="E65" s="113" t="str">
        <f>Calc!E49</f>
        <v>Sewerage: Non-infrastructure enhancements</v>
      </c>
      <c r="F65" s="113"/>
      <c r="G65" s="120"/>
      <c r="H65" s="120"/>
      <c r="I65" s="120"/>
      <c r="J65" s="121">
        <f>Calc!J49</f>
        <v>276.96771548511396</v>
      </c>
      <c r="K65" s="121">
        <f>Calc!K49</f>
        <v>313.57531138819775</v>
      </c>
      <c r="L65" s="121">
        <f>Calc!L49</f>
        <v>266.61271504601694</v>
      </c>
      <c r="M65" s="121">
        <f>Calc!M49</f>
        <v>166.75292601187698</v>
      </c>
      <c r="N65" s="121">
        <f>Calc!N49</f>
        <v>117.08075287006456</v>
      </c>
      <c r="O65" s="113"/>
      <c r="P65" s="113"/>
      <c r="Q65" s="113"/>
      <c r="R65" s="113"/>
      <c r="S65" s="113"/>
      <c r="T65" s="115"/>
      <c r="U65" s="122">
        <f>SUM(J65:N65)</f>
        <v>1140.9894208012702</v>
      </c>
    </row>
    <row r="66" spans="1:21" s="117" customFormat="1" ht="17.399999999999999">
      <c r="A66" s="110"/>
      <c r="B66" s="119" t="s">
        <v>239</v>
      </c>
      <c r="C66" s="119"/>
      <c r="D66" s="113"/>
      <c r="E66" s="113" t="str">
        <f>Calc!E50</f>
        <v>Sewerage: Large projects infrastructure</v>
      </c>
      <c r="F66" s="113"/>
      <c r="G66" s="120"/>
      <c r="H66" s="120"/>
      <c r="I66" s="120"/>
      <c r="J66" s="121">
        <f>Calc!J50</f>
        <v>127.16970444827261</v>
      </c>
      <c r="K66" s="121">
        <f>Calc!K50</f>
        <v>139.50991052218464</v>
      </c>
      <c r="L66" s="121">
        <f>Calc!L50</f>
        <v>101.76309784432605</v>
      </c>
      <c r="M66" s="121">
        <f>Calc!M50</f>
        <v>92.735644008455694</v>
      </c>
      <c r="N66" s="121">
        <f>Calc!N50</f>
        <v>75.727190707475671</v>
      </c>
      <c r="O66" s="113"/>
      <c r="P66" s="113"/>
      <c r="Q66" s="113"/>
      <c r="R66" s="113"/>
      <c r="S66" s="113"/>
      <c r="T66" s="115"/>
      <c r="U66" s="122">
        <f t="shared" ref="U66:U67" si="8">SUM(J66:N66)</f>
        <v>536.90554753071467</v>
      </c>
    </row>
    <row r="67" spans="1:21" s="117" customFormat="1" ht="17.399999999999999">
      <c r="A67" s="110"/>
      <c r="B67" s="119" t="s">
        <v>240</v>
      </c>
      <c r="C67" s="119"/>
      <c r="D67" s="113"/>
      <c r="E67" s="113" t="str">
        <f>Calc!E51</f>
        <v>Sewerage: Large projects non-infrastructure</v>
      </c>
      <c r="F67" s="113"/>
      <c r="G67" s="120"/>
      <c r="H67" s="120"/>
      <c r="I67" s="120"/>
      <c r="J67" s="121">
        <f>Calc!J51</f>
        <v>15.32657878111219</v>
      </c>
      <c r="K67" s="121">
        <f>Calc!K51</f>
        <v>16.813645518508981</v>
      </c>
      <c r="L67" s="121">
        <f>Calc!L51</f>
        <v>12.263710871371064</v>
      </c>
      <c r="M67" s="121">
        <f>Calc!M51</f>
        <v>11.176459059255167</v>
      </c>
      <c r="N67" s="121">
        <f>Calc!N51</f>
        <v>9.1263876311567103</v>
      </c>
      <c r="O67" s="113"/>
      <c r="P67" s="113"/>
      <c r="Q67" s="113"/>
      <c r="R67" s="113"/>
      <c r="S67" s="113"/>
      <c r="T67" s="115"/>
      <c r="U67" s="122">
        <f t="shared" si="8"/>
        <v>64.706781861404096</v>
      </c>
    </row>
    <row r="68" spans="1:21" s="117" customFormat="1" ht="17.399999999999999">
      <c r="A68" s="110"/>
      <c r="B68" s="119" t="s">
        <v>241</v>
      </c>
      <c r="C68" s="118"/>
      <c r="D68" s="113"/>
      <c r="E68" s="113" t="str">
        <f>Calc!E68</f>
        <v>Sewerage: Allowance capex (gross of adjustments)</v>
      </c>
      <c r="F68" s="113"/>
      <c r="G68" s="120"/>
      <c r="H68" s="120"/>
      <c r="I68" s="120"/>
      <c r="J68" s="121">
        <f>Calc!J68</f>
        <v>667.52174602844536</v>
      </c>
      <c r="K68" s="121">
        <f>Calc!K68</f>
        <v>829.94834414839056</v>
      </c>
      <c r="L68" s="121">
        <f>Calc!L68</f>
        <v>660.25284400080284</v>
      </c>
      <c r="M68" s="121">
        <f>Calc!M68</f>
        <v>549.16863863578442</v>
      </c>
      <c r="N68" s="121">
        <f>Calc!N68</f>
        <v>436.62074261470025</v>
      </c>
      <c r="O68" s="113"/>
      <c r="P68" s="113"/>
      <c r="Q68" s="113"/>
      <c r="R68" s="113"/>
      <c r="S68" s="113"/>
      <c r="T68" s="115"/>
      <c r="U68" s="122">
        <f>SUM(J68:N68)</f>
        <v>3143.5123154281237</v>
      </c>
    </row>
    <row r="69" spans="1:21" s="117" customFormat="1" ht="17.399999999999999">
      <c r="A69" s="110"/>
      <c r="B69" s="118"/>
      <c r="C69" s="118"/>
      <c r="D69" s="113"/>
      <c r="E69" s="113"/>
      <c r="F69" s="113"/>
      <c r="G69" s="120"/>
      <c r="H69" s="120"/>
      <c r="I69" s="120"/>
      <c r="J69" s="121"/>
      <c r="K69" s="121"/>
      <c r="L69" s="121"/>
      <c r="M69" s="121"/>
      <c r="N69" s="121"/>
      <c r="O69" s="113"/>
      <c r="P69" s="113"/>
      <c r="Q69" s="113"/>
      <c r="R69" s="113"/>
      <c r="S69" s="113"/>
      <c r="T69" s="115"/>
      <c r="U69" s="122"/>
    </row>
    <row r="70" spans="1:21" s="117" customFormat="1" ht="17.399999999999999">
      <c r="A70" s="110"/>
      <c r="B70" s="112">
        <v>2</v>
      </c>
      <c r="C70" s="112"/>
      <c r="D70" s="113"/>
      <c r="E70" s="105" t="s">
        <v>161</v>
      </c>
      <c r="F70" s="105"/>
      <c r="G70" s="113"/>
      <c r="H70" s="113"/>
      <c r="I70" s="113"/>
      <c r="J70" s="121"/>
      <c r="K70" s="121"/>
      <c r="L70" s="121"/>
      <c r="M70" s="121"/>
      <c r="N70" s="121"/>
      <c r="O70" s="113"/>
      <c r="P70" s="113"/>
      <c r="Q70" s="113"/>
      <c r="R70" s="113"/>
      <c r="S70" s="113"/>
      <c r="T70" s="115"/>
      <c r="U70" s="122"/>
    </row>
    <row r="71" spans="1:21" s="117" customFormat="1" ht="17.399999999999999">
      <c r="A71" s="110"/>
      <c r="B71" s="113"/>
      <c r="C71" s="113"/>
      <c r="D71" s="113"/>
      <c r="E71" s="113"/>
      <c r="F71" s="113"/>
      <c r="G71" s="113"/>
      <c r="H71" s="113"/>
      <c r="I71" s="113"/>
      <c r="J71" s="121"/>
      <c r="K71" s="121"/>
      <c r="L71" s="121"/>
      <c r="M71" s="121"/>
      <c r="N71" s="121"/>
      <c r="O71" s="113"/>
      <c r="P71" s="113"/>
      <c r="Q71" s="113"/>
      <c r="R71" s="113"/>
      <c r="S71" s="113"/>
      <c r="T71" s="115"/>
      <c r="U71" s="122"/>
    </row>
    <row r="72" spans="1:21" s="117" customFormat="1" ht="17.399999999999999">
      <c r="A72" s="110"/>
      <c r="B72" s="119">
        <v>2.1</v>
      </c>
      <c r="C72" s="119"/>
      <c r="D72" s="113"/>
      <c r="E72" s="113" t="str">
        <f>Calc!E94</f>
        <v>Water: CIS bid ratio</v>
      </c>
      <c r="F72" s="113"/>
      <c r="G72" s="124">
        <f>Calc!G94</f>
        <v>125.26368929866103</v>
      </c>
      <c r="H72" s="120"/>
      <c r="I72" s="120"/>
      <c r="J72" s="121"/>
      <c r="K72" s="121"/>
      <c r="L72" s="121"/>
      <c r="M72" s="121"/>
      <c r="N72" s="121"/>
      <c r="O72" s="113"/>
      <c r="P72" s="113"/>
      <c r="Q72" s="113"/>
      <c r="R72" s="113"/>
      <c r="S72" s="113"/>
      <c r="T72" s="115"/>
      <c r="U72" s="122"/>
    </row>
    <row r="73" spans="1:21" s="117" customFormat="1" ht="17.399999999999999">
      <c r="A73" s="110"/>
      <c r="B73" s="119">
        <v>2.2000000000000002</v>
      </c>
      <c r="C73" s="119"/>
      <c r="D73" s="113"/>
      <c r="E73" s="113" t="str">
        <f>Calc!E127</f>
        <v>Water: Additional income (applied at FD)</v>
      </c>
      <c r="F73" s="113"/>
      <c r="G73" s="124"/>
      <c r="H73" s="120"/>
      <c r="I73" s="120"/>
      <c r="J73" s="121">
        <f>Calc!J127</f>
        <v>-6.4040346411921103</v>
      </c>
      <c r="K73" s="121">
        <f>Calc!K127</f>
        <v>-9.3120659362126101</v>
      </c>
      <c r="L73" s="121">
        <f>Calc!L127</f>
        <v>-8.4414031297668295</v>
      </c>
      <c r="M73" s="121">
        <f>Calc!M127</f>
        <v>-7.9153618865700501</v>
      </c>
      <c r="N73" s="121">
        <f>Calc!N127</f>
        <v>-6.2416587606791998</v>
      </c>
      <c r="O73" s="113"/>
      <c r="P73" s="113"/>
      <c r="Q73" s="113"/>
      <c r="R73" s="113"/>
      <c r="S73" s="113"/>
      <c r="T73" s="115"/>
      <c r="U73" s="122">
        <f>SUM(J73:N73)</f>
        <v>-38.314524354420797</v>
      </c>
    </row>
    <row r="74" spans="1:21" s="117" customFormat="1" ht="17.399999999999999">
      <c r="A74" s="110"/>
      <c r="B74" s="119"/>
      <c r="C74" s="119"/>
      <c r="D74" s="113"/>
      <c r="E74" s="113"/>
      <c r="F74" s="113"/>
      <c r="G74" s="124"/>
      <c r="H74" s="113"/>
      <c r="I74" s="113"/>
      <c r="J74" s="121"/>
      <c r="K74" s="121"/>
      <c r="L74" s="121"/>
      <c r="M74" s="121"/>
      <c r="N74" s="121"/>
      <c r="O74" s="113"/>
      <c r="P74" s="113"/>
      <c r="Q74" s="113"/>
      <c r="R74" s="113"/>
      <c r="S74" s="113"/>
      <c r="T74" s="115"/>
      <c r="U74" s="122"/>
    </row>
    <row r="75" spans="1:21" s="117" customFormat="1" ht="17.399999999999999">
      <c r="A75" s="110"/>
      <c r="B75" s="119">
        <v>2.2999999999999998</v>
      </c>
      <c r="C75" s="119"/>
      <c r="D75" s="113"/>
      <c r="E75" s="113" t="str">
        <f>Calc!E99</f>
        <v>Sewerage: CIS bid ratio</v>
      </c>
      <c r="F75" s="113"/>
      <c r="G75" s="301">
        <f>Calc!G99</f>
        <v>107.97441355193162</v>
      </c>
      <c r="H75" s="120"/>
      <c r="I75" s="120"/>
      <c r="J75" s="121"/>
      <c r="K75" s="121"/>
      <c r="L75" s="121"/>
      <c r="M75" s="121"/>
      <c r="N75" s="121"/>
      <c r="O75" s="113"/>
      <c r="P75" s="113"/>
      <c r="Q75" s="113"/>
      <c r="R75" s="113"/>
      <c r="S75" s="113"/>
      <c r="T75" s="115"/>
      <c r="U75" s="122"/>
    </row>
    <row r="76" spans="1:21" s="117" customFormat="1" ht="17.399999999999999">
      <c r="A76" s="110"/>
      <c r="B76" s="119">
        <v>2.4</v>
      </c>
      <c r="C76" s="119"/>
      <c r="D76" s="113"/>
      <c r="E76" s="113" t="str">
        <f>Calc!E128</f>
        <v>Sewerage: Additional income (applied at FD)</v>
      </c>
      <c r="F76" s="113"/>
      <c r="G76" s="120"/>
      <c r="H76" s="120"/>
      <c r="I76" s="120"/>
      <c r="J76" s="121">
        <f>Calc!J128</f>
        <v>-4.4345210389061096</v>
      </c>
      <c r="K76" s="121">
        <f>Calc!K128</f>
        <v>-5.5135632887299098</v>
      </c>
      <c r="L76" s="121">
        <f>Calc!L128</f>
        <v>-4.38623182711172</v>
      </c>
      <c r="M76" s="121">
        <f>Calc!M128</f>
        <v>-3.6482704817140701</v>
      </c>
      <c r="N76" s="121">
        <f>Calc!N128</f>
        <v>-2.90058545757877</v>
      </c>
      <c r="O76" s="113"/>
      <c r="P76" s="113"/>
      <c r="Q76" s="113"/>
      <c r="R76" s="113"/>
      <c r="S76" s="113"/>
      <c r="T76" s="115"/>
      <c r="U76" s="122">
        <f>SUM(J76:N76)</f>
        <v>-20.883172094040582</v>
      </c>
    </row>
    <row r="77" spans="1:21" s="117" customFormat="1" ht="17.399999999999999">
      <c r="A77" s="110"/>
      <c r="B77" s="118"/>
      <c r="C77" s="118"/>
      <c r="D77" s="113"/>
      <c r="E77" s="113"/>
      <c r="F77" s="113"/>
      <c r="G77" s="113"/>
      <c r="H77" s="113"/>
      <c r="I77" s="113"/>
      <c r="J77" s="114"/>
      <c r="K77" s="114"/>
      <c r="L77" s="114"/>
      <c r="M77" s="114"/>
      <c r="N77" s="114"/>
      <c r="O77" s="113"/>
      <c r="P77" s="113"/>
      <c r="Q77" s="113"/>
      <c r="R77" s="113"/>
      <c r="S77" s="113"/>
      <c r="T77" s="115"/>
      <c r="U77" s="125"/>
    </row>
    <row r="78" spans="1:21" s="117" customFormat="1" ht="17.399999999999999">
      <c r="A78" s="126"/>
      <c r="B78" s="127"/>
      <c r="C78" s="127"/>
      <c r="D78" s="127"/>
      <c r="E78" s="127"/>
      <c r="F78" s="127"/>
      <c r="G78" s="127"/>
      <c r="H78" s="127"/>
      <c r="I78" s="127"/>
      <c r="J78" s="128"/>
      <c r="K78" s="128"/>
      <c r="L78" s="128"/>
      <c r="M78" s="128"/>
      <c r="N78" s="128"/>
      <c r="O78" s="127"/>
      <c r="P78" s="127"/>
      <c r="Q78" s="127"/>
      <c r="R78" s="127"/>
      <c r="S78" s="127"/>
      <c r="T78" s="129"/>
      <c r="U78" s="130"/>
    </row>
    <row r="79" spans="1:21" s="41" customFormat="1" ht="17.399999999999999"/>
    <row r="80" spans="1:21" s="41" customFormat="1" ht="17.399999999999999"/>
    <row r="81" s="41" customFormat="1" ht="17.399999999999999"/>
    <row r="82" s="41" customFormat="1" ht="17.399999999999999"/>
    <row r="83" s="41" customFormat="1" ht="17.399999999999999"/>
    <row r="84" s="41" customFormat="1" ht="17.399999999999999"/>
    <row r="85" s="41" customFormat="1" ht="17.399999999999999"/>
    <row r="86" s="41" customFormat="1" ht="17.399999999999999"/>
    <row r="87" s="41" customFormat="1" ht="17.399999999999999"/>
    <row r="88" s="41" customFormat="1" ht="17.399999999999999"/>
    <row r="89" s="41" customFormat="1" ht="17.399999999999999"/>
    <row r="90" s="41" customFormat="1" ht="17.399999999999999"/>
    <row r="91" s="41" customFormat="1" ht="17.399999999999999"/>
    <row r="92" s="41" customFormat="1" ht="17.399999999999999"/>
    <row r="93" s="41" customFormat="1" ht="17.399999999999999"/>
    <row r="94" s="41" customFormat="1" ht="17.399999999999999"/>
    <row r="95" s="41" customFormat="1" ht="17.399999999999999"/>
    <row r="96" s="41" customFormat="1" ht="17.399999999999999"/>
    <row r="97" s="41" customFormat="1" ht="17.399999999999999"/>
    <row r="98" s="41" customFormat="1" ht="17.399999999999999"/>
    <row r="99" s="41" customFormat="1" ht="17.399999999999999"/>
    <row r="100" s="41" customFormat="1" ht="17.399999999999999"/>
    <row r="101" s="41" customFormat="1" ht="17.399999999999999"/>
  </sheetData>
  <pageMargins left="0.70866141732283472" right="0.70866141732283472" top="0.74803149606299213" bottom="0.74803149606299213" header="0.31496062992125984" footer="0.31496062992125984"/>
  <pageSetup paperSize="9" scale="35" orientation="landscape" r:id="rId1"/>
  <headerFooter>
    <oddFooter>&amp;LPL14L012 CIS v3.5
Ofwat, February 2016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X124"/>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A3" sqref="A3"/>
    </sheetView>
  </sheetViews>
  <sheetFormatPr defaultRowHeight="13.2"/>
  <cols>
    <col min="1" max="1" width="1.88671875" customWidth="1"/>
    <col min="2" max="2" width="8.88671875" customWidth="1"/>
    <col min="3" max="3" width="3.44140625" customWidth="1"/>
    <col min="4" max="4" width="0" hidden="1" customWidth="1"/>
    <col min="5" max="5" width="93.88671875" bestFit="1" customWidth="1"/>
    <col min="6" max="14" width="17.44140625" customWidth="1"/>
    <col min="15" max="18" width="20.6640625" hidden="1" customWidth="1"/>
    <col min="19" max="19" width="18.33203125" hidden="1" customWidth="1"/>
    <col min="20" max="20" width="3.109375" customWidth="1"/>
    <col min="21" max="21" width="26.109375" style="291" customWidth="1"/>
  </cols>
  <sheetData>
    <row r="1" spans="1:21" ht="26.85" customHeight="1">
      <c r="A1" s="492"/>
      <c r="B1" s="493"/>
      <c r="C1" s="493"/>
      <c r="D1" s="493"/>
      <c r="E1" s="493"/>
      <c r="F1" s="493"/>
      <c r="G1" s="493"/>
      <c r="H1" s="493"/>
      <c r="I1" s="493"/>
      <c r="J1" s="493"/>
      <c r="K1" s="493"/>
      <c r="L1" s="493"/>
      <c r="M1" s="493"/>
      <c r="N1" s="493"/>
      <c r="O1" s="493"/>
      <c r="P1" s="493"/>
      <c r="Q1" s="493"/>
      <c r="R1" s="493"/>
      <c r="S1" s="493"/>
      <c r="T1" s="493"/>
      <c r="U1" s="515"/>
    </row>
    <row r="2" spans="1:21" ht="26.85" customHeight="1">
      <c r="A2" s="495"/>
      <c r="B2" s="496"/>
      <c r="C2" s="496"/>
      <c r="D2" s="496"/>
      <c r="E2" s="510" t="str">
        <f>IF('Input FD'!G150="","",'Input FD'!G150)</f>
        <v>TMS Inputs as at FD</v>
      </c>
      <c r="F2" s="510"/>
      <c r="G2" s="496"/>
      <c r="H2" s="496"/>
      <c r="I2" s="496"/>
      <c r="J2" s="496"/>
      <c r="K2" s="496"/>
      <c r="L2" s="496"/>
      <c r="M2" s="496"/>
      <c r="N2" s="496"/>
      <c r="O2" s="496"/>
      <c r="P2" s="496"/>
      <c r="Q2" s="496"/>
      <c r="R2" s="496"/>
      <c r="S2" s="496"/>
      <c r="T2" s="496"/>
      <c r="U2" s="516"/>
    </row>
    <row r="3" spans="1:21" ht="26.85" customHeight="1">
      <c r="A3" s="495"/>
      <c r="B3" s="496"/>
      <c r="C3" s="496"/>
      <c r="D3" s="496"/>
      <c r="E3" s="497" t="s">
        <v>747</v>
      </c>
      <c r="F3" s="497"/>
      <c r="G3" s="496"/>
      <c r="H3" s="496"/>
      <c r="I3" s="496"/>
      <c r="J3" s="496"/>
      <c r="K3" s="496"/>
      <c r="L3" s="496"/>
      <c r="M3" s="496"/>
      <c r="N3" s="496"/>
      <c r="O3" s="496"/>
      <c r="P3" s="496"/>
      <c r="Q3" s="496"/>
      <c r="R3" s="496"/>
      <c r="S3" s="496"/>
      <c r="T3" s="496"/>
      <c r="U3" s="516"/>
    </row>
    <row r="4" spans="1:21" ht="35.25" customHeight="1">
      <c r="A4" s="495"/>
      <c r="B4" s="496"/>
      <c r="C4" s="496"/>
      <c r="D4" s="496"/>
      <c r="E4" s="496"/>
      <c r="F4" s="496"/>
      <c r="G4" s="496"/>
      <c r="H4" s="496"/>
      <c r="I4" s="496"/>
      <c r="J4" s="496"/>
      <c r="K4" s="496"/>
      <c r="L4" s="496"/>
      <c r="M4" s="499" t="s">
        <v>79</v>
      </c>
      <c r="N4" s="500" t="s">
        <v>100</v>
      </c>
      <c r="O4" s="500"/>
      <c r="P4" s="500"/>
      <c r="Q4" s="500"/>
      <c r="R4" s="500"/>
      <c r="S4" s="500"/>
      <c r="T4" s="500"/>
      <c r="U4" s="517"/>
    </row>
    <row r="5" spans="1:21" ht="26.85" customHeight="1">
      <c r="A5" s="495"/>
      <c r="B5" s="496"/>
      <c r="C5" s="496"/>
      <c r="D5" s="496"/>
      <c r="E5" s="511" t="s">
        <v>581</v>
      </c>
      <c r="F5" s="511"/>
      <c r="G5" s="496"/>
      <c r="H5" s="496"/>
      <c r="I5" s="496"/>
      <c r="J5" s="496"/>
      <c r="K5" s="496"/>
      <c r="L5" s="496"/>
      <c r="M5" s="496"/>
      <c r="N5" s="502"/>
      <c r="O5" s="496"/>
      <c r="P5" s="496"/>
      <c r="Q5" s="496"/>
      <c r="R5" s="496"/>
      <c r="S5" s="496"/>
      <c r="T5" s="496"/>
      <c r="U5" s="516"/>
    </row>
    <row r="6" spans="1:21" ht="26.85" customHeight="1">
      <c r="A6" s="495"/>
      <c r="B6" s="496"/>
      <c r="C6" s="496"/>
      <c r="D6" s="496"/>
      <c r="E6" s="503"/>
      <c r="F6" s="503"/>
      <c r="G6" s="496"/>
      <c r="H6" s="496"/>
      <c r="I6" s="496"/>
      <c r="J6" s="496"/>
      <c r="K6" s="496"/>
      <c r="L6" s="496"/>
      <c r="M6" s="496"/>
      <c r="N6" s="496"/>
      <c r="O6" s="496"/>
      <c r="P6" s="496"/>
      <c r="Q6" s="496"/>
      <c r="R6" s="496"/>
      <c r="S6" s="496"/>
      <c r="T6" s="496"/>
      <c r="U6" s="516"/>
    </row>
    <row r="7" spans="1:21" ht="26.85" customHeight="1">
      <c r="A7" s="495"/>
      <c r="B7" s="496"/>
      <c r="C7" s="496"/>
      <c r="D7" s="496"/>
      <c r="E7" s="496"/>
      <c r="F7" s="496"/>
      <c r="G7" s="496"/>
      <c r="H7" s="496"/>
      <c r="I7" s="496"/>
      <c r="J7" s="496"/>
      <c r="K7" s="496"/>
      <c r="L7" s="496"/>
      <c r="M7" s="496"/>
      <c r="N7" s="496"/>
      <c r="O7" s="496"/>
      <c r="P7" s="496"/>
      <c r="Q7" s="496"/>
      <c r="R7" s="496"/>
      <c r="S7" s="496"/>
      <c r="T7" s="496"/>
      <c r="U7" s="516"/>
    </row>
    <row r="8" spans="1:21" ht="26.85" customHeight="1">
      <c r="A8" s="495"/>
      <c r="B8" s="496"/>
      <c r="C8" s="496"/>
      <c r="D8" s="496"/>
      <c r="E8" s="518"/>
      <c r="F8" s="518"/>
      <c r="G8" s="496"/>
      <c r="H8" s="496"/>
      <c r="I8" s="496"/>
      <c r="J8" s="496"/>
      <c r="K8" s="496"/>
      <c r="L8" s="496"/>
      <c r="M8" s="496"/>
      <c r="N8" s="496"/>
      <c r="O8" s="496"/>
      <c r="P8" s="496"/>
      <c r="Q8" s="496"/>
      <c r="R8" s="496"/>
      <c r="S8" s="496"/>
      <c r="T8" s="496"/>
      <c r="U8" s="516"/>
    </row>
    <row r="9" spans="1:21"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19"/>
    </row>
    <row r="10" spans="1:21" ht="17.399999999999999">
      <c r="A10" s="43"/>
      <c r="B10" s="45"/>
      <c r="C10" s="45"/>
      <c r="D10" s="46"/>
      <c r="E10" s="47"/>
      <c r="F10" s="47"/>
      <c r="G10" s="49"/>
      <c r="H10" s="49"/>
      <c r="I10" s="49"/>
      <c r="J10" s="50"/>
      <c r="K10" s="50"/>
      <c r="L10" s="50"/>
      <c r="M10" s="50"/>
      <c r="N10" s="50"/>
      <c r="O10" s="49"/>
      <c r="P10" s="49"/>
      <c r="Q10" s="49"/>
      <c r="R10" s="49"/>
      <c r="S10" s="49"/>
      <c r="T10" s="49"/>
      <c r="U10" s="292"/>
    </row>
    <row r="11" spans="1:21"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20" t="s">
        <v>59</v>
      </c>
    </row>
    <row r="12" spans="1:21"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293"/>
    </row>
    <row r="13" spans="1:21" s="109" customFormat="1" ht="18" customHeight="1">
      <c r="A13" s="102"/>
      <c r="B13" s="103">
        <v>1</v>
      </c>
      <c r="C13" s="104"/>
      <c r="D13" s="104"/>
      <c r="E13" s="105" t="s">
        <v>301</v>
      </c>
      <c r="F13" s="105"/>
      <c r="G13" s="104"/>
      <c r="H13" s="104"/>
      <c r="I13" s="104"/>
      <c r="J13" s="106"/>
      <c r="K13" s="106"/>
      <c r="L13" s="106"/>
      <c r="M13" s="106"/>
      <c r="N13" s="106"/>
      <c r="O13" s="104"/>
      <c r="P13" s="104"/>
      <c r="Q13" s="104"/>
      <c r="R13" s="104"/>
      <c r="S13" s="104"/>
      <c r="T13" s="107"/>
      <c r="U13" s="293"/>
    </row>
    <row r="14" spans="1:21"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293"/>
    </row>
    <row r="15" spans="1:21" s="117" customFormat="1" ht="17.399999999999999">
      <c r="A15" s="110"/>
      <c r="B15" s="111">
        <v>1.1000000000000001</v>
      </c>
      <c r="C15" s="112"/>
      <c r="D15" s="113"/>
      <c r="E15" s="105" t="s">
        <v>302</v>
      </c>
      <c r="F15" s="105"/>
      <c r="G15" s="113"/>
      <c r="H15" s="113"/>
      <c r="I15" s="113"/>
      <c r="J15" s="114"/>
      <c r="K15" s="114"/>
      <c r="L15" s="114"/>
      <c r="M15" s="114"/>
      <c r="N15" s="114"/>
      <c r="O15" s="113"/>
      <c r="P15" s="113"/>
      <c r="Q15" s="113"/>
      <c r="R15" s="113"/>
      <c r="S15" s="113"/>
      <c r="T15" s="115"/>
      <c r="U15" s="294"/>
    </row>
    <row r="16" spans="1:21" s="117" customFormat="1" ht="17.399999999999999">
      <c r="A16" s="110"/>
      <c r="B16" s="118" t="s">
        <v>129</v>
      </c>
      <c r="C16" s="119"/>
      <c r="D16" s="113"/>
      <c r="E16" s="124" t="str">
        <f>Calc!E55</f>
        <v>Water: Company bid capex (gross of adjustments)</v>
      </c>
      <c r="F16" s="124"/>
      <c r="G16" s="113"/>
      <c r="H16" s="120"/>
      <c r="I16" s="120"/>
      <c r="J16" s="121">
        <f>Calc!J55</f>
        <v>388.12044076242984</v>
      </c>
      <c r="K16" s="121">
        <f>Calc!K55</f>
        <v>500.29059487707758</v>
      </c>
      <c r="L16" s="121">
        <f>Calc!L55</f>
        <v>336.7232186974299</v>
      </c>
      <c r="M16" s="121">
        <f>Calc!M55</f>
        <v>310.15449025703668</v>
      </c>
      <c r="N16" s="121">
        <f>Calc!N55</f>
        <v>247.16279813151507</v>
      </c>
      <c r="O16" s="113"/>
      <c r="P16" s="113"/>
      <c r="Q16" s="113"/>
      <c r="R16" s="113"/>
      <c r="S16" s="113"/>
      <c r="T16" s="115"/>
      <c r="U16" s="295">
        <f>SUM(J16:N16)</f>
        <v>1782.4515427254892</v>
      </c>
    </row>
    <row r="17" spans="1:21" s="117" customFormat="1" ht="17.399999999999999">
      <c r="A17" s="110"/>
      <c r="B17" s="118" t="s">
        <v>131</v>
      </c>
      <c r="C17" s="119"/>
      <c r="D17" s="113"/>
      <c r="E17" s="124" t="str">
        <f>Calc!E56</f>
        <v>Water: Baseline capex (gross of adjustments)</v>
      </c>
      <c r="F17" s="124"/>
      <c r="G17" s="113"/>
      <c r="H17" s="120"/>
      <c r="I17" s="120"/>
      <c r="J17" s="121">
        <f>Calc!J56</f>
        <v>237.83883424979501</v>
      </c>
      <c r="K17" s="121">
        <f>Calc!K56</f>
        <v>345.8399322952053</v>
      </c>
      <c r="L17" s="121">
        <f>Calc!L56</f>
        <v>313.5044690268216</v>
      </c>
      <c r="M17" s="121">
        <f>Calc!M56</f>
        <v>293.96787326194521</v>
      </c>
      <c r="N17" s="121">
        <f>Calc!N56</f>
        <v>231.80837184675443</v>
      </c>
      <c r="O17" s="113"/>
      <c r="P17" s="113"/>
      <c r="Q17" s="113"/>
      <c r="R17" s="113"/>
      <c r="S17" s="113"/>
      <c r="T17" s="115"/>
      <c r="U17" s="295">
        <f t="shared" ref="U17:U18" si="0">SUM(J17:N17)</f>
        <v>1422.9594806805217</v>
      </c>
    </row>
    <row r="18" spans="1:21" s="117" customFormat="1" ht="17.399999999999999">
      <c r="A18" s="110"/>
      <c r="B18" s="118" t="s">
        <v>132</v>
      </c>
      <c r="C18" s="119"/>
      <c r="D18" s="113"/>
      <c r="E18" s="124" t="str">
        <f>Calc!E57</f>
        <v>Water: Allowance capex (gross of adjustments)</v>
      </c>
      <c r="F18" s="124"/>
      <c r="G18" s="113"/>
      <c r="H18" s="286"/>
      <c r="I18" s="120"/>
      <c r="J18" s="121">
        <f>Calc!J57</f>
        <v>252.8605502789014</v>
      </c>
      <c r="K18" s="121">
        <f>Calc!K57</f>
        <v>367.68291378664532</v>
      </c>
      <c r="L18" s="121">
        <f>Calc!L57</f>
        <v>333.30516777490993</v>
      </c>
      <c r="M18" s="121">
        <f>Calc!M57</f>
        <v>312.53465579664004</v>
      </c>
      <c r="N18" s="121">
        <f>Calc!N57</f>
        <v>246.44920855466663</v>
      </c>
      <c r="O18" s="113"/>
      <c r="P18" s="113"/>
      <c r="Q18" s="113"/>
      <c r="R18" s="113"/>
      <c r="S18" s="113"/>
      <c r="T18" s="115"/>
      <c r="U18" s="295">
        <f t="shared" si="0"/>
        <v>1512.8324961917633</v>
      </c>
    </row>
    <row r="19" spans="1:21" s="117" customFormat="1" ht="17.399999999999999">
      <c r="A19" s="110"/>
      <c r="B19" s="118" t="s">
        <v>133</v>
      </c>
      <c r="C19" s="119"/>
      <c r="D19" s="113"/>
      <c r="E19" s="124" t="str">
        <f>Calc!E94</f>
        <v>Water: CIS bid ratio</v>
      </c>
      <c r="F19" s="124"/>
      <c r="G19" s="301">
        <f>Calc!G94</f>
        <v>125.26368929866103</v>
      </c>
      <c r="H19" s="120"/>
      <c r="I19" s="120"/>
      <c r="J19" s="121"/>
      <c r="K19" s="121"/>
      <c r="L19" s="121"/>
      <c r="M19" s="121"/>
      <c r="N19" s="121"/>
      <c r="O19" s="113"/>
      <c r="P19" s="113"/>
      <c r="Q19" s="113"/>
      <c r="R19" s="113"/>
      <c r="S19" s="113"/>
      <c r="T19" s="115"/>
      <c r="U19" s="302"/>
    </row>
    <row r="20" spans="1:21" s="117" customFormat="1" ht="17.399999999999999">
      <c r="A20" s="110"/>
      <c r="B20" s="118"/>
      <c r="C20" s="119"/>
      <c r="D20" s="113"/>
      <c r="E20" s="124"/>
      <c r="F20" s="124"/>
      <c r="G20" s="113"/>
      <c r="H20" s="120"/>
      <c r="I20" s="120"/>
      <c r="J20" s="121"/>
      <c r="K20" s="121"/>
      <c r="L20" s="121"/>
      <c r="M20" s="121"/>
      <c r="N20" s="121"/>
      <c r="O20" s="113"/>
      <c r="P20" s="113"/>
      <c r="Q20" s="113"/>
      <c r="R20" s="113"/>
      <c r="S20" s="113"/>
      <c r="T20" s="115"/>
      <c r="U20" s="294"/>
    </row>
    <row r="21" spans="1:21" s="117" customFormat="1" ht="17.399999999999999">
      <c r="A21" s="110"/>
      <c r="B21" s="118" t="s">
        <v>134</v>
      </c>
      <c r="C21" s="119"/>
      <c r="D21" s="113"/>
      <c r="E21" s="113" t="str">
        <f>Calc!E59</f>
        <v>Water: Adjustments to company bid capex</v>
      </c>
      <c r="F21" s="113"/>
      <c r="G21" s="113"/>
      <c r="H21" s="120"/>
      <c r="I21" s="120"/>
      <c r="J21" s="121">
        <f>Calc!J59</f>
        <v>0</v>
      </c>
      <c r="K21" s="121">
        <f>Calc!K59</f>
        <v>0</v>
      </c>
      <c r="L21" s="121">
        <f>Calc!L59</f>
        <v>0</v>
      </c>
      <c r="M21" s="121">
        <f>Calc!M59</f>
        <v>0</v>
      </c>
      <c r="N21" s="121">
        <f>Calc!N59</f>
        <v>0</v>
      </c>
      <c r="O21" s="113"/>
      <c r="P21" s="113"/>
      <c r="Q21" s="113"/>
      <c r="R21" s="113"/>
      <c r="S21" s="113"/>
      <c r="T21" s="115"/>
      <c r="U21" s="295">
        <f t="shared" ref="U21:U22" si="1">SUM(J21:N21)</f>
        <v>0</v>
      </c>
    </row>
    <row r="22" spans="1:21" s="117" customFormat="1" ht="17.399999999999999">
      <c r="A22" s="110"/>
      <c r="B22" s="118" t="s">
        <v>135</v>
      </c>
      <c r="C22" s="119"/>
      <c r="D22" s="113"/>
      <c r="E22" s="113" t="str">
        <f>Calc!E60</f>
        <v>Water: Adjustments to baseline capex</v>
      </c>
      <c r="F22" s="113"/>
      <c r="G22" s="113"/>
      <c r="H22" s="120"/>
      <c r="I22" s="120"/>
      <c r="J22" s="121">
        <f>Calc!J60</f>
        <v>-1.63480322336759</v>
      </c>
      <c r="K22" s="121">
        <f>Calc!K60</f>
        <v>-2.49664163081039</v>
      </c>
      <c r="L22" s="121">
        <f>Calc!L60</f>
        <v>-1.33179340600143</v>
      </c>
      <c r="M22" s="121">
        <f>Calc!M60</f>
        <v>0</v>
      </c>
      <c r="N22" s="121">
        <f>Calc!N60</f>
        <v>0.52887650038741996</v>
      </c>
      <c r="O22" s="113"/>
      <c r="P22" s="113"/>
      <c r="Q22" s="113"/>
      <c r="R22" s="113"/>
      <c r="S22" s="113"/>
      <c r="T22" s="115"/>
      <c r="U22" s="295">
        <f t="shared" si="1"/>
        <v>-4.9343617597919902</v>
      </c>
    </row>
    <row r="23" spans="1:21" s="117" customFormat="1" ht="17.399999999999999">
      <c r="A23" s="110"/>
      <c r="B23" s="118"/>
      <c r="C23" s="119"/>
      <c r="D23" s="113"/>
      <c r="E23" s="113"/>
      <c r="F23" s="113"/>
      <c r="G23" s="113"/>
      <c r="H23" s="120"/>
      <c r="I23" s="120"/>
      <c r="J23" s="121"/>
      <c r="K23" s="121"/>
      <c r="L23" s="121"/>
      <c r="M23" s="121"/>
      <c r="N23" s="121"/>
      <c r="O23" s="113"/>
      <c r="P23" s="113"/>
      <c r="Q23" s="113"/>
      <c r="R23" s="113"/>
      <c r="S23" s="113"/>
      <c r="T23" s="115"/>
      <c r="U23" s="294"/>
    </row>
    <row r="24" spans="1:21" s="117" customFormat="1" ht="17.399999999999999">
      <c r="A24" s="110"/>
      <c r="B24" s="118" t="s">
        <v>136</v>
      </c>
      <c r="C24" s="119"/>
      <c r="D24" s="113"/>
      <c r="E24" s="113" t="str">
        <f>Calc!E62</f>
        <v>Water: Company bid capex (net of logging and IDoK)</v>
      </c>
      <c r="F24" s="113"/>
      <c r="G24" s="113"/>
      <c r="H24" s="120"/>
      <c r="I24" s="120"/>
      <c r="J24" s="121">
        <f>Calc!J62</f>
        <v>388.12044076242984</v>
      </c>
      <c r="K24" s="121">
        <f>Calc!K62</f>
        <v>500.29059487707758</v>
      </c>
      <c r="L24" s="121">
        <f>Calc!L62</f>
        <v>336.7232186974299</v>
      </c>
      <c r="M24" s="121">
        <f>Calc!M62</f>
        <v>310.15449025703668</v>
      </c>
      <c r="N24" s="121">
        <f>Calc!N62</f>
        <v>247.16279813151507</v>
      </c>
      <c r="O24" s="113"/>
      <c r="P24" s="113"/>
      <c r="Q24" s="113"/>
      <c r="R24" s="113"/>
      <c r="S24" s="113"/>
      <c r="T24" s="115"/>
      <c r="U24" s="295">
        <f t="shared" ref="U24:U26" si="2">SUM(J24:N24)</f>
        <v>1782.4515427254892</v>
      </c>
    </row>
    <row r="25" spans="1:21" s="117" customFormat="1" ht="17.399999999999999">
      <c r="A25" s="110"/>
      <c r="B25" s="118" t="s">
        <v>137</v>
      </c>
      <c r="C25" s="119"/>
      <c r="D25" s="113"/>
      <c r="E25" s="113" t="str">
        <f>Calc!E63</f>
        <v>Water: Baseline capex (net of logging, IDoK and shortfalls)</v>
      </c>
      <c r="F25" s="113"/>
      <c r="G25" s="113"/>
      <c r="H25" s="120"/>
      <c r="I25" s="120"/>
      <c r="J25" s="121">
        <f>Calc!J63</f>
        <v>236.20403102642743</v>
      </c>
      <c r="K25" s="121">
        <f>Calc!K63</f>
        <v>343.34329066439489</v>
      </c>
      <c r="L25" s="121">
        <f>Calc!L63</f>
        <v>312.17267562082014</v>
      </c>
      <c r="M25" s="121">
        <f>Calc!M63</f>
        <v>293.96787326194521</v>
      </c>
      <c r="N25" s="121">
        <f>Calc!N63</f>
        <v>232.33724834714184</v>
      </c>
      <c r="O25" s="113"/>
      <c r="P25" s="113"/>
      <c r="Q25" s="113"/>
      <c r="R25" s="113"/>
      <c r="S25" s="113"/>
      <c r="T25" s="115"/>
      <c r="U25" s="295">
        <f t="shared" si="2"/>
        <v>1418.0251189207295</v>
      </c>
    </row>
    <row r="26" spans="1:21" s="117" customFormat="1" ht="17.399999999999999">
      <c r="A26" s="110"/>
      <c r="B26" s="118" t="s">
        <v>138</v>
      </c>
      <c r="C26" s="119"/>
      <c r="D26" s="113"/>
      <c r="E26" s="113" t="str">
        <f>Calc!E64</f>
        <v>Water: Allowance capex (net of adjustments)</v>
      </c>
      <c r="F26" s="113"/>
      <c r="G26" s="113"/>
      <c r="H26" s="120"/>
      <c r="I26" s="120"/>
      <c r="J26" s="121">
        <f>Calc!J64</f>
        <v>251.37988883858398</v>
      </c>
      <c r="K26" s="121">
        <f>Calc!K64</f>
        <v>365.40273197552909</v>
      </c>
      <c r="L26" s="121">
        <f>Calc!L64</f>
        <v>332.22943806249066</v>
      </c>
      <c r="M26" s="121">
        <f>Calc!M64</f>
        <v>312.85499651119324</v>
      </c>
      <c r="N26" s="121">
        <f>Calc!N64</f>
        <v>247.26466948412249</v>
      </c>
      <c r="O26" s="113"/>
      <c r="P26" s="113"/>
      <c r="Q26" s="113"/>
      <c r="R26" s="113"/>
      <c r="S26" s="113"/>
      <c r="T26" s="115"/>
      <c r="U26" s="295">
        <f t="shared" si="2"/>
        <v>1509.1317248719195</v>
      </c>
    </row>
    <row r="27" spans="1:21" s="117" customFormat="1" ht="17.399999999999999">
      <c r="A27" s="110"/>
      <c r="B27" s="118" t="s">
        <v>139</v>
      </c>
      <c r="C27" s="119"/>
      <c r="D27" s="113"/>
      <c r="E27" s="113" t="str">
        <f>Calc!E106</f>
        <v>Water: Restated CIS bid ratio</v>
      </c>
      <c r="F27" s="113"/>
      <c r="G27" s="301">
        <f>Calc!G106</f>
        <v>125.69957463674039</v>
      </c>
      <c r="H27" s="120"/>
      <c r="I27" s="120"/>
      <c r="J27" s="121"/>
      <c r="K27" s="121"/>
      <c r="L27" s="121"/>
      <c r="M27" s="121"/>
      <c r="N27" s="121"/>
      <c r="O27" s="113"/>
      <c r="P27" s="113"/>
      <c r="Q27" s="113"/>
      <c r="R27" s="113"/>
      <c r="S27" s="113"/>
      <c r="T27" s="115"/>
      <c r="U27" s="296"/>
    </row>
    <row r="28" spans="1:21" s="117" customFormat="1" ht="17.399999999999999">
      <c r="A28" s="110"/>
      <c r="B28" s="118"/>
      <c r="C28" s="119"/>
      <c r="D28" s="113"/>
      <c r="E28" s="113"/>
      <c r="F28" s="113"/>
      <c r="G28" s="113"/>
      <c r="H28" s="120"/>
      <c r="I28" s="120"/>
      <c r="J28" s="121"/>
      <c r="K28" s="121"/>
      <c r="L28" s="121"/>
      <c r="M28" s="121"/>
      <c r="N28" s="121"/>
      <c r="O28" s="113"/>
      <c r="P28" s="113"/>
      <c r="Q28" s="113"/>
      <c r="R28" s="113"/>
      <c r="S28" s="113"/>
      <c r="T28" s="115"/>
      <c r="U28" s="294"/>
    </row>
    <row r="29" spans="1:21" s="117" customFormat="1" ht="17.399999999999999">
      <c r="A29" s="110"/>
      <c r="B29" s="111">
        <v>1.2</v>
      </c>
      <c r="C29" s="112"/>
      <c r="D29" s="113"/>
      <c r="E29" s="105" t="s">
        <v>303</v>
      </c>
      <c r="F29" s="105"/>
      <c r="G29" s="113"/>
      <c r="H29" s="113"/>
      <c r="I29" s="113"/>
      <c r="J29" s="114"/>
      <c r="K29" s="114"/>
      <c r="L29" s="114"/>
      <c r="M29" s="114"/>
      <c r="N29" s="114"/>
      <c r="O29" s="113"/>
      <c r="P29" s="113"/>
      <c r="Q29" s="113"/>
      <c r="R29" s="113"/>
      <c r="S29" s="113"/>
      <c r="T29" s="115"/>
      <c r="U29" s="294"/>
    </row>
    <row r="30" spans="1:21" s="117" customFormat="1" ht="17.399999999999999">
      <c r="A30" s="110"/>
      <c r="B30" s="118" t="s">
        <v>130</v>
      </c>
      <c r="C30" s="119"/>
      <c r="D30" s="113"/>
      <c r="E30" s="113" t="str">
        <f>Calc!E79&amp;" (adjusted for actual NI)"</f>
        <v>Water: Company bid capex (adjusted for actual NI)</v>
      </c>
      <c r="F30" s="113"/>
      <c r="G30" s="113"/>
      <c r="H30" s="120"/>
      <c r="I30" s="120"/>
      <c r="J30" s="121">
        <f>Calc!J79</f>
        <v>344.86666261806266</v>
      </c>
      <c r="K30" s="121">
        <f>Calc!K79</f>
        <v>434.35554919574412</v>
      </c>
      <c r="L30" s="121">
        <f>Calc!L79</f>
        <v>292.93279975655378</v>
      </c>
      <c r="M30" s="121">
        <f>Calc!M79</f>
        <v>271.75572321198888</v>
      </c>
      <c r="N30" s="121">
        <f>Calc!N79</f>
        <v>215.11877067270771</v>
      </c>
      <c r="O30" s="113"/>
      <c r="P30" s="113"/>
      <c r="Q30" s="113"/>
      <c r="R30" s="113"/>
      <c r="S30" s="113"/>
      <c r="T30" s="115"/>
      <c r="U30" s="295">
        <f t="shared" ref="U30:U33" si="3">SUM(J30:N30)</f>
        <v>1559.0295054550572</v>
      </c>
    </row>
    <row r="31" spans="1:21" s="117" customFormat="1" ht="17.399999999999999">
      <c r="A31" s="110"/>
      <c r="B31" s="118" t="s">
        <v>142</v>
      </c>
      <c r="C31" s="118"/>
      <c r="D31" s="113"/>
      <c r="E31" s="113" t="str">
        <f>Calc!E80&amp;" (adjusted for actual NI)"</f>
        <v>Water: Baseline capex (adjusted for actual NI)</v>
      </c>
      <c r="F31" s="113"/>
      <c r="G31" s="113"/>
      <c r="H31" s="120"/>
      <c r="I31" s="120"/>
      <c r="J31" s="121">
        <f>Calc!J80</f>
        <v>209.88045802740572</v>
      </c>
      <c r="K31" s="121">
        <f>Calc!K80</f>
        <v>298.0928786315672</v>
      </c>
      <c r="L31" s="121">
        <f>Calc!L80</f>
        <v>271.57502304369393</v>
      </c>
      <c r="M31" s="121">
        <f>Calc!M80</f>
        <v>257.57309505074221</v>
      </c>
      <c r="N31" s="121">
        <f>Calc!N80</f>
        <v>202.21531566948187</v>
      </c>
      <c r="O31" s="113"/>
      <c r="P31" s="113"/>
      <c r="Q31" s="113"/>
      <c r="R31" s="113"/>
      <c r="S31" s="113"/>
      <c r="T31" s="115"/>
      <c r="U31" s="295">
        <f t="shared" si="3"/>
        <v>1239.336770422891</v>
      </c>
    </row>
    <row r="32" spans="1:21" s="117" customFormat="1" ht="17.399999999999999">
      <c r="A32" s="110"/>
      <c r="B32" s="118" t="s">
        <v>143</v>
      </c>
      <c r="C32" s="118"/>
      <c r="D32" s="113"/>
      <c r="E32" s="113" t="str">
        <f>Calc!E81&amp;" (adjusted for actual NI)"</f>
        <v>Water: Allowance capex (adjusted for actual NI)</v>
      </c>
      <c r="F32" s="113"/>
      <c r="G32" s="113"/>
      <c r="H32" s="120"/>
      <c r="I32" s="120"/>
      <c r="J32" s="121">
        <f>Calc!J81</f>
        <v>223.36505426707714</v>
      </c>
      <c r="K32" s="121">
        <f>Calc!K81</f>
        <v>317.24502908924916</v>
      </c>
      <c r="L32" s="121">
        <f>Calc!L81</f>
        <v>289.02342947915866</v>
      </c>
      <c r="M32" s="121">
        <f>Calc!M81</f>
        <v>274.12189250242415</v>
      </c>
      <c r="N32" s="121">
        <f>Calc!N81</f>
        <v>215.20743466383155</v>
      </c>
      <c r="O32" s="113"/>
      <c r="P32" s="113"/>
      <c r="Q32" s="113"/>
      <c r="R32" s="113"/>
      <c r="S32" s="113"/>
      <c r="T32" s="115"/>
      <c r="U32" s="295">
        <f t="shared" si="3"/>
        <v>1318.9628400017405</v>
      </c>
    </row>
    <row r="33" spans="1:21" s="117" customFormat="1" ht="17.399999999999999">
      <c r="A33" s="110"/>
      <c r="B33" s="118" t="s">
        <v>144</v>
      </c>
      <c r="C33" s="118"/>
      <c r="D33" s="113"/>
      <c r="E33" s="113" t="str">
        <f>Calc!E82&amp;" (adjusted for actual NI)"</f>
        <v>Water: Actual capex (adjusted for actual NI)</v>
      </c>
      <c r="F33" s="113"/>
      <c r="G33" s="113"/>
      <c r="H33" s="120"/>
      <c r="I33" s="120"/>
      <c r="J33" s="121">
        <f>Calc!J82</f>
        <v>297.52272336921601</v>
      </c>
      <c r="K33" s="121">
        <f>Calc!K82</f>
        <v>292.42004399479276</v>
      </c>
      <c r="L33" s="121">
        <f>Calc!L82</f>
        <v>235.14577518492791</v>
      </c>
      <c r="M33" s="121">
        <f>Calc!M82</f>
        <v>246.66955855823218</v>
      </c>
      <c r="N33" s="121">
        <f>Calc!N82</f>
        <v>261.08059128838113</v>
      </c>
      <c r="O33" s="113"/>
      <c r="P33" s="113"/>
      <c r="Q33" s="113"/>
      <c r="R33" s="113"/>
      <c r="S33" s="113"/>
      <c r="T33" s="115"/>
      <c r="U33" s="295">
        <f t="shared" si="3"/>
        <v>1332.83869239555</v>
      </c>
    </row>
    <row r="34" spans="1:21" s="117" customFormat="1" ht="17.399999999999999">
      <c r="A34" s="110"/>
      <c r="B34" s="118" t="s">
        <v>145</v>
      </c>
      <c r="C34" s="118"/>
      <c r="D34" s="113"/>
      <c r="E34" s="113" t="str">
        <f>Calc!E116</f>
        <v>Water: CIS outturn ratio</v>
      </c>
      <c r="F34" s="113"/>
      <c r="G34" s="301">
        <f>Calc!G116</f>
        <v>107.54451285591679</v>
      </c>
      <c r="H34" s="287"/>
      <c r="I34" s="120"/>
      <c r="J34" s="121"/>
      <c r="K34" s="121"/>
      <c r="L34" s="121"/>
      <c r="M34" s="121"/>
      <c r="N34" s="121"/>
      <c r="O34" s="113"/>
      <c r="P34" s="113"/>
      <c r="Q34" s="113"/>
      <c r="R34" s="113"/>
      <c r="S34" s="113"/>
      <c r="T34" s="115"/>
      <c r="U34" s="296"/>
    </row>
    <row r="35" spans="1:21" s="117" customFormat="1" ht="17.399999999999999">
      <c r="A35" s="110"/>
      <c r="B35" s="118"/>
      <c r="C35" s="118"/>
      <c r="D35" s="113"/>
      <c r="E35" s="113"/>
      <c r="F35" s="113"/>
      <c r="G35" s="113"/>
      <c r="H35" s="120"/>
      <c r="I35" s="120"/>
      <c r="J35" s="121"/>
      <c r="K35" s="121"/>
      <c r="L35" s="121"/>
      <c r="M35" s="121"/>
      <c r="N35" s="121"/>
      <c r="O35" s="113"/>
      <c r="P35" s="113"/>
      <c r="Q35" s="113"/>
      <c r="R35" s="113"/>
      <c r="S35" s="113"/>
      <c r="T35" s="115"/>
      <c r="U35" s="294"/>
    </row>
    <row r="36" spans="1:21" s="117" customFormat="1" ht="17.399999999999999">
      <c r="A36" s="110"/>
      <c r="B36" s="111">
        <v>1.3</v>
      </c>
      <c r="C36" s="112"/>
      <c r="D36" s="113"/>
      <c r="E36" s="105" t="s">
        <v>322</v>
      </c>
      <c r="F36" s="105"/>
      <c r="G36" s="113"/>
      <c r="H36" s="113"/>
      <c r="I36" s="113"/>
      <c r="J36" s="114"/>
      <c r="K36" s="114"/>
      <c r="L36" s="114"/>
      <c r="M36" s="114"/>
      <c r="N36" s="114"/>
      <c r="O36" s="113"/>
      <c r="P36" s="113"/>
      <c r="Q36" s="113"/>
      <c r="R36" s="113"/>
      <c r="S36" s="113"/>
      <c r="T36" s="115"/>
      <c r="U36" s="294"/>
    </row>
    <row r="37" spans="1:21" s="117" customFormat="1" ht="17.399999999999999">
      <c r="A37" s="110"/>
      <c r="B37" s="118" t="s">
        <v>151</v>
      </c>
      <c r="C37" s="119"/>
      <c r="D37" s="113"/>
      <c r="E37" s="113" t="str">
        <f>Calc!E124</f>
        <v>Water: Total reward/(penalty)</v>
      </c>
      <c r="F37" s="113"/>
      <c r="G37" s="113"/>
      <c r="H37" s="120"/>
      <c r="I37" s="120"/>
      <c r="J37" s="121"/>
      <c r="K37" s="121"/>
      <c r="L37" s="121"/>
      <c r="M37" s="121"/>
      <c r="N37" s="121"/>
      <c r="O37" s="113"/>
      <c r="P37" s="113"/>
      <c r="Q37" s="113"/>
      <c r="R37" s="113"/>
      <c r="S37" s="113"/>
      <c r="T37" s="115"/>
      <c r="U37" s="295">
        <f>Calc!P124</f>
        <v>-35.750048116777315</v>
      </c>
    </row>
    <row r="38" spans="1:21" s="117" customFormat="1" ht="17.399999999999999">
      <c r="A38" s="110"/>
      <c r="B38" s="118" t="s">
        <v>152</v>
      </c>
      <c r="C38" s="119"/>
      <c r="D38" s="113"/>
      <c r="E38" s="113" t="str">
        <f>Calc!E127</f>
        <v>Water: Additional income (applied at FD)</v>
      </c>
      <c r="F38" s="113"/>
      <c r="G38" s="113"/>
      <c r="H38" s="113"/>
      <c r="I38" s="113"/>
      <c r="J38" s="121">
        <f>Calc!J127</f>
        <v>-6.4040346411921103</v>
      </c>
      <c r="K38" s="121">
        <f>Calc!K127</f>
        <v>-9.3120659362126101</v>
      </c>
      <c r="L38" s="121">
        <f>Calc!L127</f>
        <v>-8.4414031297668295</v>
      </c>
      <c r="M38" s="121">
        <f>Calc!M127</f>
        <v>-7.9153618865700501</v>
      </c>
      <c r="N38" s="121">
        <f>Calc!N127</f>
        <v>-6.2416587606791998</v>
      </c>
      <c r="O38" s="113"/>
      <c r="P38" s="113"/>
      <c r="Q38" s="113"/>
      <c r="R38" s="113"/>
      <c r="S38" s="113"/>
      <c r="T38" s="115"/>
      <c r="U38" s="295">
        <f t="shared" ref="U38" si="4">SUM(J38:N38)</f>
        <v>-38.314524354420797</v>
      </c>
    </row>
    <row r="39" spans="1:21" s="117" customFormat="1" ht="17.399999999999999">
      <c r="A39" s="110"/>
      <c r="B39" s="118" t="s">
        <v>153</v>
      </c>
      <c r="C39" s="119"/>
      <c r="D39" s="113"/>
      <c r="E39" s="113" t="str">
        <f>Calc!E187</f>
        <v>Water: Ex post reward/penalty</v>
      </c>
      <c r="F39" s="113"/>
      <c r="G39" s="113"/>
      <c r="H39" s="120"/>
      <c r="I39" s="120"/>
      <c r="J39" s="121"/>
      <c r="K39" s="121"/>
      <c r="L39" s="121"/>
      <c r="M39" s="121"/>
      <c r="N39" s="121"/>
      <c r="O39" s="113"/>
      <c r="P39" s="113"/>
      <c r="Q39" s="113"/>
      <c r="R39" s="113"/>
      <c r="S39" s="113"/>
      <c r="T39" s="115"/>
      <c r="U39" s="295">
        <f>SUM(Calc!J187:N187)</f>
        <v>2.5644762376434831</v>
      </c>
    </row>
    <row r="40" spans="1:21" s="117" customFormat="1" ht="17.399999999999999">
      <c r="A40" s="110"/>
      <c r="B40" s="119"/>
      <c r="C40" s="119"/>
      <c r="D40" s="113"/>
      <c r="E40" s="113"/>
      <c r="F40" s="113"/>
      <c r="G40" s="120"/>
      <c r="H40" s="120"/>
      <c r="I40" s="120"/>
      <c r="J40" s="121"/>
      <c r="K40" s="121"/>
      <c r="L40" s="121"/>
      <c r="M40" s="121"/>
      <c r="N40" s="121"/>
      <c r="O40" s="113"/>
      <c r="P40" s="113"/>
      <c r="Q40" s="113"/>
      <c r="R40" s="113"/>
      <c r="S40" s="113"/>
      <c r="T40" s="115"/>
      <c r="U40" s="294"/>
    </row>
    <row r="41" spans="1:21" s="117" customFormat="1" ht="17.399999999999999">
      <c r="A41" s="110"/>
      <c r="B41" s="119"/>
      <c r="C41" s="119"/>
      <c r="D41" s="113"/>
      <c r="E41" s="113"/>
      <c r="F41" s="113"/>
      <c r="G41" s="120"/>
      <c r="H41" s="120"/>
      <c r="I41" s="120"/>
      <c r="J41" s="121"/>
      <c r="K41" s="121"/>
      <c r="L41" s="121"/>
      <c r="M41" s="121"/>
      <c r="N41" s="121"/>
      <c r="O41" s="113"/>
      <c r="P41" s="113"/>
      <c r="Q41" s="113"/>
      <c r="R41" s="113"/>
      <c r="S41" s="113"/>
      <c r="T41" s="115"/>
      <c r="U41" s="294"/>
    </row>
    <row r="42" spans="1:21" s="109" customFormat="1" ht="18" customHeight="1">
      <c r="A42" s="102"/>
      <c r="B42" s="103">
        <v>2</v>
      </c>
      <c r="C42" s="104"/>
      <c r="D42" s="104"/>
      <c r="E42" s="105" t="s">
        <v>325</v>
      </c>
      <c r="F42" s="105"/>
      <c r="G42" s="104"/>
      <c r="H42" s="104"/>
      <c r="I42" s="104"/>
      <c r="J42" s="106"/>
      <c r="K42" s="106"/>
      <c r="L42" s="106"/>
      <c r="M42" s="106"/>
      <c r="N42" s="106"/>
      <c r="O42" s="104"/>
      <c r="P42" s="104"/>
      <c r="Q42" s="104"/>
      <c r="R42" s="104"/>
      <c r="S42" s="104"/>
      <c r="T42" s="115"/>
      <c r="U42" s="293"/>
    </row>
    <row r="43" spans="1:21" s="109" customFormat="1" ht="18" customHeight="1">
      <c r="A43" s="102"/>
      <c r="B43" s="104"/>
      <c r="C43" s="104"/>
      <c r="D43" s="104"/>
      <c r="E43" s="104"/>
      <c r="F43" s="104"/>
      <c r="G43" s="104"/>
      <c r="H43" s="104"/>
      <c r="I43" s="104"/>
      <c r="J43" s="106"/>
      <c r="K43" s="106"/>
      <c r="L43" s="106"/>
      <c r="M43" s="106"/>
      <c r="N43" s="106"/>
      <c r="O43" s="104"/>
      <c r="P43" s="104"/>
      <c r="Q43" s="104"/>
      <c r="R43" s="104"/>
      <c r="S43" s="104"/>
      <c r="T43" s="115"/>
      <c r="U43" s="293"/>
    </row>
    <row r="44" spans="1:21" s="117" customFormat="1" ht="17.399999999999999">
      <c r="A44" s="110"/>
      <c r="B44" s="111">
        <v>2.1</v>
      </c>
      <c r="C44" s="112"/>
      <c r="D44" s="113"/>
      <c r="E44" s="105" t="s">
        <v>302</v>
      </c>
      <c r="F44" s="105"/>
      <c r="G44" s="113"/>
      <c r="H44" s="113"/>
      <c r="I44" s="113"/>
      <c r="J44" s="114"/>
      <c r="K44" s="114"/>
      <c r="L44" s="114"/>
      <c r="M44" s="114"/>
      <c r="N44" s="114"/>
      <c r="O44" s="113"/>
      <c r="P44" s="113"/>
      <c r="Q44" s="113"/>
      <c r="R44" s="113"/>
      <c r="S44" s="113"/>
      <c r="T44" s="115"/>
      <c r="U44" s="294"/>
    </row>
    <row r="45" spans="1:21" s="117" customFormat="1" ht="17.399999999999999">
      <c r="A45" s="110"/>
      <c r="B45" s="118" t="s">
        <v>326</v>
      </c>
      <c r="C45" s="119"/>
      <c r="D45" s="113"/>
      <c r="E45" s="124" t="str">
        <f>Calc!E66</f>
        <v>Sewerage: Company bid capex (gross of adjustments)</v>
      </c>
      <c r="F45" s="124"/>
      <c r="G45" s="113"/>
      <c r="H45" s="120"/>
      <c r="I45" s="120"/>
      <c r="J45" s="121">
        <f>Calc!J66</f>
        <v>698.40912459999993</v>
      </c>
      <c r="K45" s="121">
        <f>Calc!K66</f>
        <v>859.96959281049408</v>
      </c>
      <c r="L45" s="121">
        <f>Calc!L66</f>
        <v>705.77840135646102</v>
      </c>
      <c r="M45" s="121">
        <f>Calc!M66</f>
        <v>589.08432094065495</v>
      </c>
      <c r="N45" s="121">
        <f>Calc!N66</f>
        <v>474.60351798527</v>
      </c>
      <c r="O45" s="113"/>
      <c r="P45" s="113"/>
      <c r="Q45" s="113"/>
      <c r="R45" s="113"/>
      <c r="S45" s="113"/>
      <c r="T45" s="115"/>
      <c r="U45" s="295">
        <f>SUM(J45:N45)</f>
        <v>3327.8449576928801</v>
      </c>
    </row>
    <row r="46" spans="1:21" s="117" customFormat="1" ht="17.399999999999999">
      <c r="A46" s="110"/>
      <c r="B46" s="118" t="s">
        <v>327</v>
      </c>
      <c r="C46" s="119"/>
      <c r="D46" s="113"/>
      <c r="E46" s="124" t="str">
        <f>Calc!E67</f>
        <v>Sewerage: Baseline capex (gross of adjustments)</v>
      </c>
      <c r="F46" s="124"/>
      <c r="G46" s="113"/>
      <c r="H46" s="120"/>
      <c r="I46" s="120"/>
      <c r="J46" s="121">
        <f>Calc!J67</f>
        <v>654.4741276462189</v>
      </c>
      <c r="K46" s="121">
        <f>Calc!K67</f>
        <v>813.72587748593742</v>
      </c>
      <c r="L46" s="121">
        <f>Calc!L67</f>
        <v>647.34730617292348</v>
      </c>
      <c r="M46" s="121">
        <f>Calc!M67</f>
        <v>538.43439234787206</v>
      </c>
      <c r="N46" s="121">
        <f>Calc!N67</f>
        <v>428.08639768691978</v>
      </c>
      <c r="O46" s="113"/>
      <c r="P46" s="113"/>
      <c r="Q46" s="113"/>
      <c r="R46" s="113"/>
      <c r="S46" s="113"/>
      <c r="T46" s="115"/>
      <c r="U46" s="295">
        <f t="shared" ref="U46:U47" si="5">SUM(J46:N46)</f>
        <v>3082.0681013398716</v>
      </c>
    </row>
    <row r="47" spans="1:21" s="117" customFormat="1" ht="17.399999999999999">
      <c r="A47" s="110"/>
      <c r="B47" s="118" t="s">
        <v>328</v>
      </c>
      <c r="C47" s="119"/>
      <c r="D47" s="113"/>
      <c r="E47" s="124" t="str">
        <f>Calc!E68</f>
        <v>Sewerage: Allowance capex (gross of adjustments)</v>
      </c>
      <c r="F47" s="124"/>
      <c r="G47" s="113"/>
      <c r="H47" s="286"/>
      <c r="I47" s="120"/>
      <c r="J47" s="121">
        <f>Calc!J68</f>
        <v>667.52174602844536</v>
      </c>
      <c r="K47" s="121">
        <f>Calc!K68</f>
        <v>829.94834414839056</v>
      </c>
      <c r="L47" s="121">
        <f>Calc!L68</f>
        <v>660.25284400080284</v>
      </c>
      <c r="M47" s="121">
        <f>Calc!M68</f>
        <v>549.16863863578442</v>
      </c>
      <c r="N47" s="121">
        <f>Calc!N68</f>
        <v>436.62074261470025</v>
      </c>
      <c r="O47" s="113"/>
      <c r="P47" s="113"/>
      <c r="Q47" s="113"/>
      <c r="R47" s="113"/>
      <c r="S47" s="113"/>
      <c r="T47" s="115"/>
      <c r="U47" s="295">
        <f t="shared" si="5"/>
        <v>3143.5123154281237</v>
      </c>
    </row>
    <row r="48" spans="1:21" s="117" customFormat="1" ht="17.399999999999999">
      <c r="A48" s="110"/>
      <c r="B48" s="118" t="s">
        <v>329</v>
      </c>
      <c r="C48" s="119"/>
      <c r="D48" s="113"/>
      <c r="E48" s="124" t="str">
        <f>Calc!E99</f>
        <v>Sewerage: CIS bid ratio</v>
      </c>
      <c r="F48" s="124"/>
      <c r="G48" s="301">
        <f>Calc!G99</f>
        <v>107.97441355193162</v>
      </c>
      <c r="H48" s="120"/>
      <c r="I48" s="120"/>
      <c r="J48" s="121"/>
      <c r="K48" s="121"/>
      <c r="L48" s="121"/>
      <c r="M48" s="121"/>
      <c r="N48" s="121"/>
      <c r="O48" s="113"/>
      <c r="P48" s="113"/>
      <c r="Q48" s="113"/>
      <c r="R48" s="113"/>
      <c r="S48" s="113"/>
      <c r="T48" s="115"/>
      <c r="U48" s="296"/>
    </row>
    <row r="49" spans="1:21" s="117" customFormat="1" ht="17.399999999999999">
      <c r="A49" s="110"/>
      <c r="B49" s="118"/>
      <c r="C49" s="119"/>
      <c r="D49" s="113"/>
      <c r="E49" s="124"/>
      <c r="F49" s="124"/>
      <c r="G49" s="113"/>
      <c r="H49" s="120"/>
      <c r="I49" s="120"/>
      <c r="J49" s="121"/>
      <c r="K49" s="121"/>
      <c r="L49" s="121"/>
      <c r="M49" s="121"/>
      <c r="N49" s="121"/>
      <c r="O49" s="113"/>
      <c r="P49" s="113"/>
      <c r="Q49" s="113"/>
      <c r="R49" s="113"/>
      <c r="S49" s="113"/>
      <c r="T49" s="115"/>
      <c r="U49" s="294"/>
    </row>
    <row r="50" spans="1:21" s="117" customFormat="1" ht="17.399999999999999">
      <c r="A50" s="110"/>
      <c r="B50" s="118" t="s">
        <v>330</v>
      </c>
      <c r="C50" s="119"/>
      <c r="D50" s="113"/>
      <c r="E50" s="113" t="str">
        <f>Calc!E70</f>
        <v>Sewerage: Adjustments to company bid capex</v>
      </c>
      <c r="F50" s="113"/>
      <c r="G50" s="113"/>
      <c r="H50" s="120"/>
      <c r="I50" s="120"/>
      <c r="J50" s="121">
        <f>Calc!J70</f>
        <v>12.5972785095222</v>
      </c>
      <c r="K50" s="121">
        <f>Calc!K70</f>
        <v>-51.295026970738498</v>
      </c>
      <c r="L50" s="121">
        <f>Calc!L70</f>
        <v>30.783805523921298</v>
      </c>
      <c r="M50" s="121">
        <f>Calc!M70</f>
        <v>130.97321157648099</v>
      </c>
      <c r="N50" s="121">
        <f>Calc!N70</f>
        <v>232.06244378456901</v>
      </c>
      <c r="O50" s="113"/>
      <c r="P50" s="113"/>
      <c r="Q50" s="113"/>
      <c r="R50" s="113"/>
      <c r="S50" s="113"/>
      <c r="T50" s="115"/>
      <c r="U50" s="295">
        <f t="shared" ref="U50:U51" si="6">SUM(J50:N50)</f>
        <v>355.12171242375501</v>
      </c>
    </row>
    <row r="51" spans="1:21" s="117" customFormat="1" ht="17.399999999999999">
      <c r="A51" s="110"/>
      <c r="B51" s="118" t="s">
        <v>331</v>
      </c>
      <c r="C51" s="119"/>
      <c r="D51" s="113"/>
      <c r="E51" s="113" t="str">
        <f>Calc!E71</f>
        <v>Sewerage: Adjustments to baseline capex</v>
      </c>
      <c r="F51" s="113"/>
      <c r="G51" s="113"/>
      <c r="H51" s="120"/>
      <c r="I51" s="120"/>
      <c r="J51" s="121">
        <f>Calc!J71</f>
        <v>-17.680798795440602</v>
      </c>
      <c r="K51" s="121">
        <f>Calc!K71</f>
        <v>-27.812069938126101</v>
      </c>
      <c r="L51" s="121">
        <f>Calc!L71</f>
        <v>-30.208876235148601</v>
      </c>
      <c r="M51" s="121">
        <f>Calc!M71</f>
        <v>-5.3702994656609304</v>
      </c>
      <c r="N51" s="121">
        <f>Calc!N71</f>
        <v>-61.486130087278099</v>
      </c>
      <c r="O51" s="113"/>
      <c r="P51" s="113"/>
      <c r="Q51" s="113"/>
      <c r="R51" s="113"/>
      <c r="S51" s="113"/>
      <c r="T51" s="115"/>
      <c r="U51" s="295">
        <f t="shared" si="6"/>
        <v>-142.55817452165434</v>
      </c>
    </row>
    <row r="52" spans="1:21" s="117" customFormat="1" ht="17.399999999999999">
      <c r="A52" s="110"/>
      <c r="B52" s="118"/>
      <c r="C52" s="119"/>
      <c r="D52" s="113"/>
      <c r="E52" s="113"/>
      <c r="F52" s="113"/>
      <c r="G52" s="113"/>
      <c r="H52" s="120"/>
      <c r="I52" s="120"/>
      <c r="J52" s="121"/>
      <c r="K52" s="121"/>
      <c r="L52" s="121"/>
      <c r="M52" s="121"/>
      <c r="N52" s="121"/>
      <c r="O52" s="113"/>
      <c r="P52" s="113"/>
      <c r="Q52" s="113"/>
      <c r="R52" s="113"/>
      <c r="S52" s="113"/>
      <c r="T52" s="115"/>
      <c r="U52" s="294"/>
    </row>
    <row r="53" spans="1:21" s="117" customFormat="1" ht="17.399999999999999">
      <c r="A53" s="110"/>
      <c r="B53" s="118" t="s">
        <v>332</v>
      </c>
      <c r="C53" s="119"/>
      <c r="D53" s="113"/>
      <c r="E53" s="113" t="str">
        <f>Calc!E73</f>
        <v>Sewerage: Company bid capex (net of logging and IDoK)</v>
      </c>
      <c r="F53" s="113"/>
      <c r="G53" s="113"/>
      <c r="H53" s="120"/>
      <c r="I53" s="120"/>
      <c r="J53" s="121">
        <f>Calc!J73</f>
        <v>711.00640310952213</v>
      </c>
      <c r="K53" s="121">
        <f>Calc!K73</f>
        <v>808.67456583975559</v>
      </c>
      <c r="L53" s="121">
        <f>Calc!L73</f>
        <v>736.56220688038229</v>
      </c>
      <c r="M53" s="121">
        <f>Calc!M73</f>
        <v>720.057532517136</v>
      </c>
      <c r="N53" s="121">
        <f>Calc!N73</f>
        <v>706.66596176983899</v>
      </c>
      <c r="O53" s="113"/>
      <c r="P53" s="113"/>
      <c r="Q53" s="113"/>
      <c r="R53" s="113"/>
      <c r="S53" s="113"/>
      <c r="T53" s="115"/>
      <c r="U53" s="295">
        <f t="shared" ref="U53:U55" si="7">SUM(J53:N53)</f>
        <v>3682.9666701166343</v>
      </c>
    </row>
    <row r="54" spans="1:21" s="117" customFormat="1" ht="17.399999999999999">
      <c r="A54" s="110"/>
      <c r="B54" s="118" t="s">
        <v>333</v>
      </c>
      <c r="C54" s="119"/>
      <c r="D54" s="113"/>
      <c r="E54" s="113" t="str">
        <f>Calc!E74</f>
        <v>Sewerage: Baseline capex (net of logging, IDoK and shortfalls)</v>
      </c>
      <c r="F54" s="113"/>
      <c r="G54" s="113"/>
      <c r="H54" s="120"/>
      <c r="I54" s="120"/>
      <c r="J54" s="121">
        <f>Calc!J74</f>
        <v>636.79332885077827</v>
      </c>
      <c r="K54" s="121">
        <f>Calc!K74</f>
        <v>785.9138075478113</v>
      </c>
      <c r="L54" s="121">
        <f>Calc!L74</f>
        <v>617.13842993777484</v>
      </c>
      <c r="M54" s="121">
        <f>Calc!M74</f>
        <v>533.06409288221118</v>
      </c>
      <c r="N54" s="121">
        <f>Calc!N74</f>
        <v>366.60026759964171</v>
      </c>
      <c r="O54" s="113"/>
      <c r="P54" s="113"/>
      <c r="Q54" s="113"/>
      <c r="R54" s="113"/>
      <c r="S54" s="113"/>
      <c r="T54" s="115"/>
      <c r="U54" s="295">
        <f t="shared" si="7"/>
        <v>2939.5099268182175</v>
      </c>
    </row>
    <row r="55" spans="1:21" s="117" customFormat="1" ht="17.399999999999999">
      <c r="A55" s="110"/>
      <c r="B55" s="118" t="s">
        <v>334</v>
      </c>
      <c r="C55" s="119"/>
      <c r="D55" s="113"/>
      <c r="E55" s="113" t="str">
        <f>Calc!E75</f>
        <v>Sewerage: Allowance capex (net of adjustments)</v>
      </c>
      <c r="F55" s="113"/>
      <c r="G55" s="113"/>
      <c r="H55" s="120"/>
      <c r="I55" s="120"/>
      <c r="J55" s="121">
        <f>Calc!J75</f>
        <v>677.05754858535875</v>
      </c>
      <c r="K55" s="121">
        <f>Calc!K75</f>
        <v>835.60686305870081</v>
      </c>
      <c r="L55" s="121">
        <f>Calc!L75</f>
        <v>656.15987728005916</v>
      </c>
      <c r="M55" s="121">
        <f>Calc!M75</f>
        <v>566.76954926184885</v>
      </c>
      <c r="N55" s="121">
        <f>Calc!N75</f>
        <v>389.78027445685387</v>
      </c>
      <c r="O55" s="113"/>
      <c r="P55" s="113"/>
      <c r="Q55" s="113"/>
      <c r="R55" s="113"/>
      <c r="S55" s="113"/>
      <c r="T55" s="115"/>
      <c r="U55" s="295">
        <f t="shared" si="7"/>
        <v>3125.3741126428217</v>
      </c>
    </row>
    <row r="56" spans="1:21" s="117" customFormat="1" ht="17.399999999999999">
      <c r="A56" s="110"/>
      <c r="B56" s="118" t="s">
        <v>335</v>
      </c>
      <c r="C56" s="119"/>
      <c r="D56" s="113"/>
      <c r="E56" s="113" t="str">
        <f>Calc!E110</f>
        <v>Sewerage: Restated CIS bid ratio</v>
      </c>
      <c r="F56" s="113"/>
      <c r="G56" s="301">
        <f>Calc!G110</f>
        <v>125.29186026948203</v>
      </c>
      <c r="H56" s="120"/>
      <c r="I56" s="120"/>
      <c r="J56" s="121"/>
      <c r="K56" s="121"/>
      <c r="L56" s="121"/>
      <c r="M56" s="121"/>
      <c r="N56" s="121"/>
      <c r="O56" s="113"/>
      <c r="P56" s="113"/>
      <c r="Q56" s="113"/>
      <c r="R56" s="113"/>
      <c r="S56" s="113"/>
      <c r="T56" s="115"/>
      <c r="U56" s="296"/>
    </row>
    <row r="57" spans="1:21" s="117" customFormat="1" ht="17.399999999999999">
      <c r="A57" s="110"/>
      <c r="B57" s="118"/>
      <c r="C57" s="119"/>
      <c r="D57" s="113"/>
      <c r="E57" s="113"/>
      <c r="F57" s="113"/>
      <c r="G57" s="113"/>
      <c r="H57" s="120"/>
      <c r="I57" s="120"/>
      <c r="J57" s="121"/>
      <c r="K57" s="121"/>
      <c r="L57" s="121"/>
      <c r="M57" s="121"/>
      <c r="N57" s="121"/>
      <c r="O57" s="113"/>
      <c r="P57" s="113"/>
      <c r="Q57" s="113"/>
      <c r="R57" s="113"/>
      <c r="S57" s="113"/>
      <c r="T57" s="115"/>
      <c r="U57" s="294"/>
    </row>
    <row r="58" spans="1:21" s="117" customFormat="1" ht="17.399999999999999">
      <c r="A58" s="110"/>
      <c r="B58" s="111">
        <v>2.2000000000000002</v>
      </c>
      <c r="C58" s="112"/>
      <c r="D58" s="113"/>
      <c r="E58" s="105" t="s">
        <v>303</v>
      </c>
      <c r="F58" s="105"/>
      <c r="G58" s="113"/>
      <c r="H58" s="113"/>
      <c r="I58" s="113"/>
      <c r="J58" s="114"/>
      <c r="K58" s="114"/>
      <c r="L58" s="114"/>
      <c r="M58" s="114"/>
      <c r="N58" s="114"/>
      <c r="O58" s="113"/>
      <c r="P58" s="113"/>
      <c r="Q58" s="113"/>
      <c r="R58" s="113"/>
      <c r="S58" s="113"/>
      <c r="T58" s="115"/>
      <c r="U58" s="294"/>
    </row>
    <row r="59" spans="1:21" s="117" customFormat="1" ht="17.399999999999999">
      <c r="A59" s="110"/>
      <c r="B59" s="118" t="s">
        <v>336</v>
      </c>
      <c r="C59" s="119"/>
      <c r="D59" s="113"/>
      <c r="E59" s="113" t="str">
        <f>Calc!E84&amp;" (adjusted for actual NI)"</f>
        <v>Sewerage: Company bid capex (adjusted for actual NI)</v>
      </c>
      <c r="F59" s="113"/>
      <c r="G59" s="113"/>
      <c r="H59" s="120"/>
      <c r="I59" s="120"/>
      <c r="J59" s="121">
        <f>Calc!J84</f>
        <v>631.76885210883097</v>
      </c>
      <c r="K59" s="121">
        <f>Calc!K84</f>
        <v>702.09651902862652</v>
      </c>
      <c r="L59" s="121">
        <f>Calc!L84</f>
        <v>640.77324483588757</v>
      </c>
      <c r="M59" s="121">
        <f>Calc!M84</f>
        <v>630.91059987965139</v>
      </c>
      <c r="N59" s="121">
        <f>Calc!N84</f>
        <v>615.04851911931451</v>
      </c>
      <c r="O59" s="113"/>
      <c r="P59" s="113"/>
      <c r="Q59" s="113"/>
      <c r="R59" s="113"/>
      <c r="S59" s="113"/>
      <c r="T59" s="115"/>
      <c r="U59" s="295">
        <f t="shared" ref="U59:U62" si="8">SUM(J59:N59)</f>
        <v>3220.5977349723107</v>
      </c>
    </row>
    <row r="60" spans="1:21" s="117" customFormat="1" ht="17.399999999999999">
      <c r="A60" s="110"/>
      <c r="B60" s="118" t="s">
        <v>337</v>
      </c>
      <c r="C60" s="118"/>
      <c r="D60" s="113"/>
      <c r="E60" s="113" t="str">
        <f>Calc!E85&amp;" (adjusted for actual NI)"</f>
        <v>Sewerage: Baseline capex (adjusted for actual NI)</v>
      </c>
      <c r="F60" s="113"/>
      <c r="G60" s="113"/>
      <c r="H60" s="120"/>
      <c r="I60" s="120"/>
      <c r="J60" s="121">
        <f>Calc!J85</f>
        <v>565.82639571059815</v>
      </c>
      <c r="K60" s="121">
        <f>Calc!K85</f>
        <v>682.33548060567136</v>
      </c>
      <c r="L60" s="121">
        <f>Calc!L85</f>
        <v>536.88037557481334</v>
      </c>
      <c r="M60" s="121">
        <f>Calc!M85</f>
        <v>467.06793752847017</v>
      </c>
      <c r="N60" s="121">
        <f>Calc!N85</f>
        <v>319.07147633260689</v>
      </c>
      <c r="O60" s="113"/>
      <c r="P60" s="113"/>
      <c r="Q60" s="113"/>
      <c r="R60" s="113"/>
      <c r="S60" s="113"/>
      <c r="T60" s="115"/>
      <c r="U60" s="295">
        <f t="shared" si="8"/>
        <v>2571.1816657521599</v>
      </c>
    </row>
    <row r="61" spans="1:21" s="117" customFormat="1" ht="17.399999999999999">
      <c r="A61" s="110"/>
      <c r="B61" s="118" t="s">
        <v>338</v>
      </c>
      <c r="C61" s="118"/>
      <c r="D61" s="113"/>
      <c r="E61" s="113" t="str">
        <f>Calc!E86&amp;" (adjusted for actual NI)"</f>
        <v>Sewerage: Allowance capex (adjusted for actual NI)</v>
      </c>
      <c r="F61" s="113"/>
      <c r="G61" s="113"/>
      <c r="H61" s="120"/>
      <c r="I61" s="120"/>
      <c r="J61" s="121">
        <f>Calc!J86</f>
        <v>601.60340105334092</v>
      </c>
      <c r="K61" s="121">
        <f>Calc!K86</f>
        <v>725.47931468664251</v>
      </c>
      <c r="L61" s="121">
        <f>Calc!L86</f>
        <v>570.82713417597643</v>
      </c>
      <c r="M61" s="121">
        <f>Calc!M86</f>
        <v>496.6004800592832</v>
      </c>
      <c r="N61" s="121">
        <f>Calc!N86</f>
        <v>339.24625432106097</v>
      </c>
      <c r="O61" s="113"/>
      <c r="P61" s="113"/>
      <c r="Q61" s="113"/>
      <c r="R61" s="113"/>
      <c r="S61" s="113"/>
      <c r="T61" s="115"/>
      <c r="U61" s="295">
        <f t="shared" si="8"/>
        <v>2733.756584296304</v>
      </c>
    </row>
    <row r="62" spans="1:21" s="117" customFormat="1" ht="17.399999999999999">
      <c r="A62" s="110"/>
      <c r="B62" s="118" t="s">
        <v>339</v>
      </c>
      <c r="C62" s="118"/>
      <c r="D62" s="113"/>
      <c r="E62" s="113" t="str">
        <f>Calc!E87&amp;" (adjusted for actual NI)"</f>
        <v>Sewerage: Actual capex (adjusted for actual NI)</v>
      </c>
      <c r="F62" s="113"/>
      <c r="G62" s="113"/>
      <c r="H62" s="120"/>
      <c r="I62" s="120"/>
      <c r="J62" s="121">
        <f>Calc!J87</f>
        <v>516.38523078811454</v>
      </c>
      <c r="K62" s="121">
        <f>Calc!K87</f>
        <v>585.62048966644477</v>
      </c>
      <c r="L62" s="121">
        <f>Calc!L87</f>
        <v>492.89275436076286</v>
      </c>
      <c r="M62" s="121">
        <f>Calc!M87</f>
        <v>498.50581632330659</v>
      </c>
      <c r="N62" s="121">
        <f>Calc!N87</f>
        <v>477.43064765252643</v>
      </c>
      <c r="O62" s="113"/>
      <c r="P62" s="113"/>
      <c r="Q62" s="113"/>
      <c r="R62" s="113"/>
      <c r="S62" s="113"/>
      <c r="T62" s="115"/>
      <c r="U62" s="295">
        <f t="shared" si="8"/>
        <v>2570.8349387911549</v>
      </c>
    </row>
    <row r="63" spans="1:21" s="117" customFormat="1" ht="17.399999999999999">
      <c r="A63" s="110"/>
      <c r="B63" s="118" t="s">
        <v>340</v>
      </c>
      <c r="C63" s="118"/>
      <c r="D63" s="113"/>
      <c r="E63" s="113" t="str">
        <f>Calc!E119</f>
        <v>Sewerage: CIS outturn ratio</v>
      </c>
      <c r="F63" s="113"/>
      <c r="G63" s="301">
        <f>Calc!G119</f>
        <v>99.986514878912544</v>
      </c>
      <c r="H63" s="287"/>
      <c r="I63" s="120"/>
      <c r="J63" s="121"/>
      <c r="K63" s="121"/>
      <c r="L63" s="121"/>
      <c r="M63" s="121"/>
      <c r="N63" s="121"/>
      <c r="O63" s="113"/>
      <c r="P63" s="113"/>
      <c r="Q63" s="113"/>
      <c r="R63" s="113"/>
      <c r="S63" s="113"/>
      <c r="T63" s="115"/>
      <c r="U63" s="296"/>
    </row>
    <row r="64" spans="1:21" s="117" customFormat="1" ht="17.399999999999999">
      <c r="A64" s="110"/>
      <c r="B64" s="118"/>
      <c r="C64" s="118"/>
      <c r="D64" s="113"/>
      <c r="E64" s="113"/>
      <c r="F64" s="113"/>
      <c r="G64" s="113"/>
      <c r="H64" s="120"/>
      <c r="I64" s="120"/>
      <c r="J64" s="121"/>
      <c r="K64" s="121"/>
      <c r="L64" s="121"/>
      <c r="M64" s="121"/>
      <c r="N64" s="121"/>
      <c r="O64" s="113"/>
      <c r="P64" s="113"/>
      <c r="Q64" s="113"/>
      <c r="R64" s="113"/>
      <c r="S64" s="113"/>
      <c r="T64" s="115"/>
      <c r="U64" s="294"/>
    </row>
    <row r="65" spans="1:24" s="117" customFormat="1" ht="17.399999999999999">
      <c r="A65" s="110"/>
      <c r="B65" s="111">
        <v>2.2999999999999998</v>
      </c>
      <c r="C65" s="112"/>
      <c r="D65" s="113"/>
      <c r="E65" s="105" t="s">
        <v>322</v>
      </c>
      <c r="F65" s="105"/>
      <c r="G65" s="113"/>
      <c r="H65" s="113"/>
      <c r="I65" s="113"/>
      <c r="J65" s="114"/>
      <c r="K65" s="114"/>
      <c r="L65" s="114"/>
      <c r="M65" s="114"/>
      <c r="N65" s="114"/>
      <c r="O65" s="113"/>
      <c r="P65" s="113"/>
      <c r="Q65" s="113"/>
      <c r="R65" s="113"/>
      <c r="S65" s="113"/>
      <c r="T65" s="115"/>
      <c r="U65" s="294"/>
    </row>
    <row r="66" spans="1:24" s="117" customFormat="1" ht="17.399999999999999">
      <c r="A66" s="110"/>
      <c r="B66" s="118" t="s">
        <v>341</v>
      </c>
      <c r="C66" s="119"/>
      <c r="D66" s="113"/>
      <c r="E66" s="113" t="str">
        <f>Calc!E125</f>
        <v>Sewerage: Total reward/(penalty)</v>
      </c>
      <c r="F66" s="113"/>
      <c r="G66" s="113"/>
      <c r="H66" s="120"/>
      <c r="I66" s="120"/>
      <c r="J66" s="121"/>
      <c r="K66" s="121"/>
      <c r="L66" s="121"/>
      <c r="M66" s="121"/>
      <c r="N66" s="121"/>
      <c r="O66" s="113"/>
      <c r="P66" s="113"/>
      <c r="Q66" s="113"/>
      <c r="R66" s="113"/>
      <c r="S66" s="113"/>
      <c r="T66" s="115"/>
      <c r="U66" s="295">
        <f>Calc!P125</f>
        <v>10.851977854509688</v>
      </c>
    </row>
    <row r="67" spans="1:24" s="117" customFormat="1" ht="17.399999999999999">
      <c r="A67" s="110"/>
      <c r="B67" s="118" t="s">
        <v>342</v>
      </c>
      <c r="C67" s="119"/>
      <c r="D67" s="113"/>
      <c r="E67" s="113" t="str">
        <f>Calc!E128</f>
        <v>Sewerage: Additional income (applied at FD)</v>
      </c>
      <c r="F67" s="113"/>
      <c r="G67" s="113"/>
      <c r="H67" s="113"/>
      <c r="I67" s="113"/>
      <c r="J67" s="121">
        <f>Calc!J128</f>
        <v>-4.4345210389061096</v>
      </c>
      <c r="K67" s="121">
        <f>Calc!K128</f>
        <v>-5.5135632887299098</v>
      </c>
      <c r="L67" s="121">
        <f>Calc!L128</f>
        <v>-4.38623182711172</v>
      </c>
      <c r="M67" s="121">
        <f>Calc!M128</f>
        <v>-3.6482704817140701</v>
      </c>
      <c r="N67" s="121">
        <f>Calc!N128</f>
        <v>-2.90058545757877</v>
      </c>
      <c r="O67" s="113"/>
      <c r="P67" s="113"/>
      <c r="Q67" s="113"/>
      <c r="R67" s="113"/>
      <c r="S67" s="113"/>
      <c r="T67" s="115"/>
      <c r="U67" s="295">
        <f t="shared" ref="U67" si="9">SUM(J67:N67)</f>
        <v>-20.883172094040582</v>
      </c>
    </row>
    <row r="68" spans="1:24" s="117" customFormat="1" ht="17.399999999999999">
      <c r="A68" s="110"/>
      <c r="B68" s="118" t="s">
        <v>343</v>
      </c>
      <c r="C68" s="119"/>
      <c r="D68" s="113"/>
      <c r="E68" s="113" t="str">
        <f>Calc!E188</f>
        <v>Sewerage: Ex post reward/penalty</v>
      </c>
      <c r="F68" s="113"/>
      <c r="G68" s="113"/>
      <c r="H68" s="120"/>
      <c r="I68" s="120"/>
      <c r="J68" s="121"/>
      <c r="K68" s="121"/>
      <c r="L68" s="121"/>
      <c r="M68" s="121"/>
      <c r="N68" s="121"/>
      <c r="O68" s="113"/>
      <c r="P68" s="113"/>
      <c r="Q68" s="113"/>
      <c r="R68" s="113"/>
      <c r="S68" s="113"/>
      <c r="T68" s="115"/>
      <c r="U68" s="295">
        <f>SUM(Calc!J188:N188)</f>
        <v>31.735149948550269</v>
      </c>
    </row>
    <row r="69" spans="1:24" s="117" customFormat="1" ht="17.399999999999999">
      <c r="A69" s="110"/>
      <c r="B69" s="118"/>
      <c r="C69" s="119"/>
      <c r="D69" s="113"/>
      <c r="E69" s="113"/>
      <c r="F69" s="113"/>
      <c r="G69" s="113"/>
      <c r="H69" s="120"/>
      <c r="I69" s="120"/>
      <c r="J69" s="121"/>
      <c r="K69" s="121"/>
      <c r="L69" s="121"/>
      <c r="M69" s="121"/>
      <c r="N69" s="121"/>
      <c r="O69" s="113"/>
      <c r="P69" s="113"/>
      <c r="Q69" s="113"/>
      <c r="R69" s="113"/>
      <c r="S69" s="113"/>
      <c r="T69" s="115"/>
      <c r="U69" s="295"/>
    </row>
    <row r="70" spans="1:24" s="117" customFormat="1" ht="17.399999999999999">
      <c r="A70" s="126"/>
      <c r="B70" s="297"/>
      <c r="C70" s="297"/>
      <c r="D70" s="127"/>
      <c r="E70" s="127"/>
      <c r="F70" s="127"/>
      <c r="G70" s="298"/>
      <c r="H70" s="298"/>
      <c r="I70" s="298"/>
      <c r="J70" s="299"/>
      <c r="K70" s="299"/>
      <c r="L70" s="299"/>
      <c r="M70" s="299"/>
      <c r="N70" s="299"/>
      <c r="O70" s="127"/>
      <c r="P70" s="127"/>
      <c r="Q70" s="127"/>
      <c r="R70" s="127"/>
      <c r="S70" s="127"/>
      <c r="T70" s="129"/>
      <c r="U70" s="300"/>
    </row>
    <row r="71" spans="1:24" s="117" customFormat="1" ht="17.399999999999999">
      <c r="A71" s="110"/>
      <c r="B71" s="119"/>
      <c r="C71" s="119"/>
      <c r="D71" s="113"/>
      <c r="E71" s="113"/>
      <c r="F71" s="113"/>
      <c r="G71" s="113"/>
      <c r="H71" s="113"/>
      <c r="I71" s="113"/>
      <c r="J71" s="113"/>
      <c r="K71" s="113"/>
      <c r="L71" s="113"/>
      <c r="M71" s="113"/>
      <c r="N71" s="113"/>
      <c r="O71" s="113"/>
      <c r="P71" s="113"/>
      <c r="Q71" s="113"/>
      <c r="R71" s="113"/>
      <c r="S71" s="113"/>
      <c r="T71" s="113"/>
      <c r="U71" s="113"/>
    </row>
    <row r="72" spans="1:24" s="117" customFormat="1" ht="17.399999999999999">
      <c r="A72" s="110"/>
      <c r="B72" s="119"/>
      <c r="C72" s="119"/>
      <c r="D72" s="113"/>
      <c r="E72" s="113"/>
      <c r="F72" s="113"/>
      <c r="G72" s="113"/>
      <c r="H72" s="113"/>
      <c r="I72" s="113"/>
      <c r="J72" s="113"/>
      <c r="K72" s="113"/>
      <c r="L72" s="113"/>
      <c r="M72" s="113"/>
      <c r="N72" s="113"/>
      <c r="O72" s="113"/>
      <c r="P72" s="113"/>
      <c r="Q72" s="113"/>
      <c r="R72" s="113"/>
      <c r="S72" s="113"/>
      <c r="T72" s="113"/>
      <c r="U72" s="113"/>
      <c r="V72" s="113"/>
      <c r="W72" s="113"/>
      <c r="X72" s="113"/>
    </row>
    <row r="73" spans="1:24" s="117" customFormat="1" ht="17.399999999999999">
      <c r="A73" s="110"/>
      <c r="B73" s="119"/>
      <c r="C73" s="119"/>
      <c r="D73" s="113"/>
      <c r="E73" s="113"/>
      <c r="F73" s="113"/>
      <c r="G73" s="113"/>
      <c r="H73" s="113"/>
      <c r="I73" s="113"/>
      <c r="J73" s="113"/>
      <c r="K73" s="113"/>
      <c r="L73" s="113"/>
      <c r="M73" s="113"/>
      <c r="N73" s="113"/>
      <c r="O73" s="113"/>
      <c r="P73" s="113"/>
      <c r="Q73" s="113"/>
      <c r="R73" s="113"/>
      <c r="S73" s="113"/>
      <c r="T73" s="113"/>
      <c r="U73" s="113"/>
      <c r="V73" s="113"/>
      <c r="W73" s="113"/>
      <c r="X73" s="113"/>
    </row>
    <row r="74" spans="1:24" s="117" customFormat="1" ht="17.399999999999999">
      <c r="A74" s="110"/>
      <c r="B74" s="119"/>
      <c r="C74" s="119"/>
      <c r="D74" s="113"/>
      <c r="E74" s="113"/>
      <c r="F74" s="113"/>
      <c r="G74" s="113"/>
      <c r="H74" s="113"/>
      <c r="I74" s="113"/>
      <c r="J74" s="113"/>
      <c r="K74" s="113"/>
      <c r="L74" s="113"/>
      <c r="M74" s="113"/>
      <c r="N74" s="113"/>
      <c r="O74" s="113"/>
      <c r="P74" s="113"/>
      <c r="Q74" s="113"/>
      <c r="R74" s="113"/>
      <c r="S74" s="113"/>
      <c r="T74" s="113"/>
      <c r="U74" s="113"/>
      <c r="V74" s="113"/>
      <c r="W74" s="113"/>
      <c r="X74" s="113"/>
    </row>
    <row r="75" spans="1:24" s="117" customFormat="1" ht="17.399999999999999">
      <c r="A75" s="110"/>
      <c r="B75" s="119"/>
      <c r="C75" s="119"/>
      <c r="D75" s="113"/>
      <c r="E75" s="113"/>
      <c r="F75" s="113"/>
      <c r="G75" s="113"/>
      <c r="H75" s="113"/>
      <c r="I75" s="113"/>
      <c r="J75" s="113"/>
      <c r="K75" s="113"/>
      <c r="L75" s="113"/>
      <c r="M75" s="113"/>
      <c r="N75" s="113"/>
      <c r="O75" s="113"/>
      <c r="P75" s="113"/>
      <c r="Q75" s="113"/>
      <c r="R75" s="113"/>
      <c r="S75" s="113"/>
      <c r="T75" s="113"/>
      <c r="U75" s="113"/>
      <c r="V75" s="113"/>
      <c r="W75" s="113"/>
      <c r="X75" s="113"/>
    </row>
    <row r="76" spans="1:24" s="117" customFormat="1" ht="17.399999999999999">
      <c r="A76" s="110"/>
      <c r="B76" s="119"/>
      <c r="C76" s="119"/>
      <c r="D76" s="113"/>
      <c r="E76" s="113"/>
      <c r="F76" s="113"/>
      <c r="G76" s="113"/>
      <c r="H76" s="113"/>
      <c r="I76" s="113"/>
      <c r="J76" s="113"/>
      <c r="K76" s="113"/>
      <c r="L76" s="113"/>
      <c r="M76" s="113"/>
      <c r="N76" s="113"/>
      <c r="O76" s="113"/>
      <c r="P76" s="113"/>
      <c r="Q76" s="113"/>
      <c r="R76" s="113"/>
      <c r="S76" s="113"/>
      <c r="T76" s="113"/>
      <c r="U76" s="113"/>
      <c r="V76" s="113"/>
      <c r="W76" s="113"/>
      <c r="X76" s="113"/>
    </row>
    <row r="77" spans="1:24" s="117" customFormat="1" ht="17.399999999999999">
      <c r="A77" s="110"/>
      <c r="B77" s="119"/>
      <c r="C77" s="119"/>
      <c r="D77" s="113"/>
      <c r="E77" s="113"/>
      <c r="F77" s="113"/>
      <c r="G77" s="113"/>
      <c r="H77" s="113"/>
      <c r="I77" s="113"/>
      <c r="J77" s="113"/>
      <c r="K77" s="113"/>
      <c r="L77" s="113"/>
      <c r="M77" s="113"/>
      <c r="N77" s="113"/>
      <c r="O77" s="113"/>
      <c r="P77" s="113"/>
      <c r="Q77" s="113"/>
      <c r="R77" s="113"/>
      <c r="S77" s="113"/>
      <c r="T77" s="113"/>
      <c r="U77" s="113"/>
      <c r="V77" s="113"/>
      <c r="W77" s="113"/>
      <c r="X77" s="113"/>
    </row>
    <row r="78" spans="1:24" s="117" customFormat="1" ht="17.399999999999999">
      <c r="A78" s="110"/>
      <c r="B78" s="119"/>
      <c r="C78" s="118"/>
      <c r="D78" s="113"/>
      <c r="E78" s="113"/>
      <c r="F78" s="113"/>
      <c r="G78" s="113"/>
      <c r="H78" s="113"/>
      <c r="I78" s="113"/>
      <c r="J78" s="113"/>
      <c r="K78" s="113"/>
      <c r="L78" s="113"/>
      <c r="M78" s="113"/>
      <c r="N78" s="113"/>
      <c r="O78" s="113"/>
      <c r="P78" s="113"/>
      <c r="Q78" s="113"/>
      <c r="R78" s="113"/>
      <c r="S78" s="113"/>
      <c r="T78" s="113"/>
      <c r="U78" s="113"/>
      <c r="V78" s="113"/>
      <c r="W78" s="113"/>
      <c r="X78" s="113"/>
    </row>
    <row r="79" spans="1:24" s="117" customFormat="1" ht="17.399999999999999">
      <c r="A79" s="110"/>
      <c r="B79" s="118"/>
      <c r="C79" s="118"/>
      <c r="D79" s="113"/>
      <c r="E79" s="113"/>
      <c r="F79" s="113"/>
      <c r="G79" s="113"/>
      <c r="H79" s="113"/>
      <c r="I79" s="113"/>
      <c r="J79" s="113"/>
      <c r="K79" s="113"/>
      <c r="L79" s="113"/>
      <c r="M79" s="113"/>
      <c r="N79" s="113"/>
      <c r="O79" s="113"/>
      <c r="P79" s="113"/>
      <c r="Q79" s="113"/>
      <c r="R79" s="113"/>
      <c r="S79" s="113"/>
      <c r="T79" s="113"/>
      <c r="U79" s="113"/>
      <c r="V79" s="113"/>
      <c r="W79" s="113"/>
      <c r="X79" s="113"/>
    </row>
    <row r="80" spans="1:24" s="117" customFormat="1" ht="17.399999999999999">
      <c r="A80" s="110"/>
      <c r="B80" s="111"/>
      <c r="C80" s="112"/>
      <c r="D80" s="113"/>
      <c r="E80" s="105"/>
      <c r="F80" s="105"/>
      <c r="G80" s="113"/>
      <c r="H80" s="113"/>
      <c r="I80" s="113"/>
      <c r="J80" s="113"/>
      <c r="K80" s="113"/>
      <c r="L80" s="113"/>
      <c r="M80" s="113"/>
      <c r="N80" s="113"/>
      <c r="O80" s="113"/>
      <c r="P80" s="113"/>
      <c r="Q80" s="113"/>
      <c r="R80" s="113"/>
      <c r="S80" s="113"/>
      <c r="T80" s="113"/>
      <c r="U80" s="113"/>
      <c r="V80" s="113"/>
      <c r="W80" s="113"/>
      <c r="X80" s="113"/>
    </row>
    <row r="81" spans="1:21" s="117" customFormat="1" ht="17.399999999999999">
      <c r="A81" s="110"/>
      <c r="B81" s="119"/>
      <c r="C81" s="119"/>
      <c r="D81" s="113"/>
      <c r="E81" s="113"/>
      <c r="F81" s="113"/>
      <c r="G81" s="113"/>
      <c r="H81" s="113"/>
      <c r="I81" s="113"/>
      <c r="J81" s="113"/>
      <c r="K81" s="113"/>
      <c r="L81" s="113"/>
      <c r="M81" s="113"/>
      <c r="N81" s="113"/>
      <c r="O81" s="113"/>
      <c r="P81" s="113"/>
      <c r="Q81" s="113"/>
      <c r="R81" s="113"/>
      <c r="S81" s="113"/>
      <c r="T81" s="41"/>
      <c r="U81" s="288"/>
    </row>
    <row r="82" spans="1:21" s="117" customFormat="1" ht="17.399999999999999">
      <c r="A82" s="110"/>
      <c r="B82" s="119"/>
      <c r="C82" s="119"/>
      <c r="D82" s="113"/>
      <c r="E82" s="113"/>
      <c r="F82" s="113"/>
      <c r="G82" s="113"/>
      <c r="H82" s="113"/>
      <c r="I82" s="113"/>
      <c r="J82" s="113"/>
      <c r="K82" s="113"/>
      <c r="L82" s="113"/>
      <c r="M82" s="113"/>
      <c r="N82" s="113"/>
      <c r="O82" s="113"/>
      <c r="P82" s="113"/>
      <c r="Q82" s="113"/>
      <c r="R82" s="113"/>
      <c r="S82" s="113"/>
      <c r="T82" s="41"/>
      <c r="U82" s="289"/>
    </row>
    <row r="83" spans="1:21" s="117" customFormat="1" ht="17.399999999999999">
      <c r="A83" s="110"/>
      <c r="B83" s="119"/>
      <c r="C83" s="119"/>
      <c r="D83" s="113"/>
      <c r="E83" s="113"/>
      <c r="F83" s="113"/>
      <c r="G83" s="113"/>
      <c r="H83" s="113"/>
      <c r="I83" s="113"/>
      <c r="J83" s="113"/>
      <c r="K83" s="113"/>
      <c r="L83" s="113"/>
      <c r="M83" s="113"/>
      <c r="N83" s="113"/>
      <c r="O83" s="113"/>
      <c r="P83" s="113"/>
      <c r="Q83" s="113"/>
      <c r="R83" s="113"/>
      <c r="S83" s="113"/>
      <c r="T83" s="41"/>
      <c r="U83" s="289"/>
    </row>
    <row r="84" spans="1:21" s="117" customFormat="1" ht="17.399999999999999">
      <c r="A84" s="110"/>
      <c r="B84" s="119"/>
      <c r="C84" s="119"/>
      <c r="D84" s="113"/>
      <c r="E84" s="113"/>
      <c r="F84" s="113"/>
      <c r="G84" s="113"/>
      <c r="H84" s="113"/>
      <c r="I84" s="113"/>
      <c r="J84" s="113"/>
      <c r="K84" s="113"/>
      <c r="L84" s="113"/>
      <c r="M84" s="113"/>
      <c r="N84" s="113"/>
      <c r="O84" s="113"/>
      <c r="P84" s="113"/>
      <c r="Q84" s="113"/>
      <c r="R84" s="113"/>
      <c r="S84" s="113"/>
      <c r="T84" s="41"/>
      <c r="U84" s="289"/>
    </row>
    <row r="85" spans="1:21" s="117" customFormat="1" ht="17.399999999999999">
      <c r="A85" s="110"/>
      <c r="B85" s="119"/>
      <c r="C85" s="119"/>
      <c r="D85" s="113"/>
      <c r="E85" s="113"/>
      <c r="F85" s="113"/>
      <c r="G85" s="113"/>
      <c r="H85" s="113"/>
      <c r="I85" s="113"/>
      <c r="J85" s="113"/>
      <c r="K85" s="113"/>
      <c r="L85" s="113"/>
      <c r="M85" s="113"/>
      <c r="N85" s="113"/>
      <c r="O85" s="113"/>
      <c r="P85" s="113"/>
      <c r="Q85" s="113"/>
      <c r="R85" s="113"/>
      <c r="S85" s="113"/>
      <c r="T85" s="41"/>
      <c r="U85" s="289"/>
    </row>
    <row r="86" spans="1:21" s="117" customFormat="1" ht="17.399999999999999">
      <c r="A86" s="110"/>
      <c r="B86" s="119"/>
      <c r="C86" s="119"/>
      <c r="D86" s="113"/>
      <c r="E86" s="113"/>
      <c r="F86" s="113"/>
      <c r="G86" s="113"/>
      <c r="H86" s="113"/>
      <c r="I86" s="113"/>
      <c r="J86" s="113"/>
      <c r="K86" s="113"/>
      <c r="L86" s="113"/>
      <c r="M86" s="113"/>
      <c r="N86" s="113"/>
      <c r="O86" s="113"/>
      <c r="P86" s="113"/>
      <c r="Q86" s="113"/>
      <c r="R86" s="113"/>
      <c r="S86" s="113"/>
      <c r="T86" s="41"/>
      <c r="U86" s="289"/>
    </row>
    <row r="87" spans="1:21" s="117" customFormat="1" ht="17.399999999999999">
      <c r="A87" s="110"/>
      <c r="B87" s="119"/>
      <c r="C87" s="119"/>
      <c r="D87" s="113"/>
      <c r="E87" s="113"/>
      <c r="F87" s="113"/>
      <c r="G87" s="113"/>
      <c r="H87" s="113"/>
      <c r="I87" s="113"/>
      <c r="J87" s="113"/>
      <c r="K87" s="113"/>
      <c r="L87" s="113"/>
      <c r="M87" s="113"/>
      <c r="N87" s="113"/>
      <c r="O87" s="113"/>
      <c r="P87" s="113"/>
      <c r="Q87" s="113"/>
      <c r="R87" s="113"/>
      <c r="S87" s="113"/>
      <c r="T87" s="41"/>
      <c r="U87" s="289"/>
    </row>
    <row r="88" spans="1:21" s="117" customFormat="1" ht="17.399999999999999">
      <c r="A88" s="110"/>
      <c r="B88" s="119"/>
      <c r="C88" s="119"/>
      <c r="D88" s="113"/>
      <c r="E88" s="113"/>
      <c r="F88" s="113"/>
      <c r="G88" s="113"/>
      <c r="H88" s="113"/>
      <c r="I88" s="113"/>
      <c r="J88" s="113"/>
      <c r="K88" s="113"/>
      <c r="L88" s="113"/>
      <c r="M88" s="113"/>
      <c r="N88" s="113"/>
      <c r="O88" s="113"/>
      <c r="P88" s="113"/>
      <c r="Q88" s="113"/>
      <c r="R88" s="113"/>
      <c r="S88" s="113"/>
      <c r="T88" s="41"/>
      <c r="U88" s="289"/>
    </row>
    <row r="89" spans="1:21" s="117" customFormat="1" ht="17.399999999999999">
      <c r="A89" s="110"/>
      <c r="B89" s="119"/>
      <c r="C89" s="119"/>
      <c r="D89" s="113"/>
      <c r="E89" s="113"/>
      <c r="F89" s="113"/>
      <c r="G89" s="113"/>
      <c r="H89" s="113"/>
      <c r="I89" s="113"/>
      <c r="J89" s="113"/>
      <c r="K89" s="113"/>
      <c r="L89" s="113"/>
      <c r="M89" s="113"/>
      <c r="N89" s="113"/>
      <c r="O89" s="113"/>
      <c r="P89" s="113"/>
      <c r="Q89" s="113"/>
      <c r="R89" s="113"/>
      <c r="S89" s="113"/>
      <c r="T89" s="41"/>
      <c r="U89" s="289"/>
    </row>
    <row r="90" spans="1:21" s="117" customFormat="1" ht="17.399999999999999">
      <c r="A90" s="110"/>
      <c r="B90" s="119"/>
      <c r="C90" s="119"/>
      <c r="D90" s="113"/>
      <c r="E90" s="113"/>
      <c r="F90" s="113"/>
      <c r="G90" s="113"/>
      <c r="H90" s="113"/>
      <c r="I90" s="113"/>
      <c r="J90" s="113"/>
      <c r="K90" s="113"/>
      <c r="L90" s="113"/>
      <c r="M90" s="113"/>
      <c r="N90" s="113"/>
      <c r="O90" s="113"/>
      <c r="P90" s="113"/>
      <c r="Q90" s="113"/>
      <c r="R90" s="113"/>
      <c r="S90" s="113"/>
      <c r="T90" s="41"/>
      <c r="U90" s="289"/>
    </row>
    <row r="91" spans="1:21" s="117" customFormat="1" ht="17.399999999999999">
      <c r="A91" s="110"/>
      <c r="B91" s="119"/>
      <c r="C91" s="119"/>
      <c r="D91" s="113"/>
      <c r="E91" s="113"/>
      <c r="F91" s="113"/>
      <c r="G91" s="113"/>
      <c r="H91" s="113"/>
      <c r="I91" s="113"/>
      <c r="J91" s="113"/>
      <c r="K91" s="113"/>
      <c r="L91" s="113"/>
      <c r="M91" s="113"/>
      <c r="N91" s="113"/>
      <c r="O91" s="113"/>
      <c r="P91" s="113"/>
      <c r="Q91" s="113"/>
      <c r="R91" s="113"/>
      <c r="S91" s="113"/>
      <c r="T91" s="41"/>
      <c r="U91" s="289"/>
    </row>
    <row r="92" spans="1:21" s="117" customFormat="1" ht="17.399999999999999">
      <c r="A92" s="110"/>
      <c r="B92" s="119"/>
      <c r="C92" s="119"/>
      <c r="D92" s="113"/>
      <c r="E92" s="113"/>
      <c r="F92" s="113"/>
      <c r="G92" s="113"/>
      <c r="H92" s="113"/>
      <c r="I92" s="113"/>
      <c r="J92" s="113"/>
      <c r="K92" s="113"/>
      <c r="L92" s="113"/>
      <c r="M92" s="113"/>
      <c r="N92" s="113"/>
      <c r="O92" s="113"/>
      <c r="P92" s="113"/>
      <c r="Q92" s="113"/>
      <c r="R92" s="113"/>
      <c r="S92" s="113"/>
      <c r="T92" s="41"/>
      <c r="U92" s="289"/>
    </row>
    <row r="93" spans="1:21" s="117" customFormat="1" ht="17.399999999999999">
      <c r="A93" s="110"/>
      <c r="B93" s="119"/>
      <c r="C93" s="119"/>
      <c r="D93" s="113"/>
      <c r="E93" s="113"/>
      <c r="F93" s="113"/>
      <c r="G93" s="113"/>
      <c r="H93" s="113"/>
      <c r="I93" s="113"/>
      <c r="J93" s="113"/>
      <c r="K93" s="113"/>
      <c r="L93" s="113"/>
      <c r="M93" s="113"/>
      <c r="N93" s="113"/>
      <c r="O93" s="113"/>
      <c r="P93" s="113"/>
      <c r="Q93" s="113"/>
      <c r="R93" s="113"/>
      <c r="S93" s="113"/>
      <c r="T93" s="41"/>
      <c r="U93" s="289"/>
    </row>
    <row r="94" spans="1:21" s="117" customFormat="1" ht="17.399999999999999">
      <c r="A94" s="110"/>
      <c r="B94" s="119"/>
      <c r="C94" s="119"/>
      <c r="D94" s="113"/>
      <c r="E94" s="113"/>
      <c r="F94" s="113"/>
      <c r="G94" s="113"/>
      <c r="H94" s="113"/>
      <c r="I94" s="113"/>
      <c r="J94" s="113"/>
      <c r="K94" s="113"/>
      <c r="L94" s="113"/>
      <c r="M94" s="113"/>
      <c r="N94" s="113"/>
      <c r="O94" s="113"/>
      <c r="P94" s="113"/>
      <c r="Q94" s="113"/>
      <c r="R94" s="113"/>
      <c r="S94" s="113"/>
      <c r="T94" s="41"/>
      <c r="U94" s="289"/>
    </row>
    <row r="95" spans="1:21" s="117" customFormat="1" ht="17.399999999999999">
      <c r="A95" s="110"/>
      <c r="B95" s="119"/>
      <c r="C95" s="118"/>
      <c r="D95" s="113"/>
      <c r="E95" s="113"/>
      <c r="F95" s="113"/>
      <c r="G95" s="113"/>
      <c r="H95" s="113"/>
      <c r="I95" s="113"/>
      <c r="J95" s="113"/>
      <c r="K95" s="113"/>
      <c r="L95" s="113"/>
      <c r="M95" s="113"/>
      <c r="N95" s="113"/>
      <c r="O95" s="113"/>
      <c r="P95" s="113"/>
      <c r="Q95" s="113"/>
      <c r="R95" s="113"/>
      <c r="S95" s="113"/>
      <c r="T95" s="41"/>
      <c r="U95" s="289"/>
    </row>
    <row r="96" spans="1:21" s="117" customFormat="1" ht="17.399999999999999">
      <c r="A96" s="110"/>
      <c r="B96" s="118"/>
      <c r="C96" s="118"/>
      <c r="D96" s="113"/>
      <c r="E96" s="113"/>
      <c r="F96" s="113"/>
      <c r="G96" s="113"/>
      <c r="H96" s="113"/>
      <c r="I96" s="113"/>
      <c r="J96" s="113"/>
      <c r="K96" s="113"/>
      <c r="L96" s="113"/>
      <c r="M96" s="113"/>
      <c r="N96" s="113"/>
      <c r="O96" s="113"/>
      <c r="P96" s="113"/>
      <c r="Q96" s="113"/>
      <c r="R96" s="113"/>
      <c r="S96" s="113"/>
      <c r="T96" s="41"/>
      <c r="U96" s="289"/>
    </row>
    <row r="97" spans="1:21" s="117" customFormat="1" ht="17.399999999999999">
      <c r="A97" s="110"/>
      <c r="B97" s="112"/>
      <c r="C97" s="112"/>
      <c r="D97" s="113"/>
      <c r="E97" s="105"/>
      <c r="F97" s="105"/>
      <c r="G97" s="113"/>
      <c r="H97" s="113"/>
      <c r="I97" s="113"/>
      <c r="J97" s="113"/>
      <c r="K97" s="113"/>
      <c r="L97" s="113"/>
      <c r="M97" s="113"/>
      <c r="N97" s="113"/>
      <c r="O97" s="113"/>
      <c r="P97" s="113"/>
      <c r="Q97" s="113"/>
      <c r="R97" s="113"/>
      <c r="S97" s="113"/>
      <c r="T97" s="41"/>
      <c r="U97" s="289"/>
    </row>
    <row r="98" spans="1:21" s="117" customFormat="1" ht="17.399999999999999">
      <c r="A98" s="110"/>
      <c r="B98" s="113"/>
      <c r="C98" s="113"/>
      <c r="D98" s="113"/>
      <c r="E98" s="113"/>
      <c r="F98" s="113"/>
      <c r="G98" s="113"/>
      <c r="H98" s="113"/>
      <c r="I98" s="113"/>
      <c r="J98" s="113"/>
      <c r="K98" s="113"/>
      <c r="L98" s="113"/>
      <c r="M98" s="113"/>
      <c r="N98" s="113"/>
      <c r="O98" s="113"/>
      <c r="P98" s="113"/>
      <c r="Q98" s="113"/>
      <c r="R98" s="113"/>
      <c r="S98" s="113"/>
      <c r="T98" s="41"/>
      <c r="U98" s="289"/>
    </row>
    <row r="99" spans="1:21" s="117" customFormat="1" ht="17.399999999999999">
      <c r="A99" s="110"/>
      <c r="B99" s="119"/>
      <c r="C99" s="119"/>
      <c r="D99" s="113"/>
      <c r="E99" s="113"/>
      <c r="F99" s="113"/>
      <c r="G99" s="113"/>
      <c r="H99" s="113"/>
      <c r="I99" s="113"/>
      <c r="J99" s="113"/>
      <c r="K99" s="113"/>
      <c r="L99" s="113"/>
      <c r="M99" s="113"/>
      <c r="N99" s="113"/>
      <c r="O99" s="113"/>
      <c r="P99" s="113"/>
      <c r="Q99" s="113"/>
      <c r="R99" s="113"/>
      <c r="S99" s="113"/>
      <c r="T99" s="41"/>
      <c r="U99" s="289"/>
    </row>
    <row r="100" spans="1:21" s="117" customFormat="1" ht="17.399999999999999">
      <c r="A100" s="110"/>
      <c r="B100" s="119"/>
      <c r="C100" s="119"/>
      <c r="D100" s="113"/>
      <c r="E100" s="113"/>
      <c r="F100" s="113"/>
      <c r="G100" s="113"/>
      <c r="H100" s="113"/>
      <c r="I100" s="113"/>
      <c r="J100" s="113"/>
      <c r="K100" s="113"/>
      <c r="L100" s="113"/>
      <c r="M100" s="113"/>
      <c r="N100" s="113"/>
      <c r="O100" s="113"/>
      <c r="P100" s="113"/>
      <c r="Q100" s="113"/>
      <c r="R100" s="113"/>
      <c r="S100" s="113"/>
      <c r="T100" s="41"/>
      <c r="U100" s="289"/>
    </row>
    <row r="101" spans="1:21" s="117" customFormat="1" ht="17.399999999999999">
      <c r="A101" s="110"/>
      <c r="B101" s="119"/>
      <c r="C101" s="119"/>
      <c r="D101" s="113"/>
      <c r="E101" s="113"/>
      <c r="F101" s="113"/>
      <c r="G101" s="113"/>
      <c r="H101" s="113"/>
      <c r="I101" s="113"/>
      <c r="J101" s="113"/>
      <c r="K101" s="113"/>
      <c r="L101" s="113"/>
      <c r="M101" s="113"/>
      <c r="N101" s="113"/>
      <c r="O101" s="113"/>
      <c r="P101" s="113"/>
      <c r="Q101" s="113"/>
      <c r="R101" s="113"/>
      <c r="S101" s="113"/>
      <c r="T101" s="41"/>
      <c r="U101" s="289"/>
    </row>
    <row r="102" spans="1:21" s="117" customFormat="1" ht="17.399999999999999">
      <c r="A102" s="110"/>
      <c r="B102" s="119"/>
      <c r="C102" s="119"/>
      <c r="D102" s="113"/>
      <c r="E102" s="113"/>
      <c r="F102" s="113"/>
      <c r="G102" s="113"/>
      <c r="H102" s="113"/>
      <c r="I102" s="113"/>
      <c r="J102" s="113"/>
      <c r="K102" s="113"/>
      <c r="L102" s="113"/>
      <c r="M102" s="113"/>
      <c r="N102" s="113"/>
      <c r="O102" s="113"/>
      <c r="P102" s="113"/>
      <c r="Q102" s="113"/>
      <c r="R102" s="113"/>
      <c r="S102" s="113"/>
      <c r="T102" s="41"/>
      <c r="U102" s="289"/>
    </row>
    <row r="103" spans="1:21" s="117" customFormat="1" ht="17.399999999999999">
      <c r="A103" s="110"/>
      <c r="B103" s="119"/>
      <c r="C103" s="119"/>
      <c r="D103" s="113"/>
      <c r="E103" s="113"/>
      <c r="F103" s="113"/>
      <c r="G103" s="113"/>
      <c r="H103" s="113"/>
      <c r="I103" s="113"/>
      <c r="J103" s="113"/>
      <c r="K103" s="113"/>
      <c r="L103" s="113"/>
      <c r="M103" s="113"/>
      <c r="N103" s="113"/>
      <c r="O103" s="113"/>
      <c r="P103" s="113"/>
      <c r="Q103" s="113"/>
      <c r="R103" s="113"/>
      <c r="S103" s="113"/>
      <c r="T103"/>
      <c r="U103" s="289"/>
    </row>
    <row r="104" spans="1:21" s="41" customFormat="1" ht="17.399999999999999">
      <c r="G104" s="113"/>
      <c r="H104" s="113"/>
      <c r="I104" s="113"/>
      <c r="J104" s="113"/>
      <c r="K104" s="113"/>
      <c r="L104" s="113"/>
      <c r="M104" s="113"/>
      <c r="N104" s="113"/>
      <c r="O104" s="113"/>
      <c r="P104" s="113"/>
      <c r="Q104" s="113"/>
      <c r="R104" s="113"/>
      <c r="S104" s="113"/>
      <c r="T104"/>
      <c r="U104" s="290"/>
    </row>
    <row r="105" spans="1:21" s="41" customFormat="1" ht="17.399999999999999">
      <c r="T105"/>
      <c r="U105" s="290"/>
    </row>
    <row r="106" spans="1:21" s="41" customFormat="1" ht="17.399999999999999">
      <c r="T106"/>
      <c r="U106" s="290"/>
    </row>
    <row r="107" spans="1:21" s="41" customFormat="1" ht="17.399999999999999">
      <c r="T107"/>
      <c r="U107" s="290"/>
    </row>
    <row r="108" spans="1:21" s="41" customFormat="1" ht="17.399999999999999">
      <c r="T108"/>
      <c r="U108" s="290"/>
    </row>
    <row r="109" spans="1:21" s="41" customFormat="1" ht="17.399999999999999">
      <c r="T109"/>
      <c r="U109" s="290"/>
    </row>
    <row r="110" spans="1:21" s="41" customFormat="1" ht="17.399999999999999">
      <c r="T110"/>
      <c r="U110" s="290"/>
    </row>
    <row r="111" spans="1:21" s="41" customFormat="1" ht="17.399999999999999">
      <c r="T111"/>
      <c r="U111" s="290"/>
    </row>
    <row r="112" spans="1:21" s="41" customFormat="1" ht="17.399999999999999">
      <c r="T112"/>
      <c r="U112" s="290"/>
    </row>
    <row r="113" spans="20:21" s="41" customFormat="1" ht="17.399999999999999">
      <c r="T113"/>
      <c r="U113" s="290"/>
    </row>
    <row r="114" spans="20:21" s="41" customFormat="1" ht="17.399999999999999">
      <c r="T114"/>
      <c r="U114" s="290"/>
    </row>
    <row r="115" spans="20:21" s="41" customFormat="1" ht="17.399999999999999">
      <c r="T115"/>
      <c r="U115" s="290"/>
    </row>
    <row r="116" spans="20:21" s="41" customFormat="1" ht="17.399999999999999">
      <c r="T116"/>
      <c r="U116" s="290"/>
    </row>
    <row r="117" spans="20:21" s="41" customFormat="1" ht="17.399999999999999">
      <c r="T117"/>
      <c r="U117" s="290"/>
    </row>
    <row r="118" spans="20:21" s="41" customFormat="1" ht="17.399999999999999">
      <c r="T118"/>
      <c r="U118" s="290"/>
    </row>
    <row r="119" spans="20:21" s="41" customFormat="1" ht="17.399999999999999">
      <c r="T119"/>
      <c r="U119" s="290"/>
    </row>
    <row r="120" spans="20:21" s="41" customFormat="1" ht="17.399999999999999">
      <c r="T120"/>
      <c r="U120" s="290"/>
    </row>
    <row r="121" spans="20:21" s="41" customFormat="1" ht="17.399999999999999">
      <c r="T121"/>
      <c r="U121" s="290"/>
    </row>
    <row r="122" spans="20:21" s="41" customFormat="1" ht="17.399999999999999">
      <c r="T122"/>
      <c r="U122" s="290"/>
    </row>
    <row r="123" spans="20:21" s="41" customFormat="1" ht="17.399999999999999">
      <c r="T123"/>
      <c r="U123" s="290"/>
    </row>
    <row r="124" spans="20:21" s="41" customFormat="1" ht="17.399999999999999">
      <c r="T124"/>
      <c r="U124" s="290"/>
    </row>
  </sheetData>
  <pageMargins left="0.70866141732283472" right="0.70866141732283472" top="0.74803149606299213" bottom="0.74803149606299213" header="0.31496062992125984" footer="0.31496062992125984"/>
  <pageSetup paperSize="9" scale="39" orientation="landscape" r:id="rId1"/>
  <headerFooter>
    <oddFooter>&amp;LPL14L012 CIS v3.5
Ofwat, February 2016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A45"/>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A3" sqref="A3"/>
    </sheetView>
  </sheetViews>
  <sheetFormatPr defaultRowHeight="13.2"/>
  <cols>
    <col min="1" max="1" width="1.88671875" customWidth="1"/>
    <col min="3" max="3" width="18.109375" bestFit="1" customWidth="1"/>
    <col min="4" max="4" width="0" hidden="1" customWidth="1"/>
    <col min="5" max="5" width="125.44140625" customWidth="1"/>
    <col min="6" max="7" width="21.6640625" customWidth="1"/>
    <col min="8" max="9" width="21.6640625" hidden="1" customWidth="1"/>
    <col min="10" max="14" width="21.6640625" customWidth="1"/>
    <col min="15" max="15" width="20.6640625" customWidth="1"/>
    <col min="16" max="17" width="20.6640625" hidden="1" customWidth="1"/>
    <col min="18" max="19" width="9" hidden="1" customWidth="1"/>
    <col min="20" max="20" width="3.109375" customWidth="1"/>
    <col min="21" max="21" width="19.1093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FD'!G150="","",'Input FD'!G150)</f>
        <v>TMS Inputs as at FD</v>
      </c>
      <c r="F2" s="510"/>
      <c r="G2" s="496"/>
      <c r="H2" s="496"/>
      <c r="I2" s="496"/>
      <c r="J2" s="496"/>
      <c r="K2" s="496"/>
      <c r="L2" s="496"/>
      <c r="M2" s="496"/>
      <c r="N2" s="496"/>
      <c r="O2" s="496"/>
      <c r="P2" s="496"/>
      <c r="Q2" s="496"/>
      <c r="R2" s="496"/>
      <c r="S2" s="496"/>
      <c r="T2" s="496"/>
      <c r="U2" s="498"/>
    </row>
    <row r="3" spans="1:27" ht="26.85" customHeight="1">
      <c r="A3" s="495"/>
      <c r="B3" s="496"/>
      <c r="C3" s="496"/>
      <c r="D3" s="496"/>
      <c r="E3" s="497" t="s">
        <v>747</v>
      </c>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127</v>
      </c>
      <c r="F5" s="511"/>
      <c r="G5" s="496"/>
      <c r="H5" s="496"/>
      <c r="I5" s="496"/>
      <c r="J5" s="496"/>
      <c r="K5" s="496"/>
      <c r="L5" s="496"/>
      <c r="M5" s="496"/>
      <c r="N5" s="502" t="s">
        <v>415</v>
      </c>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21"/>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4"/>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7"/>
      <c r="C11" s="8"/>
      <c r="D11" s="9" t="s">
        <v>26</v>
      </c>
      <c r="E11" s="10"/>
      <c r="F11" s="10"/>
      <c r="G11" s="40" t="s">
        <v>28</v>
      </c>
      <c r="H11" s="40" t="s">
        <v>29</v>
      </c>
      <c r="I11" s="40" t="s">
        <v>30</v>
      </c>
      <c r="J11" s="512" t="s">
        <v>31</v>
      </c>
      <c r="K11" s="512" t="s">
        <v>32</v>
      </c>
      <c r="L11" s="512" t="s">
        <v>33</v>
      </c>
      <c r="M11" s="512" t="s">
        <v>34</v>
      </c>
      <c r="N11" s="512" t="s">
        <v>35</v>
      </c>
      <c r="O11" s="512" t="s">
        <v>165</v>
      </c>
      <c r="P11" s="487"/>
      <c r="Q11" s="487"/>
      <c r="R11" s="487"/>
      <c r="S11" s="487"/>
      <c r="T11" s="513"/>
      <c r="U11" s="514" t="s">
        <v>59</v>
      </c>
      <c r="V11" s="30"/>
      <c r="W11" s="2"/>
      <c r="X11" s="2"/>
      <c r="Y11" s="11"/>
      <c r="Z11" s="12"/>
      <c r="AA11" s="12"/>
    </row>
    <row r="12" spans="1:27" ht="17.25" customHeight="1">
      <c r="A12" s="27"/>
      <c r="B12" s="19"/>
      <c r="C12" s="19"/>
      <c r="D12" s="19"/>
      <c r="E12" s="19"/>
      <c r="F12" s="19"/>
      <c r="G12" s="19"/>
      <c r="H12" s="19"/>
      <c r="I12" s="19"/>
      <c r="J12" s="65"/>
      <c r="K12" s="65"/>
      <c r="L12" s="65"/>
      <c r="M12" s="65"/>
      <c r="N12" s="65"/>
      <c r="O12" s="19"/>
      <c r="P12" s="19"/>
      <c r="Q12" s="19"/>
      <c r="R12" s="19"/>
      <c r="S12" s="19"/>
      <c r="T12" s="86"/>
      <c r="U12" s="26"/>
    </row>
    <row r="13" spans="1:27" s="42" customFormat="1" ht="17.25" customHeight="1">
      <c r="A13" s="53"/>
      <c r="B13" s="54"/>
      <c r="C13" s="64" t="str">
        <f>Calc!C149</f>
        <v>C00056_L012</v>
      </c>
      <c r="D13" s="54"/>
      <c r="E13" s="54" t="str">
        <f>Calc!E149</f>
        <v>Water: Ex post RCV adjustment</v>
      </c>
      <c r="F13" s="54"/>
      <c r="G13" s="55"/>
      <c r="H13" s="55"/>
      <c r="I13" s="55"/>
      <c r="J13" s="92"/>
      <c r="K13" s="92"/>
      <c r="L13" s="92"/>
      <c r="M13" s="92"/>
      <c r="N13" s="92"/>
      <c r="O13" s="93">
        <f>Calc!P149</f>
        <v>-64.497547613718979</v>
      </c>
      <c r="P13" s="54"/>
      <c r="Q13" s="54"/>
      <c r="R13" s="54"/>
      <c r="S13" s="54"/>
      <c r="T13" s="87"/>
      <c r="U13" s="295"/>
      <c r="W13" s="89"/>
      <c r="X13" s="89"/>
      <c r="Y13" s="89"/>
      <c r="Z13" s="89"/>
      <c r="AA13" s="89"/>
    </row>
    <row r="14" spans="1:27" s="42" customFormat="1" ht="17.25" customHeight="1">
      <c r="A14" s="53"/>
      <c r="B14" s="54"/>
      <c r="C14" s="64" t="str">
        <f>Calc!C153</f>
        <v>C00057_L012</v>
      </c>
      <c r="D14" s="54"/>
      <c r="E14" s="54" t="str">
        <f>Calc!E153</f>
        <v>Sewerage: Ex post RCV adjustment</v>
      </c>
      <c r="F14" s="54"/>
      <c r="G14" s="55"/>
      <c r="H14" s="55"/>
      <c r="I14" s="55"/>
      <c r="J14" s="92"/>
      <c r="K14" s="92"/>
      <c r="L14" s="92"/>
      <c r="M14" s="92"/>
      <c r="N14" s="92"/>
      <c r="O14" s="93">
        <f>Calc!P153</f>
        <v>-331.51246931709801</v>
      </c>
      <c r="P14" s="54"/>
      <c r="Q14" s="54"/>
      <c r="R14" s="54"/>
      <c r="S14" s="54"/>
      <c r="T14" s="87"/>
      <c r="U14" s="85"/>
      <c r="W14" s="89"/>
      <c r="X14" s="89"/>
      <c r="Y14" s="89"/>
      <c r="Z14" s="89"/>
      <c r="AA14" s="89"/>
    </row>
    <row r="15" spans="1:27" s="42" customFormat="1" ht="17.25" customHeight="1">
      <c r="A15" s="53"/>
      <c r="B15" s="54"/>
      <c r="C15" s="64"/>
      <c r="D15" s="54"/>
      <c r="E15" s="54"/>
      <c r="F15" s="54"/>
      <c r="G15" s="55"/>
      <c r="H15" s="55"/>
      <c r="I15" s="55"/>
      <c r="J15" s="92"/>
      <c r="K15" s="92"/>
      <c r="L15" s="92"/>
      <c r="M15" s="92"/>
      <c r="N15" s="92"/>
      <c r="O15" s="93"/>
      <c r="P15" s="54"/>
      <c r="Q15" s="54"/>
      <c r="R15" s="54"/>
      <c r="S15" s="54"/>
      <c r="T15" s="87"/>
      <c r="U15" s="85"/>
      <c r="W15" s="89"/>
      <c r="X15" s="89"/>
      <c r="Y15" s="89"/>
      <c r="Z15" s="89"/>
      <c r="AA15" s="89"/>
    </row>
    <row r="16" spans="1:27" s="42" customFormat="1" ht="17.25" customHeight="1">
      <c r="A16" s="53"/>
      <c r="B16" s="54"/>
      <c r="C16" s="64"/>
      <c r="D16" s="54"/>
      <c r="E16" s="54" t="str">
        <f>Calc!E193</f>
        <v>Water: Future value of ex post revenue adjustment of prior year annual adjustments</v>
      </c>
      <c r="F16" s="54"/>
      <c r="G16" s="55"/>
      <c r="H16" s="55"/>
      <c r="I16" s="55"/>
      <c r="J16" s="92"/>
      <c r="K16" s="92"/>
      <c r="L16" s="92"/>
      <c r="M16" s="92"/>
      <c r="N16" s="92"/>
      <c r="O16" s="93">
        <f>Calc!P193</f>
        <v>-12.839640200277294</v>
      </c>
      <c r="P16" s="54"/>
      <c r="Q16" s="54"/>
      <c r="R16" s="54"/>
      <c r="S16" s="54"/>
      <c r="T16" s="87"/>
      <c r="U16" s="85"/>
      <c r="W16" s="89"/>
      <c r="X16" s="89"/>
      <c r="Y16" s="89"/>
      <c r="Z16" s="89"/>
      <c r="AA16" s="89"/>
    </row>
    <row r="17" spans="1:27" s="42" customFormat="1" ht="17.25" customHeight="1">
      <c r="A17" s="53"/>
      <c r="B17" s="54"/>
      <c r="C17" s="64"/>
      <c r="D17" s="54"/>
      <c r="E17" s="54" t="str">
        <f>Calc!E194</f>
        <v>Sewerage: Future value of ex post revenue adjustment of prior year annual adjustments</v>
      </c>
      <c r="F17" s="54"/>
      <c r="G17" s="55"/>
      <c r="H17" s="55"/>
      <c r="I17" s="55"/>
      <c r="J17" s="92"/>
      <c r="K17" s="92"/>
      <c r="L17" s="92"/>
      <c r="M17" s="92"/>
      <c r="N17" s="92"/>
      <c r="O17" s="93">
        <f>Calc!P194</f>
        <v>-61.654848058913586</v>
      </c>
      <c r="P17" s="54"/>
      <c r="Q17" s="54"/>
      <c r="R17" s="54"/>
      <c r="S17" s="54"/>
      <c r="T17" s="87"/>
      <c r="U17" s="85"/>
      <c r="W17" s="89"/>
      <c r="X17" s="89"/>
      <c r="Y17" s="89"/>
      <c r="Z17" s="89"/>
      <c r="AA17" s="89"/>
    </row>
    <row r="18" spans="1:27" s="42" customFormat="1" ht="17.25" customHeight="1">
      <c r="A18" s="53"/>
      <c r="B18" s="54"/>
      <c r="C18" s="64"/>
      <c r="D18" s="54"/>
      <c r="E18" s="54"/>
      <c r="F18" s="54"/>
      <c r="G18" s="55"/>
      <c r="H18" s="55"/>
      <c r="I18" s="55"/>
      <c r="J18" s="92"/>
      <c r="K18" s="92"/>
      <c r="L18" s="92"/>
      <c r="M18" s="92"/>
      <c r="N18" s="92"/>
      <c r="O18" s="93"/>
      <c r="P18" s="54"/>
      <c r="Q18" s="54"/>
      <c r="R18" s="54"/>
      <c r="S18" s="54"/>
      <c r="T18" s="87"/>
      <c r="U18" s="529"/>
      <c r="W18" s="89"/>
      <c r="X18" s="89"/>
      <c r="Y18" s="89"/>
      <c r="Z18" s="89"/>
      <c r="AA18" s="89"/>
    </row>
    <row r="19" spans="1:27" s="42" customFormat="1" ht="17.25" customHeight="1">
      <c r="A19" s="53"/>
      <c r="B19" s="54"/>
      <c r="C19" s="64"/>
      <c r="D19" s="54"/>
      <c r="E19" s="54" t="str">
        <f>Calc!E196</f>
        <v>Water: Future value of ex post revenue adjustment of prior year annual adjustments (2012-13 prices)</v>
      </c>
      <c r="F19" s="54"/>
      <c r="G19" s="55"/>
      <c r="H19" s="55"/>
      <c r="I19" s="55"/>
      <c r="J19" s="92"/>
      <c r="K19" s="92"/>
      <c r="L19" s="92"/>
      <c r="M19" s="92"/>
      <c r="N19" s="92"/>
      <c r="O19" s="93">
        <f>Calc!P196</f>
        <v>-15.060711754238387</v>
      </c>
      <c r="P19" s="54"/>
      <c r="Q19" s="54"/>
      <c r="R19" s="54"/>
      <c r="S19" s="54"/>
      <c r="T19" s="87"/>
      <c r="U19" s="529"/>
      <c r="W19" s="89"/>
      <c r="X19" s="89"/>
      <c r="Y19" s="89"/>
      <c r="Z19" s="89"/>
      <c r="AA19" s="89"/>
    </row>
    <row r="20" spans="1:27" s="42" customFormat="1" ht="17.25" customHeight="1">
      <c r="A20" s="53"/>
      <c r="B20" s="54"/>
      <c r="C20" s="64"/>
      <c r="D20" s="54"/>
      <c r="E20" s="54" t="str">
        <f>Calc!E197</f>
        <v>Sewerage: Future value of ex post revenue adjustment of prior year annual adjustments (2012-13 prices)</v>
      </c>
      <c r="F20" s="54"/>
      <c r="G20" s="55"/>
      <c r="H20" s="55"/>
      <c r="I20" s="55"/>
      <c r="J20" s="92"/>
      <c r="K20" s="92"/>
      <c r="L20" s="92"/>
      <c r="M20" s="92"/>
      <c r="N20" s="92"/>
      <c r="O20" s="93">
        <f>Calc!P197</f>
        <v>-72.320242653420109</v>
      </c>
      <c r="P20" s="54"/>
      <c r="Q20" s="54"/>
      <c r="R20" s="54"/>
      <c r="S20" s="54"/>
      <c r="T20" s="87"/>
      <c r="U20" s="529"/>
      <c r="W20" s="89"/>
      <c r="X20" s="89"/>
      <c r="Y20" s="89"/>
      <c r="Z20" s="89"/>
      <c r="AA20" s="89"/>
    </row>
    <row r="21" spans="1:27" s="42" customFormat="1" ht="17.25" customHeight="1">
      <c r="A21" s="53"/>
      <c r="B21" s="54"/>
      <c r="C21" s="64"/>
      <c r="D21" s="54"/>
      <c r="E21" s="54"/>
      <c r="F21" s="54"/>
      <c r="G21" s="55"/>
      <c r="H21" s="55"/>
      <c r="I21" s="55"/>
      <c r="J21" s="92"/>
      <c r="K21" s="92"/>
      <c r="L21" s="92"/>
      <c r="M21" s="92"/>
      <c r="N21" s="92"/>
      <c r="O21" s="93"/>
      <c r="P21" s="54"/>
      <c r="Q21" s="54"/>
      <c r="R21" s="54"/>
      <c r="S21" s="54"/>
      <c r="T21" s="87"/>
      <c r="U21" s="85"/>
      <c r="W21" s="89"/>
      <c r="X21" s="89"/>
      <c r="Y21" s="89"/>
      <c r="Z21" s="89"/>
      <c r="AA21" s="89"/>
    </row>
    <row r="22" spans="1:27" s="42" customFormat="1" ht="17.25" customHeight="1">
      <c r="A22" s="56"/>
      <c r="B22" s="57"/>
      <c r="C22" s="57"/>
      <c r="D22" s="57"/>
      <c r="E22" s="57"/>
      <c r="F22" s="57"/>
      <c r="G22" s="57"/>
      <c r="H22" s="57"/>
      <c r="I22" s="57"/>
      <c r="J22" s="66"/>
      <c r="K22" s="66"/>
      <c r="L22" s="66"/>
      <c r="M22" s="66"/>
      <c r="N22" s="66"/>
      <c r="O22" s="57"/>
      <c r="P22" s="57"/>
      <c r="Q22" s="57"/>
      <c r="R22" s="57"/>
      <c r="S22" s="57"/>
      <c r="T22" s="88"/>
      <c r="U22" s="58"/>
    </row>
    <row r="23" spans="1:27" s="42" customFormat="1" ht="17.399999999999999">
      <c r="E23" s="94"/>
      <c r="F23" s="94"/>
    </row>
    <row r="24" spans="1:27" s="42" customFormat="1" ht="17.399999999999999"/>
    <row r="25" spans="1:27" s="42" customFormat="1" ht="17.399999999999999"/>
    <row r="26" spans="1:27" s="42" customFormat="1" ht="17.399999999999999"/>
    <row r="27" spans="1:27" s="42" customFormat="1" ht="17.399999999999999"/>
    <row r="28" spans="1:27" s="42" customFormat="1" ht="17.399999999999999"/>
    <row r="29" spans="1:27" s="42" customFormat="1" ht="17.399999999999999"/>
    <row r="30" spans="1:27" s="42" customFormat="1" ht="17.399999999999999"/>
    <row r="31" spans="1:27" s="42" customFormat="1" ht="17.399999999999999"/>
    <row r="32" spans="1:27" s="42" customFormat="1" ht="17.399999999999999"/>
    <row r="33" s="42" customFormat="1" ht="17.399999999999999"/>
    <row r="34" s="42" customFormat="1" ht="17.399999999999999"/>
    <row r="35" s="42" customFormat="1" ht="17.399999999999999"/>
    <row r="36" s="41" customFormat="1" ht="17.399999999999999"/>
    <row r="37" s="41" customFormat="1" ht="17.399999999999999"/>
    <row r="38" s="41" customFormat="1" ht="17.399999999999999"/>
    <row r="39" s="41" customFormat="1" ht="17.399999999999999"/>
    <row r="40" s="41" customFormat="1" ht="17.399999999999999"/>
    <row r="41" s="41" customFormat="1" ht="17.399999999999999"/>
    <row r="42" s="41" customFormat="1" ht="17.399999999999999"/>
    <row r="43" s="41" customFormat="1" ht="17.399999999999999"/>
    <row r="44" s="41" customFormat="1" ht="17.399999999999999"/>
    <row r="45" s="41" customFormat="1" ht="17.399999999999999"/>
  </sheetData>
  <pageMargins left="0.70866141732283472" right="0.70866141732283472" top="0.74803149606299213" bottom="0.74803149606299213" header="0.31496062992125984" footer="0.31496062992125984"/>
  <pageSetup paperSize="9" scale="38" orientation="landscape" r:id="rId1"/>
  <headerFooter>
    <oddFooter>&amp;LPL14L012 CIS v3.5
Ofwat, February 2016</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1"/>
  <sheetViews>
    <sheetView showGridLines="0" workbookViewId="0">
      <selection activeCell="A3" sqref="A3"/>
    </sheetView>
  </sheetViews>
  <sheetFormatPr defaultRowHeight="13.2"/>
  <sheetData>
    <row r="1" spans="1:2">
      <c r="A1" t="s">
        <v>740</v>
      </c>
      <c r="B1" t="s">
        <v>743</v>
      </c>
    </row>
  </sheetData>
  <pageMargins left="0.70866141732283472" right="0.70866141732283472" top="0.74803149606299213" bottom="0.74803149606299213" header="0.31496062992125984" footer="0.31496062992125984"/>
  <pageSetup paperSize="9" orientation="landscape" r:id="rId1"/>
  <headerFooter>
    <oddFooter>&amp;LPL14L012 CIS v3.5
Ofwat, February 2016</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54"/>
  <sheetViews>
    <sheetView zoomScaleNormal="100" workbookViewId="0">
      <pane ySplit="2" topLeftCell="A3" activePane="bottomLeft" state="frozen"/>
      <selection activeCell="A3" sqref="A3"/>
      <selection pane="bottomLeft" activeCell="A3" sqref="A3"/>
    </sheetView>
  </sheetViews>
  <sheetFormatPr defaultColWidth="0" defaultRowHeight="13.2" zeroHeight="1"/>
  <cols>
    <col min="1" max="1" width="30.6640625" style="677" customWidth="1"/>
    <col min="2" max="2" width="50.6640625" style="677" customWidth="1"/>
    <col min="3" max="3" width="70.6640625" style="677" bestFit="1" customWidth="1"/>
    <col min="4" max="16384" width="9.109375" style="676" hidden="1"/>
  </cols>
  <sheetData>
    <row r="1" spans="1:3"/>
    <row r="2" spans="1:3" ht="17.399999999999999">
      <c r="A2" s="679" t="s">
        <v>691</v>
      </c>
      <c r="B2" s="679" t="s">
        <v>614</v>
      </c>
      <c r="C2" s="679" t="s">
        <v>624</v>
      </c>
    </row>
    <row r="3" spans="1:3">
      <c r="A3" s="677" t="s">
        <v>690</v>
      </c>
      <c r="C3" s="677" t="s">
        <v>696</v>
      </c>
    </row>
    <row r="4" spans="1:3">
      <c r="A4" s="677" t="s">
        <v>689</v>
      </c>
      <c r="B4" s="677" t="s">
        <v>688</v>
      </c>
      <c r="C4" s="677" t="s">
        <v>700</v>
      </c>
    </row>
    <row r="5" spans="1:3">
      <c r="A5" s="677" t="s">
        <v>687</v>
      </c>
      <c r="B5" s="677" t="s">
        <v>686</v>
      </c>
      <c r="C5" s="677" t="s">
        <v>701</v>
      </c>
    </row>
    <row r="6" spans="1:3">
      <c r="A6" s="677" t="s">
        <v>685</v>
      </c>
      <c r="B6" s="677" t="s">
        <v>684</v>
      </c>
      <c r="C6" s="677" t="s">
        <v>702</v>
      </c>
    </row>
    <row r="7" spans="1:3">
      <c r="A7" s="677" t="s">
        <v>683</v>
      </c>
      <c r="B7" s="677" t="s">
        <v>682</v>
      </c>
      <c r="C7" s="677" t="s">
        <v>703</v>
      </c>
    </row>
    <row r="8" spans="1:3">
      <c r="A8" s="677" t="s">
        <v>681</v>
      </c>
      <c r="B8" s="677" t="s">
        <v>680</v>
      </c>
      <c r="C8" s="677" t="s">
        <v>704</v>
      </c>
    </row>
    <row r="9" spans="1:3">
      <c r="A9" s="677" t="s">
        <v>679</v>
      </c>
      <c r="C9" s="677" t="s">
        <v>621</v>
      </c>
    </row>
    <row r="10" spans="1:3">
      <c r="A10" s="677" t="s">
        <v>678</v>
      </c>
      <c r="C10" s="677" t="s">
        <v>697</v>
      </c>
    </row>
    <row r="11" spans="1:3">
      <c r="A11" s="677" t="s">
        <v>677</v>
      </c>
      <c r="B11" s="677" t="s">
        <v>676</v>
      </c>
      <c r="C11" s="677" t="s">
        <v>705</v>
      </c>
    </row>
    <row r="12" spans="1:3">
      <c r="A12" s="677" t="s">
        <v>675</v>
      </c>
      <c r="B12" s="677" t="s">
        <v>674</v>
      </c>
      <c r="C12" s="677" t="s">
        <v>706</v>
      </c>
    </row>
    <row r="13" spans="1:3">
      <c r="A13" s="677" t="s">
        <v>673</v>
      </c>
      <c r="B13" s="677" t="s">
        <v>672</v>
      </c>
      <c r="C13" s="677" t="s">
        <v>707</v>
      </c>
    </row>
    <row r="14" spans="1:3">
      <c r="A14" s="677" t="s">
        <v>671</v>
      </c>
      <c r="B14" s="677" t="s">
        <v>670</v>
      </c>
      <c r="C14" s="677" t="s">
        <v>708</v>
      </c>
    </row>
    <row r="15" spans="1:3">
      <c r="A15" s="677" t="s">
        <v>669</v>
      </c>
      <c r="B15" s="677" t="s">
        <v>668</v>
      </c>
      <c r="C15" s="677" t="s">
        <v>709</v>
      </c>
    </row>
    <row r="16" spans="1:3">
      <c r="A16" s="677" t="s">
        <v>667</v>
      </c>
      <c r="C16" s="677" t="s">
        <v>621</v>
      </c>
    </row>
    <row r="17" spans="1:3">
      <c r="A17" s="677" t="s">
        <v>666</v>
      </c>
      <c r="B17" s="677" t="s">
        <v>665</v>
      </c>
      <c r="C17" s="677" t="s">
        <v>664</v>
      </c>
    </row>
    <row r="18" spans="1:3">
      <c r="A18" s="677" t="s">
        <v>663</v>
      </c>
      <c r="B18" s="677" t="s">
        <v>662</v>
      </c>
      <c r="C18" s="677" t="s">
        <v>661</v>
      </c>
    </row>
    <row r="19" spans="1:3">
      <c r="A19" s="677" t="s">
        <v>660</v>
      </c>
      <c r="B19" s="677" t="s">
        <v>659</v>
      </c>
      <c r="C19" s="677" t="s">
        <v>658</v>
      </c>
    </row>
    <row r="20" spans="1:3">
      <c r="A20" s="677" t="s">
        <v>657</v>
      </c>
      <c r="B20" s="677" t="s">
        <v>656</v>
      </c>
      <c r="C20" s="677" t="s">
        <v>655</v>
      </c>
    </row>
    <row r="21" spans="1:3">
      <c r="A21" s="677" t="s">
        <v>654</v>
      </c>
      <c r="B21" s="677" t="s">
        <v>653</v>
      </c>
      <c r="C21" s="677" t="s">
        <v>652</v>
      </c>
    </row>
    <row r="22" spans="1:3">
      <c r="A22" s="677" t="s">
        <v>651</v>
      </c>
      <c r="B22" s="677" t="s">
        <v>650</v>
      </c>
      <c r="C22" s="677" t="s">
        <v>649</v>
      </c>
    </row>
    <row r="23" spans="1:3">
      <c r="A23" s="677" t="s">
        <v>648</v>
      </c>
      <c r="B23" s="677" t="s">
        <v>647</v>
      </c>
      <c r="C23" s="677" t="s">
        <v>646</v>
      </c>
    </row>
    <row r="24" spans="1:3">
      <c r="A24" s="677" t="s">
        <v>645</v>
      </c>
      <c r="B24" s="677" t="s">
        <v>644</v>
      </c>
      <c r="C24" s="677" t="s">
        <v>643</v>
      </c>
    </row>
    <row r="25" spans="1:3">
      <c r="A25" s="677" t="s">
        <v>642</v>
      </c>
      <c r="B25" s="677" t="s">
        <v>641</v>
      </c>
      <c r="C25" s="677" t="s">
        <v>640</v>
      </c>
    </row>
    <row r="26" spans="1:3">
      <c r="A26" s="677" t="s">
        <v>639</v>
      </c>
      <c r="B26" s="677" t="s">
        <v>638</v>
      </c>
      <c r="C26" s="677" t="s">
        <v>637</v>
      </c>
    </row>
    <row r="27" spans="1:3">
      <c r="A27" s="677" t="s">
        <v>636</v>
      </c>
      <c r="B27" s="677" t="s">
        <v>635</v>
      </c>
      <c r="C27" s="677" t="s">
        <v>634</v>
      </c>
    </row>
    <row r="28" spans="1:3">
      <c r="A28" s="677" t="s">
        <v>633</v>
      </c>
      <c r="B28" s="677" t="s">
        <v>632</v>
      </c>
      <c r="C28" s="677" t="s">
        <v>631</v>
      </c>
    </row>
    <row r="29" spans="1:3">
      <c r="A29" s="677" t="s">
        <v>630</v>
      </c>
      <c r="B29" s="677" t="s">
        <v>629</v>
      </c>
      <c r="C29" s="677" t="s">
        <v>628</v>
      </c>
    </row>
    <row r="30" spans="1:3">
      <c r="A30" s="677" t="s">
        <v>627</v>
      </c>
      <c r="B30" s="677" t="s">
        <v>626</v>
      </c>
      <c r="C30" s="677" t="s">
        <v>625</v>
      </c>
    </row>
    <row r="31" spans="1:3"/>
    <row r="32" spans="1:3" hidden="1"/>
    <row r="33" spans="2:3" hidden="1"/>
    <row r="34" spans="2:3" hidden="1">
      <c r="B34" s="678"/>
      <c r="C34" s="678"/>
    </row>
    <row r="35" spans="2:3" hidden="1">
      <c r="B35" s="678"/>
      <c r="C35" s="678"/>
    </row>
    <row r="36" spans="2:3" hidden="1">
      <c r="B36" s="678"/>
      <c r="C36" s="678"/>
    </row>
    <row r="37" spans="2:3" hidden="1">
      <c r="B37" s="678"/>
      <c r="C37" s="678"/>
    </row>
    <row r="38" spans="2:3" hidden="1">
      <c r="B38" s="678"/>
      <c r="C38" s="678"/>
    </row>
    <row r="39" spans="2:3" hidden="1">
      <c r="B39" s="678"/>
      <c r="C39" s="678"/>
    </row>
    <row r="40" spans="2:3" hidden="1">
      <c r="B40" s="678"/>
      <c r="C40" s="678"/>
    </row>
    <row r="41" spans="2:3" hidden="1">
      <c r="B41" s="678"/>
      <c r="C41" s="678"/>
    </row>
    <row r="42" spans="2:3" hidden="1">
      <c r="B42" s="678"/>
      <c r="C42" s="678"/>
    </row>
    <row r="43" spans="2:3" hidden="1">
      <c r="B43" s="678"/>
      <c r="C43" s="678"/>
    </row>
    <row r="44" spans="2:3" hidden="1">
      <c r="B44" s="678"/>
      <c r="C44" s="678"/>
    </row>
    <row r="45" spans="2:3" hidden="1">
      <c r="B45" s="678"/>
      <c r="C45" s="678"/>
    </row>
    <row r="46" spans="2:3" hidden="1">
      <c r="B46" s="678"/>
      <c r="C46" s="678"/>
    </row>
    <row r="47" spans="2:3" hidden="1"/>
    <row r="48" spans="2:3" hidden="1"/>
    <row r="49" hidden="1"/>
    <row r="50" hidden="1"/>
    <row r="51" hidden="1"/>
    <row r="52" hidden="1"/>
    <row r="53" hidden="1"/>
    <row r="54" hidden="1"/>
  </sheetData>
  <pageMargins left="0.70866141732283472" right="0.70866141732283472" top="0.74803149606299213" bottom="0.74803149606299213" header="0.31496062992125984" footer="0.31496062992125984"/>
  <pageSetup paperSize="9" scale="88" orientation="landscape" r:id="rId1"/>
  <headerFooter>
    <oddFooter>&amp;LPL14L012 CIS v3.5
Ofwat, February 2016</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220"/>
  <sheetViews>
    <sheetView showGridLines="0" zoomScale="70" zoomScaleNormal="70" workbookViewId="0">
      <pane xSplit="6" ySplit="7" topLeftCell="G174" activePane="bottomRight" state="frozen"/>
      <selection activeCell="P219" sqref="P219"/>
      <selection pane="topRight" activeCell="P219" sqref="P219"/>
      <selection pane="bottomLeft" activeCell="P219" sqref="P219"/>
      <selection pane="bottomRight" activeCell="P219" sqref="P219"/>
    </sheetView>
  </sheetViews>
  <sheetFormatPr defaultColWidth="9.109375" defaultRowHeight="13.2"/>
  <cols>
    <col min="1" max="1" width="0.44140625" customWidth="1"/>
    <col min="2" max="2" width="0.5546875" customWidth="1"/>
    <col min="3" max="3" width="41.44140625" bestFit="1" customWidth="1"/>
    <col min="4" max="4" width="9.44140625" bestFit="1" customWidth="1"/>
    <col min="5" max="5" width="83.5546875" style="21" customWidth="1"/>
    <col min="6" max="6" width="14.33203125" customWidth="1"/>
    <col min="7" max="7" width="11.44140625" customWidth="1"/>
    <col min="8" max="8" width="11.6640625" customWidth="1"/>
    <col min="9" max="9" width="12.33203125" bestFit="1" customWidth="1"/>
    <col min="10" max="10" width="13.33203125" customWidth="1"/>
    <col min="11" max="14" width="11.5546875" bestFit="1" customWidth="1"/>
    <col min="15" max="15" width="9.5546875" customWidth="1"/>
    <col min="16" max="16" width="17.6640625" style="22" customWidth="1"/>
    <col min="17" max="17" width="4.33203125" style="22" customWidth="1"/>
    <col min="18" max="18" width="18.33203125" style="101" bestFit="1" customWidth="1"/>
    <col min="19" max="19" width="13.6640625" style="22" customWidth="1"/>
    <col min="20" max="32" width="9.109375" style="22"/>
    <col min="33" max="33" width="10.109375" style="22" customWidth="1"/>
    <col min="34" max="16384" width="9.109375" style="22"/>
  </cols>
  <sheetData>
    <row r="1" spans="1:23" ht="37.5" customHeight="1">
      <c r="A1" s="1" t="s">
        <v>20</v>
      </c>
      <c r="B1" s="38"/>
      <c r="C1" s="469"/>
      <c r="D1" s="478" t="s">
        <v>22</v>
      </c>
      <c r="E1" s="486" t="s">
        <v>774</v>
      </c>
      <c r="F1" s="470"/>
      <c r="G1" s="470"/>
      <c r="H1" s="470"/>
      <c r="I1" s="470"/>
      <c r="J1" s="470"/>
      <c r="K1" s="470"/>
      <c r="L1" s="470"/>
      <c r="M1" s="470"/>
      <c r="N1" s="471"/>
      <c r="O1" s="470"/>
      <c r="P1" s="472"/>
      <c r="Q1" s="473"/>
      <c r="R1" s="474"/>
      <c r="S1" s="2"/>
      <c r="T1" s="2"/>
      <c r="U1" s="2"/>
      <c r="V1" s="2"/>
      <c r="W1" s="2"/>
    </row>
    <row r="2" spans="1:23" ht="17.399999999999999">
      <c r="A2" s="3"/>
      <c r="B2" s="4"/>
      <c r="C2" s="45"/>
      <c r="D2" s="46"/>
      <c r="E2" s="47"/>
      <c r="F2" s="48"/>
      <c r="G2" s="49"/>
      <c r="H2" s="49"/>
      <c r="I2" s="49"/>
      <c r="J2" s="50"/>
      <c r="K2" s="50"/>
      <c r="L2" s="50"/>
      <c r="M2" s="50"/>
      <c r="N2" s="371"/>
      <c r="O2" s="5"/>
      <c r="P2" s="81"/>
      <c r="Q2" s="49"/>
      <c r="R2" s="98"/>
      <c r="S2" s="2"/>
      <c r="T2" s="2"/>
      <c r="U2" s="2"/>
      <c r="V2" s="2"/>
      <c r="W2" s="2"/>
    </row>
    <row r="3" spans="1:23" ht="17.399999999999999">
      <c r="A3" s="6" t="s">
        <v>25</v>
      </c>
      <c r="B3" s="7"/>
      <c r="C3" s="8"/>
      <c r="D3" s="9" t="s">
        <v>26</v>
      </c>
      <c r="E3" s="10"/>
      <c r="F3" s="39" t="s">
        <v>27</v>
      </c>
      <c r="G3" s="487" t="s">
        <v>28</v>
      </c>
      <c r="H3" s="487" t="s">
        <v>29</v>
      </c>
      <c r="I3" s="487" t="s">
        <v>30</v>
      </c>
      <c r="J3" s="487" t="s">
        <v>31</v>
      </c>
      <c r="K3" s="487" t="s">
        <v>32</v>
      </c>
      <c r="L3" s="487" t="s">
        <v>33</v>
      </c>
      <c r="M3" s="487" t="s">
        <v>34</v>
      </c>
      <c r="N3" s="488" t="s">
        <v>35</v>
      </c>
      <c r="O3" s="487"/>
      <c r="P3" s="489" t="s">
        <v>86</v>
      </c>
      <c r="Q3" s="490"/>
      <c r="R3" s="491"/>
      <c r="S3" s="2"/>
      <c r="T3" s="2"/>
      <c r="U3" s="11"/>
      <c r="V3" s="12"/>
      <c r="W3" s="12"/>
    </row>
    <row r="4" spans="1:23">
      <c r="A4" s="13"/>
      <c r="B4" s="14"/>
      <c r="C4" s="18"/>
      <c r="D4" s="68"/>
      <c r="E4" s="69"/>
      <c r="F4" s="15"/>
      <c r="G4" s="15"/>
      <c r="H4" s="15"/>
      <c r="I4" s="15"/>
      <c r="J4" s="70"/>
      <c r="K4" s="70"/>
      <c r="L4" s="70"/>
      <c r="M4" s="70"/>
      <c r="N4" s="372"/>
      <c r="O4" s="16"/>
      <c r="P4" s="82"/>
      <c r="Q4" s="15"/>
      <c r="R4" s="99"/>
      <c r="S4" s="17"/>
      <c r="T4" s="17"/>
      <c r="U4" s="11"/>
      <c r="V4" s="12"/>
      <c r="W4" s="12"/>
    </row>
    <row r="5" spans="1:23" s="29" customFormat="1">
      <c r="A5" s="61" t="s">
        <v>19</v>
      </c>
      <c r="B5" s="14"/>
      <c r="C5" s="62" t="s">
        <v>17</v>
      </c>
      <c r="D5" s="68" t="s">
        <v>16</v>
      </c>
      <c r="E5" s="71"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99"/>
      <c r="S5" s="17"/>
      <c r="T5" s="17"/>
      <c r="U5" s="63"/>
      <c r="V5" s="12"/>
      <c r="W5" s="12"/>
    </row>
    <row r="6" spans="1:23" ht="12.75" customHeight="1">
      <c r="C6" s="19"/>
      <c r="D6" s="19"/>
      <c r="E6" s="78" t="s">
        <v>80</v>
      </c>
      <c r="F6" s="19">
        <f t="shared" ref="F6:N6" si="1">IF(F5=8,0,F5-8)</f>
        <v>-8</v>
      </c>
      <c r="G6" s="19">
        <f t="shared" si="1"/>
        <v>-7</v>
      </c>
      <c r="H6" s="19">
        <f t="shared" si="1"/>
        <v>-6</v>
      </c>
      <c r="I6" s="19">
        <f t="shared" si="1"/>
        <v>-5</v>
      </c>
      <c r="J6" s="65">
        <f t="shared" si="1"/>
        <v>-4</v>
      </c>
      <c r="K6" s="65">
        <f t="shared" si="1"/>
        <v>-3</v>
      </c>
      <c r="L6" s="65">
        <f t="shared" si="1"/>
        <v>-2</v>
      </c>
      <c r="M6" s="65">
        <f t="shared" si="1"/>
        <v>-1</v>
      </c>
      <c r="N6" s="374">
        <f t="shared" si="1"/>
        <v>0</v>
      </c>
      <c r="P6" s="84"/>
      <c r="Q6" s="19"/>
      <c r="R6" s="100"/>
    </row>
    <row r="7" spans="1:23">
      <c r="A7" s="13"/>
      <c r="B7" s="14"/>
      <c r="C7" s="18"/>
      <c r="D7" s="68"/>
      <c r="E7" s="69"/>
      <c r="F7" s="73"/>
      <c r="G7" s="73"/>
      <c r="H7" s="73"/>
      <c r="I7" s="15"/>
      <c r="J7" s="70"/>
      <c r="K7" s="70"/>
      <c r="L7" s="70"/>
      <c r="M7" s="70"/>
      <c r="N7" s="372"/>
      <c r="O7" s="16"/>
      <c r="P7" s="82"/>
      <c r="Q7" s="15"/>
      <c r="R7" s="99"/>
      <c r="S7" s="17"/>
      <c r="T7" s="17"/>
      <c r="U7" s="11"/>
      <c r="V7" s="12"/>
      <c r="W7" s="12"/>
    </row>
    <row r="8" spans="1:23">
      <c r="A8" s="13"/>
      <c r="B8" s="14"/>
      <c r="C8" s="18"/>
      <c r="D8" s="68"/>
      <c r="E8" s="69"/>
      <c r="F8" s="73"/>
      <c r="G8" s="73"/>
      <c r="H8" s="73"/>
      <c r="I8" s="15"/>
      <c r="J8" s="70"/>
      <c r="K8" s="70"/>
      <c r="L8" s="70"/>
      <c r="M8" s="70"/>
      <c r="N8" s="372"/>
      <c r="O8" s="16"/>
      <c r="P8" s="82"/>
      <c r="Q8" s="15"/>
      <c r="R8" s="99"/>
      <c r="S8" s="17"/>
      <c r="T8" s="17"/>
      <c r="U8" s="11"/>
      <c r="V8" s="12"/>
      <c r="W8" s="12"/>
    </row>
    <row r="9" spans="1:23">
      <c r="A9" s="59"/>
      <c r="B9" s="60"/>
      <c r="C9" s="453"/>
      <c r="D9" s="467" t="s">
        <v>38</v>
      </c>
      <c r="E9" s="454" t="s">
        <v>98</v>
      </c>
      <c r="F9" s="440"/>
      <c r="G9" s="440"/>
      <c r="H9" s="440"/>
      <c r="I9" s="440"/>
      <c r="J9" s="440"/>
      <c r="K9" s="440"/>
      <c r="L9" s="440"/>
      <c r="M9" s="440"/>
      <c r="N9" s="446"/>
      <c r="O9" s="440"/>
      <c r="P9" s="475"/>
      <c r="Q9" s="476"/>
      <c r="R9" s="477"/>
    </row>
    <row r="10" spans="1:23">
      <c r="C10" s="19"/>
      <c r="D10" s="19"/>
      <c r="E10" s="74"/>
      <c r="F10" s="19"/>
      <c r="G10" s="19"/>
      <c r="H10" s="19"/>
      <c r="I10" s="19"/>
      <c r="J10" s="65"/>
      <c r="K10" s="65"/>
      <c r="L10" s="65"/>
      <c r="M10" s="65"/>
      <c r="N10" s="374"/>
      <c r="O10" s="28"/>
      <c r="P10" s="84"/>
      <c r="Q10" s="19"/>
      <c r="R10" s="100"/>
    </row>
    <row r="11" spans="1:23">
      <c r="A11" s="59"/>
      <c r="B11" s="60"/>
      <c r="C11" s="453"/>
      <c r="D11" s="467" t="s">
        <v>38</v>
      </c>
      <c r="E11" s="483" t="s">
        <v>106</v>
      </c>
      <c r="F11" s="440"/>
      <c r="G11" s="440"/>
      <c r="H11" s="440"/>
      <c r="I11" s="440"/>
      <c r="J11" s="440"/>
      <c r="K11" s="440"/>
      <c r="L11" s="440"/>
      <c r="M11" s="440"/>
      <c r="N11" s="446"/>
      <c r="O11" s="440"/>
      <c r="P11" s="475"/>
      <c r="Q11" s="476"/>
      <c r="R11" s="477"/>
    </row>
    <row r="12" spans="1:23" s="37" customFormat="1">
      <c r="C12" s="131"/>
      <c r="D12" s="131"/>
      <c r="E12" s="149"/>
      <c r="F12" s="131"/>
      <c r="G12" s="131"/>
      <c r="H12" s="131"/>
      <c r="I12" s="131"/>
      <c r="J12" s="106"/>
      <c r="K12" s="106"/>
      <c r="L12" s="106"/>
      <c r="M12" s="106"/>
      <c r="N12" s="364"/>
      <c r="O12" s="203"/>
      <c r="P12" s="136"/>
      <c r="Q12" s="131"/>
      <c r="R12" s="147"/>
    </row>
    <row r="13" spans="1:23" s="37" customFormat="1">
      <c r="C13" s="131"/>
      <c r="D13" s="131" t="s">
        <v>90</v>
      </c>
      <c r="E13" s="132" t="s">
        <v>91</v>
      </c>
      <c r="F13" s="133"/>
      <c r="G13" s="134">
        <f>IF('Input FD'!G103=0,F13*(1+'Input FD'!G104),'Input FD'!G103)</f>
        <v>208.59166666666701</v>
      </c>
      <c r="H13" s="134">
        <f>IF('Input FD'!H103=0,G13*(1+'Input FD'!H104),'Input FD'!H103)</f>
        <v>214.78333333333299</v>
      </c>
      <c r="I13" s="134">
        <f>IF('Input FD'!I103=0,H13*(1+'Input FD'!I104),'Input FD'!I103)</f>
        <v>215.76666666666699</v>
      </c>
      <c r="J13" s="135">
        <f>IF('Input FD'!J103=0,I13*(1+'Input FD'!J104),'Input FD'!J103)</f>
        <v>226.47499999999999</v>
      </c>
      <c r="K13" s="135">
        <f>IF('Input FD'!K103=0,J13*(1+'Input FD'!K104),'Input FD'!K103)</f>
        <v>237.34166666666701</v>
      </c>
      <c r="L13" s="135">
        <f>IF('Input FD'!L103=0,K13*(1+'Input FD'!L104),'Input FD'!L103)</f>
        <v>244.67500000000001</v>
      </c>
      <c r="M13" s="135">
        <f>IF('Input FD'!M103=0,L13*(1+'Input FD'!M104),'Input FD'!M103)</f>
        <v>251.73333333333301</v>
      </c>
      <c r="N13" s="375">
        <f>IF('Input FD'!N103=0,M13*(1+'Input FD'!N104),'Input FD'!N103)</f>
        <v>258.41874999999999</v>
      </c>
      <c r="P13" s="136"/>
      <c r="Q13" s="131"/>
      <c r="R13" s="137" t="s">
        <v>75</v>
      </c>
    </row>
    <row r="14" spans="1:23" s="37" customFormat="1">
      <c r="C14" s="131"/>
      <c r="D14" s="131" t="s">
        <v>58</v>
      </c>
      <c r="E14" s="132" t="s">
        <v>92</v>
      </c>
      <c r="F14" s="131"/>
      <c r="G14" s="204">
        <f>IF(G$5=1,0,G13/F13-1)</f>
        <v>0</v>
      </c>
      <c r="H14" s="204">
        <f t="shared" ref="H14:N14" si="2">IF(H$5=1,0,H13/G13-1)</f>
        <v>2.9683192840874062E-2</v>
      </c>
      <c r="I14" s="204">
        <f t="shared" si="2"/>
        <v>4.5782571583796727E-3</v>
      </c>
      <c r="J14" s="359">
        <f t="shared" si="2"/>
        <v>4.9629229105513595E-2</v>
      </c>
      <c r="K14" s="359">
        <f t="shared" si="2"/>
        <v>4.7981749273284136E-2</v>
      </c>
      <c r="L14" s="359">
        <f t="shared" si="2"/>
        <v>3.0897791510128059E-2</v>
      </c>
      <c r="M14" s="359">
        <f t="shared" si="2"/>
        <v>2.8847791287761382E-2</v>
      </c>
      <c r="N14" s="376">
        <f t="shared" si="2"/>
        <v>2.6557534427967378E-2</v>
      </c>
      <c r="P14" s="136"/>
      <c r="Q14" s="131"/>
      <c r="R14" s="137" t="s">
        <v>75</v>
      </c>
    </row>
    <row r="15" spans="1:23" s="138" customFormat="1">
      <c r="C15" s="139"/>
      <c r="D15" s="140" t="s">
        <v>58</v>
      </c>
      <c r="E15" s="141" t="s">
        <v>71</v>
      </c>
      <c r="F15" s="142"/>
      <c r="G15" s="143">
        <f t="shared" ref="G15:N15" si="3">$G$13/G13</f>
        <v>1</v>
      </c>
      <c r="H15" s="143">
        <f t="shared" si="3"/>
        <v>0.97117249941802131</v>
      </c>
      <c r="I15" s="143">
        <f t="shared" si="3"/>
        <v>0.96674648540089614</v>
      </c>
      <c r="J15" s="144">
        <f t="shared" si="3"/>
        <v>0.92103617029105644</v>
      </c>
      <c r="K15" s="144">
        <f t="shared" si="3"/>
        <v>0.87886661282960588</v>
      </c>
      <c r="L15" s="144">
        <f t="shared" si="3"/>
        <v>0.85252545894213549</v>
      </c>
      <c r="M15" s="144">
        <f t="shared" si="3"/>
        <v>0.82862155720339226</v>
      </c>
      <c r="N15" s="377">
        <f t="shared" si="3"/>
        <v>0.80718472118090123</v>
      </c>
      <c r="O15" s="145"/>
      <c r="P15" s="136"/>
      <c r="Q15" s="143"/>
      <c r="R15" s="137" t="s">
        <v>75</v>
      </c>
    </row>
    <row r="16" spans="1:23" s="138" customFormat="1">
      <c r="C16" s="139"/>
      <c r="D16" s="140"/>
      <c r="E16" s="141"/>
      <c r="F16" s="142"/>
      <c r="G16" s="143"/>
      <c r="H16" s="143"/>
      <c r="I16" s="143"/>
      <c r="J16" s="144"/>
      <c r="K16" s="144"/>
      <c r="L16" s="144"/>
      <c r="M16" s="146"/>
      <c r="N16" s="378"/>
      <c r="O16" s="37"/>
      <c r="P16" s="136"/>
      <c r="Q16" s="143"/>
      <c r="R16" s="137"/>
    </row>
    <row r="17" spans="1:18" s="138" customFormat="1">
      <c r="C17" s="139"/>
      <c r="D17" s="140" t="s">
        <v>90</v>
      </c>
      <c r="E17" s="141" t="s">
        <v>95</v>
      </c>
      <c r="F17" s="142"/>
      <c r="G17" s="134">
        <f>IF('Input FD'!G106=0,F17*(1+'Input FD'!G107),'Input FD'!G106)</f>
        <v>111.3</v>
      </c>
      <c r="H17" s="134">
        <f>IF('Input FD'!H106=0,G17*(1+'Input FD'!H107),'Input FD'!H106)</f>
        <v>113.97499999999999</v>
      </c>
      <c r="I17" s="134">
        <f>IF('Input FD'!I106=0,H17*(1+'Input FD'!I107),'Input FD'!I106)</f>
        <v>110.47499999999999</v>
      </c>
      <c r="J17" s="135">
        <f>IF('Input FD'!J106=0,I17*(1+'Input FD'!J107),'Input FD'!J106)</f>
        <v>107.375</v>
      </c>
      <c r="K17" s="135">
        <f>IF('Input FD'!K106=0,J17*(1+'Input FD'!K107),'Input FD'!K106)</f>
        <v>109.95</v>
      </c>
      <c r="L17" s="135">
        <f>IF('Input FD'!L106=0,K17*(1+'Input FD'!L107),'Input FD'!L106)</f>
        <v>113.575</v>
      </c>
      <c r="M17" s="135">
        <f>IF('Input FD'!M106=0,L17*(1+'Input FD'!M107),'Input FD'!M106)</f>
        <v>117.69</v>
      </c>
      <c r="N17" s="375">
        <f>IF('Input FD'!N106=0,M17*(1+'Input FD'!N107),'Input FD'!N106)</f>
        <v>120.01</v>
      </c>
      <c r="O17" s="37"/>
      <c r="P17" s="136"/>
      <c r="Q17" s="143"/>
      <c r="R17" s="137" t="s">
        <v>75</v>
      </c>
    </row>
    <row r="18" spans="1:18" s="37" customFormat="1">
      <c r="C18" s="131"/>
      <c r="D18" s="131" t="s">
        <v>58</v>
      </c>
      <c r="E18" s="132" t="s">
        <v>101</v>
      </c>
      <c r="F18" s="131"/>
      <c r="G18" s="143">
        <f>G17/$G$17</f>
        <v>1</v>
      </c>
      <c r="H18" s="143">
        <f t="shared" ref="H18:N18" si="4">H17/$G$17</f>
        <v>1.0240341419586703</v>
      </c>
      <c r="I18" s="143">
        <f t="shared" si="4"/>
        <v>0.99258760107816713</v>
      </c>
      <c r="J18" s="144">
        <f t="shared" si="4"/>
        <v>0.96473495058400727</v>
      </c>
      <c r="K18" s="144">
        <f t="shared" si="4"/>
        <v>0.98787061994609171</v>
      </c>
      <c r="L18" s="144">
        <f t="shared" si="4"/>
        <v>1.0204402515723272</v>
      </c>
      <c r="M18" s="144">
        <f t="shared" si="4"/>
        <v>1.0574123989218329</v>
      </c>
      <c r="N18" s="377">
        <f t="shared" si="4"/>
        <v>1.0782569631626235</v>
      </c>
      <c r="P18" s="136"/>
      <c r="Q18" s="131"/>
      <c r="R18" s="137" t="s">
        <v>75</v>
      </c>
    </row>
    <row r="19" spans="1:18" s="37" customFormat="1">
      <c r="C19" s="131"/>
      <c r="D19" s="131"/>
      <c r="E19" s="132"/>
      <c r="F19" s="131"/>
      <c r="G19" s="143"/>
      <c r="H19" s="143"/>
      <c r="I19" s="143"/>
      <c r="J19" s="144"/>
      <c r="K19" s="144"/>
      <c r="L19" s="144"/>
      <c r="M19" s="144"/>
      <c r="N19" s="377"/>
      <c r="P19" s="136"/>
      <c r="Q19" s="131"/>
      <c r="R19" s="147"/>
    </row>
    <row r="20" spans="1:18" s="37" customFormat="1">
      <c r="C20" s="131"/>
      <c r="D20" s="131" t="s">
        <v>90</v>
      </c>
      <c r="E20" s="132" t="s">
        <v>94</v>
      </c>
      <c r="F20" s="131"/>
      <c r="G20" s="134">
        <f>((G17/'Input FD'!$G$117)/(G13/'Input FD'!$G$116))*100</f>
        <v>100</v>
      </c>
      <c r="H20" s="134">
        <f>((H17/'Input FD'!$G$117)/(H13/'Input FD'!$G$116))*100</f>
        <v>99.451379713539055</v>
      </c>
      <c r="I20" s="134">
        <f>((I17/'Input FD'!$G$117)/(I13/'Input FD'!$G$116))*100</f>
        <v>95.958057479482477</v>
      </c>
      <c r="J20" s="135">
        <f>((J17/'Input FD'!$G$117)/(J13/'Input FD'!$G$116))*100</f>
        <v>88.855578423182564</v>
      </c>
      <c r="K20" s="135">
        <f>((K17/'Input FD'!$G$117)/(K13/'Input FD'!$G$116))*100</f>
        <v>86.820650566590444</v>
      </c>
      <c r="L20" s="135">
        <f>((L17/'Input FD'!$G$117)/(L13/'Input FD'!$G$116))*100</f>
        <v>86.995129379472644</v>
      </c>
      <c r="M20" s="135">
        <f>((M17/'Input FD'!$G$117)/(M13/'Input FD'!$G$116))*100</f>
        <v>87.61947086007838</v>
      </c>
      <c r="N20" s="375">
        <f>((N17/'Input FD'!$G$117)/(N13/'Input FD'!$G$116))*100</f>
        <v>87.035254617178765</v>
      </c>
      <c r="P20" s="136"/>
      <c r="Q20" s="131"/>
      <c r="R20" s="137" t="s">
        <v>75</v>
      </c>
    </row>
    <row r="21" spans="1:18" s="37" customFormat="1">
      <c r="C21" s="131"/>
      <c r="D21" s="131" t="s">
        <v>58</v>
      </c>
      <c r="E21" s="132" t="s">
        <v>70</v>
      </c>
      <c r="F21" s="131"/>
      <c r="G21" s="143">
        <f t="shared" ref="G21:N21" si="5">G20/$G$20</f>
        <v>1</v>
      </c>
      <c r="H21" s="143">
        <f t="shared" si="5"/>
        <v>0.99451379713539056</v>
      </c>
      <c r="I21" s="143">
        <f t="shared" si="5"/>
        <v>0.95958057479482473</v>
      </c>
      <c r="J21" s="144">
        <f t="shared" si="5"/>
        <v>0.88855578423182568</v>
      </c>
      <c r="K21" s="144">
        <f t="shared" si="5"/>
        <v>0.8682065056659044</v>
      </c>
      <c r="L21" s="144">
        <f t="shared" si="5"/>
        <v>0.86995129379472647</v>
      </c>
      <c r="M21" s="144">
        <f t="shared" si="5"/>
        <v>0.87619470860078374</v>
      </c>
      <c r="N21" s="377">
        <f t="shared" si="5"/>
        <v>0.8703525461717877</v>
      </c>
      <c r="P21" s="136"/>
      <c r="Q21" s="131"/>
      <c r="R21" s="137" t="s">
        <v>75</v>
      </c>
    </row>
    <row r="22" spans="1:18" s="37" customFormat="1">
      <c r="C22" s="131"/>
      <c r="D22" s="131"/>
      <c r="E22" s="132"/>
      <c r="F22" s="131"/>
      <c r="G22" s="148"/>
      <c r="H22" s="131"/>
      <c r="I22" s="131"/>
      <c r="J22" s="106"/>
      <c r="K22" s="106"/>
      <c r="L22" s="106"/>
      <c r="M22" s="106"/>
      <c r="N22" s="364"/>
      <c r="P22" s="136"/>
      <c r="Q22" s="131"/>
      <c r="R22" s="147"/>
    </row>
    <row r="23" spans="1:18">
      <c r="A23" s="479"/>
      <c r="B23" s="452"/>
      <c r="C23" s="453"/>
      <c r="D23" s="467" t="s">
        <v>38</v>
      </c>
      <c r="E23" s="483" t="s">
        <v>105</v>
      </c>
      <c r="F23" s="440"/>
      <c r="G23" s="440"/>
      <c r="H23" s="440"/>
      <c r="I23" s="440"/>
      <c r="J23" s="440"/>
      <c r="K23" s="440"/>
      <c r="L23" s="440"/>
      <c r="M23" s="440"/>
      <c r="N23" s="446"/>
      <c r="O23" s="440"/>
      <c r="P23" s="475"/>
      <c r="Q23" s="476"/>
      <c r="R23" s="477"/>
    </row>
    <row r="24" spans="1:18" s="37" customFormat="1">
      <c r="C24" s="131"/>
      <c r="D24" s="131"/>
      <c r="E24" s="149"/>
      <c r="F24" s="131"/>
      <c r="G24" s="204"/>
      <c r="H24" s="204"/>
      <c r="I24" s="204"/>
      <c r="J24" s="106"/>
      <c r="K24" s="106"/>
      <c r="L24" s="106"/>
      <c r="M24" s="106"/>
      <c r="N24" s="364"/>
      <c r="O24" s="203"/>
      <c r="P24" s="136"/>
      <c r="Q24" s="131"/>
      <c r="R24" s="147"/>
    </row>
    <row r="25" spans="1:18" s="37" customFormat="1">
      <c r="C25" s="131"/>
      <c r="D25" s="131" t="s">
        <v>58</v>
      </c>
      <c r="E25" s="132" t="s">
        <v>390</v>
      </c>
      <c r="F25" s="131"/>
      <c r="G25" s="204">
        <f>IF(G$5=1,0,'Input FD'!G111/'Input FD'!F111-1)</f>
        <v>0</v>
      </c>
      <c r="H25" s="204">
        <f>IF(H$5=1,0,'Input FD'!H111/'Input FD'!G111-1)</f>
        <v>2.9683192840878947E-2</v>
      </c>
      <c r="I25" s="204">
        <f>IF(I$5=1,0,'Input FD'!I111/'Input FD'!H111-1)</f>
        <v>-8.3805385271978894E-3</v>
      </c>
      <c r="J25" s="359">
        <f>IF(J$5=1,0,'Input FD'!J111/'Input FD'!I111-1)</f>
        <v>1.9954613037013846E-2</v>
      </c>
      <c r="K25" s="359">
        <f>IF(K$5=1,0,'Input FD'!K111/'Input FD'!J111-1)</f>
        <v>2.9968543808502446E-2</v>
      </c>
      <c r="L25" s="359">
        <f>IF(L$5=1,0,'Input FD'!L111/'Input FD'!K111-1)</f>
        <v>2.6999999999999913E-2</v>
      </c>
      <c r="M25" s="359">
        <f>IF(M$5=1,0,'Input FD'!M111/'Input FD'!L111-1)</f>
        <v>2.4999999999995692E-2</v>
      </c>
      <c r="N25" s="376">
        <f>IF(N$5=1,0,'Input FD'!N111/'Input FD'!M111-1)</f>
        <v>2.5000000000002132E-2</v>
      </c>
      <c r="O25" s="366"/>
      <c r="P25" s="150"/>
      <c r="Q25" s="131"/>
      <c r="R25" s="137" t="s">
        <v>75</v>
      </c>
    </row>
    <row r="26" spans="1:18" s="138" customFormat="1">
      <c r="C26" s="139"/>
      <c r="D26" s="140" t="s">
        <v>58</v>
      </c>
      <c r="E26" s="141" t="s">
        <v>391</v>
      </c>
      <c r="F26" s="131"/>
      <c r="G26" s="143">
        <f>'Input FD'!$G$111/'Input FD'!G111</f>
        <v>1</v>
      </c>
      <c r="H26" s="143">
        <f>'Input FD'!$G$111/'Input FD'!H111</f>
        <v>0.97117249941801653</v>
      </c>
      <c r="I26" s="143">
        <f>'Input FD'!$G$111/'Input FD'!I111</f>
        <v>0.97938023319508394</v>
      </c>
      <c r="J26" s="144">
        <f>'Input FD'!$G$111/'Input FD'!J111</f>
        <v>0.9602194261163095</v>
      </c>
      <c r="K26" s="144">
        <f>'Input FD'!$G$111/'Input FD'!K111</f>
        <v>0.93228034184977882</v>
      </c>
      <c r="L26" s="144">
        <f>'Input FD'!$G$111/'Input FD'!L111</f>
        <v>0.90777053734155677</v>
      </c>
      <c r="M26" s="144">
        <f>'Input FD'!$G$111/'Input FD'!M111</f>
        <v>0.88562979252835183</v>
      </c>
      <c r="N26" s="377">
        <f>'Input FD'!$G$111/'Input FD'!N111</f>
        <v>0.864029065881317</v>
      </c>
      <c r="O26" s="366"/>
      <c r="P26" s="150"/>
      <c r="Q26" s="143"/>
      <c r="R26" s="137" t="s">
        <v>75</v>
      </c>
    </row>
    <row r="27" spans="1:18" s="138" customFormat="1">
      <c r="C27" s="139"/>
      <c r="D27" s="140"/>
      <c r="E27" s="141"/>
      <c r="F27" s="131"/>
      <c r="G27" s="143"/>
      <c r="H27" s="143"/>
      <c r="I27" s="143"/>
      <c r="J27" s="144"/>
      <c r="K27" s="144"/>
      <c r="L27" s="144"/>
      <c r="M27" s="144"/>
      <c r="N27" s="377"/>
      <c r="O27" s="366"/>
      <c r="P27" s="150"/>
      <c r="Q27" s="143"/>
      <c r="R27" s="137"/>
    </row>
    <row r="28" spans="1:18" s="138" customFormat="1">
      <c r="C28" s="139"/>
      <c r="D28" s="140" t="s">
        <v>90</v>
      </c>
      <c r="E28" s="141" t="s">
        <v>392</v>
      </c>
      <c r="F28" s="142"/>
      <c r="G28" s="134">
        <f>IF('Input FD'!G113=0,F28*(1+'Input FD'!G114),'Input FD'!G113)</f>
        <v>111.3</v>
      </c>
      <c r="H28" s="134">
        <f>IF('Input FD'!H113=0,G28*(1+'Input FD'!H114),'Input FD'!H113)</f>
        <v>109.58769230769231</v>
      </c>
      <c r="I28" s="134">
        <f>IF('Input FD'!I113=0,H28*(1+'Input FD'!I114),'Input FD'!I113)</f>
        <v>108.66866252307695</v>
      </c>
      <c r="J28" s="135">
        <f>IF('Input FD'!J113=0,I28*(1+'Input FD'!J114),'Input FD'!J113)</f>
        <v>111.38537908615383</v>
      </c>
      <c r="K28" s="135">
        <f>IF('Input FD'!K113=0,J28*(1+'Input FD'!K114),'Input FD'!K113)</f>
        <v>116.39772114503074</v>
      </c>
      <c r="L28" s="135">
        <f>IF('Input FD'!L113=0,K28*(1+'Input FD'!L114),'Input FD'!L113)</f>
        <v>120.7044368273969</v>
      </c>
      <c r="M28" s="135">
        <f>IF('Input FD'!M113=0,L28*(1+'Input FD'!M114),'Input FD'!M113)</f>
        <v>124.32556993221878</v>
      </c>
      <c r="N28" s="375">
        <f>IF('Input FD'!N113=0,M28*(1+'Input FD'!N114),'Input FD'!N113)</f>
        <v>128.05533703018534</v>
      </c>
      <c r="O28" s="37"/>
      <c r="P28" s="136"/>
      <c r="Q28" s="143"/>
      <c r="R28" s="137" t="s">
        <v>75</v>
      </c>
    </row>
    <row r="29" spans="1:18" s="138" customFormat="1">
      <c r="C29" s="139"/>
      <c r="D29" s="140" t="s">
        <v>58</v>
      </c>
      <c r="E29" s="132" t="s">
        <v>393</v>
      </c>
      <c r="F29" s="131"/>
      <c r="G29" s="143">
        <f>IF(OR(G$5&lt;4,'Input FD'!$O$152=0),G28/$G$28,F29*(1+('Input FD'!G$111/'Input FD'!F$111-1)))</f>
        <v>1</v>
      </c>
      <c r="H29" s="143">
        <f>IF(OR(H$5&lt;4,'Input FD'!$O$152=0),H28/$G$28,G29*(1+('Input FD'!H$111/'Input FD'!G$111-1)))</f>
        <v>0.98461538461538467</v>
      </c>
      <c r="I29" s="143">
        <f>IF(OR(I$5&lt;4,'Input FD'!$O$152=0),I28/$G$28,H29*(1+('Input FD'!I$111/'Input FD'!H$111-1)))</f>
        <v>0.9763581538461541</v>
      </c>
      <c r="J29" s="152">
        <f>IF(OR(J$5&lt;4,'Input FD'!$O$152=0),J28/$G$28,I29*(1+('Input FD'!J$111/'Input FD'!I$111-1)))</f>
        <v>1.0007671076923077</v>
      </c>
      <c r="K29" s="152">
        <f>IF(OR(K$5&lt;4,'Input FD'!$O$152=0),K28/$G$28,J29*(1+('Input FD'!K$111/'Input FD'!J$111-1)))</f>
        <v>1.0458016275384614</v>
      </c>
      <c r="L29" s="152">
        <f>IF(OR(L$5&lt;4,'Input FD'!$O$152=0),L28/$G$28,K29*(1+('Input FD'!L$111/'Input FD'!K$111-1)))</f>
        <v>1.0844962877573847</v>
      </c>
      <c r="M29" s="152">
        <f>IF(OR(M$5&lt;4,'Input FD'!$O$152=0),M28/$G$28,L29*(1+('Input FD'!M$111/'Input FD'!L$111-1)))</f>
        <v>1.117031176390106</v>
      </c>
      <c r="N29" s="379">
        <f>IF(OR(N$5&lt;4,'Input FD'!$O$152=0),N28/$G$28,M29*(1+('Input FD'!N$111/'Input FD'!M$111-1)))</f>
        <v>1.1505421116818091</v>
      </c>
      <c r="O29" s="367"/>
      <c r="P29" s="151"/>
      <c r="Q29" s="143"/>
      <c r="R29" s="137" t="s">
        <v>75</v>
      </c>
    </row>
    <row r="30" spans="1:18" s="37" customFormat="1">
      <c r="C30" s="131"/>
      <c r="D30" s="131"/>
      <c r="E30" s="132"/>
      <c r="F30" s="131"/>
      <c r="G30" s="148"/>
      <c r="H30" s="131"/>
      <c r="I30" s="131"/>
      <c r="J30" s="106"/>
      <c r="K30" s="106"/>
      <c r="L30" s="106"/>
      <c r="M30" s="106"/>
      <c r="N30" s="364"/>
      <c r="O30" s="361"/>
      <c r="P30" s="150"/>
      <c r="Q30" s="131"/>
      <c r="R30" s="147"/>
    </row>
    <row r="31" spans="1:18" s="37" customFormat="1">
      <c r="C31" s="131"/>
      <c r="D31" s="131" t="s">
        <v>90</v>
      </c>
      <c r="E31" s="132" t="s">
        <v>394</v>
      </c>
      <c r="F31" s="131"/>
      <c r="G31" s="134">
        <f>IF(OR(G$5&lt;4,'Input FD'!$O$152=0),((G28/'Input FD'!$G$117)/('Input FD'!G111/'Input FD'!$G$116))*100,F31)</f>
        <v>100.00000000000048</v>
      </c>
      <c r="H31" s="134">
        <f>IF(OR(H$5&lt;4,'Input FD'!$O$152=0),((H28/'Input FD'!$G$117)/('Input FD'!H111/'Input FD'!$G$116))*100,G31)</f>
        <v>95.623138404235945</v>
      </c>
      <c r="I31" s="134">
        <f>IF(OR(I$5&lt;4,'Input FD'!$O$152=0),((I28/'Input FD'!$G$117)/('Input FD'!I111/'Input FD'!$G$116))*100,H31)</f>
        <v>95.62258763957729</v>
      </c>
      <c r="J31" s="135">
        <f>IF(OR(J$5&lt;4,'Input FD'!$O$152=0),((J28/'Input FD'!$G$117)/('Input FD'!J111/'Input FD'!$G$116))*100,I31)</f>
        <v>96.095601782439118</v>
      </c>
      <c r="K31" s="135">
        <f>IF(OR(K$5&lt;4,'Input FD'!$O$152=0),((K28/'Input FD'!$G$117)/('Input FD'!K111/'Input FD'!$G$116))*100,J31)</f>
        <v>97.498029882861658</v>
      </c>
      <c r="L31" s="135">
        <f>IF(OR(L$5&lt;4,'Input FD'!$O$152=0),((L28/'Input FD'!$G$117)/('Input FD'!L111/'Input FD'!$G$116))*100,K31)</f>
        <v>98.447377788244964</v>
      </c>
      <c r="M31" s="135">
        <f>IF(OR(M$5&lt;4,'Input FD'!$O$152=0),((M28/'Input FD'!$G$117)/('Input FD'!M111/'Input FD'!$G$116))*100,L31)</f>
        <v>98.927608899407502</v>
      </c>
      <c r="N31" s="375">
        <f>IF(OR(N$5&lt;4,'Input FD'!$O$152=0),((N28/'Input FD'!$G$117)/('Input FD'!N111/'Input FD'!$G$116))*100,M31)</f>
        <v>99.410182601355629</v>
      </c>
      <c r="O31" s="361"/>
      <c r="P31" s="150"/>
      <c r="Q31" s="131"/>
      <c r="R31" s="137" t="s">
        <v>75</v>
      </c>
    </row>
    <row r="32" spans="1:18" s="138" customFormat="1">
      <c r="C32" s="139"/>
      <c r="D32" s="140" t="s">
        <v>58</v>
      </c>
      <c r="E32" s="141" t="s">
        <v>395</v>
      </c>
      <c r="F32" s="131"/>
      <c r="G32" s="143">
        <f>G31/$G$31</f>
        <v>1</v>
      </c>
      <c r="H32" s="143">
        <f t="shared" ref="H32:N32" si="6">H31/$G$31</f>
        <v>0.95623138404235486</v>
      </c>
      <c r="I32" s="143">
        <f t="shared" si="6"/>
        <v>0.95622587639576828</v>
      </c>
      <c r="J32" s="152">
        <f>J31/$G$31</f>
        <v>0.96095601782438655</v>
      </c>
      <c r="K32" s="152">
        <f t="shared" si="6"/>
        <v>0.97498029882861192</v>
      </c>
      <c r="L32" s="152">
        <f t="shared" si="6"/>
        <v>0.98447377788244483</v>
      </c>
      <c r="M32" s="152">
        <f t="shared" si="6"/>
        <v>0.98927608899407027</v>
      </c>
      <c r="N32" s="379">
        <f t="shared" si="6"/>
        <v>0.99410182601355146</v>
      </c>
      <c r="O32" s="367"/>
      <c r="P32" s="151"/>
      <c r="Q32" s="143"/>
      <c r="R32" s="137" t="s">
        <v>75</v>
      </c>
    </row>
    <row r="33" spans="1:23" s="138" customFormat="1">
      <c r="C33" s="139"/>
      <c r="D33" s="140"/>
      <c r="E33" s="141"/>
      <c r="F33" s="131"/>
      <c r="G33" s="143"/>
      <c r="H33" s="143"/>
      <c r="I33" s="143"/>
      <c r="J33" s="152"/>
      <c r="K33" s="152"/>
      <c r="L33" s="152"/>
      <c r="M33" s="152"/>
      <c r="N33" s="379"/>
      <c r="O33" s="367"/>
      <c r="P33" s="151"/>
      <c r="Q33" s="143"/>
      <c r="R33" s="137"/>
    </row>
    <row r="34" spans="1:23" s="37" customFormat="1">
      <c r="A34" s="190"/>
      <c r="B34" s="191"/>
      <c r="C34" s="192"/>
      <c r="D34" s="193"/>
      <c r="E34" s="194"/>
      <c r="F34" s="195"/>
      <c r="G34" s="356"/>
      <c r="H34" s="356"/>
      <c r="I34" s="357"/>
      <c r="J34" s="358"/>
      <c r="K34" s="358"/>
      <c r="L34" s="358"/>
      <c r="M34" s="358"/>
      <c r="N34" s="380"/>
      <c r="O34" s="197"/>
      <c r="P34" s="198"/>
      <c r="Q34" s="196"/>
      <c r="R34" s="199"/>
      <c r="S34" s="200"/>
      <c r="T34" s="200"/>
      <c r="U34" s="201"/>
      <c r="V34" s="202"/>
      <c r="W34" s="202"/>
    </row>
    <row r="35" spans="1:23">
      <c r="A35" s="479"/>
      <c r="B35" s="452"/>
      <c r="C35" s="453"/>
      <c r="D35" s="467" t="s">
        <v>38</v>
      </c>
      <c r="E35" s="485" t="s">
        <v>102</v>
      </c>
      <c r="F35" s="440"/>
      <c r="G35" s="440"/>
      <c r="H35" s="440"/>
      <c r="I35" s="440"/>
      <c r="J35" s="440"/>
      <c r="K35" s="440"/>
      <c r="L35" s="440"/>
      <c r="M35" s="440"/>
      <c r="N35" s="446"/>
      <c r="O35" s="440"/>
      <c r="P35" s="475"/>
      <c r="Q35" s="476"/>
      <c r="R35" s="477"/>
    </row>
    <row r="36" spans="1:23">
      <c r="C36" s="19"/>
      <c r="D36" s="19"/>
      <c r="E36" s="74"/>
      <c r="F36" s="19"/>
      <c r="G36" s="75"/>
      <c r="H36" s="19"/>
      <c r="I36" s="19"/>
      <c r="J36" s="65"/>
      <c r="K36" s="65"/>
      <c r="L36" s="65"/>
      <c r="M36" s="65"/>
      <c r="N36" s="374"/>
      <c r="O36" s="28"/>
      <c r="P36" s="84"/>
      <c r="Q36" s="19"/>
      <c r="R36" s="100"/>
    </row>
    <row r="37" spans="1:23">
      <c r="A37" s="59"/>
      <c r="B37" s="60"/>
      <c r="C37" s="453"/>
      <c r="D37" s="467" t="s">
        <v>38</v>
      </c>
      <c r="E37" s="454" t="s">
        <v>121</v>
      </c>
      <c r="F37" s="440"/>
      <c r="G37" s="480"/>
      <c r="H37" s="480"/>
      <c r="I37" s="480"/>
      <c r="J37" s="440"/>
      <c r="K37" s="440"/>
      <c r="L37" s="440"/>
      <c r="M37" s="440"/>
      <c r="N37" s="446"/>
      <c r="O37" s="440"/>
      <c r="P37" s="475"/>
      <c r="Q37" s="476"/>
      <c r="R37" s="477"/>
    </row>
    <row r="38" spans="1:23" s="37" customFormat="1">
      <c r="C38" s="131"/>
      <c r="D38" s="131"/>
      <c r="E38" s="149"/>
      <c r="F38" s="131"/>
      <c r="G38" s="148"/>
      <c r="H38" s="148"/>
      <c r="I38" s="148"/>
      <c r="J38" s="106"/>
      <c r="K38" s="106"/>
      <c r="L38" s="106"/>
      <c r="M38" s="106"/>
      <c r="N38" s="364"/>
      <c r="O38" s="203"/>
      <c r="P38" s="136"/>
      <c r="Q38" s="131"/>
      <c r="R38" s="147"/>
    </row>
    <row r="39" spans="1:23" s="37" customFormat="1">
      <c r="C39" s="131"/>
      <c r="D39" s="153" t="s">
        <v>57</v>
      </c>
      <c r="E39" s="154" t="s">
        <v>60</v>
      </c>
      <c r="F39" s="155"/>
      <c r="G39" s="148"/>
      <c r="H39" s="148"/>
      <c r="I39" s="148"/>
      <c r="J39" s="156">
        <f>IF(OR(J$5&lt;4,J$5&gt;8),'Input FD'!J30,'Input FD'!J30*$G$95/100)</f>
        <v>92.744508388519577</v>
      </c>
      <c r="K39" s="156">
        <f>IF(OR(K$5&lt;4,K$5&gt;8),'Input FD'!K30,'Input FD'!K30*$G$95/100)</f>
        <v>123.58315740734844</v>
      </c>
      <c r="L39" s="156">
        <f>IF(OR(L$5&lt;4,L$5&gt;8),'Input FD'!L30,'Input FD'!L30*$G$95/100)</f>
        <v>106.43668892813312</v>
      </c>
      <c r="M39" s="156">
        <f>IF(OR(M$5&lt;4,M$5&gt;8),'Input FD'!M30,'Input FD'!M30*$G$95/100)</f>
        <v>126.28363827791573</v>
      </c>
      <c r="N39" s="365">
        <f>IF(OR(N$5&lt;4,N$5&gt;8),'Input FD'!N30,'Input FD'!N30*$G$95/100)</f>
        <v>120.38482974641023</v>
      </c>
      <c r="O39" s="157"/>
      <c r="P39" s="158"/>
      <c r="Q39" s="148"/>
      <c r="R39" s="147" t="s">
        <v>242</v>
      </c>
    </row>
    <row r="40" spans="1:23" s="37" customFormat="1">
      <c r="C40" s="131"/>
      <c r="D40" s="153" t="s">
        <v>57</v>
      </c>
      <c r="E40" s="154" t="s">
        <v>61</v>
      </c>
      <c r="F40" s="155"/>
      <c r="G40" s="148"/>
      <c r="H40" s="148"/>
      <c r="I40" s="148"/>
      <c r="J40" s="156">
        <f>IF(OR(J$5&lt;4,J$5&gt;8),'Input FD'!J31,'Input FD'!J31*$G$95/100)</f>
        <v>105.83219195036244</v>
      </c>
      <c r="K40" s="156">
        <f>IF(OR(K$5&lt;4,K$5&gt;8),'Input FD'!K31,'Input FD'!K31*$G$95/100)</f>
        <v>160.37178819267535</v>
      </c>
      <c r="L40" s="156">
        <f>IF(OR(L$5&lt;4,L$5&gt;8),'Input FD'!L31,'Input FD'!L31*$G$95/100)</f>
        <v>142.66725883808135</v>
      </c>
      <c r="M40" s="156">
        <f>IF(OR(M$5&lt;4,M$5&gt;8),'Input FD'!M31,'Input FD'!M31*$G$95/100)</f>
        <v>120.49689473269518</v>
      </c>
      <c r="N40" s="365">
        <f>IF(OR(N$5&lt;4,N$5&gt;8),'Input FD'!N31,'Input FD'!N31*$G$95/100)</f>
        <v>85.230568268989231</v>
      </c>
      <c r="O40" s="157"/>
      <c r="P40" s="158"/>
      <c r="Q40" s="148"/>
      <c r="R40" s="147" t="s">
        <v>242</v>
      </c>
    </row>
    <row r="41" spans="1:23" s="37" customFormat="1">
      <c r="C41" s="131"/>
      <c r="D41" s="153" t="s">
        <v>57</v>
      </c>
      <c r="E41" s="154" t="s">
        <v>63</v>
      </c>
      <c r="F41" s="155"/>
      <c r="G41" s="148"/>
      <c r="H41" s="148"/>
      <c r="I41" s="148"/>
      <c r="J41" s="156">
        <f>IF(OR(J$5&lt;4,J$5&gt;8),'Input FD'!J32,'Input FD'!J32*$G$95/100)</f>
        <v>15.589113678505825</v>
      </c>
      <c r="K41" s="156">
        <f>IF(OR(K$5&lt;4,K$5&gt;8),'Input FD'!K32,'Input FD'!K32*$G$95/100)</f>
        <v>30.190766593343678</v>
      </c>
      <c r="L41" s="156">
        <f>IF(OR(L$5&lt;4,L$5&gt;8),'Input FD'!L32,'Input FD'!L32*$G$95/100)</f>
        <v>38.153146625235721</v>
      </c>
      <c r="M41" s="156">
        <f>IF(OR(M$5&lt;4,M$5&gt;8),'Input FD'!M32,'Input FD'!M32*$G$95/100)</f>
        <v>26.33682677391614</v>
      </c>
      <c r="N41" s="365">
        <f>IF(OR(N$5&lt;4,N$5&gt;8),'Input FD'!N32,'Input FD'!N32*$G$95/100)</f>
        <v>12.978978580751031</v>
      </c>
      <c r="O41" s="157"/>
      <c r="P41" s="158"/>
      <c r="Q41" s="148"/>
      <c r="R41" s="147" t="s">
        <v>242</v>
      </c>
    </row>
    <row r="42" spans="1:23" s="37" customFormat="1">
      <c r="C42" s="131"/>
      <c r="D42" s="153" t="s">
        <v>57</v>
      </c>
      <c r="E42" s="154" t="s">
        <v>62</v>
      </c>
      <c r="F42" s="155"/>
      <c r="G42" s="148"/>
      <c r="H42" s="148"/>
      <c r="I42" s="148"/>
      <c r="J42" s="156">
        <f>IF(OR(J$5&lt;4,J$5&gt;8),'Input FD'!J33,'Input FD'!J33*$G$95/100)</f>
        <v>38.694736261513548</v>
      </c>
      <c r="K42" s="156">
        <f>IF(OR(K$5&lt;4,K$5&gt;8),'Input FD'!K33,'Input FD'!K33*$G$95/100)</f>
        <v>53.537201593277878</v>
      </c>
      <c r="L42" s="156">
        <f>IF(OR(L$5&lt;4,L$5&gt;8),'Input FD'!L33,'Input FD'!L33*$G$95/100)</f>
        <v>46.048073383459695</v>
      </c>
      <c r="M42" s="156">
        <f>IF(OR(M$5&lt;4,M$5&gt;8),'Input FD'!M33,'Input FD'!M33*$G$95/100)</f>
        <v>39.417296012112999</v>
      </c>
      <c r="N42" s="365">
        <f>IF(OR(N$5&lt;4,N$5&gt;8),'Input FD'!N33,'Input FD'!N33*$G$95/100)</f>
        <v>27.854831958516112</v>
      </c>
      <c r="O42" s="157"/>
      <c r="P42" s="158"/>
      <c r="Q42" s="148"/>
      <c r="R42" s="147" t="s">
        <v>242</v>
      </c>
    </row>
    <row r="43" spans="1:23" s="37" customFormat="1">
      <c r="C43" s="131"/>
      <c r="D43" s="153" t="s">
        <v>57</v>
      </c>
      <c r="E43" s="154" t="s">
        <v>218</v>
      </c>
      <c r="F43" s="155"/>
      <c r="G43" s="148"/>
      <c r="H43" s="148"/>
      <c r="I43" s="148"/>
      <c r="J43" s="156">
        <f>IF(OR(J$5&lt;4,J$5&gt;8),'Input FD'!J34,'Input FD'!J34*$G$95/100)</f>
        <v>0</v>
      </c>
      <c r="K43" s="156">
        <f>IF(OR(K$5&lt;4,K$5&gt;8),'Input FD'!K34,'Input FD'!K34*$G$95/100)</f>
        <v>0</v>
      </c>
      <c r="L43" s="156">
        <f>IF(OR(L$5&lt;4,L$5&gt;8),'Input FD'!L34,'Input FD'!L34*$G$95/100)</f>
        <v>0</v>
      </c>
      <c r="M43" s="156">
        <f>IF(OR(M$5&lt;4,M$5&gt;8),'Input FD'!M34,'Input FD'!M34*$G$95/100)</f>
        <v>0</v>
      </c>
      <c r="N43" s="365">
        <f>IF(OR(N$5&lt;4,N$5&gt;8),'Input FD'!N34,'Input FD'!N34*$G$95/100)</f>
        <v>0</v>
      </c>
      <c r="O43" s="157"/>
      <c r="P43" s="158"/>
      <c r="Q43" s="148"/>
      <c r="R43" s="147" t="s">
        <v>242</v>
      </c>
    </row>
    <row r="44" spans="1:23" s="37" customFormat="1">
      <c r="C44" s="131"/>
      <c r="D44" s="153" t="s">
        <v>57</v>
      </c>
      <c r="E44" s="154" t="s">
        <v>219</v>
      </c>
      <c r="F44" s="155"/>
      <c r="G44" s="148"/>
      <c r="H44" s="148"/>
      <c r="I44" s="148"/>
      <c r="J44" s="156">
        <f>IF(OR(J$5&lt;4,J$5&gt;8),'Input FD'!J35,'Input FD'!J35*$G$95/100)</f>
        <v>0</v>
      </c>
      <c r="K44" s="156">
        <f>IF(OR(K$5&lt;4,K$5&gt;8),'Input FD'!K35,'Input FD'!K35*$G$95/100)</f>
        <v>0</v>
      </c>
      <c r="L44" s="156">
        <f>IF(OR(L$5&lt;4,L$5&gt;8),'Input FD'!L35,'Input FD'!L35*$G$95/100)</f>
        <v>0</v>
      </c>
      <c r="M44" s="156">
        <f>IF(OR(M$5&lt;4,M$5&gt;8),'Input FD'!M35,'Input FD'!M35*$G$95/100)</f>
        <v>0</v>
      </c>
      <c r="N44" s="365">
        <f>IF(OR(N$5&lt;4,N$5&gt;8),'Input FD'!N35,'Input FD'!N35*$G$95/100)</f>
        <v>0</v>
      </c>
      <c r="O44" s="157"/>
      <c r="P44" s="158"/>
      <c r="Q44" s="148"/>
      <c r="R44" s="147" t="s">
        <v>242</v>
      </c>
    </row>
    <row r="45" spans="1:23" s="37" customFormat="1">
      <c r="C45" s="131"/>
      <c r="D45" s="153"/>
      <c r="E45" s="154"/>
      <c r="F45" s="155"/>
      <c r="G45" s="148"/>
      <c r="H45" s="148"/>
      <c r="I45" s="148"/>
      <c r="J45" s="156"/>
      <c r="K45" s="156"/>
      <c r="L45" s="156"/>
      <c r="M45" s="156"/>
      <c r="N45" s="365"/>
      <c r="O45" s="157"/>
      <c r="P45" s="158"/>
      <c r="Q45" s="148"/>
      <c r="R45" s="147"/>
    </row>
    <row r="46" spans="1:23" s="37" customFormat="1">
      <c r="C46" s="131"/>
      <c r="D46" s="153" t="s">
        <v>57</v>
      </c>
      <c r="E46" s="154" t="s">
        <v>10</v>
      </c>
      <c r="F46" s="155"/>
      <c r="G46" s="148"/>
      <c r="H46" s="148"/>
      <c r="I46" s="148"/>
      <c r="J46" s="156">
        <f>IF('Input FD'!$O$151=1,0,IF(OR(J$5&lt;4,J$5&gt;8),'Input FD'!J37,'Input FD'!J37*$G$100/100))</f>
        <v>39.640590508201292</v>
      </c>
      <c r="K46" s="156">
        <f>IF('Input FD'!$O$151=1,0,IF(OR(K$5&lt;4,K$5&gt;8),'Input FD'!K37,'Input FD'!K37*$G$100/100))</f>
        <v>36.494855012823066</v>
      </c>
      <c r="L46" s="156">
        <f>IF('Input FD'!$O$151=1,0,IF(OR(L$5&lt;4,L$5&gt;8),'Input FD'!L37,'Input FD'!L37*$G$100/100))</f>
        <v>44.399875834970501</v>
      </c>
      <c r="M46" s="156">
        <f>IF('Input FD'!$O$151=1,0,IF(OR(M$5&lt;4,M$5&gt;8),'Input FD'!M37,'Input FD'!M37*$G$100/100))</f>
        <v>46.225110251649333</v>
      </c>
      <c r="N46" s="365">
        <f>IF('Input FD'!$O$151=1,0,IF(OR(N$5&lt;4,N$5&gt;8),'Input FD'!N37,'Input FD'!N37*$G$100/100))</f>
        <v>45.567919539780114</v>
      </c>
      <c r="O46" s="157"/>
      <c r="P46" s="158"/>
      <c r="Q46" s="148"/>
      <c r="R46" s="147" t="s">
        <v>242</v>
      </c>
    </row>
    <row r="47" spans="1:23" s="37" customFormat="1">
      <c r="C47" s="131"/>
      <c r="D47" s="153" t="s">
        <v>57</v>
      </c>
      <c r="E47" s="154" t="s">
        <v>11</v>
      </c>
      <c r="F47" s="155"/>
      <c r="G47" s="148"/>
      <c r="H47" s="148"/>
      <c r="I47" s="148"/>
      <c r="J47" s="156">
        <f>IF('Input FD'!$O$151=1,0,IF(OR(J$5&lt;4,J$5&gt;8),'Input FD'!J38,'Input FD'!J38*$G$100/100))</f>
        <v>150.75957958585835</v>
      </c>
      <c r="K47" s="156">
        <f>IF('Input FD'!$O$151=1,0,IF(OR(K$5&lt;4,K$5&gt;8),'Input FD'!K38,'Input FD'!K38*$G$100/100))</f>
        <v>226.284601824183</v>
      </c>
      <c r="L47" s="156">
        <f>IF('Input FD'!$O$151=1,0,IF(OR(L$5&lt;4,L$5&gt;8),'Input FD'!L38,'Input FD'!L38*$G$100/100))</f>
        <v>132.78980871196487</v>
      </c>
      <c r="M47" s="156">
        <f>IF('Input FD'!$O$151=1,0,IF(OR(M$5&lt;4,M$5&gt;8),'Input FD'!M38,'Input FD'!M38*$G$100/100))</f>
        <v>146.85726112845211</v>
      </c>
      <c r="N47" s="365">
        <f>IF('Input FD'!$O$151=1,0,IF(OR(N$5&lt;4,N$5&gt;8),'Input FD'!N38,'Input FD'!N38*$G$100/100))</f>
        <v>113.04581801017456</v>
      </c>
      <c r="O47" s="157"/>
      <c r="P47" s="158"/>
      <c r="Q47" s="148"/>
      <c r="R47" s="147" t="s">
        <v>242</v>
      </c>
    </row>
    <row r="48" spans="1:23" s="37" customFormat="1">
      <c r="C48" s="131"/>
      <c r="D48" s="153" t="s">
        <v>57</v>
      </c>
      <c r="E48" s="154" t="s">
        <v>13</v>
      </c>
      <c r="F48" s="155"/>
      <c r="G48" s="148"/>
      <c r="H48" s="148"/>
      <c r="I48" s="148"/>
      <c r="J48" s="156">
        <f>IF('Input FD'!$O$151=1,0,IF(OR(J$5&lt;4,J$5&gt;8),'Input FD'!J39,'Input FD'!J39*$G$100/100))</f>
        <v>57.657577219887052</v>
      </c>
      <c r="K48" s="156">
        <f>IF('Input FD'!$O$151=1,0,IF(OR(K$5&lt;4,K$5&gt;8),'Input FD'!K39,'Input FD'!K39*$G$100/100))</f>
        <v>97.270019882493031</v>
      </c>
      <c r="L48" s="156">
        <f>IF('Input FD'!$O$151=1,0,IF(OR(L$5&lt;4,L$5&gt;8),'Input FD'!L39,'Input FD'!L39*$G$100/100))</f>
        <v>102.4236356921535</v>
      </c>
      <c r="M48" s="156">
        <f>IF('Input FD'!$O$151=1,0,IF(OR(M$5&lt;4,M$5&gt;8),'Input FD'!M39,'Input FD'!M39*$G$100/100))</f>
        <v>85.421238176095116</v>
      </c>
      <c r="N48" s="365">
        <f>IF('Input FD'!$O$151=1,0,IF(OR(N$5&lt;4,N$5&gt;8),'Input FD'!N39,'Input FD'!N39*$G$100/100))</f>
        <v>76.07267385604861</v>
      </c>
      <c r="O48" s="157"/>
      <c r="P48" s="158"/>
      <c r="Q48" s="148"/>
      <c r="R48" s="147" t="s">
        <v>242</v>
      </c>
    </row>
    <row r="49" spans="1:18" s="37" customFormat="1">
      <c r="C49" s="131"/>
      <c r="D49" s="153" t="s">
        <v>57</v>
      </c>
      <c r="E49" s="154" t="s">
        <v>12</v>
      </c>
      <c r="F49" s="155"/>
      <c r="G49" s="148"/>
      <c r="H49" s="148"/>
      <c r="I49" s="148"/>
      <c r="J49" s="156">
        <f>IF('Input FD'!$O$151=1,0,IF(OR(J$5&lt;4,J$5&gt;8),'Input FD'!J40,'Input FD'!J40*$G$100/100))</f>
        <v>276.96771548511396</v>
      </c>
      <c r="K49" s="156">
        <f>IF('Input FD'!$O$151=1,0,IF(OR(K$5&lt;4,K$5&gt;8),'Input FD'!K40,'Input FD'!K40*$G$100/100))</f>
        <v>313.57531138819775</v>
      </c>
      <c r="L49" s="156">
        <f>IF('Input FD'!$O$151=1,0,IF(OR(L$5&lt;4,L$5&gt;8),'Input FD'!L40,'Input FD'!L40*$G$100/100))</f>
        <v>266.61271504601694</v>
      </c>
      <c r="M49" s="156">
        <f>IF('Input FD'!$O$151=1,0,IF(OR(M$5&lt;4,M$5&gt;8),'Input FD'!M40,'Input FD'!M40*$G$100/100))</f>
        <v>166.75292601187698</v>
      </c>
      <c r="N49" s="365">
        <f>IF('Input FD'!$O$151=1,0,IF(OR(N$5&lt;4,N$5&gt;8),'Input FD'!N40,'Input FD'!N40*$G$100/100))</f>
        <v>117.08075287006456</v>
      </c>
      <c r="O49" s="157"/>
      <c r="P49" s="158"/>
      <c r="Q49" s="148"/>
      <c r="R49" s="147" t="s">
        <v>242</v>
      </c>
    </row>
    <row r="50" spans="1:18" s="37" customFormat="1">
      <c r="C50" s="131"/>
      <c r="D50" s="153" t="s">
        <v>57</v>
      </c>
      <c r="E50" s="154" t="s">
        <v>228</v>
      </c>
      <c r="F50" s="155"/>
      <c r="G50" s="148"/>
      <c r="H50" s="148"/>
      <c r="I50" s="148"/>
      <c r="J50" s="156">
        <f>IF('Input FD'!$O$151=1,0,IF(OR(J$5&lt;4,J$5&gt;8),'Input FD'!J41,'Input FD'!J41*$G$100/100))</f>
        <v>127.16970444827261</v>
      </c>
      <c r="K50" s="156">
        <f>IF('Input FD'!$O$151=1,0,IF(OR(K$5&lt;4,K$5&gt;8),'Input FD'!K41,'Input FD'!K41*$G$100/100))</f>
        <v>139.50991052218464</v>
      </c>
      <c r="L50" s="156">
        <f>IF('Input FD'!$O$151=1,0,IF(OR(L$5&lt;4,L$5&gt;8),'Input FD'!L41,'Input FD'!L41*$G$100/100))</f>
        <v>101.76309784432605</v>
      </c>
      <c r="M50" s="156">
        <f>IF('Input FD'!$O$151=1,0,IF(OR(M$5&lt;4,M$5&gt;8),'Input FD'!M41,'Input FD'!M41*$G$100/100))</f>
        <v>92.735644008455694</v>
      </c>
      <c r="N50" s="365">
        <f>IF('Input FD'!$O$151=1,0,IF(OR(N$5&lt;4,N$5&gt;8),'Input FD'!N41,'Input FD'!N41*$G$100/100))</f>
        <v>75.727190707475671</v>
      </c>
      <c r="O50" s="157"/>
      <c r="P50" s="158"/>
      <c r="Q50" s="148"/>
      <c r="R50" s="147" t="s">
        <v>242</v>
      </c>
    </row>
    <row r="51" spans="1:18" s="37" customFormat="1">
      <c r="C51" s="131"/>
      <c r="D51" s="153" t="s">
        <v>57</v>
      </c>
      <c r="E51" s="154" t="s">
        <v>229</v>
      </c>
      <c r="F51" s="155"/>
      <c r="G51" s="148"/>
      <c r="H51" s="148"/>
      <c r="I51" s="148"/>
      <c r="J51" s="156">
        <f>IF('Input FD'!$O$151=1,0,IF(OR(J$5&lt;4,J$5&gt;8),'Input FD'!J42,'Input FD'!J42*$G$100/100))</f>
        <v>15.32657878111219</v>
      </c>
      <c r="K51" s="156">
        <f>IF('Input FD'!$O$151=1,0,IF(OR(K$5&lt;4,K$5&gt;8),'Input FD'!K42,'Input FD'!K42*$G$100/100))</f>
        <v>16.813645518508981</v>
      </c>
      <c r="L51" s="156">
        <f>IF('Input FD'!$O$151=1,0,IF(OR(L$5&lt;4,L$5&gt;8),'Input FD'!L42,'Input FD'!L42*$G$100/100))</f>
        <v>12.263710871371064</v>
      </c>
      <c r="M51" s="156">
        <f>IF('Input FD'!$O$151=1,0,IF(OR(M$5&lt;4,M$5&gt;8),'Input FD'!M42,'Input FD'!M42*$G$100/100))</f>
        <v>11.176459059255167</v>
      </c>
      <c r="N51" s="365">
        <f>IF('Input FD'!$O$151=1,0,IF(OR(N$5&lt;4,N$5&gt;8),'Input FD'!N42,'Input FD'!N42*$G$100/100))</f>
        <v>9.1263876311567103</v>
      </c>
      <c r="O51" s="157"/>
      <c r="P51" s="158"/>
      <c r="Q51" s="148"/>
      <c r="R51" s="147" t="s">
        <v>242</v>
      </c>
    </row>
    <row r="52" spans="1:18" s="37" customFormat="1">
      <c r="A52" s="109"/>
      <c r="B52" s="109"/>
      <c r="C52" s="104"/>
      <c r="D52" s="131"/>
      <c r="E52" s="132"/>
      <c r="F52" s="131"/>
      <c r="G52" s="131"/>
      <c r="H52" s="131"/>
      <c r="I52" s="131"/>
      <c r="J52" s="159"/>
      <c r="K52" s="159"/>
      <c r="L52" s="159"/>
      <c r="M52" s="159"/>
      <c r="N52" s="362"/>
      <c r="O52" s="157"/>
      <c r="P52" s="158"/>
      <c r="Q52" s="148"/>
      <c r="R52" s="160"/>
    </row>
    <row r="53" spans="1:18">
      <c r="A53" s="59"/>
      <c r="B53" s="452"/>
      <c r="C53" s="453"/>
      <c r="D53" s="481"/>
      <c r="E53" s="484" t="s">
        <v>300</v>
      </c>
      <c r="F53" s="440"/>
      <c r="G53" s="440"/>
      <c r="H53" s="440"/>
      <c r="I53" s="440"/>
      <c r="J53" s="440"/>
      <c r="K53" s="440"/>
      <c r="L53" s="440"/>
      <c r="M53" s="440"/>
      <c r="N53" s="446"/>
      <c r="O53" s="440"/>
      <c r="P53" s="475"/>
      <c r="Q53" s="476"/>
      <c r="R53" s="477"/>
    </row>
    <row r="54" spans="1:18" s="37" customFormat="1">
      <c r="C54" s="131"/>
      <c r="D54" s="131"/>
      <c r="E54" s="132"/>
      <c r="F54" s="131"/>
      <c r="G54" s="131"/>
      <c r="H54" s="131"/>
      <c r="I54" s="131"/>
      <c r="J54" s="106"/>
      <c r="K54" s="106"/>
      <c r="L54" s="106"/>
      <c r="M54" s="106"/>
      <c r="N54" s="364"/>
      <c r="P54" s="136"/>
      <c r="Q54" s="131"/>
      <c r="R54" s="147"/>
    </row>
    <row r="55" spans="1:18" s="37" customFormat="1">
      <c r="C55" s="131"/>
      <c r="D55" s="153" t="s">
        <v>57</v>
      </c>
      <c r="E55" s="154" t="s">
        <v>113</v>
      </c>
      <c r="F55" s="155"/>
      <c r="G55" s="148"/>
      <c r="H55" s="148"/>
      <c r="I55" s="148"/>
      <c r="J55" s="156">
        <f>SUM('Input FD'!J10:J13)-'Input FD'!J14-'Input FD'!J17+'Input FD'!J15+'Input FD'!J16</f>
        <v>388.12044076242984</v>
      </c>
      <c r="K55" s="156">
        <f>SUM('Input FD'!K10:K13)-'Input FD'!K14-'Input FD'!K17+'Input FD'!K15+'Input FD'!K16</f>
        <v>500.29059487707758</v>
      </c>
      <c r="L55" s="156">
        <f>SUM('Input FD'!L10:L13)-'Input FD'!L14-'Input FD'!L17+'Input FD'!L15+'Input FD'!L16</f>
        <v>336.7232186974299</v>
      </c>
      <c r="M55" s="156">
        <f>SUM('Input FD'!M10:M13)-'Input FD'!M14-'Input FD'!M17+'Input FD'!M15+'Input FD'!M16</f>
        <v>310.15449025703668</v>
      </c>
      <c r="N55" s="365">
        <f>SUM('Input FD'!N10:N13)-'Input FD'!N14-'Input FD'!N17+'Input FD'!N15+'Input FD'!N16</f>
        <v>247.16279813151507</v>
      </c>
      <c r="O55" s="157"/>
      <c r="P55" s="158"/>
      <c r="Q55" s="148"/>
      <c r="R55" s="147" t="s">
        <v>242</v>
      </c>
    </row>
    <row r="56" spans="1:18" s="37" customFormat="1">
      <c r="C56" s="131"/>
      <c r="D56" s="153" t="s">
        <v>57</v>
      </c>
      <c r="E56" s="154" t="s">
        <v>114</v>
      </c>
      <c r="F56" s="155"/>
      <c r="G56" s="148"/>
      <c r="H56" s="148"/>
      <c r="I56" s="148"/>
      <c r="J56" s="156">
        <f>SUM('Input FD'!J30:J35)</f>
        <v>237.83883424979501</v>
      </c>
      <c r="K56" s="156">
        <f>SUM('Input FD'!K30:K35)</f>
        <v>345.8399322952053</v>
      </c>
      <c r="L56" s="156">
        <f>SUM('Input FD'!L30:L35)</f>
        <v>313.5044690268216</v>
      </c>
      <c r="M56" s="156">
        <f>SUM('Input FD'!M30:M35)</f>
        <v>293.96787326194521</v>
      </c>
      <c r="N56" s="365">
        <f>SUM('Input FD'!N30:N35)</f>
        <v>231.80837184675443</v>
      </c>
      <c r="O56" s="157"/>
      <c r="P56" s="158"/>
      <c r="Q56" s="148"/>
      <c r="R56" s="147" t="s">
        <v>242</v>
      </c>
    </row>
    <row r="57" spans="1:18" s="37" customFormat="1">
      <c r="C57" s="131"/>
      <c r="D57" s="153" t="s">
        <v>57</v>
      </c>
      <c r="E57" s="154" t="s">
        <v>115</v>
      </c>
      <c r="F57" s="155"/>
      <c r="G57" s="148"/>
      <c r="H57" s="148"/>
      <c r="I57" s="148"/>
      <c r="J57" s="156">
        <f>SUM(J39:J44)</f>
        <v>252.8605502789014</v>
      </c>
      <c r="K57" s="156">
        <f t="shared" ref="K57:N57" si="7">SUM(K39:K44)</f>
        <v>367.68291378664532</v>
      </c>
      <c r="L57" s="156">
        <f t="shared" si="7"/>
        <v>333.30516777490993</v>
      </c>
      <c r="M57" s="156">
        <f t="shared" si="7"/>
        <v>312.53465579664004</v>
      </c>
      <c r="N57" s="365">
        <f t="shared" si="7"/>
        <v>246.44920855466663</v>
      </c>
      <c r="O57" s="157"/>
      <c r="P57" s="158"/>
      <c r="Q57" s="148"/>
      <c r="R57" s="147" t="s">
        <v>242</v>
      </c>
    </row>
    <row r="58" spans="1:18" s="37" customFormat="1">
      <c r="C58" s="131"/>
      <c r="D58" s="153"/>
      <c r="E58" s="154"/>
      <c r="F58" s="155"/>
      <c r="G58" s="148"/>
      <c r="H58" s="148"/>
      <c r="I58" s="148"/>
      <c r="J58" s="156"/>
      <c r="K58" s="156"/>
      <c r="L58" s="156"/>
      <c r="M58" s="156"/>
      <c r="N58" s="365"/>
      <c r="O58" s="157"/>
      <c r="P58" s="158"/>
      <c r="Q58" s="148"/>
      <c r="R58" s="147"/>
    </row>
    <row r="59" spans="1:18" s="37" customFormat="1">
      <c r="C59" s="131"/>
      <c r="D59" s="153" t="s">
        <v>57</v>
      </c>
      <c r="E59" s="154" t="s">
        <v>108</v>
      </c>
      <c r="F59" s="155"/>
      <c r="G59" s="148"/>
      <c r="H59" s="148"/>
      <c r="I59" s="148"/>
      <c r="J59" s="156">
        <f>'Input FD'!J85+'Input FD'!J82</f>
        <v>0</v>
      </c>
      <c r="K59" s="156">
        <f>'Input FD'!K85+'Input FD'!K82</f>
        <v>0</v>
      </c>
      <c r="L59" s="156">
        <f>'Input FD'!L85+'Input FD'!L82</f>
        <v>0</v>
      </c>
      <c r="M59" s="156">
        <f>'Input FD'!M85+'Input FD'!M82</f>
        <v>0</v>
      </c>
      <c r="N59" s="365">
        <f>'Input FD'!N85+'Input FD'!N82</f>
        <v>0</v>
      </c>
      <c r="O59" s="157"/>
      <c r="P59" s="158"/>
      <c r="Q59" s="148"/>
      <c r="R59" s="147" t="s">
        <v>242</v>
      </c>
    </row>
    <row r="60" spans="1:18" s="37" customFormat="1">
      <c r="C60" s="131"/>
      <c r="D60" s="153" t="s">
        <v>57</v>
      </c>
      <c r="E60" s="154" t="s">
        <v>107</v>
      </c>
      <c r="F60" s="155"/>
      <c r="G60" s="148"/>
      <c r="H60" s="148"/>
      <c r="I60" s="148"/>
      <c r="J60" s="156">
        <f>'Input FD'!J86+'Input FD'!J88+'Input FD'!J83</f>
        <v>-1.63480322336759</v>
      </c>
      <c r="K60" s="156">
        <f>'Input FD'!K86+'Input FD'!K88+'Input FD'!K83</f>
        <v>-2.49664163081039</v>
      </c>
      <c r="L60" s="156">
        <f>'Input FD'!L86+'Input FD'!L88+'Input FD'!L83</f>
        <v>-1.33179340600143</v>
      </c>
      <c r="M60" s="156">
        <f>'Input FD'!M86+'Input FD'!M88+'Input FD'!M83</f>
        <v>0</v>
      </c>
      <c r="N60" s="365">
        <f>'Input FD'!N86+'Input FD'!N88+'Input FD'!N83</f>
        <v>0.52887650038741996</v>
      </c>
      <c r="O60" s="157"/>
      <c r="P60" s="158"/>
      <c r="Q60" s="148"/>
      <c r="R60" s="147" t="s">
        <v>242</v>
      </c>
    </row>
    <row r="61" spans="1:18" s="37" customFormat="1">
      <c r="C61" s="131"/>
      <c r="D61" s="153"/>
      <c r="E61" s="154"/>
      <c r="F61" s="155"/>
      <c r="G61" s="148"/>
      <c r="H61" s="148"/>
      <c r="I61" s="148"/>
      <c r="J61" s="156"/>
      <c r="K61" s="156"/>
      <c r="L61" s="156"/>
      <c r="M61" s="156"/>
      <c r="N61" s="365"/>
      <c r="O61" s="157"/>
      <c r="P61" s="158"/>
      <c r="Q61" s="148"/>
      <c r="R61" s="147"/>
    </row>
    <row r="62" spans="1:18" s="37" customFormat="1">
      <c r="C62" s="131"/>
      <c r="D62" s="153" t="s">
        <v>57</v>
      </c>
      <c r="E62" s="154" t="s">
        <v>181</v>
      </c>
      <c r="F62" s="155"/>
      <c r="G62" s="148"/>
      <c r="H62" s="148"/>
      <c r="I62" s="148"/>
      <c r="J62" s="156">
        <f>J55+J59</f>
        <v>388.12044076242984</v>
      </c>
      <c r="K62" s="156">
        <f t="shared" ref="K62:N63" si="8">K55+K59</f>
        <v>500.29059487707758</v>
      </c>
      <c r="L62" s="156">
        <f t="shared" si="8"/>
        <v>336.7232186974299</v>
      </c>
      <c r="M62" s="156">
        <f t="shared" si="8"/>
        <v>310.15449025703668</v>
      </c>
      <c r="N62" s="365">
        <f t="shared" si="8"/>
        <v>247.16279813151507</v>
      </c>
      <c r="O62" s="157"/>
      <c r="P62" s="158"/>
      <c r="Q62" s="148"/>
      <c r="R62" s="147" t="s">
        <v>242</v>
      </c>
    </row>
    <row r="63" spans="1:18" s="37" customFormat="1">
      <c r="C63" s="131"/>
      <c r="D63" s="153" t="s">
        <v>57</v>
      </c>
      <c r="E63" s="154" t="s">
        <v>182</v>
      </c>
      <c r="F63" s="155"/>
      <c r="G63" s="148"/>
      <c r="H63" s="148"/>
      <c r="I63" s="148"/>
      <c r="J63" s="156">
        <f>J56+J60</f>
        <v>236.20403102642743</v>
      </c>
      <c r="K63" s="156">
        <f t="shared" si="8"/>
        <v>343.34329066439489</v>
      </c>
      <c r="L63" s="156">
        <f t="shared" si="8"/>
        <v>312.17267562082014</v>
      </c>
      <c r="M63" s="156">
        <f t="shared" si="8"/>
        <v>293.96787326194521</v>
      </c>
      <c r="N63" s="365">
        <f t="shared" si="8"/>
        <v>232.33724834714184</v>
      </c>
      <c r="O63" s="157"/>
      <c r="P63" s="158"/>
      <c r="Q63" s="148"/>
      <c r="R63" s="147" t="s">
        <v>242</v>
      </c>
    </row>
    <row r="64" spans="1:18" s="37" customFormat="1">
      <c r="C64" s="131"/>
      <c r="D64" s="153" t="s">
        <v>57</v>
      </c>
      <c r="E64" s="154" t="s">
        <v>250</v>
      </c>
      <c r="F64" s="155"/>
      <c r="G64" s="148"/>
      <c r="H64" s="148"/>
      <c r="I64" s="148"/>
      <c r="J64" s="156">
        <f>J63*$G$107/100</f>
        <v>251.37988883858398</v>
      </c>
      <c r="K64" s="156">
        <f t="shared" ref="K64:N64" si="9">K63*$G$107/100</f>
        <v>365.40273197552909</v>
      </c>
      <c r="L64" s="156">
        <f t="shared" si="9"/>
        <v>332.22943806249066</v>
      </c>
      <c r="M64" s="156">
        <f t="shared" si="9"/>
        <v>312.85499651119324</v>
      </c>
      <c r="N64" s="365">
        <f t="shared" si="9"/>
        <v>247.26466948412249</v>
      </c>
      <c r="O64" s="157"/>
      <c r="P64" s="158"/>
      <c r="Q64" s="148"/>
      <c r="R64" s="147" t="s">
        <v>242</v>
      </c>
    </row>
    <row r="65" spans="1:18" s="37" customFormat="1">
      <c r="C65" s="131"/>
      <c r="D65" s="153"/>
      <c r="E65" s="154"/>
      <c r="F65" s="155"/>
      <c r="G65" s="148"/>
      <c r="H65" s="148"/>
      <c r="I65" s="148"/>
      <c r="J65" s="156"/>
      <c r="K65" s="156"/>
      <c r="L65" s="156"/>
      <c r="M65" s="156"/>
      <c r="N65" s="365"/>
      <c r="O65" s="157"/>
      <c r="P65" s="158"/>
      <c r="Q65" s="148"/>
      <c r="R65" s="147"/>
    </row>
    <row r="66" spans="1:18" s="37" customFormat="1">
      <c r="C66" s="131"/>
      <c r="D66" s="153" t="s">
        <v>57</v>
      </c>
      <c r="E66" s="154" t="s">
        <v>116</v>
      </c>
      <c r="F66" s="155"/>
      <c r="G66" s="148"/>
      <c r="H66" s="148"/>
      <c r="I66" s="148"/>
      <c r="J66" s="156">
        <f>IF('Input FD'!$O$151=1,0,SUM('Input FD'!J19:J22)-'Input FD'!J23-'Input FD'!J26+'Input FD'!J24+'Input FD'!J25)</f>
        <v>698.40912459999993</v>
      </c>
      <c r="K66" s="156">
        <f>IF('Input FD'!$O$151=1,0,SUM('Input FD'!K19:K22)-'Input FD'!K23-'Input FD'!K26+'Input FD'!K24+'Input FD'!K25)</f>
        <v>859.96959281049408</v>
      </c>
      <c r="L66" s="156">
        <f>IF('Input FD'!$O$151=1,0,SUM('Input FD'!L19:L22)-'Input FD'!L23-'Input FD'!L26+'Input FD'!L24+'Input FD'!L25)</f>
        <v>705.77840135646102</v>
      </c>
      <c r="M66" s="156">
        <f>IF('Input FD'!$O$151=1,0,SUM('Input FD'!M19:M22)-'Input FD'!M23-'Input FD'!M26+'Input FD'!M24+'Input FD'!M25)</f>
        <v>589.08432094065495</v>
      </c>
      <c r="N66" s="365">
        <f>IF('Input FD'!$O$151=1,0,SUM('Input FD'!N19:N22)-'Input FD'!N23-'Input FD'!N26+'Input FD'!N24+'Input FD'!N25)</f>
        <v>474.60351798527</v>
      </c>
      <c r="O66" s="157"/>
      <c r="P66" s="158"/>
      <c r="Q66" s="148"/>
      <c r="R66" s="147" t="s">
        <v>242</v>
      </c>
    </row>
    <row r="67" spans="1:18" s="37" customFormat="1">
      <c r="C67" s="131"/>
      <c r="D67" s="153" t="s">
        <v>57</v>
      </c>
      <c r="E67" s="154" t="s">
        <v>117</v>
      </c>
      <c r="F67" s="155"/>
      <c r="G67" s="148"/>
      <c r="H67" s="148"/>
      <c r="I67" s="148"/>
      <c r="J67" s="156">
        <f>IF('Input FD'!$O$151=1,0,SUM('Input FD'!J37:J42))</f>
        <v>654.4741276462189</v>
      </c>
      <c r="K67" s="156">
        <f>IF('Input FD'!$O$151=1,0,SUM('Input FD'!K37:K42))</f>
        <v>813.72587748593742</v>
      </c>
      <c r="L67" s="156">
        <f>IF('Input FD'!$O$151=1,0,SUM('Input FD'!L37:L42))</f>
        <v>647.34730617292348</v>
      </c>
      <c r="M67" s="156">
        <f>IF('Input FD'!$O$151=1,0,SUM('Input FD'!M37:M42))</f>
        <v>538.43439234787206</v>
      </c>
      <c r="N67" s="365">
        <f>IF('Input FD'!$O$151=1,0,SUM('Input FD'!N37:N42))</f>
        <v>428.08639768691978</v>
      </c>
      <c r="O67" s="157"/>
      <c r="P67" s="158"/>
      <c r="Q67" s="148"/>
      <c r="R67" s="147" t="s">
        <v>242</v>
      </c>
    </row>
    <row r="68" spans="1:18" s="37" customFormat="1">
      <c r="C68" s="131"/>
      <c r="D68" s="153" t="s">
        <v>57</v>
      </c>
      <c r="E68" s="154" t="s">
        <v>118</v>
      </c>
      <c r="F68" s="155"/>
      <c r="G68" s="148"/>
      <c r="H68" s="148"/>
      <c r="I68" s="148"/>
      <c r="J68" s="156">
        <f>SUM(J46:J51)</f>
        <v>667.52174602844536</v>
      </c>
      <c r="K68" s="156">
        <f t="shared" ref="K68:N68" si="10">SUM(K46:K51)</f>
        <v>829.94834414839056</v>
      </c>
      <c r="L68" s="156">
        <f t="shared" si="10"/>
        <v>660.25284400080284</v>
      </c>
      <c r="M68" s="156">
        <f t="shared" si="10"/>
        <v>549.16863863578442</v>
      </c>
      <c r="N68" s="365">
        <f t="shared" si="10"/>
        <v>436.62074261470025</v>
      </c>
      <c r="O68" s="157"/>
      <c r="P68" s="158"/>
      <c r="Q68" s="148"/>
      <c r="R68" s="147" t="s">
        <v>242</v>
      </c>
    </row>
    <row r="69" spans="1:18" s="37" customFormat="1">
      <c r="C69" s="131"/>
      <c r="D69" s="153"/>
      <c r="E69" s="154"/>
      <c r="F69" s="155"/>
      <c r="G69" s="148"/>
      <c r="H69" s="148"/>
      <c r="I69" s="148"/>
      <c r="J69" s="156"/>
      <c r="K69" s="156"/>
      <c r="L69" s="156"/>
      <c r="M69" s="156"/>
      <c r="N69" s="365"/>
      <c r="O69" s="157"/>
      <c r="P69" s="158"/>
      <c r="Q69" s="148"/>
      <c r="R69" s="147"/>
    </row>
    <row r="70" spans="1:18" s="37" customFormat="1">
      <c r="C70" s="131"/>
      <c r="D70" s="153" t="s">
        <v>57</v>
      </c>
      <c r="E70" s="132" t="s">
        <v>119</v>
      </c>
      <c r="F70" s="131"/>
      <c r="G70" s="131"/>
      <c r="H70" s="131"/>
      <c r="I70" s="131"/>
      <c r="J70" s="156">
        <f>'Input FD'!J93+'Input FD'!J90</f>
        <v>12.5972785095222</v>
      </c>
      <c r="K70" s="156">
        <f>'Input FD'!K93+'Input FD'!K90</f>
        <v>-51.295026970738498</v>
      </c>
      <c r="L70" s="156">
        <f>'Input FD'!L93+'Input FD'!L90</f>
        <v>30.783805523921298</v>
      </c>
      <c r="M70" s="156">
        <f>'Input FD'!M93+'Input FD'!M90</f>
        <v>130.97321157648099</v>
      </c>
      <c r="N70" s="365">
        <f>'Input FD'!N93+'Input FD'!N90</f>
        <v>232.06244378456901</v>
      </c>
      <c r="P70" s="136"/>
      <c r="Q70" s="131"/>
      <c r="R70" s="147" t="s">
        <v>242</v>
      </c>
    </row>
    <row r="71" spans="1:18" s="37" customFormat="1">
      <c r="C71" s="131"/>
      <c r="D71" s="153" t="s">
        <v>57</v>
      </c>
      <c r="E71" s="132" t="s">
        <v>120</v>
      </c>
      <c r="F71" s="131"/>
      <c r="G71" s="131"/>
      <c r="H71" s="131"/>
      <c r="I71" s="131"/>
      <c r="J71" s="156">
        <f>'Input FD'!J94+'Input FD'!J96+'Input FD'!J91</f>
        <v>-17.680798795440602</v>
      </c>
      <c r="K71" s="156">
        <f>'Input FD'!K94+'Input FD'!K96+'Input FD'!K91</f>
        <v>-27.812069938126101</v>
      </c>
      <c r="L71" s="156">
        <f>'Input FD'!L94+'Input FD'!L96+'Input FD'!L91</f>
        <v>-30.208876235148601</v>
      </c>
      <c r="M71" s="156">
        <f>'Input FD'!M94+'Input FD'!M96+'Input FD'!M91</f>
        <v>-5.3702994656609304</v>
      </c>
      <c r="N71" s="365">
        <f>'Input FD'!N94+'Input FD'!N96+'Input FD'!N91</f>
        <v>-61.486130087278099</v>
      </c>
      <c r="P71" s="136"/>
      <c r="Q71" s="131"/>
      <c r="R71" s="147" t="s">
        <v>242</v>
      </c>
    </row>
    <row r="72" spans="1:18" s="37" customFormat="1">
      <c r="C72" s="131"/>
      <c r="D72" s="131"/>
      <c r="E72" s="132"/>
      <c r="F72" s="131"/>
      <c r="G72" s="131"/>
      <c r="H72" s="131"/>
      <c r="I72" s="131"/>
      <c r="J72" s="156"/>
      <c r="K72" s="156"/>
      <c r="L72" s="156"/>
      <c r="M72" s="156"/>
      <c r="N72" s="365"/>
      <c r="P72" s="136"/>
      <c r="Q72" s="131"/>
      <c r="R72" s="147"/>
    </row>
    <row r="73" spans="1:18" s="37" customFormat="1">
      <c r="C73" s="131"/>
      <c r="D73" s="153" t="s">
        <v>57</v>
      </c>
      <c r="E73" s="132" t="s">
        <v>183</v>
      </c>
      <c r="F73" s="131"/>
      <c r="G73" s="131"/>
      <c r="H73" s="131"/>
      <c r="I73" s="131"/>
      <c r="J73" s="156">
        <f t="shared" ref="J73:N74" si="11">J66+J70</f>
        <v>711.00640310952213</v>
      </c>
      <c r="K73" s="156">
        <f t="shared" si="11"/>
        <v>808.67456583975559</v>
      </c>
      <c r="L73" s="156">
        <f t="shared" si="11"/>
        <v>736.56220688038229</v>
      </c>
      <c r="M73" s="156">
        <f t="shared" si="11"/>
        <v>720.057532517136</v>
      </c>
      <c r="N73" s="365">
        <f t="shared" si="11"/>
        <v>706.66596176983899</v>
      </c>
      <c r="P73" s="136"/>
      <c r="Q73" s="131"/>
      <c r="R73" s="147" t="s">
        <v>242</v>
      </c>
    </row>
    <row r="74" spans="1:18" s="37" customFormat="1">
      <c r="C74" s="131"/>
      <c r="D74" s="153" t="s">
        <v>57</v>
      </c>
      <c r="E74" s="132" t="s">
        <v>184</v>
      </c>
      <c r="F74" s="131"/>
      <c r="G74" s="131"/>
      <c r="H74" s="131"/>
      <c r="I74" s="131"/>
      <c r="J74" s="156">
        <f t="shared" si="11"/>
        <v>636.79332885077827</v>
      </c>
      <c r="K74" s="156">
        <f t="shared" si="11"/>
        <v>785.9138075478113</v>
      </c>
      <c r="L74" s="156">
        <f t="shared" si="11"/>
        <v>617.13842993777484</v>
      </c>
      <c r="M74" s="156">
        <f t="shared" si="11"/>
        <v>533.06409288221118</v>
      </c>
      <c r="N74" s="365">
        <f t="shared" si="11"/>
        <v>366.60026759964171</v>
      </c>
      <c r="P74" s="136"/>
      <c r="Q74" s="131"/>
      <c r="R74" s="147" t="s">
        <v>242</v>
      </c>
    </row>
    <row r="75" spans="1:18" s="37" customFormat="1">
      <c r="C75" s="131"/>
      <c r="D75" s="153" t="s">
        <v>57</v>
      </c>
      <c r="E75" s="132" t="s">
        <v>109</v>
      </c>
      <c r="F75" s="131"/>
      <c r="G75" s="131"/>
      <c r="H75" s="131"/>
      <c r="I75" s="131"/>
      <c r="J75" s="156">
        <f>J74*$G$111/100</f>
        <v>677.05754858535875</v>
      </c>
      <c r="K75" s="156">
        <f t="shared" ref="K75:N75" si="12">K74*$G$111/100</f>
        <v>835.60686305870081</v>
      </c>
      <c r="L75" s="156">
        <f t="shared" si="12"/>
        <v>656.15987728005916</v>
      </c>
      <c r="M75" s="156">
        <f t="shared" si="12"/>
        <v>566.76954926184885</v>
      </c>
      <c r="N75" s="365">
        <f t="shared" si="12"/>
        <v>389.78027445685387</v>
      </c>
      <c r="P75" s="136"/>
      <c r="Q75" s="131"/>
      <c r="R75" s="147" t="s">
        <v>242</v>
      </c>
    </row>
    <row r="76" spans="1:18" s="37" customFormat="1">
      <c r="C76" s="131"/>
      <c r="D76" s="153"/>
      <c r="E76" s="132"/>
      <c r="F76" s="131"/>
      <c r="G76" s="131"/>
      <c r="H76" s="131"/>
      <c r="I76" s="131"/>
      <c r="J76" s="159"/>
      <c r="K76" s="159"/>
      <c r="L76" s="159"/>
      <c r="M76" s="159"/>
      <c r="N76" s="362"/>
      <c r="P76" s="136"/>
      <c r="Q76" s="131"/>
      <c r="R76" s="147"/>
    </row>
    <row r="77" spans="1:18">
      <c r="A77" s="479"/>
      <c r="B77" s="452"/>
      <c r="C77" s="453"/>
      <c r="D77" s="481"/>
      <c r="E77" s="484" t="s">
        <v>199</v>
      </c>
      <c r="F77" s="440"/>
      <c r="G77" s="440"/>
      <c r="H77" s="440"/>
      <c r="I77" s="440"/>
      <c r="J77" s="440"/>
      <c r="K77" s="440"/>
      <c r="L77" s="440"/>
      <c r="M77" s="440"/>
      <c r="N77" s="446"/>
      <c r="O77" s="440"/>
      <c r="P77" s="475"/>
      <c r="Q77" s="476"/>
      <c r="R77" s="477"/>
    </row>
    <row r="78" spans="1:18" s="37" customFormat="1">
      <c r="C78" s="131"/>
      <c r="D78" s="153"/>
      <c r="E78" s="154"/>
      <c r="F78" s="161"/>
      <c r="G78" s="162"/>
      <c r="H78" s="162"/>
      <c r="I78" s="163"/>
      <c r="J78" s="189"/>
      <c r="K78" s="189"/>
      <c r="L78" s="189"/>
      <c r="M78" s="189"/>
      <c r="N78" s="381"/>
      <c r="P78" s="136"/>
      <c r="Q78" s="131"/>
      <c r="R78" s="147"/>
    </row>
    <row r="79" spans="1:18" s="37" customFormat="1">
      <c r="C79" s="131"/>
      <c r="D79" s="153" t="s">
        <v>57</v>
      </c>
      <c r="E79" s="132" t="s">
        <v>316</v>
      </c>
      <c r="F79" s="161"/>
      <c r="G79" s="162"/>
      <c r="H79" s="162"/>
      <c r="I79" s="163"/>
      <c r="J79" s="156">
        <f>J62*J$21</f>
        <v>344.86666261806266</v>
      </c>
      <c r="K79" s="156">
        <f t="shared" ref="K79:N81" si="13">K62*K$21</f>
        <v>434.35554919574412</v>
      </c>
      <c r="L79" s="156">
        <f t="shared" si="13"/>
        <v>292.93279975655378</v>
      </c>
      <c r="M79" s="156">
        <f t="shared" si="13"/>
        <v>271.75572321198888</v>
      </c>
      <c r="N79" s="365">
        <f t="shared" si="13"/>
        <v>215.11877067270771</v>
      </c>
      <c r="P79" s="136"/>
      <c r="Q79" s="131"/>
      <c r="R79" s="147" t="s">
        <v>242</v>
      </c>
    </row>
    <row r="80" spans="1:18" s="37" customFormat="1">
      <c r="C80" s="131"/>
      <c r="D80" s="153" t="s">
        <v>57</v>
      </c>
      <c r="E80" s="132" t="s">
        <v>317</v>
      </c>
      <c r="F80" s="161"/>
      <c r="G80" s="162"/>
      <c r="H80" s="162"/>
      <c r="I80" s="163"/>
      <c r="J80" s="156">
        <f>J63*J$21</f>
        <v>209.88045802740572</v>
      </c>
      <c r="K80" s="156">
        <f t="shared" si="13"/>
        <v>298.0928786315672</v>
      </c>
      <c r="L80" s="156">
        <f t="shared" si="13"/>
        <v>271.57502304369393</v>
      </c>
      <c r="M80" s="156">
        <f t="shared" si="13"/>
        <v>257.57309505074221</v>
      </c>
      <c r="N80" s="365">
        <f t="shared" si="13"/>
        <v>202.21531566948187</v>
      </c>
      <c r="P80" s="136"/>
      <c r="Q80" s="131"/>
      <c r="R80" s="147" t="s">
        <v>242</v>
      </c>
    </row>
    <row r="81" spans="1:18" s="37" customFormat="1">
      <c r="C81" s="131"/>
      <c r="D81" s="153" t="s">
        <v>57</v>
      </c>
      <c r="E81" s="132" t="s">
        <v>318</v>
      </c>
      <c r="F81" s="161"/>
      <c r="G81" s="162"/>
      <c r="H81" s="162"/>
      <c r="I81" s="163"/>
      <c r="J81" s="156">
        <f>J64*J$21</f>
        <v>223.36505426707714</v>
      </c>
      <c r="K81" s="156">
        <f t="shared" si="13"/>
        <v>317.24502908924916</v>
      </c>
      <c r="L81" s="156">
        <f t="shared" si="13"/>
        <v>289.02342947915866</v>
      </c>
      <c r="M81" s="156">
        <f t="shared" si="13"/>
        <v>274.12189250242415</v>
      </c>
      <c r="N81" s="365">
        <f t="shared" si="13"/>
        <v>215.20743466383155</v>
      </c>
      <c r="P81" s="136"/>
      <c r="Q81" s="131"/>
      <c r="R81" s="147" t="s">
        <v>242</v>
      </c>
    </row>
    <row r="82" spans="1:18" s="37" customFormat="1">
      <c r="C82" s="131"/>
      <c r="D82" s="153" t="s">
        <v>57</v>
      </c>
      <c r="E82" s="132" t="s">
        <v>110</v>
      </c>
      <c r="F82" s="164"/>
      <c r="G82" s="164"/>
      <c r="H82" s="164"/>
      <c r="I82" s="164"/>
      <c r="J82" s="156">
        <f>SUM('Input FD'!J65:J70)*J$15</f>
        <v>297.52272336921601</v>
      </c>
      <c r="K82" s="156">
        <f>SUM('Input FD'!K65:K70)*K$15</f>
        <v>292.42004399479276</v>
      </c>
      <c r="L82" s="156">
        <f>SUM('Input FD'!L65:L70)*L$15</f>
        <v>235.14577518492791</v>
      </c>
      <c r="M82" s="156">
        <f>SUM('Input FD'!M65:M70)*M$15</f>
        <v>246.66955855823218</v>
      </c>
      <c r="N82" s="365">
        <f>SUM('Input FD'!N65:N70)*N$15</f>
        <v>261.08059128838113</v>
      </c>
      <c r="O82" s="148"/>
      <c r="P82" s="136"/>
      <c r="Q82" s="131"/>
      <c r="R82" s="147" t="s">
        <v>242</v>
      </c>
    </row>
    <row r="83" spans="1:18" s="37" customFormat="1">
      <c r="C83" s="131"/>
      <c r="D83" s="131"/>
      <c r="E83" s="132"/>
      <c r="F83" s="161"/>
      <c r="G83" s="162"/>
      <c r="H83" s="162"/>
      <c r="I83" s="163"/>
      <c r="J83" s="156"/>
      <c r="K83" s="156"/>
      <c r="L83" s="156"/>
      <c r="M83" s="156"/>
      <c r="N83" s="365"/>
      <c r="P83" s="136"/>
      <c r="Q83" s="131"/>
      <c r="R83" s="147"/>
    </row>
    <row r="84" spans="1:18" s="37" customFormat="1">
      <c r="C84" s="131"/>
      <c r="D84" s="153" t="s">
        <v>57</v>
      </c>
      <c r="E84" s="132" t="s">
        <v>319</v>
      </c>
      <c r="F84" s="161"/>
      <c r="G84" s="162"/>
      <c r="H84" s="162"/>
      <c r="I84" s="163"/>
      <c r="J84" s="156">
        <f>J73*J$21</f>
        <v>631.76885210883097</v>
      </c>
      <c r="K84" s="156">
        <f t="shared" ref="K84:N86" si="14">K73*K$21</f>
        <v>702.09651902862652</v>
      </c>
      <c r="L84" s="156">
        <f t="shared" si="14"/>
        <v>640.77324483588757</v>
      </c>
      <c r="M84" s="156">
        <f t="shared" si="14"/>
        <v>630.91059987965139</v>
      </c>
      <c r="N84" s="365">
        <f t="shared" si="14"/>
        <v>615.04851911931451</v>
      </c>
      <c r="P84" s="136"/>
      <c r="Q84" s="131"/>
      <c r="R84" s="147" t="s">
        <v>242</v>
      </c>
    </row>
    <row r="85" spans="1:18" s="37" customFormat="1">
      <c r="C85" s="131"/>
      <c r="D85" s="153" t="s">
        <v>57</v>
      </c>
      <c r="E85" s="132" t="s">
        <v>320</v>
      </c>
      <c r="F85" s="161"/>
      <c r="G85" s="162"/>
      <c r="H85" s="162"/>
      <c r="I85" s="163"/>
      <c r="J85" s="156">
        <f>J74*J$21</f>
        <v>565.82639571059815</v>
      </c>
      <c r="K85" s="156">
        <f t="shared" si="14"/>
        <v>682.33548060567136</v>
      </c>
      <c r="L85" s="156">
        <f t="shared" si="14"/>
        <v>536.88037557481334</v>
      </c>
      <c r="M85" s="156">
        <f t="shared" si="14"/>
        <v>467.06793752847017</v>
      </c>
      <c r="N85" s="365">
        <f t="shared" si="14"/>
        <v>319.07147633260689</v>
      </c>
      <c r="P85" s="136"/>
      <c r="Q85" s="131"/>
      <c r="R85" s="147" t="s">
        <v>242</v>
      </c>
    </row>
    <row r="86" spans="1:18" s="37" customFormat="1">
      <c r="C86" s="131"/>
      <c r="D86" s="153" t="s">
        <v>57</v>
      </c>
      <c r="E86" s="132" t="s">
        <v>321</v>
      </c>
      <c r="F86" s="161"/>
      <c r="G86" s="162"/>
      <c r="H86" s="162"/>
      <c r="I86" s="163"/>
      <c r="J86" s="156">
        <f>J75*J$21</f>
        <v>601.60340105334092</v>
      </c>
      <c r="K86" s="156">
        <f t="shared" si="14"/>
        <v>725.47931468664251</v>
      </c>
      <c r="L86" s="156">
        <f t="shared" si="14"/>
        <v>570.82713417597643</v>
      </c>
      <c r="M86" s="156">
        <f t="shared" si="14"/>
        <v>496.6004800592832</v>
      </c>
      <c r="N86" s="365">
        <f t="shared" si="14"/>
        <v>339.24625432106097</v>
      </c>
      <c r="P86" s="136"/>
      <c r="Q86" s="131"/>
      <c r="R86" s="147" t="s">
        <v>242</v>
      </c>
    </row>
    <row r="87" spans="1:18" s="37" customFormat="1">
      <c r="C87" s="131"/>
      <c r="D87" s="153" t="s">
        <v>57</v>
      </c>
      <c r="E87" s="132" t="s">
        <v>111</v>
      </c>
      <c r="F87" s="131"/>
      <c r="G87" s="132"/>
      <c r="H87" s="132"/>
      <c r="I87" s="131"/>
      <c r="J87" s="156">
        <f>IF('Input FD'!$O$151=1,0,SUM('Input FD'!J72:J77)*J$15)</f>
        <v>516.38523078811454</v>
      </c>
      <c r="K87" s="156">
        <f>IF('Input FD'!$O$151=1,0,SUM('Input FD'!K72:K77)*K$15)</f>
        <v>585.62048966644477</v>
      </c>
      <c r="L87" s="156">
        <f>IF('Input FD'!$O$151=1,0,SUM('Input FD'!L72:L77)*L$15)</f>
        <v>492.89275436076286</v>
      </c>
      <c r="M87" s="156">
        <f>IF('Input FD'!$O$151=1,0,SUM('Input FD'!M72:M77)*M$15)</f>
        <v>498.50581632330659</v>
      </c>
      <c r="N87" s="365">
        <f>IF('Input FD'!$O$151=1,0,SUM('Input FD'!N72:N77)*N$15)</f>
        <v>477.43064765252643</v>
      </c>
      <c r="O87" s="131"/>
      <c r="P87" s="136"/>
      <c r="Q87" s="131"/>
      <c r="R87" s="147" t="s">
        <v>242</v>
      </c>
    </row>
    <row r="88" spans="1:18" s="37" customFormat="1">
      <c r="C88" s="131"/>
      <c r="D88" s="153"/>
      <c r="E88" s="154"/>
      <c r="F88" s="161"/>
      <c r="G88" s="162"/>
      <c r="H88" s="162"/>
      <c r="I88" s="163"/>
      <c r="J88" s="156"/>
      <c r="K88" s="156"/>
      <c r="L88" s="156"/>
      <c r="M88" s="156"/>
      <c r="N88" s="365"/>
      <c r="P88" s="136"/>
      <c r="Q88" s="131"/>
      <c r="R88" s="147"/>
    </row>
    <row r="89" spans="1:18" s="37" customFormat="1">
      <c r="C89" s="131"/>
      <c r="D89" s="153"/>
      <c r="E89" s="154"/>
      <c r="F89" s="161"/>
      <c r="G89" s="162"/>
      <c r="H89" s="162"/>
      <c r="I89" s="163"/>
      <c r="J89" s="189"/>
      <c r="K89" s="189"/>
      <c r="L89" s="189"/>
      <c r="M89" s="189"/>
      <c r="N89" s="381"/>
      <c r="P89" s="136"/>
      <c r="Q89" s="131"/>
      <c r="R89" s="147"/>
    </row>
    <row r="90" spans="1:18">
      <c r="A90" s="479"/>
      <c r="B90" s="452"/>
      <c r="C90" s="453"/>
      <c r="D90" s="467" t="s">
        <v>38</v>
      </c>
      <c r="E90" s="483" t="s">
        <v>76</v>
      </c>
      <c r="F90" s="482"/>
      <c r="G90" s="482"/>
      <c r="H90" s="482"/>
      <c r="I90" s="440"/>
      <c r="J90" s="440"/>
      <c r="K90" s="440"/>
      <c r="L90" s="440"/>
      <c r="M90" s="440"/>
      <c r="N90" s="446"/>
      <c r="O90" s="440"/>
      <c r="P90" s="475"/>
      <c r="Q90" s="476"/>
      <c r="R90" s="477"/>
    </row>
    <row r="91" spans="1:18">
      <c r="C91" s="19"/>
      <c r="D91" s="19"/>
      <c r="E91" s="20"/>
      <c r="F91" s="79"/>
      <c r="G91" s="80"/>
      <c r="H91" s="79"/>
      <c r="I91" s="19"/>
      <c r="J91" s="65"/>
      <c r="K91" s="65"/>
      <c r="L91" s="65"/>
      <c r="M91" s="65"/>
      <c r="N91" s="90"/>
      <c r="P91" s="84"/>
      <c r="Q91" s="19"/>
      <c r="R91" s="100"/>
    </row>
    <row r="92" spans="1:18">
      <c r="A92" s="479"/>
      <c r="B92" s="452"/>
      <c r="C92" s="453"/>
      <c r="D92" s="467" t="s">
        <v>38</v>
      </c>
      <c r="E92" s="483" t="s">
        <v>103</v>
      </c>
      <c r="F92" s="482"/>
      <c r="G92" s="482"/>
      <c r="H92" s="482"/>
      <c r="I92" s="440"/>
      <c r="J92" s="440"/>
      <c r="K92" s="440"/>
      <c r="L92" s="440"/>
      <c r="M92" s="440"/>
      <c r="N92" s="446"/>
      <c r="O92" s="440"/>
      <c r="P92" s="475"/>
      <c r="Q92" s="476"/>
      <c r="R92" s="477"/>
    </row>
    <row r="93" spans="1:18" s="37" customFormat="1">
      <c r="A93" s="109"/>
      <c r="B93" s="109"/>
      <c r="C93" s="104"/>
      <c r="D93" s="104"/>
      <c r="E93" s="173"/>
      <c r="F93" s="104"/>
      <c r="G93" s="148"/>
      <c r="H93" s="104"/>
      <c r="I93" s="104"/>
      <c r="J93" s="106"/>
      <c r="K93" s="106"/>
      <c r="L93" s="106"/>
      <c r="M93" s="106"/>
      <c r="N93" s="364"/>
      <c r="O93" s="109"/>
      <c r="P93" s="136"/>
      <c r="Q93" s="104"/>
      <c r="R93" s="160"/>
    </row>
    <row r="94" spans="1:18" s="37" customFormat="1">
      <c r="A94" s="109"/>
      <c r="B94" s="109"/>
      <c r="C94" s="654" t="s">
        <v>583</v>
      </c>
      <c r="D94" s="104" t="s">
        <v>55</v>
      </c>
      <c r="E94" s="165" t="s">
        <v>175</v>
      </c>
      <c r="F94" s="104"/>
      <c r="G94" s="166">
        <f>SUM(J55:N55)/SUM(J56:N56)*100</f>
        <v>125.26368929866103</v>
      </c>
      <c r="H94" s="167"/>
      <c r="I94" s="168"/>
      <c r="J94" s="106"/>
      <c r="K94" s="106"/>
      <c r="L94" s="106"/>
      <c r="M94" s="106"/>
      <c r="N94" s="364"/>
      <c r="O94" s="109"/>
      <c r="P94" s="136"/>
      <c r="Q94" s="104"/>
      <c r="R94" s="160" t="s">
        <v>75</v>
      </c>
    </row>
    <row r="95" spans="1:18" s="37" customFormat="1">
      <c r="A95" s="109"/>
      <c r="B95" s="109"/>
      <c r="C95" s="104"/>
      <c r="D95" s="104" t="s">
        <v>55</v>
      </c>
      <c r="E95" s="165" t="s">
        <v>308</v>
      </c>
      <c r="F95" s="104"/>
      <c r="G95" s="166">
        <f>IF(G94&gt;'Input FD'!O146,'Input FD'!O137+'Input FD'!O136*'Input FD'!O146,IF(G94&gt;'Input FD'!$O$145,'Input FD'!O137+'Input FD'!O136*G94,'Input FD'!O128+'Input FD'!O127*G94))</f>
        <v>106.31592232466525</v>
      </c>
      <c r="H95" s="104"/>
      <c r="I95" s="104"/>
      <c r="J95" s="106"/>
      <c r="K95" s="106"/>
      <c r="L95" s="106"/>
      <c r="M95" s="106"/>
      <c r="N95" s="364"/>
      <c r="O95" s="109"/>
      <c r="P95" s="136"/>
      <c r="Q95" s="104"/>
      <c r="R95" s="160" t="s">
        <v>75</v>
      </c>
    </row>
    <row r="96" spans="1:18" s="37" customFormat="1">
      <c r="A96" s="109"/>
      <c r="B96" s="109"/>
      <c r="C96" s="104"/>
      <c r="D96" s="104" t="s">
        <v>55</v>
      </c>
      <c r="E96" s="165" t="s">
        <v>14</v>
      </c>
      <c r="F96" s="104"/>
      <c r="G96" s="169">
        <f>IF(G94&gt;'Input FD'!O146,'Input FD'!O135+'Input FD'!O134*'Input FD'!O146,IF(G94&gt;100,'Input FD'!O135+'Input FD'!O134*G94,'Input FD'!O126+'Input FD'!O125*G94))</f>
        <v>0.1736815535066949</v>
      </c>
      <c r="H96" s="104"/>
      <c r="I96" s="104"/>
      <c r="J96" s="106"/>
      <c r="K96" s="106"/>
      <c r="L96" s="106"/>
      <c r="M96" s="106"/>
      <c r="N96" s="364"/>
      <c r="O96" s="109"/>
      <c r="P96" s="136"/>
      <c r="Q96" s="104"/>
      <c r="R96" s="160" t="s">
        <v>75</v>
      </c>
    </row>
    <row r="97" spans="1:18" s="37" customFormat="1">
      <c r="A97" s="109"/>
      <c r="B97" s="109"/>
      <c r="C97" s="104"/>
      <c r="D97" s="104" t="s">
        <v>55</v>
      </c>
      <c r="E97" s="165" t="s">
        <v>309</v>
      </c>
      <c r="F97" s="104"/>
      <c r="G97" s="161">
        <f>IF(G94&gt;'Input FD'!$O$146,'Input FD'!$O$140+'Input FD'!$O$139*'Input FD'!$O$146+'Input FD'!$O$138*'Input FD'!$O$146^2-(G94-'Input FD'!$O$146)*'Input FD'!$O$143,IF(G94&gt;100,'Input FD'!$O$140+'Input FD'!$O$139*G94+'Input FD'!$O$138*G94^2,'Input FD'!$O$131+'Input FD'!$O$130*G94+'Input FD'!$O$129*G94^2))</f>
        <v>-2.6925941936236804</v>
      </c>
      <c r="H97" s="170"/>
      <c r="I97" s="104"/>
      <c r="J97" s="106"/>
      <c r="K97" s="106"/>
      <c r="L97" s="106"/>
      <c r="M97" s="106"/>
      <c r="N97" s="364"/>
      <c r="O97" s="109"/>
      <c r="P97" s="171"/>
      <c r="Q97" s="172"/>
      <c r="R97" s="160" t="s">
        <v>75</v>
      </c>
    </row>
    <row r="98" spans="1:18" s="37" customFormat="1">
      <c r="A98" s="109"/>
      <c r="B98" s="109"/>
      <c r="C98" s="104"/>
      <c r="D98" s="104"/>
      <c r="E98" s="173"/>
      <c r="F98" s="104"/>
      <c r="G98" s="161"/>
      <c r="H98" s="104"/>
      <c r="I98" s="104"/>
      <c r="J98" s="106"/>
      <c r="K98" s="106"/>
      <c r="L98" s="106"/>
      <c r="M98" s="106"/>
      <c r="N98" s="364"/>
      <c r="O98" s="109"/>
      <c r="P98" s="136"/>
      <c r="Q98" s="104"/>
      <c r="R98" s="160"/>
    </row>
    <row r="99" spans="1:18" s="37" customFormat="1">
      <c r="A99" s="109"/>
      <c r="B99" s="109"/>
      <c r="C99" s="654" t="s">
        <v>587</v>
      </c>
      <c r="D99" s="104" t="s">
        <v>55</v>
      </c>
      <c r="E99" s="165" t="s">
        <v>176</v>
      </c>
      <c r="F99" s="104"/>
      <c r="G99" s="660">
        <f>IF(SUM(J67:N67)=0,0,SUM(J66:N66)/SUM(J67:N67)*100)</f>
        <v>107.97441355193162</v>
      </c>
      <c r="H99" s="167"/>
      <c r="I99" s="104"/>
      <c r="J99" s="106"/>
      <c r="K99" s="106"/>
      <c r="L99" s="106"/>
      <c r="M99" s="106"/>
      <c r="N99" s="364"/>
      <c r="O99" s="109"/>
      <c r="P99" s="136"/>
      <c r="Q99" s="104"/>
      <c r="R99" s="160" t="s">
        <v>75</v>
      </c>
    </row>
    <row r="100" spans="1:18" s="37" customFormat="1">
      <c r="A100" s="109"/>
      <c r="B100" s="109"/>
      <c r="C100" s="104"/>
      <c r="D100" s="104" t="s">
        <v>55</v>
      </c>
      <c r="E100" s="165" t="s">
        <v>310</v>
      </c>
      <c r="F100" s="104"/>
      <c r="G100" s="166">
        <f>IF(G99&gt;'Input FD'!O146,'Input FD'!O137+'Input FD'!O136*'Input FD'!O146,IF(G99&gt;'Input FD'!$O$145,'Input FD'!O137+'Input FD'!O136*G99,'Input FD'!O128+'Input FD'!O127*G99))</f>
        <v>101.9936033879829</v>
      </c>
      <c r="H100" s="166"/>
      <c r="I100" s="104"/>
      <c r="J100" s="106"/>
      <c r="K100" s="106"/>
      <c r="L100" s="106"/>
      <c r="M100" s="106"/>
      <c r="N100" s="364"/>
      <c r="O100" s="109"/>
      <c r="P100" s="136"/>
      <c r="Q100" s="104"/>
      <c r="R100" s="160" t="s">
        <v>75</v>
      </c>
    </row>
    <row r="101" spans="1:18" s="37" customFormat="1">
      <c r="A101" s="109"/>
      <c r="B101" s="109"/>
      <c r="C101" s="104"/>
      <c r="D101" s="104" t="s">
        <v>55</v>
      </c>
      <c r="E101" s="165" t="s">
        <v>15</v>
      </c>
      <c r="F101" s="104"/>
      <c r="G101" s="169">
        <f>IF(G99&gt;'Input FD'!O146,'Input FD'!O135+'Input FD'!O134*'Input FD'!O146,IF(G99&gt;100,'Input FD'!O135+'Input FD'!O134*G99,'Input FD'!O126+'Input FD'!O125*G99))</f>
        <v>0.26012793224034192</v>
      </c>
      <c r="H101" s="104"/>
      <c r="I101" s="104"/>
      <c r="J101" s="106"/>
      <c r="K101" s="106"/>
      <c r="L101" s="106"/>
      <c r="M101" s="106"/>
      <c r="N101" s="364"/>
      <c r="O101" s="109"/>
      <c r="P101" s="136"/>
      <c r="Q101" s="104"/>
      <c r="R101" s="160" t="s">
        <v>75</v>
      </c>
    </row>
    <row r="102" spans="1:18" s="37" customFormat="1">
      <c r="A102" s="109"/>
      <c r="B102" s="109"/>
      <c r="C102" s="104"/>
      <c r="D102" s="104" t="s">
        <v>55</v>
      </c>
      <c r="E102" s="165" t="s">
        <v>311</v>
      </c>
      <c r="F102" s="104"/>
      <c r="G102" s="161">
        <f>IF('Input FD'!$O$151=1,0,IF(G99&gt;'Input FD'!$O$146,'Input FD'!$O$140+'Input FD'!$O$139*'Input FD'!$O$146+'Input FD'!$O$138*'Input FD'!$O$146^2-(G99-'Input FD'!$O$146)*'Input FD'!$O$143,IF(G99&gt;100,'Input FD'!$O$140+'Input FD'!$O$139*G99+'Input FD'!$O$138*G99^2,'Input FD'!$O$131+'Input FD'!$O$130*G99+'Input FD'!$O$129*G99^2)))</f>
        <v>-0.67757010576641186</v>
      </c>
      <c r="H102" s="166"/>
      <c r="I102" s="104"/>
      <c r="J102" s="106"/>
      <c r="K102" s="106"/>
      <c r="L102" s="106"/>
      <c r="M102" s="106"/>
      <c r="N102" s="364"/>
      <c r="O102" s="109"/>
      <c r="P102" s="136"/>
      <c r="Q102" s="104"/>
      <c r="R102" s="160" t="s">
        <v>75</v>
      </c>
    </row>
    <row r="103" spans="1:18" s="37" customFormat="1">
      <c r="A103" s="109"/>
      <c r="B103" s="109"/>
      <c r="C103" s="104"/>
      <c r="D103" s="104"/>
      <c r="E103" s="173"/>
      <c r="F103" s="104"/>
      <c r="G103" s="179"/>
      <c r="H103" s="104"/>
      <c r="I103" s="104"/>
      <c r="J103" s="106"/>
      <c r="K103" s="106"/>
      <c r="L103" s="106"/>
      <c r="M103" s="106"/>
      <c r="N103" s="364"/>
      <c r="O103" s="109"/>
      <c r="P103" s="136"/>
      <c r="Q103" s="104"/>
      <c r="R103" s="160"/>
    </row>
    <row r="104" spans="1:18">
      <c r="A104" s="479"/>
      <c r="B104" s="452"/>
      <c r="C104" s="453"/>
      <c r="D104" s="467" t="s">
        <v>38</v>
      </c>
      <c r="E104" s="483" t="s">
        <v>187</v>
      </c>
      <c r="F104" s="440"/>
      <c r="G104" s="440"/>
      <c r="H104" s="440"/>
      <c r="I104" s="440"/>
      <c r="J104" s="440"/>
      <c r="K104" s="440"/>
      <c r="L104" s="440"/>
      <c r="M104" s="440"/>
      <c r="N104" s="446"/>
      <c r="O104" s="440"/>
      <c r="P104" s="475"/>
      <c r="Q104" s="476"/>
      <c r="R104" s="477"/>
    </row>
    <row r="105" spans="1:18" s="37" customFormat="1">
      <c r="C105" s="131"/>
      <c r="D105" s="131"/>
      <c r="E105" s="173"/>
      <c r="F105" s="131"/>
      <c r="G105" s="148"/>
      <c r="H105" s="131"/>
      <c r="I105" s="131"/>
      <c r="J105" s="106"/>
      <c r="K105" s="106"/>
      <c r="L105" s="106"/>
      <c r="M105" s="106"/>
      <c r="N105" s="364"/>
      <c r="P105" s="136"/>
      <c r="Q105" s="131"/>
      <c r="R105" s="147"/>
    </row>
    <row r="106" spans="1:18" s="37" customFormat="1">
      <c r="C106" s="654" t="s">
        <v>584</v>
      </c>
      <c r="D106" s="131" t="s">
        <v>55</v>
      </c>
      <c r="E106" s="173" t="s">
        <v>312</v>
      </c>
      <c r="F106" s="131"/>
      <c r="G106" s="661">
        <f>SUM(J62:N62)/SUM(J63:N63)*100</f>
        <v>125.69957463674039</v>
      </c>
      <c r="H106" s="175"/>
      <c r="I106" s="131"/>
      <c r="J106" s="106"/>
      <c r="K106" s="106"/>
      <c r="L106" s="106"/>
      <c r="M106" s="106"/>
      <c r="N106" s="364"/>
      <c r="P106" s="136"/>
      <c r="Q106" s="131"/>
      <c r="R106" s="147" t="s">
        <v>75</v>
      </c>
    </row>
    <row r="107" spans="1:18" s="37" customFormat="1">
      <c r="C107" s="131"/>
      <c r="D107" s="131" t="s">
        <v>55</v>
      </c>
      <c r="E107" s="173" t="s">
        <v>306</v>
      </c>
      <c r="F107" s="131"/>
      <c r="G107" s="174">
        <f>IF(G106&gt;'Input FD'!O146,'Input FD'!O137+'Input FD'!O136*'Input FD'!O146,IF(G106&gt;'Input FD'!$O$145,'Input FD'!O137+'Input FD'!O136*G106,'Input FD'!O128+'Input FD'!O127*G106))</f>
        <v>106.4248936591851</v>
      </c>
      <c r="H107" s="175"/>
      <c r="I107" s="131"/>
      <c r="J107" s="106"/>
      <c r="K107" s="106"/>
      <c r="L107" s="106"/>
      <c r="M107" s="106"/>
      <c r="N107" s="364"/>
      <c r="P107" s="136"/>
      <c r="Q107" s="131"/>
      <c r="R107" s="147" t="s">
        <v>75</v>
      </c>
    </row>
    <row r="108" spans="1:18" s="37" customFormat="1">
      <c r="C108" s="131"/>
      <c r="D108" s="131" t="s">
        <v>55</v>
      </c>
      <c r="E108" s="173" t="s">
        <v>307</v>
      </c>
      <c r="F108" s="131"/>
      <c r="G108" s="163">
        <f>IF(G106&gt;'Input FD'!O146,'Input FD'!O135+'Input FD'!O134*'Input FD'!O146,IF(G106&gt;100,'Input FD'!O135+'Input FD'!O134*G106,'Input FD'!O126+'Input FD'!O125*G106))</f>
        <v>0.17150212681629806</v>
      </c>
      <c r="H108" s="175"/>
      <c r="I108" s="131"/>
      <c r="J108" s="106"/>
      <c r="K108" s="106"/>
      <c r="L108" s="106"/>
      <c r="M108" s="106"/>
      <c r="N108" s="364"/>
      <c r="P108" s="136"/>
      <c r="Q108" s="131"/>
      <c r="R108" s="147" t="s">
        <v>75</v>
      </c>
    </row>
    <row r="109" spans="1:18" s="37" customFormat="1">
      <c r="C109" s="131"/>
      <c r="D109" s="131"/>
      <c r="E109" s="173"/>
      <c r="F109" s="131"/>
      <c r="G109" s="163"/>
      <c r="H109" s="131"/>
      <c r="I109" s="131"/>
      <c r="J109" s="106"/>
      <c r="K109" s="106"/>
      <c r="L109" s="106"/>
      <c r="M109" s="106"/>
      <c r="N109" s="364"/>
      <c r="P109" s="136"/>
      <c r="Q109" s="131"/>
      <c r="R109" s="147"/>
    </row>
    <row r="110" spans="1:18" s="37" customFormat="1">
      <c r="C110" s="654" t="s">
        <v>588</v>
      </c>
      <c r="D110" s="131" t="s">
        <v>55</v>
      </c>
      <c r="E110" s="173" t="s">
        <v>313</v>
      </c>
      <c r="F110" s="131"/>
      <c r="G110" s="661">
        <f>IF(SUM(J74:N74)=0,0,SUM(J73:N73)/SUM(J74:N74)*100)</f>
        <v>125.29186026948203</v>
      </c>
      <c r="H110" s="174"/>
      <c r="I110" s="131"/>
      <c r="J110" s="106"/>
      <c r="K110" s="106"/>
      <c r="L110" s="106"/>
      <c r="M110" s="106"/>
      <c r="N110" s="364"/>
      <c r="P110" s="136"/>
      <c r="Q110" s="131"/>
      <c r="R110" s="147" t="s">
        <v>75</v>
      </c>
    </row>
    <row r="111" spans="1:18" s="37" customFormat="1">
      <c r="C111" s="131"/>
      <c r="D111" s="131" t="s">
        <v>55</v>
      </c>
      <c r="E111" s="173" t="s">
        <v>314</v>
      </c>
      <c r="F111" s="131"/>
      <c r="G111" s="174">
        <f>IF(G110&gt;'Input FD'!O146,'Input FD'!O137+'Input FD'!O136*'Input FD'!O146,IF(G110&gt;'Input FD'!$O$145,'Input FD'!O137+'Input FD'!O136*G110,'Input FD'!O128+'Input FD'!O127*G110))</f>
        <v>106.3229650673705</v>
      </c>
      <c r="H111" s="174"/>
      <c r="I111" s="131"/>
      <c r="J111" s="106"/>
      <c r="K111" s="106"/>
      <c r="L111" s="106"/>
      <c r="M111" s="106"/>
      <c r="N111" s="364"/>
      <c r="P111" s="136"/>
      <c r="Q111" s="131"/>
      <c r="R111" s="147" t="s">
        <v>75</v>
      </c>
    </row>
    <row r="112" spans="1:18" s="37" customFormat="1">
      <c r="C112" s="131"/>
      <c r="D112" s="131" t="s">
        <v>55</v>
      </c>
      <c r="E112" s="173" t="s">
        <v>315</v>
      </c>
      <c r="F112" s="131"/>
      <c r="G112" s="163">
        <f>IF(G110&gt;'Input FD'!O146,'Input FD'!O135+'Input FD'!O134*'Input FD'!O146,IF(G110&gt;100,'Input FD'!O135+'Input FD'!O134*G110,'Input FD'!O126+'Input FD'!O125*G110))</f>
        <v>0.17354069865258992</v>
      </c>
      <c r="H112" s="163"/>
      <c r="I112" s="131"/>
      <c r="J112" s="106"/>
      <c r="K112" s="106"/>
      <c r="L112" s="106"/>
      <c r="M112" s="106"/>
      <c r="N112" s="364"/>
      <c r="P112" s="136"/>
      <c r="Q112" s="131"/>
      <c r="R112" s="147" t="s">
        <v>75</v>
      </c>
    </row>
    <row r="113" spans="1:18" s="37" customFormat="1">
      <c r="C113" s="131"/>
      <c r="D113" s="131"/>
      <c r="E113" s="173"/>
      <c r="F113" s="131"/>
      <c r="G113" s="163"/>
      <c r="H113" s="131"/>
      <c r="I113" s="131"/>
      <c r="J113" s="106"/>
      <c r="K113" s="106"/>
      <c r="L113" s="106"/>
      <c r="M113" s="106"/>
      <c r="N113" s="364"/>
      <c r="P113" s="136"/>
      <c r="Q113" s="131"/>
      <c r="R113" s="147"/>
    </row>
    <row r="114" spans="1:18">
      <c r="A114" s="479"/>
      <c r="B114" s="452"/>
      <c r="C114" s="453"/>
      <c r="D114" s="467" t="s">
        <v>38</v>
      </c>
      <c r="E114" s="483" t="s">
        <v>188</v>
      </c>
      <c r="F114" s="440"/>
      <c r="G114" s="440"/>
      <c r="H114" s="440"/>
      <c r="I114" s="440"/>
      <c r="J114" s="440"/>
      <c r="K114" s="440"/>
      <c r="L114" s="440"/>
      <c r="M114" s="440"/>
      <c r="N114" s="446"/>
      <c r="O114" s="440"/>
      <c r="P114" s="475"/>
      <c r="Q114" s="476"/>
      <c r="R114" s="477"/>
    </row>
    <row r="115" spans="1:18" s="37" customFormat="1">
      <c r="C115" s="131"/>
      <c r="D115" s="131"/>
      <c r="E115" s="173"/>
      <c r="F115" s="131"/>
      <c r="G115" s="163"/>
      <c r="H115" s="131"/>
      <c r="I115" s="131"/>
      <c r="J115" s="106"/>
      <c r="K115" s="106"/>
      <c r="L115" s="106"/>
      <c r="M115" s="106"/>
      <c r="N115" s="364"/>
      <c r="P115" s="136"/>
      <c r="Q115" s="131"/>
      <c r="R115" s="147"/>
    </row>
    <row r="116" spans="1:18" s="37" customFormat="1">
      <c r="C116" s="654" t="s">
        <v>585</v>
      </c>
      <c r="D116" s="131" t="s">
        <v>55</v>
      </c>
      <c r="E116" s="173" t="s">
        <v>304</v>
      </c>
      <c r="F116" s="131"/>
      <c r="G116" s="661">
        <f>SUM(J82:N82)/SUM(J80:N80)*100</f>
        <v>107.54451285591679</v>
      </c>
      <c r="H116" s="131"/>
      <c r="I116" s="131"/>
      <c r="J116" s="106"/>
      <c r="K116" s="106"/>
      <c r="L116" s="106"/>
      <c r="M116" s="106"/>
      <c r="N116" s="364"/>
      <c r="P116" s="136"/>
      <c r="Q116" s="131"/>
      <c r="R116" s="147" t="s">
        <v>75</v>
      </c>
    </row>
    <row r="117" spans="1:18" s="37" customFormat="1">
      <c r="C117" s="654" t="s">
        <v>586</v>
      </c>
      <c r="D117" s="131" t="s">
        <v>55</v>
      </c>
      <c r="E117" s="173" t="s">
        <v>83</v>
      </c>
      <c r="F117" s="131"/>
      <c r="G117" s="161">
        <f>((G107-G116)*G108)+G97</f>
        <v>-2.8846112670875206</v>
      </c>
      <c r="H117" s="131"/>
      <c r="I117" s="131"/>
      <c r="J117" s="106"/>
      <c r="K117" s="106"/>
      <c r="L117" s="106"/>
      <c r="M117" s="106"/>
      <c r="N117" s="364"/>
      <c r="P117" s="136"/>
      <c r="Q117" s="131"/>
      <c r="R117" s="147" t="s">
        <v>75</v>
      </c>
    </row>
    <row r="118" spans="1:18" s="37" customFormat="1">
      <c r="C118" s="131"/>
      <c r="D118" s="131"/>
      <c r="E118" s="173"/>
      <c r="F118" s="131"/>
      <c r="G118" s="161"/>
      <c r="H118" s="131"/>
      <c r="I118" s="131"/>
      <c r="J118" s="106"/>
      <c r="K118" s="106"/>
      <c r="L118" s="106"/>
      <c r="M118" s="106"/>
      <c r="N118" s="364"/>
      <c r="P118" s="136"/>
      <c r="Q118" s="131"/>
      <c r="R118" s="147"/>
    </row>
    <row r="119" spans="1:18" s="37" customFormat="1">
      <c r="C119" s="654" t="s">
        <v>589</v>
      </c>
      <c r="D119" s="131" t="s">
        <v>55</v>
      </c>
      <c r="E119" s="173" t="s">
        <v>305</v>
      </c>
      <c r="F119" s="131"/>
      <c r="G119" s="661">
        <f>IF(SUM(J85:N85)=0,0,SUM(J87:N87)/SUM(J85:N85)*100)</f>
        <v>99.986514878912544</v>
      </c>
      <c r="H119" s="131"/>
      <c r="I119" s="131"/>
      <c r="J119" s="106"/>
      <c r="K119" s="106"/>
      <c r="L119" s="106"/>
      <c r="M119" s="106"/>
      <c r="N119" s="364"/>
      <c r="P119" s="136"/>
      <c r="Q119" s="131"/>
      <c r="R119" s="147" t="s">
        <v>75</v>
      </c>
    </row>
    <row r="120" spans="1:18" s="37" customFormat="1">
      <c r="C120" s="654" t="s">
        <v>590</v>
      </c>
      <c r="D120" s="131" t="s">
        <v>55</v>
      </c>
      <c r="E120" s="173" t="s">
        <v>84</v>
      </c>
      <c r="F120" s="131"/>
      <c r="G120" s="161">
        <f>IF('Input FD'!$O$151=1,0,((G111-G119)*G112)+G102)</f>
        <v>0.42206188691591762</v>
      </c>
      <c r="H120" s="174"/>
      <c r="I120" s="131"/>
      <c r="J120" s="106"/>
      <c r="K120" s="106"/>
      <c r="L120" s="106"/>
      <c r="M120" s="106"/>
      <c r="N120" s="364"/>
      <c r="P120" s="136"/>
      <c r="Q120" s="131"/>
      <c r="R120" s="147" t="s">
        <v>75</v>
      </c>
    </row>
    <row r="121" spans="1:18" s="37" customFormat="1" ht="12.75" customHeight="1">
      <c r="C121" s="131"/>
      <c r="D121" s="131"/>
      <c r="E121" s="173"/>
      <c r="F121" s="131"/>
      <c r="G121" s="148"/>
      <c r="H121" s="131"/>
      <c r="I121" s="131"/>
      <c r="J121" s="106"/>
      <c r="K121" s="106"/>
      <c r="L121" s="106"/>
      <c r="M121" s="106"/>
      <c r="N121" s="364"/>
      <c r="P121" s="136"/>
      <c r="Q121" s="131"/>
      <c r="R121" s="147"/>
    </row>
    <row r="122" spans="1:18" ht="12.75" customHeight="1">
      <c r="A122" s="479"/>
      <c r="B122" s="452"/>
      <c r="C122" s="453"/>
      <c r="D122" s="481"/>
      <c r="E122" s="483" t="s">
        <v>189</v>
      </c>
      <c r="F122" s="440"/>
      <c r="G122" s="440"/>
      <c r="H122" s="440"/>
      <c r="I122" s="440"/>
      <c r="J122" s="440"/>
      <c r="K122" s="440"/>
      <c r="L122" s="440"/>
      <c r="M122" s="440"/>
      <c r="N122" s="446"/>
      <c r="O122" s="440"/>
      <c r="P122" s="475"/>
      <c r="Q122" s="476"/>
      <c r="R122" s="477"/>
    </row>
    <row r="123" spans="1:18" s="37" customFormat="1" ht="12.75" customHeight="1">
      <c r="A123" s="109"/>
      <c r="B123" s="109"/>
      <c r="C123" s="104"/>
      <c r="D123" s="104"/>
      <c r="E123" s="177"/>
      <c r="F123" s="104"/>
      <c r="G123" s="104"/>
      <c r="H123" s="104"/>
      <c r="I123" s="104"/>
      <c r="J123" s="106"/>
      <c r="K123" s="106"/>
      <c r="L123" s="106"/>
      <c r="M123" s="106"/>
      <c r="N123" s="364"/>
      <c r="O123" s="368"/>
      <c r="P123" s="107"/>
      <c r="Q123" s="104"/>
      <c r="R123" s="160"/>
    </row>
    <row r="124" spans="1:18" s="37" customFormat="1" ht="12.75" customHeight="1">
      <c r="C124" s="131"/>
      <c r="D124" s="131" t="s">
        <v>57</v>
      </c>
      <c r="E124" s="132" t="s">
        <v>323</v>
      </c>
      <c r="F124" s="132"/>
      <c r="G124" s="132"/>
      <c r="H124" s="131"/>
      <c r="I124" s="131"/>
      <c r="J124" s="106"/>
      <c r="K124" s="106"/>
      <c r="L124" s="106"/>
      <c r="M124" s="106"/>
      <c r="N124" s="364"/>
      <c r="O124" s="361"/>
      <c r="P124" s="176">
        <f>SUM(J80:N80)*G117/100</f>
        <v>-35.750048116777315</v>
      </c>
      <c r="Q124" s="148"/>
      <c r="R124" s="147" t="s">
        <v>242</v>
      </c>
    </row>
    <row r="125" spans="1:18" s="37" customFormat="1" ht="12.75" customHeight="1">
      <c r="C125" s="131"/>
      <c r="D125" s="131" t="s">
        <v>57</v>
      </c>
      <c r="E125" s="132" t="s">
        <v>324</v>
      </c>
      <c r="F125" s="132"/>
      <c r="G125" s="132"/>
      <c r="H125" s="131"/>
      <c r="I125" s="131"/>
      <c r="J125" s="106"/>
      <c r="K125" s="106"/>
      <c r="L125" s="106"/>
      <c r="M125" s="106"/>
      <c r="N125" s="364"/>
      <c r="O125" s="361"/>
      <c r="P125" s="176">
        <f>SUM(J85:N85)*G120/100</f>
        <v>10.851977854509688</v>
      </c>
      <c r="Q125" s="148"/>
      <c r="R125" s="147" t="s">
        <v>242</v>
      </c>
    </row>
    <row r="126" spans="1:18" s="37" customFormat="1" ht="12.75" customHeight="1">
      <c r="C126" s="131"/>
      <c r="D126" s="131"/>
      <c r="E126" s="132"/>
      <c r="F126" s="132"/>
      <c r="G126" s="132"/>
      <c r="H126" s="131"/>
      <c r="I126" s="131"/>
      <c r="J126" s="106"/>
      <c r="K126" s="106"/>
      <c r="L126" s="106"/>
      <c r="M126" s="106"/>
      <c r="N126" s="364"/>
      <c r="O126" s="361"/>
      <c r="P126" s="158"/>
      <c r="Q126" s="148"/>
      <c r="R126" s="147"/>
    </row>
    <row r="127" spans="1:18" s="37" customFormat="1" ht="12.75" customHeight="1">
      <c r="C127" s="131"/>
      <c r="D127" s="131" t="s">
        <v>57</v>
      </c>
      <c r="E127" s="132" t="s">
        <v>72</v>
      </c>
      <c r="F127" s="132"/>
      <c r="G127" s="132"/>
      <c r="H127" s="131"/>
      <c r="I127" s="131"/>
      <c r="J127" s="156">
        <f>IF('Input FD'!J49&lt;&gt;"",'Input FD'!J49,J56*$G$97/100)</f>
        <v>-6.4040346411921103</v>
      </c>
      <c r="K127" s="156">
        <f>IF('Input FD'!K49&lt;&gt;"",'Input FD'!K49,K56*$G$97/100)</f>
        <v>-9.3120659362126101</v>
      </c>
      <c r="L127" s="156">
        <f>IF('Input FD'!L49&lt;&gt;"",'Input FD'!L49,L56*$G$97/100)</f>
        <v>-8.4414031297668295</v>
      </c>
      <c r="M127" s="156">
        <f>IF('Input FD'!M49&lt;&gt;"",'Input FD'!M49,M56*$G$97/100)</f>
        <v>-7.9153618865700501</v>
      </c>
      <c r="N127" s="365">
        <f>IF('Input FD'!N49&lt;&gt;"",'Input FD'!N49,N56*$G$97/100)</f>
        <v>-6.2416587606791998</v>
      </c>
      <c r="O127" s="369"/>
      <c r="P127" s="158"/>
      <c r="Q127" s="161"/>
      <c r="R127" s="147" t="s">
        <v>242</v>
      </c>
    </row>
    <row r="128" spans="1:18" s="37" customFormat="1" ht="12.75" customHeight="1">
      <c r="C128" s="131"/>
      <c r="D128" s="131" t="s">
        <v>57</v>
      </c>
      <c r="E128" s="132" t="s">
        <v>73</v>
      </c>
      <c r="F128" s="132"/>
      <c r="G128" s="132"/>
      <c r="H128" s="131"/>
      <c r="I128" s="131"/>
      <c r="J128" s="156">
        <f>IF('Input FD'!J50&lt;&gt;"",'Input FD'!J50,J67*$G$102/100)</f>
        <v>-4.4345210389061096</v>
      </c>
      <c r="K128" s="156">
        <f>IF('Input FD'!K50&lt;&gt;"",'Input FD'!K50,K67*$G$102/100)</f>
        <v>-5.5135632887299098</v>
      </c>
      <c r="L128" s="156">
        <f>IF('Input FD'!L50&lt;&gt;"",'Input FD'!L50,L67*$G$102/100)</f>
        <v>-4.38623182711172</v>
      </c>
      <c r="M128" s="156">
        <f>IF('Input FD'!M50&lt;&gt;"",'Input FD'!M50,M67*$G$102/100)</f>
        <v>-3.6482704817140701</v>
      </c>
      <c r="N128" s="365">
        <f>IF('Input FD'!N50&lt;&gt;"",'Input FD'!N50,N67*$G$102/100)</f>
        <v>-2.90058545757877</v>
      </c>
      <c r="O128" s="369"/>
      <c r="P128" s="158"/>
      <c r="Q128" s="161"/>
      <c r="R128" s="147" t="s">
        <v>242</v>
      </c>
    </row>
    <row r="129" spans="1:19" s="37" customFormat="1" ht="12.75" customHeight="1">
      <c r="C129" s="131"/>
      <c r="D129" s="131"/>
      <c r="E129" s="132"/>
      <c r="F129" s="132"/>
      <c r="G129" s="131"/>
      <c r="H129" s="131"/>
      <c r="I129" s="131"/>
      <c r="J129" s="106"/>
      <c r="K129" s="106"/>
      <c r="L129" s="106"/>
      <c r="M129" s="106"/>
      <c r="N129" s="364"/>
      <c r="O129" s="361"/>
      <c r="P129" s="107"/>
      <c r="Q129" s="131"/>
      <c r="R129" s="147"/>
    </row>
    <row r="130" spans="1:19" s="37" customFormat="1" ht="12.75" customHeight="1">
      <c r="C130" s="131"/>
      <c r="D130" s="131" t="s">
        <v>57</v>
      </c>
      <c r="E130" s="132" t="s">
        <v>81</v>
      </c>
      <c r="F130" s="132"/>
      <c r="G130" s="131"/>
      <c r="H130" s="131"/>
      <c r="I130" s="131"/>
      <c r="J130" s="159"/>
      <c r="K130" s="159"/>
      <c r="L130" s="159"/>
      <c r="M130" s="159"/>
      <c r="N130" s="364"/>
      <c r="O130" s="361"/>
      <c r="P130" s="176">
        <f t="shared" ref="P130:P131" si="15">P124-SUM(J127:N127)</f>
        <v>2.5644762376434826</v>
      </c>
      <c r="Q130" s="131"/>
      <c r="R130" s="147" t="s">
        <v>242</v>
      </c>
    </row>
    <row r="131" spans="1:19" s="37" customFormat="1" ht="12.75" customHeight="1">
      <c r="C131" s="131"/>
      <c r="D131" s="131" t="s">
        <v>57</v>
      </c>
      <c r="E131" s="132" t="s">
        <v>82</v>
      </c>
      <c r="F131" s="132"/>
      <c r="G131" s="131"/>
      <c r="H131" s="131"/>
      <c r="I131" s="131"/>
      <c r="J131" s="106"/>
      <c r="K131" s="106"/>
      <c r="L131" s="106"/>
      <c r="M131" s="106"/>
      <c r="N131" s="364"/>
      <c r="O131" s="361"/>
      <c r="P131" s="176">
        <f t="shared" si="15"/>
        <v>31.735149948550269</v>
      </c>
      <c r="Q131" s="131"/>
      <c r="R131" s="147" t="s">
        <v>242</v>
      </c>
    </row>
    <row r="132" spans="1:19" s="37" customFormat="1" ht="12.75" customHeight="1">
      <c r="C132" s="131"/>
      <c r="D132" s="131"/>
      <c r="E132" s="132"/>
      <c r="F132" s="132"/>
      <c r="G132" s="131"/>
      <c r="H132" s="131"/>
      <c r="I132" s="131"/>
      <c r="J132" s="106"/>
      <c r="K132" s="106"/>
      <c r="L132" s="106"/>
      <c r="M132" s="106"/>
      <c r="N132" s="364"/>
      <c r="O132" s="361"/>
      <c r="P132" s="158"/>
      <c r="Q132" s="131"/>
      <c r="R132" s="147"/>
    </row>
    <row r="133" spans="1:19" s="37" customFormat="1">
      <c r="A133" s="109"/>
      <c r="B133" s="109"/>
      <c r="C133" s="104"/>
      <c r="D133" s="104"/>
      <c r="E133" s="177"/>
      <c r="F133" s="104"/>
      <c r="G133" s="104"/>
      <c r="H133" s="104"/>
      <c r="I133" s="104"/>
      <c r="J133" s="106"/>
      <c r="K133" s="106"/>
      <c r="L133" s="106"/>
      <c r="M133" s="106"/>
      <c r="N133" s="364"/>
      <c r="O133" s="370"/>
      <c r="P133" s="188"/>
      <c r="Q133" s="104"/>
      <c r="R133" s="160"/>
    </row>
    <row r="134" spans="1:19">
      <c r="A134" s="479"/>
      <c r="B134" s="452"/>
      <c r="C134" s="453"/>
      <c r="D134" s="481"/>
      <c r="E134" s="483" t="s">
        <v>99</v>
      </c>
      <c r="F134" s="440"/>
      <c r="G134" s="440"/>
      <c r="H134" s="440"/>
      <c r="I134" s="440"/>
      <c r="J134" s="440"/>
      <c r="K134" s="440"/>
      <c r="L134" s="440"/>
      <c r="M134" s="440"/>
      <c r="N134" s="446"/>
      <c r="O134" s="440"/>
      <c r="P134" s="475"/>
      <c r="Q134" s="476"/>
      <c r="R134" s="477"/>
    </row>
    <row r="135" spans="1:19" ht="12.75" customHeight="1">
      <c r="A135" s="22"/>
      <c r="B135" s="22"/>
      <c r="C135" s="76"/>
      <c r="D135" s="76"/>
      <c r="E135" s="20"/>
      <c r="F135" s="76"/>
      <c r="G135" s="77"/>
      <c r="H135" s="76"/>
      <c r="I135" s="76"/>
      <c r="J135" s="65"/>
      <c r="K135" s="65"/>
      <c r="L135" s="65"/>
      <c r="M135" s="65"/>
      <c r="N135" s="374"/>
      <c r="O135" s="22"/>
      <c r="P135" s="84"/>
      <c r="Q135" s="76"/>
    </row>
    <row r="136" spans="1:19" ht="12.75" customHeight="1">
      <c r="A136" s="479"/>
      <c r="B136" s="452"/>
      <c r="C136" s="453"/>
      <c r="D136" s="481"/>
      <c r="E136" s="483" t="s">
        <v>207</v>
      </c>
      <c r="F136" s="440"/>
      <c r="G136" s="440"/>
      <c r="H136" s="440"/>
      <c r="I136" s="440"/>
      <c r="J136" s="440"/>
      <c r="K136" s="440"/>
      <c r="L136" s="440"/>
      <c r="M136" s="440"/>
      <c r="N136" s="446"/>
      <c r="O136" s="440"/>
      <c r="P136" s="475"/>
      <c r="Q136" s="476"/>
      <c r="R136" s="477"/>
    </row>
    <row r="137" spans="1:19" s="37" customFormat="1" ht="12.75" customHeight="1">
      <c r="C137" s="131"/>
      <c r="D137" s="131"/>
      <c r="E137" s="132"/>
      <c r="F137" s="131"/>
      <c r="G137" s="131"/>
      <c r="H137" s="131"/>
      <c r="I137" s="131"/>
      <c r="J137" s="155"/>
      <c r="K137" s="155"/>
      <c r="L137" s="155"/>
      <c r="M137" s="155"/>
      <c r="N137" s="684"/>
      <c r="O137" s="361"/>
      <c r="P137" s="136"/>
      <c r="Q137" s="131"/>
      <c r="R137" s="147"/>
      <c r="S137" s="147"/>
    </row>
    <row r="138" spans="1:19" s="37" customFormat="1">
      <c r="A138" s="109"/>
      <c r="B138" s="109"/>
      <c r="C138" s="104"/>
      <c r="D138" s="104" t="s">
        <v>57</v>
      </c>
      <c r="E138" s="104" t="s">
        <v>185</v>
      </c>
      <c r="F138" s="104"/>
      <c r="G138" s="104"/>
      <c r="H138" s="104"/>
      <c r="I138" s="104"/>
      <c r="J138" s="156">
        <f>(J57+'Input FD'!J83)*J$29</f>
        <v>253.05452155210151</v>
      </c>
      <c r="K138" s="156">
        <f>(K57+'Input FD'!K83)*K$29</f>
        <v>384.52338965615746</v>
      </c>
      <c r="L138" s="156">
        <f>(L57+'Input FD'!L83)*L$29</f>
        <v>361.46821714224211</v>
      </c>
      <c r="M138" s="156">
        <f>(M57+'Input FD'!M83)*M$29</f>
        <v>349.11095422719768</v>
      </c>
      <c r="N138" s="365">
        <f>(N57+'Input FD'!N83)*N$29</f>
        <v>283.55019283279671</v>
      </c>
      <c r="O138" s="104"/>
      <c r="P138" s="136"/>
      <c r="Q138" s="104"/>
      <c r="R138" s="147" t="s">
        <v>87</v>
      </c>
      <c r="S138" s="147"/>
    </row>
    <row r="139" spans="1:19" s="37" customFormat="1">
      <c r="C139" s="104"/>
      <c r="D139" s="104" t="s">
        <v>57</v>
      </c>
      <c r="E139" s="104" t="s">
        <v>110</v>
      </c>
      <c r="F139" s="104"/>
      <c r="G139" s="104"/>
      <c r="H139" s="104"/>
      <c r="I139" s="104"/>
      <c r="J139" s="156">
        <f>SUM('Input FD'!J65:J70)</f>
        <v>323.03044436918901</v>
      </c>
      <c r="K139" s="156">
        <f>SUM('Input FD'!K65:K70)</f>
        <v>332.72403311955941</v>
      </c>
      <c r="L139" s="156">
        <f>SUM('Input FD'!L65:L70)</f>
        <v>275.8225842037736</v>
      </c>
      <c r="M139" s="156">
        <f>SUM('Input FD'!M65:M70)</f>
        <v>297.68662957640748</v>
      </c>
      <c r="N139" s="365">
        <f>SUM('Input FD'!N65:N70)</f>
        <v>323.44590331990361</v>
      </c>
      <c r="O139" s="104"/>
      <c r="P139" s="136"/>
      <c r="Q139" s="104"/>
      <c r="R139" s="147" t="s">
        <v>87</v>
      </c>
      <c r="S139" s="147"/>
    </row>
    <row r="140" spans="1:19" s="37" customFormat="1">
      <c r="B140" s="669"/>
      <c r="C140" s="670" t="s">
        <v>696</v>
      </c>
      <c r="D140" s="104" t="s">
        <v>57</v>
      </c>
      <c r="E140" s="104" t="s">
        <v>192</v>
      </c>
      <c r="F140" s="104"/>
      <c r="G140" s="104"/>
      <c r="H140" s="104"/>
      <c r="I140" s="104"/>
      <c r="J140" s="672">
        <f>(J$139*J$15)-(J$138*J$26)</f>
        <v>54.534855908319827</v>
      </c>
      <c r="K140" s="672">
        <f>(K$139*K$15)-(K$138*K$26)</f>
        <v>-66.06355316308543</v>
      </c>
      <c r="L140" s="672">
        <f>(L$139*L$15)-(L$138*L$26)</f>
        <v>-92.984422522179727</v>
      </c>
      <c r="M140" s="672">
        <f>(M$139*M$15)-(M$138*M$26)</f>
        <v>-62.513503403375836</v>
      </c>
      <c r="N140" s="673">
        <f>(N$139*N$15)-(N$138*N$26)</f>
        <v>16.084983044592491</v>
      </c>
      <c r="O140" s="104"/>
      <c r="P140" s="136"/>
      <c r="Q140" s="104"/>
      <c r="R140" s="147" t="s">
        <v>242</v>
      </c>
      <c r="S140" s="671" t="s">
        <v>621</v>
      </c>
    </row>
    <row r="141" spans="1:19" s="37" customFormat="1">
      <c r="C141" s="131"/>
      <c r="D141" s="131"/>
      <c r="E141" s="131"/>
      <c r="F141" s="131"/>
      <c r="G141" s="131"/>
      <c r="H141" s="131"/>
      <c r="I141" s="131"/>
      <c r="J141" s="205"/>
      <c r="K141" s="205"/>
      <c r="L141" s="205"/>
      <c r="M141" s="205"/>
      <c r="N141" s="675"/>
      <c r="O141" s="131"/>
      <c r="P141" s="136"/>
      <c r="Q141" s="131"/>
      <c r="R141" s="147"/>
      <c r="S141" s="147"/>
    </row>
    <row r="142" spans="1:19" s="37" customFormat="1">
      <c r="A142" s="109"/>
      <c r="B142" s="109"/>
      <c r="C142" s="104"/>
      <c r="D142" s="104" t="s">
        <v>57</v>
      </c>
      <c r="E142" s="104" t="s">
        <v>186</v>
      </c>
      <c r="F142" s="104"/>
      <c r="G142" s="104"/>
      <c r="H142" s="104"/>
      <c r="I142" s="104"/>
      <c r="J142" s="156">
        <f>(J68+'Input FD'!J91)*J$29</f>
        <v>668.03380709460646</v>
      </c>
      <c r="K142" s="156">
        <f>(K68+'Input FD'!K91)*K$29</f>
        <v>867.96132908323796</v>
      </c>
      <c r="L142" s="156">
        <f>(L68+'Input FD'!L91)*L$29</f>
        <v>716.04175830012628</v>
      </c>
      <c r="M142" s="156">
        <f>(M68+'Input FD'!M91)*M$29</f>
        <v>613.43849045188324</v>
      </c>
      <c r="N142" s="365">
        <f>(N68+'Input FD'!N91)*N$29</f>
        <v>502.3505512119969</v>
      </c>
      <c r="O142" s="104"/>
      <c r="P142" s="136"/>
      <c r="Q142" s="104"/>
      <c r="R142" s="147" t="s">
        <v>87</v>
      </c>
      <c r="S142" s="147"/>
    </row>
    <row r="143" spans="1:19" s="37" customFormat="1">
      <c r="C143" s="104"/>
      <c r="D143" s="104" t="s">
        <v>57</v>
      </c>
      <c r="E143" s="104" t="s">
        <v>111</v>
      </c>
      <c r="F143" s="104"/>
      <c r="G143" s="104"/>
      <c r="H143" s="104"/>
      <c r="I143" s="104"/>
      <c r="J143" s="156">
        <f>IF('Input FD'!$O$151=1,0,SUM('Input FD'!J72:J77))</f>
        <v>560.65684220081368</v>
      </c>
      <c r="K143" s="156">
        <f>IF('Input FD'!$O$151=1,0,SUM('Input FD'!K72:K77))</f>
        <v>666.33602997043704</v>
      </c>
      <c r="L143" s="156">
        <f>IF('Input FD'!$O$151=1,0,SUM('Input FD'!L72:L77))</f>
        <v>578.15605292582541</v>
      </c>
      <c r="M143" s="156">
        <f>IF('Input FD'!$O$151=1,0,SUM('Input FD'!M72:M77))</f>
        <v>601.60855337359283</v>
      </c>
      <c r="N143" s="365">
        <f>IF('Input FD'!$O$151=1,0,SUM('Input FD'!N72:N77))</f>
        <v>591.47631901908562</v>
      </c>
      <c r="O143" s="104"/>
      <c r="P143" s="136"/>
      <c r="Q143" s="104"/>
      <c r="R143" s="147" t="s">
        <v>87</v>
      </c>
      <c r="S143" s="147"/>
    </row>
    <row r="144" spans="1:19" s="37" customFormat="1">
      <c r="B144" s="669"/>
      <c r="C144" s="670" t="s">
        <v>697</v>
      </c>
      <c r="D144" s="104" t="s">
        <v>57</v>
      </c>
      <c r="E144" s="104" t="s">
        <v>193</v>
      </c>
      <c r="F144" s="104"/>
      <c r="G144" s="104"/>
      <c r="H144" s="104"/>
      <c r="I144" s="104"/>
      <c r="J144" s="672">
        <f>(J$143*J$15)-(J$142*J$26)</f>
        <v>-125.07380808656183</v>
      </c>
      <c r="K144" s="672">
        <f>(K$143*K$15)-(K$142*K$26)</f>
        <v>-223.56279492366468</v>
      </c>
      <c r="L144" s="672">
        <f>(L$143*L$15)-(L$142*L$26)</f>
        <v>-157.10885733033592</v>
      </c>
      <c r="M144" s="672">
        <f>(M$143*M$15)-(M$142*M$26)</f>
        <v>-44.773586704500076</v>
      </c>
      <c r="N144" s="673">
        <f>(N$143*N$15)-(N$142*N$26)</f>
        <v>43.385170143860023</v>
      </c>
      <c r="O144" s="104"/>
      <c r="P144" s="136"/>
      <c r="Q144" s="104"/>
      <c r="R144" s="147" t="s">
        <v>242</v>
      </c>
      <c r="S144" s="671" t="s">
        <v>621</v>
      </c>
    </row>
    <row r="145" spans="1:24" s="37" customFormat="1">
      <c r="C145" s="104"/>
      <c r="D145" s="104"/>
      <c r="E145" s="104"/>
      <c r="F145" s="104"/>
      <c r="G145" s="104"/>
      <c r="H145" s="104"/>
      <c r="I145" s="104"/>
      <c r="J145" s="185"/>
      <c r="K145" s="185"/>
      <c r="L145" s="185"/>
      <c r="M145" s="185"/>
      <c r="N145" s="186"/>
      <c r="O145" s="104"/>
      <c r="P145" s="136"/>
      <c r="Q145" s="104"/>
      <c r="R145" s="147"/>
    </row>
    <row r="146" spans="1:24">
      <c r="A146" s="479"/>
      <c r="B146" s="452"/>
      <c r="C146" s="453"/>
      <c r="D146" s="481"/>
      <c r="E146" s="454" t="s">
        <v>206</v>
      </c>
      <c r="F146" s="440"/>
      <c r="G146" s="440"/>
      <c r="H146" s="440"/>
      <c r="I146" s="440"/>
      <c r="J146" s="440"/>
      <c r="K146" s="440"/>
      <c r="L146" s="440"/>
      <c r="M146" s="440"/>
      <c r="N146" s="446"/>
      <c r="O146" s="440"/>
      <c r="P146" s="475"/>
      <c r="Q146" s="476"/>
      <c r="R146" s="477"/>
    </row>
    <row r="147" spans="1:24" s="37" customFormat="1">
      <c r="C147" s="131"/>
      <c r="D147" s="131"/>
      <c r="E147" s="132"/>
      <c r="F147" s="131"/>
      <c r="G147" s="131"/>
      <c r="H147" s="131"/>
      <c r="I147" s="131"/>
      <c r="J147" s="106"/>
      <c r="K147" s="106"/>
      <c r="L147" s="106"/>
      <c r="M147" s="106"/>
      <c r="N147" s="364"/>
      <c r="O147" s="203"/>
      <c r="P147" s="136"/>
      <c r="Q147" s="131"/>
      <c r="R147" s="147"/>
    </row>
    <row r="148" spans="1:24" s="37" customFormat="1">
      <c r="C148" s="131"/>
      <c r="D148" s="104" t="s">
        <v>57</v>
      </c>
      <c r="E148" s="132" t="s">
        <v>198</v>
      </c>
      <c r="F148" s="182"/>
      <c r="G148" s="182"/>
      <c r="H148" s="182"/>
      <c r="I148" s="205">
        <f>'Input FD'!I$54</f>
        <v>4012.3913144817998</v>
      </c>
      <c r="J148" s="156">
        <f>'Input FD'!J$54</f>
        <v>3993.7173828238001</v>
      </c>
      <c r="K148" s="156">
        <f>'Input FD'!K$54</f>
        <v>4084.8071487515299</v>
      </c>
      <c r="L148" s="156">
        <f>'Input FD'!L$54</f>
        <v>4142.9266328273397</v>
      </c>
      <c r="M148" s="156">
        <f>'Input FD'!M$54</f>
        <v>4183.7220345626502</v>
      </c>
      <c r="N148" s="365">
        <f>'Input FD'!N$54</f>
        <v>4162.73248798022</v>
      </c>
      <c r="O148" s="157"/>
      <c r="P148" s="158"/>
      <c r="Q148" s="148"/>
      <c r="R148" s="147" t="s">
        <v>242</v>
      </c>
    </row>
    <row r="149" spans="1:24" s="37" customFormat="1">
      <c r="C149" s="131" t="s">
        <v>482</v>
      </c>
      <c r="D149" s="131" t="s">
        <v>57</v>
      </c>
      <c r="E149" s="132" t="s">
        <v>77</v>
      </c>
      <c r="F149" s="131"/>
      <c r="G149" s="131"/>
      <c r="H149" s="131"/>
      <c r="I149" s="205"/>
      <c r="J149" s="156"/>
      <c r="K149" s="156"/>
      <c r="L149" s="156"/>
      <c r="M149" s="156"/>
      <c r="N149" s="365"/>
      <c r="O149" s="131"/>
      <c r="P149" s="206">
        <f>SUM(J140:N140)</f>
        <v>-150.94164013572868</v>
      </c>
      <c r="Q149" s="161"/>
      <c r="R149" s="147" t="s">
        <v>242</v>
      </c>
    </row>
    <row r="150" spans="1:24" s="37" customFormat="1">
      <c r="A150" s="109"/>
      <c r="B150" s="109"/>
      <c r="C150" s="104"/>
      <c r="D150" s="104" t="s">
        <v>57</v>
      </c>
      <c r="E150" s="177" t="s">
        <v>386</v>
      </c>
      <c r="F150" s="131"/>
      <c r="G150" s="104"/>
      <c r="H150" s="104"/>
      <c r="I150" s="205"/>
      <c r="J150" s="156">
        <f>IF(J5=8,J148+$P$149,J148)</f>
        <v>3993.7173828238001</v>
      </c>
      <c r="K150" s="156">
        <f>IF(K5=8,K148+$P$149,K148)</f>
        <v>4084.8071487515299</v>
      </c>
      <c r="L150" s="156">
        <f>IF(L5=8,L148+$P$149,L148)</f>
        <v>4142.9266328273397</v>
      </c>
      <c r="M150" s="156">
        <f>IF(M5=8,M148+$P$149,M148)</f>
        <v>4183.7220345626502</v>
      </c>
      <c r="N150" s="365">
        <f>IF(N5=8,N148+$P$149,N148)</f>
        <v>4011.7908478444915</v>
      </c>
      <c r="O150" s="109"/>
      <c r="P150" s="136"/>
      <c r="Q150" s="104"/>
      <c r="R150" s="147" t="s">
        <v>242</v>
      </c>
    </row>
    <row r="151" spans="1:24" s="37" customFormat="1">
      <c r="C151" s="131"/>
      <c r="D151" s="131"/>
      <c r="E151" s="177"/>
      <c r="F151" s="131"/>
      <c r="G151" s="131"/>
      <c r="H151" s="131"/>
      <c r="I151" s="205"/>
      <c r="J151" s="156"/>
      <c r="K151" s="156"/>
      <c r="L151" s="156"/>
      <c r="M151" s="156"/>
      <c r="N151" s="365"/>
      <c r="O151" s="157"/>
      <c r="P151" s="158"/>
      <c r="Q151" s="148"/>
      <c r="R151" s="147"/>
    </row>
    <row r="152" spans="1:24" s="37" customFormat="1">
      <c r="C152" s="131"/>
      <c r="D152" s="104" t="s">
        <v>57</v>
      </c>
      <c r="E152" s="132" t="s">
        <v>209</v>
      </c>
      <c r="F152" s="207"/>
      <c r="G152" s="207"/>
      <c r="H152" s="207"/>
      <c r="I152" s="205">
        <f>'Input FD'!I$55</f>
        <v>3457.1462027174198</v>
      </c>
      <c r="J152" s="156">
        <f>'Input FD'!J$55</f>
        <v>3945.1437194370801</v>
      </c>
      <c r="K152" s="156">
        <f>'Input FD'!K$55</f>
        <v>4581.8359215168202</v>
      </c>
      <c r="L152" s="156">
        <f>'Input FD'!L$55</f>
        <v>4996.3623891277402</v>
      </c>
      <c r="M152" s="156">
        <f>'Input FD'!M$55</f>
        <v>5287.6489470873103</v>
      </c>
      <c r="N152" s="365">
        <f>'Input FD'!N$55</f>
        <v>5449.8897221546404</v>
      </c>
      <c r="O152" s="157"/>
      <c r="P152" s="158"/>
      <c r="Q152" s="148"/>
      <c r="R152" s="147" t="s">
        <v>242</v>
      </c>
    </row>
    <row r="153" spans="1:24" s="37" customFormat="1">
      <c r="C153" s="131" t="s">
        <v>483</v>
      </c>
      <c r="D153" s="131" t="s">
        <v>57</v>
      </c>
      <c r="E153" s="132" t="s">
        <v>78</v>
      </c>
      <c r="F153" s="131"/>
      <c r="G153" s="131"/>
      <c r="H153" s="131"/>
      <c r="I153" s="205"/>
      <c r="J153" s="156"/>
      <c r="K153" s="156"/>
      <c r="L153" s="156"/>
      <c r="M153" s="156"/>
      <c r="N153" s="365"/>
      <c r="O153" s="361"/>
      <c r="P153" s="208">
        <f>SUM(J144:N144)</f>
        <v>-507.13387690120248</v>
      </c>
      <c r="Q153" s="161"/>
      <c r="R153" s="147" t="s">
        <v>242</v>
      </c>
    </row>
    <row r="154" spans="1:24" s="37" customFormat="1">
      <c r="A154" s="109"/>
      <c r="B154" s="109"/>
      <c r="C154" s="104"/>
      <c r="D154" s="104" t="s">
        <v>57</v>
      </c>
      <c r="E154" s="177" t="s">
        <v>387</v>
      </c>
      <c r="F154" s="131"/>
      <c r="G154" s="104"/>
      <c r="H154" s="104"/>
      <c r="I154" s="205"/>
      <c r="J154" s="156">
        <f>IF(J5=8,J152+$P$153,J152)</f>
        <v>3945.1437194370801</v>
      </c>
      <c r="K154" s="156">
        <f>IF(K5=8,K152+$P$153,K152)</f>
        <v>4581.8359215168202</v>
      </c>
      <c r="L154" s="156">
        <f>IF(L5=8,L152+$P$153,L152)</f>
        <v>4996.3623891277402</v>
      </c>
      <c r="M154" s="156">
        <f>IF(M5=8,M152+$P$153,M152)</f>
        <v>5287.6489470873103</v>
      </c>
      <c r="N154" s="365">
        <f>IF(N5=8,N152+$P$153,N152)</f>
        <v>4942.7558452534377</v>
      </c>
      <c r="O154" s="109"/>
      <c r="P154" s="136"/>
      <c r="Q154" s="104"/>
      <c r="R154" s="147" t="s">
        <v>242</v>
      </c>
    </row>
    <row r="155" spans="1:24" s="37" customFormat="1">
      <c r="C155" s="131"/>
      <c r="D155" s="131"/>
      <c r="E155" s="177"/>
      <c r="F155" s="131"/>
      <c r="G155" s="131"/>
      <c r="H155" s="161"/>
      <c r="I155" s="184"/>
      <c r="J155" s="185"/>
      <c r="K155" s="185"/>
      <c r="L155" s="185"/>
      <c r="M155" s="185"/>
      <c r="N155" s="382"/>
      <c r="O155" s="157"/>
      <c r="P155" s="158"/>
      <c r="Q155" s="148"/>
      <c r="R155" s="147"/>
    </row>
    <row r="156" spans="1:24" s="37" customFormat="1">
      <c r="C156" s="131"/>
      <c r="D156" s="131"/>
      <c r="E156" s="132"/>
      <c r="F156" s="131"/>
      <c r="G156" s="131"/>
      <c r="H156" s="131"/>
      <c r="I156" s="131"/>
      <c r="J156" s="159"/>
      <c r="K156" s="159"/>
      <c r="L156" s="159"/>
      <c r="M156" s="159"/>
      <c r="N156" s="362"/>
      <c r="O156" s="157"/>
      <c r="P156" s="158"/>
      <c r="Q156" s="148"/>
      <c r="R156" s="147"/>
    </row>
    <row r="157" spans="1:24">
      <c r="A157" s="479"/>
      <c r="B157" s="452"/>
      <c r="C157" s="453"/>
      <c r="D157" s="481"/>
      <c r="E157" s="483" t="s">
        <v>208</v>
      </c>
      <c r="F157" s="440"/>
      <c r="G157" s="440"/>
      <c r="H157" s="440"/>
      <c r="I157" s="440"/>
      <c r="J157" s="440"/>
      <c r="K157" s="440"/>
      <c r="L157" s="440"/>
      <c r="M157" s="440"/>
      <c r="N157" s="446"/>
      <c r="O157" s="440"/>
      <c r="P157" s="475"/>
      <c r="Q157" s="476"/>
      <c r="R157" s="477"/>
    </row>
    <row r="158" spans="1:24" s="37" customFormat="1">
      <c r="A158" s="109"/>
      <c r="B158" s="109"/>
      <c r="C158" s="104"/>
      <c r="D158" s="104"/>
      <c r="E158" s="132"/>
      <c r="F158" s="104"/>
      <c r="G158" s="104"/>
      <c r="H158" s="104"/>
      <c r="I158" s="104"/>
      <c r="J158" s="106"/>
      <c r="K158" s="106"/>
      <c r="L158" s="106"/>
      <c r="M158" s="106"/>
      <c r="N158" s="364"/>
      <c r="O158" s="361"/>
      <c r="P158" s="136"/>
      <c r="Q158" s="104"/>
      <c r="R158" s="160"/>
      <c r="T158" s="157"/>
      <c r="U158" s="157"/>
      <c r="V158" s="157"/>
      <c r="W158" s="157"/>
      <c r="X158" s="157"/>
    </row>
    <row r="159" spans="1:24" ht="12.75" customHeight="1">
      <c r="A159" s="479"/>
      <c r="B159" s="452"/>
      <c r="C159" s="453"/>
      <c r="D159" s="481"/>
      <c r="E159" s="483" t="s">
        <v>402</v>
      </c>
      <c r="F159" s="440"/>
      <c r="G159" s="440"/>
      <c r="H159" s="440"/>
      <c r="I159" s="440"/>
      <c r="J159" s="440"/>
      <c r="K159" s="440"/>
      <c r="L159" s="440"/>
      <c r="M159" s="440"/>
      <c r="N159" s="446"/>
      <c r="O159" s="440"/>
      <c r="P159" s="475"/>
      <c r="Q159" s="476"/>
      <c r="R159" s="477"/>
    </row>
    <row r="160" spans="1:24" s="37" customFormat="1">
      <c r="A160" s="109"/>
      <c r="B160" s="109"/>
      <c r="C160" s="104"/>
      <c r="D160" s="104"/>
      <c r="E160" s="132"/>
      <c r="F160" s="104"/>
      <c r="G160" s="104"/>
      <c r="H160" s="104"/>
      <c r="I160" s="104"/>
      <c r="J160" s="106"/>
      <c r="K160" s="106"/>
      <c r="L160" s="106"/>
      <c r="M160" s="106"/>
      <c r="N160" s="364"/>
      <c r="O160" s="361"/>
      <c r="P160" s="136"/>
      <c r="Q160" s="104"/>
      <c r="R160" s="160"/>
      <c r="T160" s="157"/>
      <c r="U160" s="157"/>
      <c r="V160" s="157"/>
      <c r="W160" s="157"/>
      <c r="X160" s="157"/>
    </row>
    <row r="161" spans="1:24" s="37" customFormat="1">
      <c r="A161" s="109"/>
      <c r="B161" s="109"/>
      <c r="C161" s="104"/>
      <c r="D161" s="104" t="s">
        <v>57</v>
      </c>
      <c r="E161" s="132" t="s">
        <v>396</v>
      </c>
      <c r="F161" s="104"/>
      <c r="G161" s="104"/>
      <c r="H161" s="104"/>
      <c r="I161" s="104"/>
      <c r="J161" s="360">
        <f>I162</f>
        <v>0</v>
      </c>
      <c r="K161" s="360">
        <f t="shared" ref="K161:N161" si="16">J162</f>
        <v>242.98786746089618</v>
      </c>
      <c r="L161" s="360">
        <f t="shared" si="16"/>
        <v>601.47146461877435</v>
      </c>
      <c r="M161" s="360">
        <f t="shared" si="16"/>
        <v>929.60166232588199</v>
      </c>
      <c r="N161" s="363">
        <f t="shared" si="16"/>
        <v>1238.78472428749</v>
      </c>
      <c r="O161" s="131"/>
      <c r="P161" s="136"/>
      <c r="Q161" s="104"/>
      <c r="R161" s="147" t="s">
        <v>242</v>
      </c>
      <c r="T161" s="157"/>
      <c r="U161" s="157"/>
      <c r="V161" s="157"/>
      <c r="W161" s="157"/>
      <c r="X161" s="157"/>
    </row>
    <row r="162" spans="1:24" s="37" customFormat="1">
      <c r="A162" s="109"/>
      <c r="B162" s="109"/>
      <c r="C162" s="104"/>
      <c r="D162" s="104" t="s">
        <v>57</v>
      </c>
      <c r="E162" s="132" t="s">
        <v>397</v>
      </c>
      <c r="F162" s="104"/>
      <c r="G162" s="104"/>
      <c r="H162" s="104"/>
      <c r="I162" s="179"/>
      <c r="J162" s="360">
        <f>J161+J138*J$26</f>
        <v>242.98786746089618</v>
      </c>
      <c r="K162" s="360">
        <f t="shared" ref="K162:N162" si="17">K161+K138*K$26</f>
        <v>601.47146461877435</v>
      </c>
      <c r="L162" s="360">
        <f t="shared" si="17"/>
        <v>929.60166232588199</v>
      </c>
      <c r="M162" s="360">
        <f t="shared" si="17"/>
        <v>1238.78472428749</v>
      </c>
      <c r="N162" s="363">
        <f t="shared" si="17"/>
        <v>1483.7803325312786</v>
      </c>
      <c r="O162" s="131"/>
      <c r="P162" s="136"/>
      <c r="Q162" s="104"/>
      <c r="R162" s="147" t="s">
        <v>242</v>
      </c>
      <c r="T162" s="157"/>
      <c r="U162" s="157"/>
      <c r="V162" s="157"/>
      <c r="W162" s="157"/>
      <c r="X162" s="157"/>
    </row>
    <row r="163" spans="1:24" s="37" customFormat="1">
      <c r="A163" s="109"/>
      <c r="B163" s="109"/>
      <c r="C163" s="104"/>
      <c r="D163" s="104" t="s">
        <v>57</v>
      </c>
      <c r="E163" s="132" t="s">
        <v>400</v>
      </c>
      <c r="F163" s="104"/>
      <c r="G163" s="104"/>
      <c r="H163" s="104"/>
      <c r="I163" s="104"/>
      <c r="J163" s="360">
        <f>(J162+J161)/2</f>
        <v>121.49393373044809</v>
      </c>
      <c r="K163" s="360">
        <f t="shared" ref="K163:N163" si="18">(K162+K161)/2</f>
        <v>422.22966603983525</v>
      </c>
      <c r="L163" s="360">
        <f t="shared" si="18"/>
        <v>765.53656347232823</v>
      </c>
      <c r="M163" s="360">
        <f t="shared" si="18"/>
        <v>1084.193193306686</v>
      </c>
      <c r="N163" s="363">
        <f t="shared" si="18"/>
        <v>1361.2825284093842</v>
      </c>
      <c r="O163" s="131"/>
      <c r="P163" s="136"/>
      <c r="Q163" s="104"/>
      <c r="R163" s="147" t="s">
        <v>242</v>
      </c>
      <c r="T163" s="157"/>
      <c r="U163" s="157"/>
      <c r="V163" s="157"/>
      <c r="W163" s="157"/>
      <c r="X163" s="157"/>
    </row>
    <row r="164" spans="1:24" s="37" customFormat="1">
      <c r="A164" s="109"/>
      <c r="B164" s="109"/>
      <c r="C164" s="104"/>
      <c r="D164" s="104"/>
      <c r="E164" s="132"/>
      <c r="F164" s="104"/>
      <c r="G164" s="104"/>
      <c r="H164" s="104"/>
      <c r="I164" s="104"/>
      <c r="J164" s="156"/>
      <c r="K164" s="156"/>
      <c r="L164" s="156"/>
      <c r="M164" s="156"/>
      <c r="N164" s="365"/>
      <c r="O164" s="131"/>
      <c r="P164" s="136"/>
      <c r="Q164" s="104"/>
      <c r="R164" s="160"/>
      <c r="T164" s="157"/>
      <c r="U164" s="157"/>
      <c r="V164" s="157"/>
      <c r="W164" s="157"/>
      <c r="X164" s="157"/>
    </row>
    <row r="165" spans="1:24" s="37" customFormat="1">
      <c r="A165" s="109"/>
      <c r="B165" s="109"/>
      <c r="C165" s="104"/>
      <c r="D165" s="104" t="s">
        <v>57</v>
      </c>
      <c r="E165" s="132" t="s">
        <v>398</v>
      </c>
      <c r="F165" s="104"/>
      <c r="G165" s="104"/>
      <c r="H165" s="104"/>
      <c r="I165" s="104"/>
      <c r="J165" s="156">
        <f>I166</f>
        <v>0</v>
      </c>
      <c r="K165" s="156">
        <f t="shared" ref="K165:N165" si="19">J166</f>
        <v>641.45903887467637</v>
      </c>
      <c r="L165" s="156">
        <f t="shared" si="19"/>
        <v>1450.6423234647859</v>
      </c>
      <c r="M165" s="156">
        <f t="shared" si="19"/>
        <v>2100.6439351558847</v>
      </c>
      <c r="N165" s="365">
        <f t="shared" si="19"/>
        <v>2643.9233381836912</v>
      </c>
      <c r="O165" s="131"/>
      <c r="P165" s="136"/>
      <c r="Q165" s="104"/>
      <c r="R165" s="147" t="s">
        <v>242</v>
      </c>
      <c r="T165" s="157"/>
      <c r="U165" s="157"/>
      <c r="V165" s="157"/>
      <c r="W165" s="157"/>
      <c r="X165" s="157"/>
    </row>
    <row r="166" spans="1:24" s="37" customFormat="1">
      <c r="A166" s="109"/>
      <c r="B166" s="109"/>
      <c r="C166" s="104"/>
      <c r="D166" s="104" t="s">
        <v>57</v>
      </c>
      <c r="E166" s="132" t="s">
        <v>399</v>
      </c>
      <c r="F166" s="104"/>
      <c r="G166" s="104"/>
      <c r="H166" s="104"/>
      <c r="I166" s="104"/>
      <c r="J166" s="156">
        <f>J165+J142*J$26</f>
        <v>641.45903887467637</v>
      </c>
      <c r="K166" s="156">
        <f t="shared" ref="K166:N166" si="20">K165+K142*K$26</f>
        <v>1450.6423234647859</v>
      </c>
      <c r="L166" s="156">
        <f t="shared" si="20"/>
        <v>2100.6439351558847</v>
      </c>
      <c r="M166" s="156">
        <f t="shared" si="20"/>
        <v>2643.9233381836912</v>
      </c>
      <c r="N166" s="365">
        <f t="shared" si="20"/>
        <v>3077.9688156923576</v>
      </c>
      <c r="O166" s="131"/>
      <c r="P166" s="136"/>
      <c r="Q166" s="104"/>
      <c r="R166" s="147" t="s">
        <v>242</v>
      </c>
      <c r="T166" s="157"/>
      <c r="U166" s="157"/>
      <c r="V166" s="157"/>
      <c r="W166" s="157"/>
      <c r="X166" s="157"/>
    </row>
    <row r="167" spans="1:24" s="37" customFormat="1">
      <c r="A167" s="109"/>
      <c r="B167" s="109"/>
      <c r="C167" s="104"/>
      <c r="D167" s="104" t="s">
        <v>57</v>
      </c>
      <c r="E167" s="132" t="s">
        <v>401</v>
      </c>
      <c r="F167" s="104"/>
      <c r="G167" s="104"/>
      <c r="H167" s="104"/>
      <c r="I167" s="104"/>
      <c r="J167" s="156">
        <f>(J166+J165)/2</f>
        <v>320.72951943733818</v>
      </c>
      <c r="K167" s="156">
        <f t="shared" ref="K167:N167" si="21">(K166+K165)/2</f>
        <v>1046.0506811697312</v>
      </c>
      <c r="L167" s="156">
        <f t="shared" si="21"/>
        <v>1775.6431293103353</v>
      </c>
      <c r="M167" s="156">
        <f t="shared" si="21"/>
        <v>2372.2836366697879</v>
      </c>
      <c r="N167" s="365">
        <f t="shared" si="21"/>
        <v>2860.9460769380244</v>
      </c>
      <c r="O167" s="131"/>
      <c r="P167" s="136"/>
      <c r="Q167" s="104"/>
      <c r="R167" s="147" t="s">
        <v>242</v>
      </c>
      <c r="T167" s="157"/>
      <c r="U167" s="157"/>
      <c r="V167" s="157"/>
      <c r="W167" s="157"/>
      <c r="X167" s="157"/>
    </row>
    <row r="168" spans="1:24" s="37" customFormat="1">
      <c r="A168" s="109"/>
      <c r="B168" s="109"/>
      <c r="C168" s="104"/>
      <c r="D168" s="104"/>
      <c r="E168" s="132"/>
      <c r="F168" s="104"/>
      <c r="G168" s="104"/>
      <c r="H168" s="104"/>
      <c r="I168" s="104"/>
      <c r="J168" s="156"/>
      <c r="K168" s="156"/>
      <c r="L168" s="156"/>
      <c r="M168" s="156"/>
      <c r="N168" s="365"/>
      <c r="O168" s="131"/>
      <c r="P168" s="136"/>
      <c r="Q168" s="104"/>
      <c r="R168" s="160"/>
      <c r="T168" s="157"/>
      <c r="U168" s="157"/>
      <c r="V168" s="157"/>
      <c r="W168" s="157"/>
      <c r="X168" s="157"/>
    </row>
    <row r="169" spans="1:24" ht="12.75" customHeight="1">
      <c r="A169" s="59"/>
      <c r="B169" s="452"/>
      <c r="C169" s="453"/>
      <c r="D169" s="481"/>
      <c r="E169" s="483" t="s">
        <v>403</v>
      </c>
      <c r="F169" s="440"/>
      <c r="G169" s="440"/>
      <c r="H169" s="440"/>
      <c r="I169" s="440"/>
      <c r="J169" s="440"/>
      <c r="K169" s="440"/>
      <c r="L169" s="440"/>
      <c r="M169" s="440"/>
      <c r="N169" s="446"/>
      <c r="O169" s="440"/>
      <c r="P169" s="475"/>
      <c r="Q169" s="476"/>
      <c r="R169" s="477"/>
    </row>
    <row r="170" spans="1:24" s="37" customFormat="1">
      <c r="A170" s="109"/>
      <c r="B170" s="109"/>
      <c r="C170" s="104"/>
      <c r="D170" s="104"/>
      <c r="E170" s="132"/>
      <c r="F170" s="104"/>
      <c r="G170" s="104"/>
      <c r="H170" s="104"/>
      <c r="I170" s="104"/>
      <c r="J170" s="106"/>
      <c r="K170" s="106"/>
      <c r="L170" s="106"/>
      <c r="M170" s="106"/>
      <c r="N170" s="364"/>
      <c r="O170" s="361"/>
      <c r="P170" s="136"/>
      <c r="Q170" s="104"/>
      <c r="R170" s="160"/>
      <c r="T170" s="157"/>
      <c r="U170" s="157"/>
      <c r="V170" s="157"/>
      <c r="W170" s="157"/>
      <c r="X170" s="157"/>
    </row>
    <row r="171" spans="1:24" s="37" customFormat="1">
      <c r="A171" s="109"/>
      <c r="B171" s="109"/>
      <c r="C171" s="104"/>
      <c r="D171" s="104" t="s">
        <v>57</v>
      </c>
      <c r="E171" s="132" t="s">
        <v>396</v>
      </c>
      <c r="F171" s="104"/>
      <c r="G171" s="104"/>
      <c r="H171" s="104"/>
      <c r="I171" s="104"/>
      <c r="J171" s="360">
        <f>I172</f>
        <v>0</v>
      </c>
      <c r="K171" s="360">
        <f t="shared" ref="K171:N171" si="22">J172</f>
        <v>297.52272336921601</v>
      </c>
      <c r="L171" s="360">
        <f t="shared" si="22"/>
        <v>589.94276736400877</v>
      </c>
      <c r="M171" s="360">
        <f t="shared" si="22"/>
        <v>825.08854254893663</v>
      </c>
      <c r="N171" s="363">
        <f t="shared" si="22"/>
        <v>1071.7581011071688</v>
      </c>
      <c r="O171" s="131"/>
      <c r="P171" s="136"/>
      <c r="Q171" s="104"/>
      <c r="R171" s="147" t="s">
        <v>242</v>
      </c>
      <c r="T171" s="157"/>
      <c r="U171" s="157"/>
      <c r="V171" s="157"/>
      <c r="W171" s="157"/>
      <c r="X171" s="157"/>
    </row>
    <row r="172" spans="1:24" s="37" customFormat="1">
      <c r="A172" s="109"/>
      <c r="B172" s="109"/>
      <c r="C172" s="104"/>
      <c r="D172" s="104" t="s">
        <v>57</v>
      </c>
      <c r="E172" s="132" t="s">
        <v>397</v>
      </c>
      <c r="F172" s="104"/>
      <c r="G172" s="104"/>
      <c r="H172" s="104"/>
      <c r="I172" s="179"/>
      <c r="J172" s="360">
        <f>J171+J139*J$15</f>
        <v>297.52272336921601</v>
      </c>
      <c r="K172" s="360">
        <f t="shared" ref="K172:N172" si="23">K171+K139*K$15</f>
        <v>589.94276736400877</v>
      </c>
      <c r="L172" s="360">
        <f t="shared" si="23"/>
        <v>825.08854254893663</v>
      </c>
      <c r="M172" s="360">
        <f t="shared" si="23"/>
        <v>1071.7581011071688</v>
      </c>
      <c r="N172" s="363">
        <f t="shared" si="23"/>
        <v>1332.83869239555</v>
      </c>
      <c r="O172" s="131"/>
      <c r="P172" s="136"/>
      <c r="Q172" s="104"/>
      <c r="R172" s="147" t="s">
        <v>242</v>
      </c>
      <c r="T172" s="157"/>
      <c r="U172" s="157"/>
      <c r="V172" s="157"/>
      <c r="W172" s="157"/>
      <c r="X172" s="157"/>
    </row>
    <row r="173" spans="1:24" s="37" customFormat="1">
      <c r="A173" s="109"/>
      <c r="B173" s="109"/>
      <c r="C173" s="104"/>
      <c r="D173" s="104" t="s">
        <v>57</v>
      </c>
      <c r="E173" s="132" t="s">
        <v>400</v>
      </c>
      <c r="F173" s="104"/>
      <c r="G173" s="104"/>
      <c r="H173" s="104"/>
      <c r="I173" s="104"/>
      <c r="J173" s="360">
        <f>(J172+J171)/2</f>
        <v>148.761361684608</v>
      </c>
      <c r="K173" s="360">
        <f t="shared" ref="K173:N173" si="24">(K172+K171)/2</f>
        <v>443.73274536661239</v>
      </c>
      <c r="L173" s="360">
        <f t="shared" si="24"/>
        <v>707.51565495647264</v>
      </c>
      <c r="M173" s="360">
        <f t="shared" si="24"/>
        <v>948.42332182805274</v>
      </c>
      <c r="N173" s="363">
        <f t="shared" si="24"/>
        <v>1202.2983967513594</v>
      </c>
      <c r="O173" s="131"/>
      <c r="P173" s="136"/>
      <c r="Q173" s="104"/>
      <c r="R173" s="147" t="s">
        <v>242</v>
      </c>
      <c r="T173" s="157"/>
      <c r="U173" s="157"/>
      <c r="V173" s="157"/>
      <c r="W173" s="157"/>
      <c r="X173" s="157"/>
    </row>
    <row r="174" spans="1:24" s="37" customFormat="1">
      <c r="A174" s="109"/>
      <c r="B174" s="109"/>
      <c r="C174" s="104"/>
      <c r="D174" s="104"/>
      <c r="E174" s="132"/>
      <c r="F174" s="104"/>
      <c r="G174" s="104"/>
      <c r="H174" s="104"/>
      <c r="I174" s="104"/>
      <c r="J174" s="360"/>
      <c r="K174" s="360"/>
      <c r="L174" s="360"/>
      <c r="M174" s="360"/>
      <c r="N174" s="363"/>
      <c r="O174" s="131"/>
      <c r="P174" s="136"/>
      <c r="Q174" s="104"/>
      <c r="R174" s="160"/>
      <c r="T174" s="157"/>
      <c r="U174" s="157"/>
      <c r="V174" s="157"/>
      <c r="W174" s="157"/>
      <c r="X174" s="157"/>
    </row>
    <row r="175" spans="1:24" s="37" customFormat="1">
      <c r="A175" s="109"/>
      <c r="B175" s="109"/>
      <c r="C175" s="104"/>
      <c r="D175" s="104" t="s">
        <v>57</v>
      </c>
      <c r="E175" s="132" t="s">
        <v>398</v>
      </c>
      <c r="F175" s="104"/>
      <c r="G175" s="104"/>
      <c r="H175" s="104"/>
      <c r="I175" s="104"/>
      <c r="J175" s="360">
        <f>I176</f>
        <v>0</v>
      </c>
      <c r="K175" s="360">
        <f t="shared" ref="K175:N175" si="25">J176</f>
        <v>516.38523078811454</v>
      </c>
      <c r="L175" s="360">
        <f t="shared" si="25"/>
        <v>1102.0057204545592</v>
      </c>
      <c r="M175" s="360">
        <f t="shared" si="25"/>
        <v>1594.8984748153221</v>
      </c>
      <c r="N175" s="363">
        <f t="shared" si="25"/>
        <v>2093.4042911386287</v>
      </c>
      <c r="O175" s="131"/>
      <c r="P175" s="136"/>
      <c r="Q175" s="104"/>
      <c r="R175" s="147" t="s">
        <v>242</v>
      </c>
      <c r="T175" s="157"/>
      <c r="U175" s="157"/>
      <c r="V175" s="157"/>
      <c r="W175" s="157"/>
      <c r="X175" s="157"/>
    </row>
    <row r="176" spans="1:24" s="37" customFormat="1">
      <c r="A176" s="109"/>
      <c r="B176" s="109"/>
      <c r="C176" s="104"/>
      <c r="D176" s="104" t="s">
        <v>57</v>
      </c>
      <c r="E176" s="132" t="s">
        <v>399</v>
      </c>
      <c r="F176" s="104"/>
      <c r="G176" s="104"/>
      <c r="H176" s="104"/>
      <c r="I176" s="104"/>
      <c r="J176" s="360">
        <f>J175+J143*J$15</f>
        <v>516.38523078811454</v>
      </c>
      <c r="K176" s="360">
        <f t="shared" ref="K176:N176" si="26">K175+K143*K$15</f>
        <v>1102.0057204545592</v>
      </c>
      <c r="L176" s="360">
        <f t="shared" si="26"/>
        <v>1594.8984748153221</v>
      </c>
      <c r="M176" s="360">
        <f t="shared" si="26"/>
        <v>2093.4042911386287</v>
      </c>
      <c r="N176" s="363">
        <f t="shared" si="26"/>
        <v>2570.8349387911549</v>
      </c>
      <c r="O176" s="131"/>
      <c r="P176" s="136"/>
      <c r="Q176" s="104"/>
      <c r="R176" s="147" t="s">
        <v>242</v>
      </c>
      <c r="T176" s="157"/>
      <c r="U176" s="157"/>
      <c r="V176" s="157"/>
      <c r="W176" s="157"/>
      <c r="X176" s="157"/>
    </row>
    <row r="177" spans="1:24" s="37" customFormat="1">
      <c r="A177" s="109"/>
      <c r="B177" s="109"/>
      <c r="C177" s="104"/>
      <c r="D177" s="104" t="s">
        <v>57</v>
      </c>
      <c r="E177" s="132" t="s">
        <v>401</v>
      </c>
      <c r="F177" s="104"/>
      <c r="G177" s="104"/>
      <c r="H177" s="104"/>
      <c r="I177" s="104"/>
      <c r="J177" s="360">
        <f>(J176+J175)/2</f>
        <v>258.19261539405727</v>
      </c>
      <c r="K177" s="360">
        <f t="shared" ref="K177:N177" si="27">(K176+K175)/2</f>
        <v>809.19547562133687</v>
      </c>
      <c r="L177" s="360">
        <f t="shared" si="27"/>
        <v>1348.4520976349406</v>
      </c>
      <c r="M177" s="360">
        <f t="shared" si="27"/>
        <v>1844.1513829769754</v>
      </c>
      <c r="N177" s="363">
        <f t="shared" si="27"/>
        <v>2332.1196149648918</v>
      </c>
      <c r="O177" s="131"/>
      <c r="P177" s="136"/>
      <c r="Q177" s="104"/>
      <c r="R177" s="147" t="s">
        <v>242</v>
      </c>
      <c r="T177" s="157"/>
      <c r="U177" s="157"/>
      <c r="V177" s="157"/>
      <c r="W177" s="157"/>
      <c r="X177" s="157"/>
    </row>
    <row r="178" spans="1:24" s="37" customFormat="1">
      <c r="A178" s="109"/>
      <c r="B178" s="109"/>
      <c r="C178" s="104"/>
      <c r="D178" s="104"/>
      <c r="E178" s="132"/>
      <c r="F178" s="104"/>
      <c r="G178" s="104"/>
      <c r="H178" s="104"/>
      <c r="I178" s="104"/>
      <c r="J178" s="360"/>
      <c r="K178" s="360"/>
      <c r="L178" s="360"/>
      <c r="M178" s="360"/>
      <c r="N178" s="363"/>
      <c r="O178" s="131"/>
      <c r="P178" s="136"/>
      <c r="Q178" s="104"/>
      <c r="R178" s="160"/>
      <c r="T178" s="157"/>
      <c r="U178" s="157"/>
      <c r="V178" s="157"/>
      <c r="W178" s="157"/>
      <c r="X178" s="157"/>
    </row>
    <row r="179" spans="1:24" ht="12.75" customHeight="1">
      <c r="A179" s="479"/>
      <c r="B179" s="452"/>
      <c r="C179" s="453"/>
      <c r="D179" s="481"/>
      <c r="E179" s="483" t="s">
        <v>404</v>
      </c>
      <c r="F179" s="440"/>
      <c r="G179" s="440"/>
      <c r="H179" s="440"/>
      <c r="I179" s="440"/>
      <c r="J179" s="440"/>
      <c r="K179" s="440"/>
      <c r="L179" s="440"/>
      <c r="M179" s="440"/>
      <c r="N179" s="446"/>
      <c r="O179" s="440"/>
      <c r="P179" s="475"/>
      <c r="Q179" s="476"/>
      <c r="R179" s="477"/>
    </row>
    <row r="180" spans="1:24" s="37" customFormat="1">
      <c r="A180" s="109"/>
      <c r="B180" s="109"/>
      <c r="C180" s="104"/>
      <c r="D180" s="104"/>
      <c r="E180" s="132"/>
      <c r="F180" s="104"/>
      <c r="G180" s="104"/>
      <c r="H180" s="104"/>
      <c r="I180" s="104"/>
      <c r="J180" s="106"/>
      <c r="K180" s="106"/>
      <c r="L180" s="106"/>
      <c r="M180" s="106"/>
      <c r="N180" s="364"/>
      <c r="O180" s="131"/>
      <c r="P180" s="136"/>
      <c r="Q180" s="104"/>
      <c r="R180" s="160"/>
      <c r="T180" s="157"/>
      <c r="U180" s="157"/>
      <c r="V180" s="157"/>
      <c r="W180" s="157"/>
      <c r="X180" s="157"/>
    </row>
    <row r="181" spans="1:24" s="37" customFormat="1">
      <c r="C181" s="131"/>
      <c r="D181" s="153" t="s">
        <v>57</v>
      </c>
      <c r="E181" s="154" t="s">
        <v>246</v>
      </c>
      <c r="F181" s="155"/>
      <c r="G181" s="148"/>
      <c r="H181" s="148"/>
      <c r="I181" s="148"/>
      <c r="J181" s="156">
        <f>(J$139*J$15)-(J$138*J$26)</f>
        <v>54.534855908319827</v>
      </c>
      <c r="K181" s="156">
        <f>(K$139*K$15)-(K$138*K$26)</f>
        <v>-66.06355316308543</v>
      </c>
      <c r="L181" s="156">
        <f>(L$139*L$15)-(L$138*L$26)</f>
        <v>-92.984422522179727</v>
      </c>
      <c r="M181" s="156">
        <f>(M$139*M$15)-(M$138*M$26)</f>
        <v>-62.513503403375836</v>
      </c>
      <c r="N181" s="365">
        <f>(N$139*N$15)-(N$138*N$26)</f>
        <v>16.084983044592491</v>
      </c>
      <c r="O181" s="157"/>
      <c r="P181" s="158"/>
      <c r="Q181" s="148"/>
      <c r="R181" s="147" t="s">
        <v>242</v>
      </c>
    </row>
    <row r="182" spans="1:24" s="37" customFormat="1">
      <c r="C182" s="131"/>
      <c r="D182" s="153" t="s">
        <v>57</v>
      </c>
      <c r="E182" s="154" t="s">
        <v>247</v>
      </c>
      <c r="F182" s="155"/>
      <c r="G182" s="148"/>
      <c r="H182" s="148"/>
      <c r="I182" s="148"/>
      <c r="J182" s="156">
        <f>(J$143*J$15)-(J$142*J$26)</f>
        <v>-125.07380808656183</v>
      </c>
      <c r="K182" s="156">
        <f>(K$143*K$15)-(K$142*K$26)</f>
        <v>-223.56279492366468</v>
      </c>
      <c r="L182" s="156">
        <f>(L$143*L$15)-(L$142*L$26)</f>
        <v>-157.10885733033592</v>
      </c>
      <c r="M182" s="156">
        <f>(M$143*M$15)-(M$142*M$26)</f>
        <v>-44.773586704500076</v>
      </c>
      <c r="N182" s="365">
        <f>(N$143*N$15)-(N$142*N$26)</f>
        <v>43.385170143860023</v>
      </c>
      <c r="O182" s="157"/>
      <c r="P182" s="158"/>
      <c r="Q182" s="148"/>
      <c r="R182" s="147" t="s">
        <v>242</v>
      </c>
    </row>
    <row r="183" spans="1:24" s="37" customFormat="1">
      <c r="C183" s="131"/>
      <c r="D183" s="153"/>
      <c r="E183" s="154"/>
      <c r="F183" s="155"/>
      <c r="G183" s="148"/>
      <c r="H183" s="148"/>
      <c r="I183" s="148"/>
      <c r="J183" s="156"/>
      <c r="K183" s="156"/>
      <c r="L183" s="156"/>
      <c r="M183" s="156"/>
      <c r="N183" s="365"/>
      <c r="O183" s="157"/>
      <c r="P183" s="158"/>
      <c r="Q183" s="148"/>
      <c r="R183" s="147"/>
    </row>
    <row r="184" spans="1:24" s="37" customFormat="1">
      <c r="C184" s="131"/>
      <c r="D184" s="153" t="s">
        <v>57</v>
      </c>
      <c r="E184" s="154" t="s">
        <v>248</v>
      </c>
      <c r="F184" s="155"/>
      <c r="G184" s="148"/>
      <c r="H184" s="148"/>
      <c r="I184" s="148"/>
      <c r="J184" s="156">
        <f>(J173-J163)*'Input FD'!$O$59</f>
        <v>1.3906388256621556</v>
      </c>
      <c r="K184" s="156">
        <f>(K173-K163)*'Input FD'!$O$59</f>
        <v>1.0966570456656342</v>
      </c>
      <c r="L184" s="156">
        <f>(L173-L163)*'Input FD'!$O$59</f>
        <v>-2.9590663343086345</v>
      </c>
      <c r="M184" s="156">
        <f>(M173-M163)*'Input FD'!$O$59</f>
        <v>-6.924263445410296</v>
      </c>
      <c r="N184" s="365">
        <f>(N173-N163)*'Input FD'!$O$59</f>
        <v>-8.1081907145592655</v>
      </c>
      <c r="O184" s="157"/>
      <c r="P184" s="158"/>
      <c r="Q184" s="148"/>
      <c r="R184" s="147" t="s">
        <v>242</v>
      </c>
    </row>
    <row r="185" spans="1:24" s="37" customFormat="1">
      <c r="C185" s="131"/>
      <c r="D185" s="153" t="s">
        <v>57</v>
      </c>
      <c r="E185" s="154" t="s">
        <v>249</v>
      </c>
      <c r="F185" s="155"/>
      <c r="G185" s="148"/>
      <c r="H185" s="148"/>
      <c r="I185" s="148"/>
      <c r="J185" s="156">
        <f>(J177-J167)*'Input FD'!$O$59</f>
        <v>-3.1893821062073262</v>
      </c>
      <c r="K185" s="156">
        <f>(K177-K167)*'Input FD'!$O$59</f>
        <v>-12.07961548296811</v>
      </c>
      <c r="L185" s="156">
        <f>(L177-L167)*'Input FD'!$O$59</f>
        <v>-21.786742615445128</v>
      </c>
      <c r="M185" s="156">
        <f>(M177-M167)*'Input FD'!$O$59</f>
        <v>-26.934744938333441</v>
      </c>
      <c r="N185" s="365">
        <f>(N177-N167)*'Input FD'!$O$59</f>
        <v>-26.970149560629761</v>
      </c>
      <c r="O185" s="157"/>
      <c r="P185" s="158"/>
      <c r="Q185" s="148"/>
      <c r="R185" s="147" t="s">
        <v>242</v>
      </c>
    </row>
    <row r="186" spans="1:24" s="37" customFormat="1">
      <c r="C186" s="131"/>
      <c r="D186" s="153"/>
      <c r="E186" s="154"/>
      <c r="F186" s="155"/>
      <c r="G186" s="148"/>
      <c r="H186" s="148"/>
      <c r="I186" s="148"/>
      <c r="J186" s="156"/>
      <c r="K186" s="156"/>
      <c r="L186" s="156"/>
      <c r="M186" s="156"/>
      <c r="N186" s="365"/>
      <c r="O186" s="157"/>
      <c r="P186" s="158"/>
      <c r="Q186" s="148"/>
      <c r="R186" s="147"/>
    </row>
    <row r="187" spans="1:24" s="37" customFormat="1">
      <c r="C187" s="131"/>
      <c r="D187" s="153" t="s">
        <v>57</v>
      </c>
      <c r="E187" s="154" t="s">
        <v>244</v>
      </c>
      <c r="F187" s="155"/>
      <c r="G187" s="148"/>
      <c r="H187" s="148"/>
      <c r="I187" s="148"/>
      <c r="J187" s="156">
        <f>$P$130*J63/SUM($J$63:$N$63)</f>
        <v>0.42717129387941338</v>
      </c>
      <c r="K187" s="156">
        <f>$P$130*K63/SUM($J$63:$N$63)</f>
        <v>0.62093096836910233</v>
      </c>
      <c r="L187" s="156">
        <f>$P$130*L63/SUM($J$63:$N$63)</f>
        <v>0.56455939883525652</v>
      </c>
      <c r="M187" s="156">
        <f>$P$130*M63/SUM($J$63:$N$63)</f>
        <v>0.53163629864654927</v>
      </c>
      <c r="N187" s="365">
        <f>$P$130*N63/SUM($J$63:$N$63)</f>
        <v>0.4201782779131612</v>
      </c>
      <c r="O187" s="157"/>
      <c r="P187" s="158"/>
      <c r="Q187" s="148"/>
      <c r="R187" s="147" t="s">
        <v>242</v>
      </c>
    </row>
    <row r="188" spans="1:24" s="37" customFormat="1">
      <c r="C188" s="131"/>
      <c r="D188" s="153" t="s">
        <v>57</v>
      </c>
      <c r="E188" s="154" t="s">
        <v>245</v>
      </c>
      <c r="F188" s="155"/>
      <c r="G188" s="148"/>
      <c r="H188" s="148"/>
      <c r="I188" s="148"/>
      <c r="J188" s="156">
        <f>IF(SUM($J$74:$N$74)=0,0,$P$131*J74/SUM($J$74:$N$74))</f>
        <v>6.874864273443789</v>
      </c>
      <c r="K188" s="156">
        <f>IF(SUM($J$74:$N$74)=0,0,$P$131*K74/SUM($J$74:$N$74))</f>
        <v>8.4847791468976581</v>
      </c>
      <c r="L188" s="156">
        <f>IF(SUM($J$74:$N$74)=0,0,$P$131*L74/SUM($J$74:$N$74))</f>
        <v>6.6626686422819237</v>
      </c>
      <c r="M188" s="156">
        <f>IF(SUM($J$74:$N$74)=0,0,$P$131*M74/SUM($J$74:$N$74))</f>
        <v>5.7549963568641678</v>
      </c>
      <c r="N188" s="365">
        <f>IF(SUM($J$74:$N$74)=0,0,$P$131*N74/SUM($J$74:$N$74))</f>
        <v>3.9578415290627289</v>
      </c>
      <c r="O188" s="157"/>
      <c r="P188" s="158"/>
      <c r="Q188" s="148"/>
      <c r="R188" s="147" t="s">
        <v>242</v>
      </c>
    </row>
    <row r="189" spans="1:24" s="37" customFormat="1">
      <c r="C189" s="131"/>
      <c r="D189" s="153"/>
      <c r="E189" s="154"/>
      <c r="F189" s="155"/>
      <c r="G189" s="148"/>
      <c r="H189" s="148"/>
      <c r="I189" s="148"/>
      <c r="J189" s="156"/>
      <c r="K189" s="156"/>
      <c r="L189" s="156"/>
      <c r="M189" s="156"/>
      <c r="N189" s="365"/>
      <c r="O189" s="157"/>
      <c r="P189" s="158"/>
      <c r="Q189" s="148"/>
      <c r="R189" s="147"/>
    </row>
    <row r="190" spans="1:24" s="37" customFormat="1">
      <c r="C190" s="131"/>
      <c r="D190" s="153" t="s">
        <v>57</v>
      </c>
      <c r="E190" s="154" t="s">
        <v>405</v>
      </c>
      <c r="F190" s="155"/>
      <c r="G190" s="148"/>
      <c r="H190" s="148"/>
      <c r="I190" s="148"/>
      <c r="J190" s="156">
        <f>J187+J184</f>
        <v>1.817810119541569</v>
      </c>
      <c r="K190" s="156">
        <f t="shared" ref="K190:N191" si="28">K187+K184</f>
        <v>1.7175880140347366</v>
      </c>
      <c r="L190" s="156">
        <f t="shared" si="28"/>
        <v>-2.3945069354733781</v>
      </c>
      <c r="M190" s="156">
        <f t="shared" si="28"/>
        <v>-6.392627146763747</v>
      </c>
      <c r="N190" s="365">
        <f t="shared" si="28"/>
        <v>-7.6880124366461047</v>
      </c>
      <c r="O190" s="157"/>
      <c r="P190" s="158"/>
      <c r="Q190" s="148"/>
      <c r="R190" s="147" t="s">
        <v>242</v>
      </c>
    </row>
    <row r="191" spans="1:24" s="37" customFormat="1">
      <c r="C191" s="131"/>
      <c r="D191" s="153" t="s">
        <v>57</v>
      </c>
      <c r="E191" s="154" t="s">
        <v>406</v>
      </c>
      <c r="F191" s="155"/>
      <c r="G191" s="148"/>
      <c r="H191" s="148"/>
      <c r="I191" s="148"/>
      <c r="J191" s="156">
        <f>J188+J185</f>
        <v>3.6854821672364628</v>
      </c>
      <c r="K191" s="156">
        <f t="shared" si="28"/>
        <v>-3.5948363360704523</v>
      </c>
      <c r="L191" s="156">
        <f t="shared" si="28"/>
        <v>-15.124073973163204</v>
      </c>
      <c r="M191" s="156">
        <f t="shared" si="28"/>
        <v>-21.179748581469273</v>
      </c>
      <c r="N191" s="365">
        <f t="shared" si="28"/>
        <v>-23.012308031567031</v>
      </c>
      <c r="O191" s="157"/>
      <c r="P191" s="158"/>
      <c r="Q191" s="148"/>
      <c r="R191" s="147" t="s">
        <v>242</v>
      </c>
    </row>
    <row r="192" spans="1:24" s="37" customFormat="1" ht="12.75" customHeight="1">
      <c r="A192" s="109"/>
      <c r="B192" s="109"/>
      <c r="C192" s="104"/>
      <c r="D192" s="104"/>
      <c r="E192" s="132"/>
      <c r="F192" s="104"/>
      <c r="G192" s="104"/>
      <c r="H192" s="104"/>
      <c r="I192" s="104"/>
      <c r="J192" s="156"/>
      <c r="K192" s="156"/>
      <c r="L192" s="156"/>
      <c r="M192" s="156"/>
      <c r="N192" s="365"/>
      <c r="O192" s="109"/>
      <c r="P192" s="136"/>
      <c r="Q192" s="104"/>
      <c r="R192" s="160"/>
    </row>
    <row r="193" spans="1:20" s="37" customFormat="1">
      <c r="A193" s="109"/>
      <c r="B193" s="109"/>
      <c r="C193" s="104"/>
      <c r="D193" s="104" t="s">
        <v>57</v>
      </c>
      <c r="E193" s="132" t="s">
        <v>407</v>
      </c>
      <c r="F193" s="104"/>
      <c r="G193" s="104"/>
      <c r="H193" s="104"/>
      <c r="I193" s="104"/>
      <c r="J193" s="156">
        <f>IF('Input FD'!$O$156=0,(J190/(1+'Input FD'!$O$60)^J$6),(J190/(1+'Input FD'!$O$59)^J$6))</f>
        <v>2.2179889638251225</v>
      </c>
      <c r="K193" s="156">
        <f>IF('Input FD'!$O$156=0,(K190/(1+'Input FD'!$O$60)^K$6),(K190/(1+'Input FD'!$O$59)^K$6))</f>
        <v>1.9940091592232141</v>
      </c>
      <c r="L193" s="156">
        <f>IF('Input FD'!$O$156=0,(L190/(1+'Input FD'!$O$60)^L$6),(L190/(1+'Input FD'!$O$59)^L$6))</f>
        <v>-2.6449747554308285</v>
      </c>
      <c r="M193" s="156">
        <f>IF('Input FD'!$O$156=0,(M190/(1+'Input FD'!$O$60)^M$6),(M190/(1+'Input FD'!$O$59)^M$6))</f>
        <v>-6.7186511312486976</v>
      </c>
      <c r="N193" s="664">
        <f>IF('Input FD'!$O$156=0,(N190/(1+'Input FD'!$O$60)^N$6),(N190/(1+'Input FD'!$O$59)^N$6))</f>
        <v>-7.6880124366461047</v>
      </c>
      <c r="O193" s="109"/>
      <c r="P193" s="622">
        <f>SUM(J193:N193)</f>
        <v>-12.839640200277294</v>
      </c>
      <c r="Q193" s="104"/>
      <c r="R193" s="147" t="s">
        <v>242</v>
      </c>
    </row>
    <row r="194" spans="1:20" s="37" customFormat="1">
      <c r="A194" s="109"/>
      <c r="B194" s="109"/>
      <c r="C194" s="104"/>
      <c r="D194" s="104" t="s">
        <v>57</v>
      </c>
      <c r="E194" s="177" t="s">
        <v>408</v>
      </c>
      <c r="F194" s="104"/>
      <c r="G194" s="104"/>
      <c r="H194" s="104"/>
      <c r="I194" s="104"/>
      <c r="J194" s="156">
        <f>IF('Input FD'!$O$156=0,(J191/(1+'Input FD'!$O$60)^J$6),(J191/(1+'Input FD'!$O$59)^J$6))</f>
        <v>4.496816628662101</v>
      </c>
      <c r="K194" s="156">
        <f>IF('Input FD'!$O$156=0,(K191/(1+'Input FD'!$O$60)^K$6),(K191/(1+'Input FD'!$O$59)^K$6))</f>
        <v>-4.1733736620544049</v>
      </c>
      <c r="L194" s="156">
        <f>IF('Input FD'!$O$156=0,(L191/(1+'Input FD'!$O$60)^L$6),(L191/(1+'Input FD'!$O$59)^L$6))</f>
        <v>-16.706067234830048</v>
      </c>
      <c r="M194" s="156">
        <f>IF('Input FD'!$O$156=0,(M191/(1+'Input FD'!$O$60)^M$6),(M191/(1+'Input FD'!$O$59)^M$6))</f>
        <v>-22.259915759124205</v>
      </c>
      <c r="N194" s="664">
        <f>IF('Input FD'!$O$156=0,(N191/(1+'Input FD'!$O$60)^N$6),(N191/(1+'Input FD'!$O$59)^N$6))</f>
        <v>-23.012308031567031</v>
      </c>
      <c r="O194" s="368"/>
      <c r="P194" s="622">
        <f>SUM(J194:N194)</f>
        <v>-61.654848058913586</v>
      </c>
      <c r="Q194" s="104"/>
      <c r="R194" s="147" t="s">
        <v>242</v>
      </c>
    </row>
    <row r="195" spans="1:20" s="37" customFormat="1">
      <c r="A195" s="109"/>
      <c r="B195" s="109"/>
      <c r="C195" s="131"/>
      <c r="D195" s="104"/>
      <c r="E195" s="177"/>
      <c r="F195" s="104"/>
      <c r="G195" s="104"/>
      <c r="H195" s="104"/>
      <c r="I195" s="104"/>
      <c r="J195" s="156"/>
      <c r="K195" s="156"/>
      <c r="L195" s="156"/>
      <c r="M195" s="156"/>
      <c r="N195" s="383"/>
      <c r="O195" s="384"/>
      <c r="P195" s="150"/>
      <c r="Q195" s="104"/>
      <c r="R195" s="147"/>
    </row>
    <row r="196" spans="1:20" s="37" customFormat="1">
      <c r="A196" s="109"/>
      <c r="B196" s="109"/>
      <c r="C196" s="131"/>
      <c r="D196" s="104" t="s">
        <v>57</v>
      </c>
      <c r="E196" s="132" t="s">
        <v>411</v>
      </c>
      <c r="F196" s="104"/>
      <c r="G196" s="104"/>
      <c r="H196" s="104"/>
      <c r="I196" s="104"/>
      <c r="J196" s="156">
        <f>J193*$L$13/$G$13</f>
        <v>2.6016688892521</v>
      </c>
      <c r="K196" s="156">
        <f t="shared" ref="K196:N197" si="29">K193*$L$13/$G$13</f>
        <v>2.3389438266131077</v>
      </c>
      <c r="L196" s="156">
        <f t="shared" si="29"/>
        <v>-3.102517030650171</v>
      </c>
      <c r="M196" s="156">
        <f t="shared" si="29"/>
        <v>-7.8808803429584389</v>
      </c>
      <c r="N196" s="365">
        <f t="shared" si="29"/>
        <v>-9.0179270964949829</v>
      </c>
      <c r="O196" s="109"/>
      <c r="P196" s="622">
        <f>P193*$L$13/$G$13</f>
        <v>-15.060711754238387</v>
      </c>
      <c r="Q196" s="104"/>
      <c r="R196" s="160" t="s">
        <v>413</v>
      </c>
    </row>
    <row r="197" spans="1:20" s="37" customFormat="1">
      <c r="A197" s="109"/>
      <c r="B197" s="109"/>
      <c r="C197" s="131"/>
      <c r="D197" s="104" t="s">
        <v>57</v>
      </c>
      <c r="E197" s="177" t="s">
        <v>412</v>
      </c>
      <c r="F197" s="104"/>
      <c r="G197" s="104"/>
      <c r="H197" s="131"/>
      <c r="I197" s="131"/>
      <c r="J197" s="156">
        <f>J194*$L$13/$G$13</f>
        <v>5.2747006925072011</v>
      </c>
      <c r="K197" s="156">
        <f t="shared" si="29"/>
        <v>-4.895306783251935</v>
      </c>
      <c r="L197" s="156">
        <f t="shared" si="29"/>
        <v>-19.595974594776248</v>
      </c>
      <c r="M197" s="156">
        <f t="shared" si="29"/>
        <v>-26.1105583717648</v>
      </c>
      <c r="N197" s="365">
        <f t="shared" si="29"/>
        <v>-26.993103596134333</v>
      </c>
      <c r="O197" s="368"/>
      <c r="P197" s="622">
        <f>P194*$L$13/$G$13</f>
        <v>-72.320242653420109</v>
      </c>
      <c r="Q197" s="131"/>
      <c r="R197" s="147" t="s">
        <v>413</v>
      </c>
    </row>
    <row r="198" spans="1:20" s="37" customFormat="1">
      <c r="C198" s="131"/>
      <c r="D198" s="153"/>
      <c r="E198" s="154"/>
      <c r="F198" s="155"/>
      <c r="G198" s="148"/>
      <c r="H198" s="148"/>
      <c r="I198" s="148"/>
      <c r="J198" s="156"/>
      <c r="K198" s="156"/>
      <c r="L198" s="156"/>
      <c r="M198" s="156"/>
      <c r="N198" s="365"/>
      <c r="O198" s="157"/>
      <c r="P198" s="158"/>
      <c r="Q198" s="148"/>
      <c r="R198" s="147"/>
    </row>
    <row r="199" spans="1:20" ht="12.75" customHeight="1">
      <c r="A199" s="479"/>
      <c r="B199" s="452"/>
      <c r="C199" s="453"/>
      <c r="D199" s="481"/>
      <c r="E199" s="483" t="s">
        <v>604</v>
      </c>
      <c r="F199" s="440"/>
      <c r="G199" s="440"/>
      <c r="H199" s="440"/>
      <c r="I199" s="440"/>
      <c r="J199" s="440"/>
      <c r="K199" s="440"/>
      <c r="L199" s="440"/>
      <c r="M199" s="440"/>
      <c r="N199" s="446"/>
      <c r="O199" s="440"/>
      <c r="P199" s="475"/>
      <c r="Q199" s="476"/>
      <c r="R199" s="477"/>
    </row>
    <row r="200" spans="1:20" s="37" customFormat="1">
      <c r="A200" s="109"/>
      <c r="B200" s="109"/>
      <c r="C200" s="104"/>
      <c r="D200" s="104"/>
      <c r="E200" s="132"/>
      <c r="F200" s="104"/>
      <c r="G200" s="104"/>
      <c r="H200" s="104"/>
      <c r="I200" s="104"/>
      <c r="J200" s="156"/>
      <c r="K200" s="156"/>
      <c r="L200" s="156"/>
      <c r="M200" s="156"/>
      <c r="N200" s="365"/>
      <c r="O200" s="109"/>
      <c r="P200" s="530"/>
      <c r="Q200" s="104"/>
      <c r="R200" s="147"/>
      <c r="S200" s="658"/>
    </row>
    <row r="201" spans="1:20" s="37" customFormat="1">
      <c r="A201" s="109"/>
      <c r="B201" s="109"/>
      <c r="C201" s="104" t="s">
        <v>591</v>
      </c>
      <c r="D201" s="104" t="s">
        <v>57</v>
      </c>
      <c r="E201" s="132" t="str">
        <f>'Calc2 FD'!E149</f>
        <v>Water: Ex post RCV adjustment</v>
      </c>
      <c r="G201" s="104"/>
      <c r="H201" s="104"/>
      <c r="I201" s="104"/>
      <c r="J201" s="156"/>
      <c r="K201" s="156"/>
      <c r="L201" s="156"/>
      <c r="M201" s="156"/>
      <c r="N201" s="365"/>
      <c r="O201" s="109"/>
      <c r="P201" s="622">
        <f>P149*$L$13/$G$13</f>
        <v>-177.05235492090299</v>
      </c>
      <c r="Q201" s="104"/>
      <c r="R201" s="147" t="s">
        <v>413</v>
      </c>
      <c r="S201" s="659"/>
      <c r="T201" s="659"/>
    </row>
    <row r="202" spans="1:20" s="37" customFormat="1">
      <c r="A202" s="109"/>
      <c r="B202" s="109"/>
      <c r="C202" s="104" t="s">
        <v>592</v>
      </c>
      <c r="D202" s="104" t="s">
        <v>57</v>
      </c>
      <c r="E202" s="132" t="str">
        <f>'Calc2 FD'!E124</f>
        <v>Water: Total reward/(penalty)</v>
      </c>
      <c r="G202" s="104"/>
      <c r="H202" s="104"/>
      <c r="I202" s="104"/>
      <c r="J202" s="156"/>
      <c r="K202" s="156"/>
      <c r="L202" s="156"/>
      <c r="M202" s="156"/>
      <c r="N202" s="365"/>
      <c r="O202" s="109"/>
      <c r="P202" s="622">
        <f>P124*$L$13/$G$13</f>
        <v>-41.934287993156367</v>
      </c>
      <c r="Q202" s="104"/>
      <c r="R202" s="147" t="s">
        <v>413</v>
      </c>
      <c r="S202" s="659"/>
    </row>
    <row r="203" spans="1:20" s="37" customFormat="1">
      <c r="A203" s="109"/>
      <c r="B203" s="109"/>
      <c r="C203" s="104" t="s">
        <v>593</v>
      </c>
      <c r="D203" s="104" t="s">
        <v>57</v>
      </c>
      <c r="E203" s="132" t="str">
        <f>'Calc2 FD'!E127</f>
        <v>Water: Additional income (applied at FD)</v>
      </c>
      <c r="G203" s="104"/>
      <c r="H203" s="104"/>
      <c r="I203" s="104"/>
      <c r="J203" s="156"/>
      <c r="K203" s="156"/>
      <c r="L203" s="156"/>
      <c r="M203" s="156"/>
      <c r="N203" s="365"/>
      <c r="O203" s="109"/>
      <c r="P203" s="622">
        <f>SUM(J127:N127)*$L$13/$G$13</f>
        <v>-44.942381429832892</v>
      </c>
      <c r="Q203" s="104"/>
      <c r="R203" s="147" t="s">
        <v>413</v>
      </c>
      <c r="S203" s="659"/>
    </row>
    <row r="204" spans="1:20" s="37" customFormat="1">
      <c r="A204" s="109"/>
      <c r="B204" s="109"/>
      <c r="C204" s="104" t="s">
        <v>594</v>
      </c>
      <c r="D204" s="104" t="s">
        <v>57</v>
      </c>
      <c r="E204" s="132" t="str">
        <f>'Calc2 FD'!E187</f>
        <v>Water: Ex post reward/penalty</v>
      </c>
      <c r="G204" s="104"/>
      <c r="H204" s="104"/>
      <c r="I204" s="104"/>
      <c r="J204" s="156"/>
      <c r="K204" s="156"/>
      <c r="L204" s="156"/>
      <c r="M204" s="156"/>
      <c r="N204" s="365"/>
      <c r="O204" s="109"/>
      <c r="P204" s="622">
        <f>SUM(J187:N187)*$L$13/$G$13</f>
        <v>3.0080934366765284</v>
      </c>
      <c r="Q204" s="104"/>
      <c r="R204" s="147" t="s">
        <v>413</v>
      </c>
      <c r="S204" s="659"/>
    </row>
    <row r="205" spans="1:20" s="37" customFormat="1">
      <c r="A205" s="109"/>
      <c r="B205" s="109"/>
      <c r="C205" s="104" t="s">
        <v>595</v>
      </c>
      <c r="D205" s="104" t="s">
        <v>57</v>
      </c>
      <c r="E205" s="132" t="str">
        <f>'Calc2 FD'!E184</f>
        <v>Water: Ex post financing cost of under/(overfunded) capex</v>
      </c>
      <c r="G205" s="104"/>
      <c r="H205" s="104"/>
      <c r="I205" s="104"/>
      <c r="J205" s="156"/>
      <c r="K205" s="156"/>
      <c r="L205" s="156"/>
      <c r="M205" s="156"/>
      <c r="N205" s="365"/>
      <c r="O205" s="662"/>
      <c r="P205" s="622">
        <f>SUM(J184:N184)*$L$13/$G$13</f>
        <v>-18.186230640184018</v>
      </c>
      <c r="Q205" s="104"/>
      <c r="R205" s="147" t="s">
        <v>413</v>
      </c>
      <c r="S205" s="659"/>
    </row>
    <row r="206" spans="1:20" s="37" customFormat="1">
      <c r="A206" s="109"/>
      <c r="B206" s="109"/>
      <c r="C206" s="104" t="s">
        <v>596</v>
      </c>
      <c r="D206" s="104" t="s">
        <v>57</v>
      </c>
      <c r="E206" s="132" t="str">
        <f>'Calc2 FD'!E190</f>
        <v>Water: Ex post total revenue adjustment</v>
      </c>
      <c r="G206" s="104"/>
      <c r="H206" s="104"/>
      <c r="I206" s="104"/>
      <c r="J206" s="156"/>
      <c r="K206" s="156"/>
      <c r="L206" s="156"/>
      <c r="M206" s="156"/>
      <c r="N206" s="365"/>
      <c r="O206" s="109"/>
      <c r="P206" s="622">
        <f>SUM(J190:N190)*$L$13/$G$13</f>
        <v>-15.178137203507491</v>
      </c>
      <c r="Q206" s="104"/>
      <c r="R206" s="147" t="s">
        <v>413</v>
      </c>
      <c r="S206" s="659"/>
      <c r="T206" s="659"/>
    </row>
    <row r="207" spans="1:20" s="37" customFormat="1">
      <c r="A207" s="109"/>
      <c r="B207" s="109"/>
      <c r="C207" s="104" t="s">
        <v>597</v>
      </c>
      <c r="D207" s="104" t="s">
        <v>57</v>
      </c>
      <c r="E207" s="132" t="str">
        <f>'Calc2 FD'!E196</f>
        <v>Water: Future value of ex post revenue adjustment of prior year annual adjustments (2012-13 prices)</v>
      </c>
      <c r="G207" s="104"/>
      <c r="H207" s="104"/>
      <c r="I207" s="104"/>
      <c r="J207" s="156"/>
      <c r="K207" s="156"/>
      <c r="L207" s="156"/>
      <c r="M207" s="156"/>
      <c r="N207" s="365"/>
      <c r="O207" s="109"/>
      <c r="P207" s="622">
        <f>P196</f>
        <v>-15.060711754238387</v>
      </c>
      <c r="Q207" s="104"/>
      <c r="R207" s="147" t="s">
        <v>413</v>
      </c>
      <c r="S207" s="659"/>
    </row>
    <row r="208" spans="1:20" s="37" customFormat="1">
      <c r="A208" s="109"/>
      <c r="B208" s="109"/>
      <c r="C208" s="104"/>
      <c r="D208" s="104"/>
      <c r="E208" s="132"/>
      <c r="G208" s="104"/>
      <c r="H208" s="104"/>
      <c r="I208" s="104"/>
      <c r="J208" s="156"/>
      <c r="K208" s="156"/>
      <c r="L208" s="156"/>
      <c r="M208" s="156"/>
      <c r="N208" s="365"/>
      <c r="O208" s="109"/>
      <c r="P208" s="622"/>
      <c r="Q208" s="104"/>
      <c r="R208" s="147"/>
      <c r="S208" s="659"/>
    </row>
    <row r="209" spans="1:20" s="37" customFormat="1">
      <c r="A209" s="109"/>
      <c r="B209" s="109"/>
      <c r="C209" s="104" t="s">
        <v>598</v>
      </c>
      <c r="D209" s="104" t="s">
        <v>57</v>
      </c>
      <c r="E209" s="132" t="str">
        <f>'Calc2 FD'!E153</f>
        <v>Sewerage: Ex post RCV adjustment</v>
      </c>
      <c r="G209" s="104"/>
      <c r="H209" s="104"/>
      <c r="I209" s="104"/>
      <c r="J209" s="156"/>
      <c r="K209" s="156"/>
      <c r="L209" s="156"/>
      <c r="M209" s="156"/>
      <c r="N209" s="365"/>
      <c r="O209" s="109"/>
      <c r="P209" s="622">
        <f>P153*$L$13/$G$13</f>
        <v>-594.86068314075271</v>
      </c>
      <c r="Q209" s="104"/>
      <c r="R209" s="147" t="s">
        <v>413</v>
      </c>
      <c r="S209" s="659"/>
      <c r="T209" s="659"/>
    </row>
    <row r="210" spans="1:20" s="37" customFormat="1">
      <c r="A210" s="109"/>
      <c r="B210" s="109"/>
      <c r="C210" s="104" t="s">
        <v>599</v>
      </c>
      <c r="D210" s="104" t="s">
        <v>57</v>
      </c>
      <c r="E210" s="132" t="str">
        <f>'Calc2 FD'!E125</f>
        <v>Sewerage: Total reward/(penalty)</v>
      </c>
      <c r="G210" s="104"/>
      <c r="H210" s="104"/>
      <c r="I210" s="104"/>
      <c r="J210" s="156"/>
      <c r="K210" s="156"/>
      <c r="L210" s="156"/>
      <c r="M210" s="156"/>
      <c r="N210" s="365"/>
      <c r="O210" s="109"/>
      <c r="P210" s="622">
        <f>P125*$L$13/$G$13</f>
        <v>12.729212647767104</v>
      </c>
      <c r="Q210" s="104"/>
      <c r="R210" s="147" t="s">
        <v>413</v>
      </c>
      <c r="S210" s="659"/>
    </row>
    <row r="211" spans="1:20" s="37" customFormat="1">
      <c r="A211" s="109"/>
      <c r="B211" s="109"/>
      <c r="C211" s="104" t="s">
        <v>600</v>
      </c>
      <c r="D211" s="104" t="s">
        <v>57</v>
      </c>
      <c r="E211" s="132" t="str">
        <f>'Calc2 FD'!E128</f>
        <v>Sewerage: Additional income (applied at FD)</v>
      </c>
      <c r="G211" s="104"/>
      <c r="H211" s="104"/>
      <c r="I211" s="104"/>
      <c r="J211" s="156"/>
      <c r="K211" s="156"/>
      <c r="L211" s="156"/>
      <c r="M211" s="156"/>
      <c r="N211" s="365"/>
      <c r="O211" s="109"/>
      <c r="P211" s="622">
        <f>SUM(J128:N128)*$L$13/$G$13</f>
        <v>-24.495658018182436</v>
      </c>
      <c r="Q211" s="104"/>
      <c r="R211" s="147" t="s">
        <v>413</v>
      </c>
      <c r="S211" s="659"/>
    </row>
    <row r="212" spans="1:20" s="37" customFormat="1">
      <c r="A212" s="109"/>
      <c r="B212" s="109"/>
      <c r="C212" s="104" t="s">
        <v>601</v>
      </c>
      <c r="D212" s="104" t="s">
        <v>57</v>
      </c>
      <c r="E212" s="132" t="str">
        <f>'Calc2 FD'!E188</f>
        <v>Sewerage: Ex post reward/penalty</v>
      </c>
      <c r="G212" s="104"/>
      <c r="H212" s="104"/>
      <c r="I212" s="104"/>
      <c r="J212" s="156"/>
      <c r="K212" s="156"/>
      <c r="L212" s="156"/>
      <c r="M212" s="156"/>
      <c r="N212" s="365"/>
      <c r="O212" s="109"/>
      <c r="P212" s="622">
        <f>SUM(J188:N188)*$L$13/$G$13</f>
        <v>37.224870665949538</v>
      </c>
      <c r="Q212" s="104"/>
      <c r="R212" s="147" t="s">
        <v>413</v>
      </c>
      <c r="S212" s="659"/>
    </row>
    <row r="213" spans="1:20" s="37" customFormat="1">
      <c r="A213" s="109"/>
      <c r="B213" s="109"/>
      <c r="C213" s="104" t="s">
        <v>602</v>
      </c>
      <c r="D213" s="104" t="s">
        <v>57</v>
      </c>
      <c r="E213" s="132" t="str">
        <f>'Calc2 FD'!E185</f>
        <v>Sewerage: Ex post financing cost of under/(overfunded) capex</v>
      </c>
      <c r="G213" s="104"/>
      <c r="H213" s="104"/>
      <c r="I213" s="104"/>
      <c r="J213" s="156"/>
      <c r="K213" s="156"/>
      <c r="L213" s="156"/>
      <c r="M213" s="156"/>
      <c r="N213" s="365"/>
      <c r="O213" s="109"/>
      <c r="P213" s="622">
        <f>SUM(J185:N185)*$L$13/$G$13</f>
        <v>-106.69550539458747</v>
      </c>
      <c r="Q213" s="104"/>
      <c r="R213" s="147" t="s">
        <v>413</v>
      </c>
      <c r="S213" s="659"/>
    </row>
    <row r="214" spans="1:20" s="37" customFormat="1">
      <c r="A214" s="109"/>
      <c r="B214" s="109"/>
      <c r="C214" s="104" t="s">
        <v>603</v>
      </c>
      <c r="D214" s="104" t="s">
        <v>57</v>
      </c>
      <c r="E214" s="132" t="str">
        <f>'Calc2 FD'!E191</f>
        <v>Sewerage: Ex post total revenue adjustment</v>
      </c>
      <c r="G214" s="104"/>
      <c r="H214" s="104"/>
      <c r="I214" s="104"/>
      <c r="J214" s="156"/>
      <c r="K214" s="156"/>
      <c r="L214" s="156"/>
      <c r="M214" s="156"/>
      <c r="N214" s="365"/>
      <c r="O214" s="109"/>
      <c r="P214" s="622">
        <f>SUM(J191:N191)*$L$13/$G$13</f>
        <v>-69.470634728637918</v>
      </c>
      <c r="Q214" s="104"/>
      <c r="R214" s="147" t="s">
        <v>413</v>
      </c>
      <c r="S214" s="659"/>
    </row>
    <row r="215" spans="1:20" s="37" customFormat="1">
      <c r="A215" s="109"/>
      <c r="B215" s="109"/>
      <c r="C215" s="104" t="s">
        <v>611</v>
      </c>
      <c r="D215" s="104" t="s">
        <v>57</v>
      </c>
      <c r="E215" s="132" t="str">
        <f>'Calc2 FD'!E197</f>
        <v>Sewerage: Future value of ex post revenue adjustment of prior year annual adjustments (2012-13 prices)</v>
      </c>
      <c r="G215" s="104"/>
      <c r="H215" s="104"/>
      <c r="I215" s="104"/>
      <c r="J215" s="156"/>
      <c r="K215" s="156"/>
      <c r="L215" s="156"/>
      <c r="M215" s="156"/>
      <c r="N215" s="365"/>
      <c r="O215" s="109"/>
      <c r="P215" s="622">
        <f>P197</f>
        <v>-72.320242653420109</v>
      </c>
      <c r="Q215" s="104"/>
      <c r="R215" s="147" t="s">
        <v>413</v>
      </c>
      <c r="S215" s="659"/>
    </row>
    <row r="216" spans="1:20" s="37" customFormat="1" ht="13.2" customHeight="1">
      <c r="A216" s="109"/>
      <c r="B216" s="109"/>
      <c r="C216" s="104"/>
      <c r="D216" s="104"/>
      <c r="E216" s="132"/>
      <c r="G216" s="104"/>
      <c r="H216" s="104"/>
      <c r="I216" s="104"/>
      <c r="J216" s="156"/>
      <c r="K216" s="156"/>
      <c r="L216" s="156"/>
      <c r="M216" s="156"/>
      <c r="N216" s="704"/>
      <c r="O216" s="109"/>
      <c r="P216" s="622"/>
      <c r="Q216" s="104"/>
      <c r="R216" s="147"/>
      <c r="S216" s="659"/>
    </row>
    <row r="217" spans="1:20" s="37" customFormat="1">
      <c r="A217" s="109"/>
      <c r="B217" s="109"/>
      <c r="C217" s="104"/>
      <c r="D217" s="104" t="s">
        <v>57</v>
      </c>
      <c r="E217" s="132" t="s">
        <v>826</v>
      </c>
      <c r="G217" s="104"/>
      <c r="H217" s="104"/>
      <c r="I217" s="104"/>
      <c r="J217" s="156">
        <f xml:space="preserve"> J57 * J$32</f>
        <v>242.98786746089615</v>
      </c>
      <c r="K217" s="156">
        <f t="shared" ref="K217:N217" si="30" xml:space="preserve"> K57 * K$32</f>
        <v>358.48359715787819</v>
      </c>
      <c r="L217" s="156">
        <f t="shared" si="30"/>
        <v>328.1301977071077</v>
      </c>
      <c r="M217" s="156">
        <f t="shared" si="30"/>
        <v>309.18306196160796</v>
      </c>
      <c r="N217" s="704">
        <f t="shared" si="30"/>
        <v>244.99560824378867</v>
      </c>
      <c r="O217" s="109"/>
      <c r="P217" s="622">
        <f>SUM(J217:N217)*$L$13/$G$13</f>
        <v>1740.4528122508409</v>
      </c>
      <c r="Q217" s="104"/>
      <c r="R217" s="147" t="s">
        <v>413</v>
      </c>
      <c r="S217" s="659"/>
    </row>
    <row r="218" spans="1:20" s="37" customFormat="1">
      <c r="A218" s="109"/>
      <c r="B218" s="109"/>
      <c r="C218" s="104"/>
      <c r="D218" s="104" t="s">
        <v>57</v>
      </c>
      <c r="E218" s="132" t="s">
        <v>827</v>
      </c>
      <c r="G218" s="104"/>
      <c r="H218" s="104"/>
      <c r="I218" s="104"/>
      <c r="J218" s="156">
        <f xml:space="preserve"> J68 * J$32</f>
        <v>641.45903887467637</v>
      </c>
      <c r="K218" s="156">
        <f t="shared" ref="K218:N218" si="31" xml:space="preserve"> K68 * K$32</f>
        <v>809.18328459010945</v>
      </c>
      <c r="L218" s="156">
        <f t="shared" si="31"/>
        <v>650.0016116910989</v>
      </c>
      <c r="M218" s="156">
        <f t="shared" si="31"/>
        <v>543.27940302780667</v>
      </c>
      <c r="N218" s="704">
        <f t="shared" si="31"/>
        <v>434.04547750866635</v>
      </c>
      <c r="O218" s="109"/>
      <c r="P218" s="622">
        <f>SUM(J218:N218)*$L$13/$G$13</f>
        <v>3610.4127840495048</v>
      </c>
      <c r="Q218" s="104"/>
      <c r="R218" s="147" t="s">
        <v>413</v>
      </c>
      <c r="S218" s="659"/>
    </row>
    <row r="219" spans="1:20" s="37" customFormat="1" ht="13.2" customHeight="1">
      <c r="A219" s="209"/>
      <c r="B219" s="209"/>
      <c r="C219" s="599"/>
      <c r="D219" s="209"/>
      <c r="E219" s="210"/>
      <c r="F219" s="209"/>
      <c r="G219" s="209"/>
      <c r="H219" s="209"/>
      <c r="I219" s="209"/>
      <c r="J219" s="211"/>
      <c r="K219" s="211"/>
      <c r="L219" s="211"/>
      <c r="M219" s="211"/>
      <c r="N219" s="212"/>
      <c r="O219" s="109"/>
      <c r="P219" s="188"/>
      <c r="Q219" s="131"/>
      <c r="R219" s="147"/>
    </row>
    <row r="220" spans="1:20" ht="13.2" customHeight="1">
      <c r="E220" s="149"/>
    </row>
  </sheetData>
  <pageMargins left="0.70866141732283472" right="0.70866141732283472" top="0.74803149606299213" bottom="0.74803149606299213" header="0.31496062992125984" footer="0.31496062992125984"/>
  <pageSetup paperSize="9" scale="43" fitToHeight="0" orientation="landscape" r:id="rId1"/>
  <headerFooter>
    <oddFooter>&amp;LPL14L012 CIS v3.5
Ofwat, February 2016</oddFooter>
  </headerFooter>
  <rowBreaks count="2" manualBreakCount="2">
    <brk id="72" max="36" man="1"/>
    <brk id="133" max="3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16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E1" sqref="E1"/>
    </sheetView>
  </sheetViews>
  <sheetFormatPr defaultColWidth="9.109375" defaultRowHeight="13.2"/>
  <cols>
    <col min="1" max="1" width="0.44140625" customWidth="1"/>
    <col min="2" max="2" width="0.5546875" customWidth="1"/>
    <col min="3" max="3" width="12.5546875" customWidth="1"/>
    <col min="4" max="4" width="10" customWidth="1"/>
    <col min="5" max="5" width="91" style="650" customWidth="1"/>
    <col min="6" max="6" width="14.33203125" customWidth="1"/>
    <col min="7" max="7" width="11.44140625" customWidth="1"/>
    <col min="8" max="8" width="11.6640625" customWidth="1"/>
    <col min="9" max="9" width="12.33203125" customWidth="1"/>
    <col min="10" max="10" width="13.33203125" customWidth="1"/>
    <col min="11" max="14" width="11.5546875" customWidth="1"/>
    <col min="15" max="15" width="4.33203125" customWidth="1"/>
    <col min="16" max="16" width="17.6640625" style="22" customWidth="1"/>
    <col min="17" max="17" width="4.33203125" style="22" customWidth="1"/>
    <col min="18" max="22" width="11.5546875" style="101" customWidth="1"/>
    <col min="23" max="32" width="9.109375" style="22"/>
    <col min="33" max="33" width="10.109375" style="22" customWidth="1"/>
    <col min="34" max="16384" width="9.109375" style="22"/>
  </cols>
  <sheetData>
    <row r="1" spans="1:23" ht="37.5" customHeight="1">
      <c r="A1" s="577" t="s">
        <v>20</v>
      </c>
      <c r="B1" s="578"/>
      <c r="C1" s="469"/>
      <c r="D1" s="478" t="s">
        <v>22</v>
      </c>
      <c r="E1" s="634" t="s">
        <v>537</v>
      </c>
      <c r="F1" s="470"/>
      <c r="G1" s="470"/>
      <c r="H1" s="470"/>
      <c r="I1" s="470"/>
      <c r="J1" s="470"/>
      <c r="K1" s="470"/>
      <c r="L1" s="470"/>
      <c r="M1" s="470"/>
      <c r="N1" s="471"/>
      <c r="O1" s="470"/>
      <c r="P1" s="472"/>
      <c r="Q1" s="473"/>
      <c r="R1" s="579"/>
      <c r="S1" s="580"/>
      <c r="T1" s="580"/>
      <c r="U1" s="580"/>
      <c r="V1" s="581"/>
      <c r="W1" s="2"/>
    </row>
    <row r="2" spans="1:23" ht="17.399999999999999">
      <c r="A2" s="3"/>
      <c r="B2" s="4"/>
      <c r="C2" s="45"/>
      <c r="D2" s="46"/>
      <c r="E2" s="635"/>
      <c r="F2" s="48"/>
      <c r="G2" s="49"/>
      <c r="H2" s="49"/>
      <c r="I2" s="49"/>
      <c r="J2" s="50"/>
      <c r="K2" s="50"/>
      <c r="L2" s="50"/>
      <c r="M2" s="50"/>
      <c r="N2" s="371"/>
      <c r="O2" s="5"/>
      <c r="P2" s="81"/>
      <c r="Q2" s="49"/>
      <c r="R2" s="582"/>
      <c r="S2" s="98"/>
      <c r="T2" s="98"/>
      <c r="U2" s="98"/>
      <c r="V2" s="583"/>
      <c r="W2" s="2"/>
    </row>
    <row r="3" spans="1:23" ht="17.399999999999999">
      <c r="A3" s="6" t="s">
        <v>25</v>
      </c>
      <c r="B3" s="7"/>
      <c r="C3" s="8"/>
      <c r="D3" s="9" t="s">
        <v>26</v>
      </c>
      <c r="E3" s="636"/>
      <c r="F3" s="488" t="s">
        <v>27</v>
      </c>
      <c r="G3" s="487" t="s">
        <v>28</v>
      </c>
      <c r="H3" s="487" t="s">
        <v>29</v>
      </c>
      <c r="I3" s="487" t="s">
        <v>30</v>
      </c>
      <c r="J3" s="487" t="s">
        <v>31</v>
      </c>
      <c r="K3" s="487" t="s">
        <v>32</v>
      </c>
      <c r="L3" s="487" t="s">
        <v>33</v>
      </c>
      <c r="M3" s="487" t="s">
        <v>34</v>
      </c>
      <c r="N3" s="488" t="s">
        <v>35</v>
      </c>
      <c r="O3" s="487"/>
      <c r="P3" s="489" t="s">
        <v>86</v>
      </c>
      <c r="Q3" s="490"/>
      <c r="R3" s="584" t="s">
        <v>165</v>
      </c>
      <c r="S3" s="490" t="s">
        <v>540</v>
      </c>
      <c r="T3" s="490" t="s">
        <v>541</v>
      </c>
      <c r="U3" s="490" t="s">
        <v>542</v>
      </c>
      <c r="V3" s="585" t="s">
        <v>543</v>
      </c>
      <c r="W3" s="12"/>
    </row>
    <row r="4" spans="1:23">
      <c r="A4" s="13"/>
      <c r="B4" s="14"/>
      <c r="C4" s="18"/>
      <c r="D4" s="68"/>
      <c r="E4" s="637"/>
      <c r="F4" s="15"/>
      <c r="G4" s="15"/>
      <c r="H4" s="15"/>
      <c r="I4" s="15"/>
      <c r="J4" s="70"/>
      <c r="K4" s="70"/>
      <c r="L4" s="70"/>
      <c r="M4" s="70"/>
      <c r="N4" s="372"/>
      <c r="O4" s="16"/>
      <c r="P4" s="82"/>
      <c r="Q4" s="15"/>
      <c r="R4" s="586"/>
      <c r="S4" s="99"/>
      <c r="T4" s="99"/>
      <c r="U4" s="99"/>
      <c r="V4" s="587"/>
      <c r="W4" s="12"/>
    </row>
    <row r="5" spans="1:23" s="29" customFormat="1">
      <c r="A5" s="61" t="s">
        <v>19</v>
      </c>
      <c r="B5" s="14"/>
      <c r="C5" s="62" t="s">
        <v>17</v>
      </c>
      <c r="D5" s="68" t="s">
        <v>16</v>
      </c>
      <c r="E5" s="638"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588">
        <f>IF(COLUMN()=23,1,N5+1)</f>
        <v>9</v>
      </c>
      <c r="S5" s="576">
        <f>IF(COLUMN()=23,1,R5+1)</f>
        <v>10</v>
      </c>
      <c r="T5" s="576">
        <f t="shared" ref="T5:V5" si="1">IF(COLUMN()=23,1,S5+1)</f>
        <v>11</v>
      </c>
      <c r="U5" s="576">
        <f t="shared" si="1"/>
        <v>12</v>
      </c>
      <c r="V5" s="589">
        <f t="shared" si="1"/>
        <v>13</v>
      </c>
      <c r="W5" s="12"/>
    </row>
    <row r="6" spans="1:23" ht="12.75" customHeight="1">
      <c r="C6" s="19"/>
      <c r="D6" s="19"/>
      <c r="E6" s="639" t="s">
        <v>80</v>
      </c>
      <c r="F6" s="19">
        <f t="shared" ref="F6:N6" si="2">IF(F5=8,0,F5-8)</f>
        <v>-8</v>
      </c>
      <c r="G6" s="19">
        <f t="shared" si="2"/>
        <v>-7</v>
      </c>
      <c r="H6" s="19">
        <f t="shared" si="2"/>
        <v>-6</v>
      </c>
      <c r="I6" s="19">
        <f t="shared" si="2"/>
        <v>-5</v>
      </c>
      <c r="J6" s="65">
        <f t="shared" si="2"/>
        <v>-4</v>
      </c>
      <c r="K6" s="65">
        <f t="shared" si="2"/>
        <v>-3</v>
      </c>
      <c r="L6" s="65">
        <f t="shared" si="2"/>
        <v>-2</v>
      </c>
      <c r="M6" s="65">
        <f t="shared" si="2"/>
        <v>-1</v>
      </c>
      <c r="N6" s="374">
        <f t="shared" si="2"/>
        <v>0</v>
      </c>
      <c r="P6" s="84"/>
      <c r="Q6" s="19"/>
      <c r="R6" s="590">
        <f>IF(R5=9,0,R5-9)</f>
        <v>0</v>
      </c>
      <c r="S6" s="553">
        <f t="shared" ref="S6:V6" si="3">IF(S5=9,0,S5-9)</f>
        <v>1</v>
      </c>
      <c r="T6" s="553">
        <f t="shared" si="3"/>
        <v>2</v>
      </c>
      <c r="U6" s="553">
        <f t="shared" si="3"/>
        <v>3</v>
      </c>
      <c r="V6" s="591">
        <f t="shared" si="3"/>
        <v>4</v>
      </c>
    </row>
    <row r="7" spans="1:23">
      <c r="A7" s="13"/>
      <c r="B7" s="14"/>
      <c r="C7" s="18"/>
      <c r="D7" s="68"/>
      <c r="E7" s="637"/>
      <c r="F7" s="73"/>
      <c r="G7" s="73"/>
      <c r="H7" s="73"/>
      <c r="I7" s="15"/>
      <c r="J7" s="70"/>
      <c r="K7" s="70"/>
      <c r="L7" s="70"/>
      <c r="M7" s="70"/>
      <c r="N7" s="372"/>
      <c r="O7" s="16"/>
      <c r="P7" s="82"/>
      <c r="Q7" s="15"/>
      <c r="R7" s="588"/>
      <c r="S7" s="576"/>
      <c r="T7" s="576"/>
      <c r="U7" s="576"/>
      <c r="V7" s="589"/>
      <c r="W7" s="12"/>
    </row>
    <row r="8" spans="1:23">
      <c r="A8" s="13"/>
      <c r="B8" s="14"/>
      <c r="C8" s="18"/>
      <c r="D8" s="68"/>
      <c r="E8" s="637"/>
      <c r="F8" s="73"/>
      <c r="G8" s="73"/>
      <c r="H8" s="73"/>
      <c r="I8" s="15"/>
      <c r="J8" s="70"/>
      <c r="K8" s="70"/>
      <c r="L8" s="70"/>
      <c r="M8" s="70"/>
      <c r="N8" s="372"/>
      <c r="O8" s="16"/>
      <c r="P8" s="82"/>
      <c r="Q8" s="15"/>
      <c r="R8" s="588"/>
      <c r="S8" s="576"/>
      <c r="T8" s="576"/>
      <c r="U8" s="576"/>
      <c r="V8" s="589"/>
      <c r="W8" s="12"/>
    </row>
    <row r="9" spans="1:23">
      <c r="A9" s="479"/>
      <c r="B9" s="452"/>
      <c r="C9" s="453"/>
      <c r="D9" s="467"/>
      <c r="E9" s="640"/>
      <c r="F9" s="440"/>
      <c r="G9" s="440"/>
      <c r="H9" s="440"/>
      <c r="I9" s="440"/>
      <c r="J9" s="440"/>
      <c r="K9" s="440"/>
      <c r="L9" s="440"/>
      <c r="M9" s="440"/>
      <c r="N9" s="446"/>
      <c r="O9" s="440"/>
      <c r="P9" s="475"/>
      <c r="Q9" s="476"/>
      <c r="R9" s="592"/>
      <c r="S9" s="503"/>
      <c r="T9" s="503"/>
      <c r="U9" s="503"/>
      <c r="V9" s="593"/>
    </row>
    <row r="10" spans="1:23">
      <c r="C10" s="19"/>
      <c r="D10" s="19"/>
      <c r="E10" s="641"/>
      <c r="F10" s="19"/>
      <c r="G10" s="19"/>
      <c r="H10" s="19"/>
      <c r="I10" s="19"/>
      <c r="J10" s="65"/>
      <c r="K10" s="65"/>
      <c r="L10" s="65"/>
      <c r="M10" s="65"/>
      <c r="N10" s="374"/>
      <c r="O10" s="28"/>
      <c r="P10" s="84"/>
      <c r="Q10" s="19"/>
      <c r="R10" s="590"/>
      <c r="S10" s="553"/>
      <c r="T10" s="553"/>
      <c r="U10" s="553"/>
      <c r="V10" s="591"/>
    </row>
    <row r="11" spans="1:23">
      <c r="A11" s="479"/>
      <c r="B11" s="452"/>
      <c r="C11" s="574"/>
      <c r="D11" s="467"/>
      <c r="E11" s="642" t="s">
        <v>544</v>
      </c>
      <c r="F11" s="440"/>
      <c r="G11" s="440"/>
      <c r="H11" s="440"/>
      <c r="I11" s="440"/>
      <c r="J11" s="440"/>
      <c r="K11" s="440"/>
      <c r="L11" s="440"/>
      <c r="M11" s="440"/>
      <c r="N11" s="446"/>
      <c r="O11" s="440"/>
      <c r="P11" s="475"/>
      <c r="Q11" s="476"/>
      <c r="R11" s="592"/>
      <c r="S11" s="503"/>
      <c r="T11" s="503"/>
      <c r="U11" s="503"/>
      <c r="V11" s="593"/>
    </row>
    <row r="12" spans="1:23" s="37" customFormat="1">
      <c r="C12" s="131"/>
      <c r="D12" s="131"/>
      <c r="E12" s="643"/>
      <c r="F12" s="131"/>
      <c r="G12" s="131"/>
      <c r="H12" s="131"/>
      <c r="I12" s="131"/>
      <c r="J12" s="106"/>
      <c r="K12" s="106"/>
      <c r="L12" s="106"/>
      <c r="M12" s="106"/>
      <c r="N12" s="364"/>
      <c r="O12" s="203"/>
      <c r="P12" s="136"/>
      <c r="Q12" s="131"/>
      <c r="R12" s="594"/>
      <c r="S12" s="131"/>
      <c r="T12" s="131"/>
      <c r="U12" s="131"/>
      <c r="V12" s="595"/>
    </row>
    <row r="13" spans="1:23" s="37" customFormat="1">
      <c r="A13" s="109"/>
      <c r="B13" s="109"/>
      <c r="C13" s="104"/>
      <c r="D13" s="104" t="s">
        <v>57</v>
      </c>
      <c r="E13" s="643" t="s">
        <v>411</v>
      </c>
      <c r="F13" s="104"/>
      <c r="G13" s="104"/>
      <c r="H13" s="104"/>
      <c r="I13" s="104"/>
      <c r="J13" s="185"/>
      <c r="K13" s="185"/>
      <c r="L13" s="185"/>
      <c r="M13" s="185"/>
      <c r="N13" s="382"/>
      <c r="O13" s="368"/>
      <c r="P13" s="554">
        <f>'Calc2 FD'!$P$196</f>
        <v>-15.060711754238387</v>
      </c>
      <c r="Q13" s="104"/>
      <c r="R13" s="102"/>
      <c r="S13" s="104"/>
      <c r="T13" s="104"/>
      <c r="U13" s="104"/>
      <c r="V13" s="596"/>
    </row>
    <row r="14" spans="1:23" s="37" customFormat="1">
      <c r="A14" s="109"/>
      <c r="B14" s="109"/>
      <c r="C14" s="104"/>
      <c r="D14" s="104" t="s">
        <v>57</v>
      </c>
      <c r="E14" s="644" t="s">
        <v>412</v>
      </c>
      <c r="F14" s="104"/>
      <c r="G14" s="104"/>
      <c r="H14" s="131"/>
      <c r="I14" s="131"/>
      <c r="J14" s="106"/>
      <c r="K14" s="106"/>
      <c r="L14" s="106"/>
      <c r="M14" s="106"/>
      <c r="N14" s="364"/>
      <c r="O14" s="109"/>
      <c r="P14" s="554">
        <f>'Calc2 FD'!$P$197</f>
        <v>-72.320242653420109</v>
      </c>
      <c r="Q14" s="131"/>
      <c r="R14" s="594"/>
      <c r="S14" s="131"/>
      <c r="T14" s="131"/>
      <c r="U14" s="131"/>
      <c r="V14" s="595"/>
    </row>
    <row r="15" spans="1:23" s="138" customFormat="1">
      <c r="C15" s="139"/>
      <c r="D15" s="140"/>
      <c r="E15" s="645"/>
      <c r="F15" s="142"/>
      <c r="G15" s="143"/>
      <c r="H15" s="143"/>
      <c r="I15" s="143"/>
      <c r="J15" s="144"/>
      <c r="K15" s="144"/>
      <c r="L15" s="144"/>
      <c r="M15" s="144"/>
      <c r="N15" s="377"/>
      <c r="O15" s="145"/>
      <c r="P15" s="136"/>
      <c r="Q15" s="143"/>
      <c r="R15" s="397"/>
      <c r="S15" s="153"/>
      <c r="T15" s="153"/>
      <c r="U15" s="153"/>
      <c r="V15" s="597"/>
    </row>
    <row r="16" spans="1:23">
      <c r="A16" s="479"/>
      <c r="B16" s="452"/>
      <c r="C16" s="574"/>
      <c r="D16" s="467"/>
      <c r="E16" s="642" t="s">
        <v>545</v>
      </c>
      <c r="F16" s="440"/>
      <c r="G16" s="440"/>
      <c r="H16" s="440"/>
      <c r="I16" s="440"/>
      <c r="J16" s="440"/>
      <c r="K16" s="440"/>
      <c r="L16" s="440"/>
      <c r="M16" s="440"/>
      <c r="N16" s="446"/>
      <c r="O16" s="440"/>
      <c r="P16" s="475"/>
      <c r="Q16" s="476"/>
      <c r="R16" s="592"/>
      <c r="S16" s="503"/>
      <c r="T16" s="503"/>
      <c r="U16" s="503"/>
      <c r="V16" s="593"/>
    </row>
    <row r="17" spans="1:22" s="37" customFormat="1">
      <c r="C17" s="131"/>
      <c r="D17" s="131"/>
      <c r="E17" s="643"/>
      <c r="F17" s="131"/>
      <c r="G17" s="204"/>
      <c r="H17" s="204"/>
      <c r="I17" s="204"/>
      <c r="J17" s="106"/>
      <c r="K17" s="106"/>
      <c r="L17" s="106"/>
      <c r="M17" s="106"/>
      <c r="N17" s="364"/>
      <c r="O17" s="203"/>
      <c r="P17" s="136"/>
      <c r="Q17" s="131"/>
      <c r="R17" s="594"/>
      <c r="S17" s="131"/>
      <c r="T17" s="131"/>
      <c r="U17" s="131"/>
      <c r="V17" s="595"/>
    </row>
    <row r="18" spans="1:22" s="138" customFormat="1">
      <c r="C18" s="654" t="s">
        <v>578</v>
      </c>
      <c r="D18" s="153" t="s">
        <v>522</v>
      </c>
      <c r="E18" s="646" t="s">
        <v>535</v>
      </c>
      <c r="F18" s="142"/>
      <c r="G18" s="143"/>
      <c r="H18" s="143"/>
      <c r="I18" s="143"/>
      <c r="J18" s="144"/>
      <c r="K18" s="144"/>
      <c r="L18" s="144"/>
      <c r="M18" s="146"/>
      <c r="N18" s="378"/>
      <c r="O18" s="37"/>
      <c r="P18" s="652">
        <f>'Input FD'!$O$153</f>
        <v>3.5999999999999997E-2</v>
      </c>
      <c r="Q18" s="143"/>
      <c r="R18" s="397"/>
      <c r="S18" s="153"/>
      <c r="T18" s="153"/>
      <c r="U18" s="153"/>
      <c r="V18" s="597"/>
    </row>
    <row r="19" spans="1:22" s="138" customFormat="1">
      <c r="C19" s="139"/>
      <c r="D19" s="140"/>
      <c r="E19" s="645"/>
      <c r="F19" s="142"/>
      <c r="G19" s="134"/>
      <c r="H19" s="134"/>
      <c r="I19" s="134"/>
      <c r="J19" s="135"/>
      <c r="K19" s="135"/>
      <c r="L19" s="135"/>
      <c r="M19" s="135"/>
      <c r="N19" s="375"/>
      <c r="O19" s="37"/>
      <c r="P19" s="136"/>
      <c r="Q19" s="143"/>
      <c r="R19" s="397"/>
      <c r="S19" s="153"/>
      <c r="T19" s="153"/>
      <c r="U19" s="153"/>
      <c r="V19" s="597"/>
    </row>
    <row r="20" spans="1:22" s="138" customFormat="1">
      <c r="C20" s="139"/>
      <c r="D20" s="153" t="s">
        <v>556</v>
      </c>
      <c r="E20" s="645" t="s">
        <v>554</v>
      </c>
      <c r="F20" s="142"/>
      <c r="G20" s="134"/>
      <c r="H20" s="134"/>
      <c r="I20" s="134"/>
      <c r="J20" s="135"/>
      <c r="K20" s="135"/>
      <c r="L20" s="135"/>
      <c r="M20" s="135"/>
      <c r="N20" s="608"/>
      <c r="O20" s="37"/>
      <c r="P20" s="613"/>
      <c r="Q20" s="614"/>
      <c r="R20" s="609">
        <f>1/((1+$P18)^R$6)</f>
        <v>1</v>
      </c>
      <c r="S20" s="610">
        <f t="shared" ref="S20:V20" si="4">1/((1+$P18)^S$6)</f>
        <v>0.96525096525096521</v>
      </c>
      <c r="T20" s="610">
        <f t="shared" si="4"/>
        <v>0.93170942591792005</v>
      </c>
      <c r="U20" s="610">
        <f t="shared" si="4"/>
        <v>0.89933342270069505</v>
      </c>
      <c r="V20" s="611">
        <f t="shared" si="4"/>
        <v>0.8680824543443002</v>
      </c>
    </row>
    <row r="21" spans="1:22" s="138" customFormat="1">
      <c r="C21" s="139"/>
      <c r="D21" s="153" t="s">
        <v>556</v>
      </c>
      <c r="E21" s="645" t="s">
        <v>570</v>
      </c>
      <c r="F21" s="142"/>
      <c r="G21" s="134"/>
      <c r="H21" s="134"/>
      <c r="I21" s="134"/>
      <c r="J21" s="135"/>
      <c r="K21" s="135"/>
      <c r="L21" s="135"/>
      <c r="M21" s="135"/>
      <c r="N21" s="608"/>
      <c r="O21" s="37"/>
      <c r="P21" s="613">
        <f>SUM(R20:V20)</f>
        <v>4.6643762682138803</v>
      </c>
      <c r="Q21" s="614"/>
      <c r="R21" s="609"/>
      <c r="S21" s="610"/>
      <c r="T21" s="610"/>
      <c r="U21" s="610"/>
      <c r="V21" s="611"/>
    </row>
    <row r="22" spans="1:22" s="138" customFormat="1">
      <c r="C22" s="139"/>
      <c r="D22" s="140"/>
      <c r="E22" s="645"/>
      <c r="F22" s="142"/>
      <c r="G22" s="134"/>
      <c r="H22" s="134"/>
      <c r="I22" s="134"/>
      <c r="J22" s="135"/>
      <c r="K22" s="135"/>
      <c r="L22" s="135"/>
      <c r="M22" s="135"/>
      <c r="N22" s="606"/>
      <c r="O22" s="37"/>
      <c r="P22" s="136"/>
      <c r="Q22" s="143"/>
      <c r="R22" s="397"/>
      <c r="S22" s="153"/>
      <c r="T22" s="153"/>
      <c r="U22" s="153"/>
      <c r="V22" s="607"/>
    </row>
    <row r="23" spans="1:22">
      <c r="A23" s="479"/>
      <c r="B23" s="452"/>
      <c r="C23" s="453"/>
      <c r="D23" s="467"/>
      <c r="E23" s="640" t="s">
        <v>553</v>
      </c>
      <c r="F23" s="440"/>
      <c r="G23" s="440"/>
      <c r="H23" s="440"/>
      <c r="I23" s="440"/>
      <c r="J23" s="440"/>
      <c r="K23" s="440"/>
      <c r="L23" s="440"/>
      <c r="M23" s="440"/>
      <c r="N23" s="446"/>
      <c r="O23" s="440"/>
      <c r="P23" s="475"/>
      <c r="Q23" s="476"/>
      <c r="R23" s="592"/>
      <c r="S23" s="503"/>
      <c r="T23" s="503"/>
      <c r="U23" s="503"/>
      <c r="V23" s="593"/>
    </row>
    <row r="24" spans="1:22" s="138" customFormat="1">
      <c r="C24" s="139"/>
      <c r="D24" s="140"/>
      <c r="E24" s="645"/>
      <c r="F24" s="142"/>
      <c r="G24" s="134"/>
      <c r="H24" s="134"/>
      <c r="I24" s="134"/>
      <c r="J24" s="135"/>
      <c r="K24" s="135"/>
      <c r="L24" s="135"/>
      <c r="M24" s="135"/>
      <c r="N24" s="375"/>
      <c r="O24" s="37"/>
      <c r="P24" s="136"/>
      <c r="Q24" s="143"/>
      <c r="R24" s="397"/>
      <c r="S24" s="153"/>
      <c r="T24" s="153"/>
      <c r="U24" s="153"/>
      <c r="V24" s="597"/>
    </row>
    <row r="25" spans="1:22" s="37" customFormat="1">
      <c r="C25" s="131"/>
      <c r="D25" s="153" t="s">
        <v>16</v>
      </c>
      <c r="E25" s="646" t="s">
        <v>579</v>
      </c>
      <c r="F25" s="155"/>
      <c r="G25" s="148"/>
      <c r="H25" s="148"/>
      <c r="I25" s="148"/>
      <c r="J25" s="156"/>
      <c r="K25" s="156"/>
      <c r="L25" s="156"/>
      <c r="M25" s="156"/>
      <c r="N25" s="604"/>
      <c r="O25" s="157"/>
      <c r="P25" s="602">
        <f>'Input FD'!$O$155</f>
        <v>5</v>
      </c>
      <c r="Q25" s="148"/>
      <c r="R25" s="594"/>
      <c r="S25" s="131"/>
      <c r="T25" s="131"/>
      <c r="U25" s="131"/>
      <c r="V25" s="605"/>
    </row>
    <row r="26" spans="1:22" s="138" customFormat="1">
      <c r="C26" s="139"/>
      <c r="D26" s="140"/>
      <c r="E26" s="645"/>
      <c r="F26" s="142"/>
      <c r="G26" s="134"/>
      <c r="H26" s="134"/>
      <c r="I26" s="134"/>
      <c r="J26" s="135"/>
      <c r="K26" s="135"/>
      <c r="L26" s="135"/>
      <c r="M26" s="135"/>
      <c r="N26" s="375"/>
      <c r="O26" s="37"/>
      <c r="P26" s="136"/>
      <c r="Q26" s="143"/>
      <c r="R26" s="397"/>
      <c r="S26" s="153"/>
      <c r="T26" s="153"/>
      <c r="U26" s="153"/>
      <c r="V26" s="597"/>
    </row>
    <row r="27" spans="1:22">
      <c r="A27" s="479"/>
      <c r="B27" s="452"/>
      <c r="C27" s="453"/>
      <c r="D27" s="467"/>
      <c r="E27" s="640" t="s">
        <v>546</v>
      </c>
      <c r="F27" s="440"/>
      <c r="G27" s="440"/>
      <c r="H27" s="440"/>
      <c r="I27" s="440"/>
      <c r="J27" s="440"/>
      <c r="K27" s="440"/>
      <c r="L27" s="440"/>
      <c r="M27" s="440"/>
      <c r="N27" s="446"/>
      <c r="O27" s="440"/>
      <c r="P27" s="475"/>
      <c r="Q27" s="476"/>
      <c r="R27" s="592"/>
      <c r="S27" s="503"/>
      <c r="T27" s="503"/>
      <c r="U27" s="503"/>
      <c r="V27" s="593"/>
    </row>
    <row r="28" spans="1:22">
      <c r="C28" s="19"/>
      <c r="D28" s="19"/>
      <c r="E28" s="641"/>
      <c r="F28" s="19"/>
      <c r="G28" s="75"/>
      <c r="H28" s="19"/>
      <c r="I28" s="19"/>
      <c r="J28" s="65"/>
      <c r="K28" s="65"/>
      <c r="L28" s="65"/>
      <c r="M28" s="65"/>
      <c r="N28" s="374"/>
      <c r="O28" s="28"/>
      <c r="P28" s="84"/>
      <c r="Q28" s="19"/>
      <c r="R28" s="590"/>
      <c r="S28" s="553"/>
      <c r="T28" s="553"/>
      <c r="U28" s="553"/>
      <c r="V28" s="591"/>
    </row>
    <row r="29" spans="1:22">
      <c r="A29" s="479"/>
      <c r="B29" s="452"/>
      <c r="C29" s="601">
        <v>0</v>
      </c>
      <c r="D29" s="601"/>
      <c r="E29" s="640" t="s">
        <v>552</v>
      </c>
      <c r="F29" s="440"/>
      <c r="G29" s="480"/>
      <c r="H29" s="480"/>
      <c r="I29" s="480"/>
      <c r="J29" s="440"/>
      <c r="K29" s="440"/>
      <c r="L29" s="440"/>
      <c r="M29" s="440"/>
      <c r="N29" s="446"/>
      <c r="O29" s="440"/>
      <c r="P29" s="475"/>
      <c r="Q29" s="476"/>
      <c r="R29" s="592"/>
      <c r="S29" s="503"/>
      <c r="T29" s="503"/>
      <c r="U29" s="503"/>
      <c r="V29" s="593"/>
    </row>
    <row r="30" spans="1:22" s="37" customFormat="1">
      <c r="C30" s="131"/>
      <c r="D30" s="131"/>
      <c r="E30" s="643"/>
      <c r="F30" s="131"/>
      <c r="G30" s="148"/>
      <c r="H30" s="148"/>
      <c r="I30" s="148"/>
      <c r="J30" s="106"/>
      <c r="K30" s="106"/>
      <c r="L30" s="106"/>
      <c r="M30" s="106"/>
      <c r="N30" s="364"/>
      <c r="O30" s="203"/>
      <c r="P30" s="136"/>
      <c r="Q30" s="131"/>
      <c r="R30" s="594"/>
      <c r="S30" s="131"/>
      <c r="T30" s="131"/>
      <c r="U30" s="131"/>
      <c r="V30" s="595"/>
    </row>
    <row r="31" spans="1:22" s="37" customFormat="1">
      <c r="C31" s="131">
        <f>C29</f>
        <v>0</v>
      </c>
      <c r="D31" s="104" t="s">
        <v>57</v>
      </c>
      <c r="E31" s="643" t="s">
        <v>562</v>
      </c>
      <c r="F31" s="131"/>
      <c r="G31" s="148"/>
      <c r="H31" s="148"/>
      <c r="I31" s="148"/>
      <c r="J31" s="106"/>
      <c r="K31" s="106"/>
      <c r="L31" s="106"/>
      <c r="M31" s="106"/>
      <c r="N31" s="575"/>
      <c r="O31" s="203"/>
      <c r="P31" s="136"/>
      <c r="Q31" s="131"/>
      <c r="R31" s="603">
        <f>P13</f>
        <v>-15.060711754238387</v>
      </c>
      <c r="S31" s="131"/>
      <c r="T31" s="131"/>
      <c r="U31" s="131"/>
      <c r="V31" s="595"/>
    </row>
    <row r="32" spans="1:22" s="37" customFormat="1">
      <c r="C32" s="131">
        <f>C31</f>
        <v>0</v>
      </c>
      <c r="D32" s="104" t="s">
        <v>57</v>
      </c>
      <c r="E32" s="643" t="s">
        <v>563</v>
      </c>
      <c r="F32" s="131"/>
      <c r="G32" s="148"/>
      <c r="H32" s="148"/>
      <c r="I32" s="148"/>
      <c r="J32" s="106"/>
      <c r="K32" s="106"/>
      <c r="L32" s="106"/>
      <c r="M32" s="106"/>
      <c r="N32" s="575"/>
      <c r="O32" s="203"/>
      <c r="P32" s="136"/>
      <c r="Q32" s="131"/>
      <c r="R32" s="603">
        <f>P14</f>
        <v>-72.320242653420109</v>
      </c>
      <c r="S32" s="131"/>
      <c r="T32" s="131"/>
      <c r="U32" s="131"/>
      <c r="V32" s="595"/>
    </row>
    <row r="33" spans="1:22" s="37" customFormat="1">
      <c r="C33" s="131"/>
      <c r="D33" s="104"/>
      <c r="E33" s="644"/>
      <c r="F33" s="131"/>
      <c r="G33" s="148"/>
      <c r="H33" s="148"/>
      <c r="I33" s="148"/>
      <c r="J33" s="106"/>
      <c r="K33" s="106"/>
      <c r="L33" s="106"/>
      <c r="M33" s="106"/>
      <c r="N33" s="612"/>
      <c r="O33" s="203"/>
      <c r="P33" s="136"/>
      <c r="Q33" s="131"/>
      <c r="R33" s="603"/>
      <c r="S33" s="131"/>
      <c r="T33" s="131"/>
      <c r="U33" s="131"/>
      <c r="V33" s="605"/>
    </row>
    <row r="34" spans="1:22" s="37" customFormat="1">
      <c r="C34" s="131" t="s">
        <v>555</v>
      </c>
      <c r="D34" s="104"/>
      <c r="E34" s="644"/>
      <c r="F34" s="131"/>
      <c r="G34" s="148"/>
      <c r="H34" s="148"/>
      <c r="I34" s="148"/>
      <c r="J34" s="106"/>
      <c r="K34" s="106"/>
      <c r="L34" s="106"/>
      <c r="M34" s="106"/>
      <c r="N34" s="612"/>
      <c r="O34" s="203"/>
      <c r="P34" s="136"/>
      <c r="Q34" s="131"/>
      <c r="R34" s="603"/>
      <c r="S34" s="131"/>
      <c r="T34" s="131"/>
      <c r="U34" s="131"/>
      <c r="V34" s="605"/>
    </row>
    <row r="35" spans="1:22" s="37" customFormat="1">
      <c r="C35" s="131"/>
      <c r="D35" s="615" t="str">
        <f>D$20</f>
        <v>Nr 3dp</v>
      </c>
      <c r="E35" s="644" t="str">
        <f>E$20</f>
        <v>Discount factors</v>
      </c>
      <c r="F35" s="616"/>
      <c r="G35" s="616"/>
      <c r="H35" s="616"/>
      <c r="I35" s="616"/>
      <c r="J35" s="617"/>
      <c r="K35" s="617"/>
      <c r="L35" s="617"/>
      <c r="M35" s="617"/>
      <c r="N35" s="618"/>
      <c r="O35" s="619"/>
      <c r="P35" s="613"/>
      <c r="Q35" s="616"/>
      <c r="R35" s="620">
        <f>R$20</f>
        <v>1</v>
      </c>
      <c r="S35" s="616">
        <f>S$20</f>
        <v>0.96525096525096521</v>
      </c>
      <c r="T35" s="616">
        <f>T$20</f>
        <v>0.93170942591792005</v>
      </c>
      <c r="U35" s="616">
        <f>U$20</f>
        <v>0.89933342270069505</v>
      </c>
      <c r="V35" s="621">
        <f>V$20</f>
        <v>0.8680824543443002</v>
      </c>
    </row>
    <row r="36" spans="1:22" s="37" customFormat="1">
      <c r="C36" s="131"/>
      <c r="D36" s="104" t="s">
        <v>57</v>
      </c>
      <c r="E36" s="643" t="s">
        <v>411</v>
      </c>
      <c r="F36" s="131"/>
      <c r="G36" s="148"/>
      <c r="H36" s="148"/>
      <c r="I36" s="148"/>
      <c r="J36" s="106"/>
      <c r="K36" s="106"/>
      <c r="L36" s="106"/>
      <c r="M36" s="106"/>
      <c r="N36" s="612"/>
      <c r="O36" s="203"/>
      <c r="P36" s="136"/>
      <c r="Q36" s="131"/>
      <c r="R36" s="603">
        <f>R31*R35</f>
        <v>-15.060711754238387</v>
      </c>
      <c r="S36" s="131">
        <f t="shared" ref="S36:V36" si="5">S31*S35</f>
        <v>0</v>
      </c>
      <c r="T36" s="131">
        <f t="shared" si="5"/>
        <v>0</v>
      </c>
      <c r="U36" s="131">
        <f t="shared" si="5"/>
        <v>0</v>
      </c>
      <c r="V36" s="605">
        <f t="shared" si="5"/>
        <v>0</v>
      </c>
    </row>
    <row r="37" spans="1:22" s="37" customFormat="1">
      <c r="C37" s="131"/>
      <c r="D37" s="104" t="s">
        <v>57</v>
      </c>
      <c r="E37" s="644" t="s">
        <v>412</v>
      </c>
      <c r="F37" s="131"/>
      <c r="G37" s="148"/>
      <c r="H37" s="148"/>
      <c r="I37" s="148"/>
      <c r="J37" s="106"/>
      <c r="K37" s="106"/>
      <c r="L37" s="106"/>
      <c r="M37" s="106"/>
      <c r="N37" s="612"/>
      <c r="O37" s="203"/>
      <c r="P37" s="136"/>
      <c r="Q37" s="131"/>
      <c r="R37" s="603">
        <f>R32*R35</f>
        <v>-72.320242653420109</v>
      </c>
      <c r="S37" s="131">
        <f t="shared" ref="S37:V37" si="6">S32*S35</f>
        <v>0</v>
      </c>
      <c r="T37" s="131">
        <f t="shared" si="6"/>
        <v>0</v>
      </c>
      <c r="U37" s="131">
        <f t="shared" si="6"/>
        <v>0</v>
      </c>
      <c r="V37" s="605">
        <f t="shared" si="6"/>
        <v>0</v>
      </c>
    </row>
    <row r="38" spans="1:22" s="37" customFormat="1">
      <c r="C38" s="131"/>
      <c r="D38" s="104" t="s">
        <v>57</v>
      </c>
      <c r="E38" s="643" t="s">
        <v>557</v>
      </c>
      <c r="F38" s="131"/>
      <c r="G38" s="148"/>
      <c r="H38" s="148"/>
      <c r="I38" s="148"/>
      <c r="J38" s="106"/>
      <c r="K38" s="106"/>
      <c r="L38" s="106"/>
      <c r="M38" s="106"/>
      <c r="N38" s="612"/>
      <c r="O38" s="203"/>
      <c r="P38" s="622">
        <f>SUM(R36:V36)</f>
        <v>-15.060711754238387</v>
      </c>
      <c r="Q38" s="131"/>
      <c r="R38" s="603"/>
      <c r="S38" s="131"/>
      <c r="T38" s="131"/>
      <c r="U38" s="131"/>
      <c r="V38" s="605"/>
    </row>
    <row r="39" spans="1:22" s="37" customFormat="1">
      <c r="C39" s="131"/>
      <c r="D39" s="104" t="s">
        <v>57</v>
      </c>
      <c r="E39" s="643" t="s">
        <v>558</v>
      </c>
      <c r="F39" s="155"/>
      <c r="G39" s="148"/>
      <c r="H39" s="148"/>
      <c r="I39" s="148"/>
      <c r="J39" s="156"/>
      <c r="K39" s="156"/>
      <c r="L39" s="156"/>
      <c r="M39" s="156"/>
      <c r="N39" s="365"/>
      <c r="O39" s="157"/>
      <c r="P39" s="622">
        <f>SUM(R37:V37)</f>
        <v>-72.320242653420109</v>
      </c>
      <c r="Q39" s="148"/>
      <c r="R39" s="594"/>
      <c r="S39" s="131"/>
      <c r="T39" s="131"/>
      <c r="U39" s="131"/>
      <c r="V39" s="595"/>
    </row>
    <row r="40" spans="1:22" s="37" customFormat="1">
      <c r="C40" s="131"/>
      <c r="D40" s="153"/>
      <c r="E40" s="646"/>
      <c r="F40" s="155"/>
      <c r="G40" s="148"/>
      <c r="H40" s="148"/>
      <c r="I40" s="148"/>
      <c r="J40" s="156"/>
      <c r="K40" s="156"/>
      <c r="L40" s="156"/>
      <c r="M40" s="156"/>
      <c r="N40" s="365"/>
      <c r="O40" s="157"/>
      <c r="P40" s="158"/>
      <c r="Q40" s="148"/>
      <c r="R40" s="594"/>
      <c r="S40" s="131"/>
      <c r="T40" s="131"/>
      <c r="U40" s="131"/>
      <c r="V40" s="595"/>
    </row>
    <row r="41" spans="1:22">
      <c r="A41" s="479"/>
      <c r="B41" s="452"/>
      <c r="C41" s="601">
        <v>1</v>
      </c>
      <c r="D41" s="601"/>
      <c r="E41" s="640" t="s">
        <v>547</v>
      </c>
      <c r="F41" s="440"/>
      <c r="G41" s="480"/>
      <c r="H41" s="480"/>
      <c r="I41" s="480"/>
      <c r="J41" s="440"/>
      <c r="K41" s="440"/>
      <c r="L41" s="440"/>
      <c r="M41" s="440"/>
      <c r="N41" s="446"/>
      <c r="O41" s="440"/>
      <c r="P41" s="475"/>
      <c r="Q41" s="476"/>
      <c r="R41" s="592"/>
      <c r="S41" s="503"/>
      <c r="T41" s="503"/>
      <c r="U41" s="503"/>
      <c r="V41" s="593"/>
    </row>
    <row r="42" spans="1:22" s="37" customFormat="1">
      <c r="C42" s="131"/>
      <c r="D42" s="131"/>
      <c r="E42" s="643"/>
      <c r="F42" s="131"/>
      <c r="G42" s="148"/>
      <c r="H42" s="148"/>
      <c r="I42" s="148"/>
      <c r="J42" s="106"/>
      <c r="K42" s="106"/>
      <c r="L42" s="106"/>
      <c r="M42" s="106"/>
      <c r="N42" s="364"/>
      <c r="O42" s="203"/>
      <c r="P42" s="136"/>
      <c r="Q42" s="131"/>
      <c r="R42" s="651"/>
      <c r="S42" s="131"/>
      <c r="T42" s="131"/>
      <c r="U42" s="131"/>
      <c r="V42" s="595"/>
    </row>
    <row r="43" spans="1:22" s="37" customFormat="1">
      <c r="C43" s="131"/>
      <c r="D43" s="149" t="str">
        <f>D$13</f>
        <v>£m 3dp</v>
      </c>
      <c r="E43" s="643" t="str">
        <f>E$13</f>
        <v>Water: Future value of ex post revenue adjustment of prior year annual adjustments (2012-13 prices)</v>
      </c>
      <c r="F43" s="131"/>
      <c r="G43" s="148"/>
      <c r="H43" s="148"/>
      <c r="I43" s="148"/>
      <c r="J43" s="106"/>
      <c r="K43" s="106"/>
      <c r="L43" s="106"/>
      <c r="M43" s="106"/>
      <c r="N43" s="612"/>
      <c r="O43" s="203"/>
      <c r="P43" s="622">
        <f>P$13</f>
        <v>-15.060711754238387</v>
      </c>
      <c r="Q43" s="131"/>
      <c r="R43" s="594"/>
      <c r="S43" s="131"/>
      <c r="T43" s="131"/>
      <c r="U43" s="131"/>
      <c r="V43" s="605"/>
    </row>
    <row r="44" spans="1:22" s="37" customFormat="1">
      <c r="C44" s="131"/>
      <c r="D44" s="149" t="str">
        <f>D$14</f>
        <v>£m 3dp</v>
      </c>
      <c r="E44" s="643" t="str">
        <f>E$14</f>
        <v>Sewerage: Future value of ex post revenue adjustment of prior year annual adjustments (2012-13 prices)</v>
      </c>
      <c r="F44" s="131"/>
      <c r="G44" s="148"/>
      <c r="H44" s="148"/>
      <c r="I44" s="148"/>
      <c r="J44" s="106"/>
      <c r="K44" s="106"/>
      <c r="L44" s="106"/>
      <c r="M44" s="106"/>
      <c r="N44" s="612"/>
      <c r="O44" s="203"/>
      <c r="P44" s="622">
        <f>P$14</f>
        <v>-72.320242653420109</v>
      </c>
      <c r="Q44" s="131"/>
      <c r="R44" s="594"/>
      <c r="S44" s="131"/>
      <c r="T44" s="131"/>
      <c r="U44" s="131"/>
      <c r="V44" s="605"/>
    </row>
    <row r="45" spans="1:22" s="37" customFormat="1">
      <c r="C45" s="131"/>
      <c r="D45" s="615" t="str">
        <f t="shared" ref="D45" si="7">D31</f>
        <v>£m 3dp</v>
      </c>
      <c r="E45" s="643" t="str">
        <f>E21</f>
        <v>Equivalent Annual Cost (EAC) factor</v>
      </c>
      <c r="F45" s="131"/>
      <c r="G45" s="148"/>
      <c r="H45" s="148"/>
      <c r="I45" s="148"/>
      <c r="J45" s="106"/>
      <c r="K45" s="106"/>
      <c r="L45" s="106"/>
      <c r="M45" s="106"/>
      <c r="N45" s="612"/>
      <c r="O45" s="203"/>
      <c r="P45" s="613">
        <f>P21</f>
        <v>4.6643762682138803</v>
      </c>
      <c r="Q45" s="131"/>
      <c r="R45" s="594"/>
      <c r="S45" s="131"/>
      <c r="T45" s="131"/>
      <c r="U45" s="131"/>
      <c r="V45" s="605"/>
    </row>
    <row r="46" spans="1:22" s="37" customFormat="1">
      <c r="C46" s="131"/>
      <c r="D46" s="131"/>
      <c r="E46" s="643"/>
      <c r="F46" s="131"/>
      <c r="G46" s="148"/>
      <c r="H46" s="148"/>
      <c r="I46" s="148"/>
      <c r="J46" s="106"/>
      <c r="K46" s="106"/>
      <c r="L46" s="106"/>
      <c r="M46" s="106"/>
      <c r="N46" s="612"/>
      <c r="O46" s="203"/>
      <c r="P46" s="136"/>
      <c r="Q46" s="131"/>
      <c r="R46" s="594"/>
      <c r="S46" s="131"/>
      <c r="T46" s="131"/>
      <c r="U46" s="131"/>
      <c r="V46" s="605"/>
    </row>
    <row r="47" spans="1:22" s="37" customFormat="1">
      <c r="C47" s="131">
        <f>C41</f>
        <v>1</v>
      </c>
      <c r="D47" s="104" t="s">
        <v>57</v>
      </c>
      <c r="E47" s="643" t="s">
        <v>568</v>
      </c>
      <c r="F47" s="131"/>
      <c r="G47" s="148"/>
      <c r="H47" s="148"/>
      <c r="I47" s="148"/>
      <c r="J47" s="106"/>
      <c r="K47" s="106"/>
      <c r="L47" s="106"/>
      <c r="M47" s="106"/>
      <c r="N47" s="575"/>
      <c r="O47" s="203"/>
      <c r="P47" s="136"/>
      <c r="Q47" s="131"/>
      <c r="R47" s="620">
        <f t="shared" ref="R47:V48" si="8">$P43/$P$45</f>
        <v>-3.2288801091952974</v>
      </c>
      <c r="S47" s="616">
        <f t="shared" si="8"/>
        <v>-3.2288801091952974</v>
      </c>
      <c r="T47" s="616">
        <f t="shared" si="8"/>
        <v>-3.2288801091952974</v>
      </c>
      <c r="U47" s="616">
        <f t="shared" si="8"/>
        <v>-3.2288801091952974</v>
      </c>
      <c r="V47" s="623">
        <f t="shared" si="8"/>
        <v>-3.2288801091952974</v>
      </c>
    </row>
    <row r="48" spans="1:22" s="37" customFormat="1">
      <c r="C48" s="131">
        <f>C47</f>
        <v>1</v>
      </c>
      <c r="D48" s="104" t="s">
        <v>57</v>
      </c>
      <c r="E48" s="643" t="s">
        <v>569</v>
      </c>
      <c r="F48" s="131"/>
      <c r="G48" s="148"/>
      <c r="H48" s="148"/>
      <c r="I48" s="148"/>
      <c r="J48" s="106"/>
      <c r="K48" s="106"/>
      <c r="L48" s="106"/>
      <c r="M48" s="106"/>
      <c r="N48" s="575"/>
      <c r="O48" s="203"/>
      <c r="P48" s="136"/>
      <c r="Q48" s="131"/>
      <c r="R48" s="620">
        <f t="shared" si="8"/>
        <v>-15.504804607265003</v>
      </c>
      <c r="S48" s="616">
        <f t="shared" si="8"/>
        <v>-15.504804607265003</v>
      </c>
      <c r="T48" s="616">
        <f t="shared" si="8"/>
        <v>-15.504804607265003</v>
      </c>
      <c r="U48" s="616">
        <f t="shared" si="8"/>
        <v>-15.504804607265003</v>
      </c>
      <c r="V48" s="623">
        <f t="shared" si="8"/>
        <v>-15.504804607265003</v>
      </c>
    </row>
    <row r="49" spans="1:22" s="37" customFormat="1">
      <c r="C49" s="131"/>
      <c r="D49" s="104"/>
      <c r="E49" s="644"/>
      <c r="F49" s="131"/>
      <c r="G49" s="148"/>
      <c r="H49" s="148"/>
      <c r="I49" s="148"/>
      <c r="J49" s="106"/>
      <c r="K49" s="106"/>
      <c r="L49" s="106"/>
      <c r="M49" s="106"/>
      <c r="N49" s="612"/>
      <c r="O49" s="203"/>
      <c r="P49" s="136"/>
      <c r="Q49" s="131"/>
      <c r="R49" s="620"/>
      <c r="S49" s="616"/>
      <c r="T49" s="616"/>
      <c r="U49" s="616"/>
      <c r="V49" s="621"/>
    </row>
    <row r="50" spans="1:22" s="37" customFormat="1">
      <c r="C50" s="131" t="s">
        <v>555</v>
      </c>
      <c r="D50" s="104"/>
      <c r="E50" s="644"/>
      <c r="F50" s="131"/>
      <c r="G50" s="148"/>
      <c r="H50" s="148"/>
      <c r="I50" s="148"/>
      <c r="J50" s="106"/>
      <c r="K50" s="106"/>
      <c r="L50" s="106"/>
      <c r="M50" s="106"/>
      <c r="N50" s="612"/>
      <c r="O50" s="203"/>
      <c r="P50" s="136"/>
      <c r="Q50" s="131"/>
      <c r="R50" s="603"/>
      <c r="S50" s="131"/>
      <c r="T50" s="131"/>
      <c r="U50" s="131"/>
      <c r="V50" s="605"/>
    </row>
    <row r="51" spans="1:22" s="37" customFormat="1">
      <c r="C51" s="131"/>
      <c r="D51" s="615" t="str">
        <f>D$20</f>
        <v>Nr 3dp</v>
      </c>
      <c r="E51" s="644" t="str">
        <f>E$20</f>
        <v>Discount factors</v>
      </c>
      <c r="F51" s="616"/>
      <c r="G51" s="616"/>
      <c r="H51" s="616"/>
      <c r="I51" s="616"/>
      <c r="J51" s="617"/>
      <c r="K51" s="617"/>
      <c r="L51" s="617"/>
      <c r="M51" s="617"/>
      <c r="N51" s="618"/>
      <c r="O51" s="619"/>
      <c r="P51" s="613"/>
      <c r="Q51" s="616"/>
      <c r="R51" s="620">
        <f>R$20</f>
        <v>1</v>
      </c>
      <c r="S51" s="616">
        <f>S$20</f>
        <v>0.96525096525096521</v>
      </c>
      <c r="T51" s="616">
        <f>T$20</f>
        <v>0.93170942591792005</v>
      </c>
      <c r="U51" s="616">
        <f>U$20</f>
        <v>0.89933342270069505</v>
      </c>
      <c r="V51" s="621">
        <f>V$20</f>
        <v>0.8680824543443002</v>
      </c>
    </row>
    <row r="52" spans="1:22" s="37" customFormat="1">
      <c r="C52" s="131"/>
      <c r="D52" s="104" t="s">
        <v>57</v>
      </c>
      <c r="E52" s="643" t="s">
        <v>411</v>
      </c>
      <c r="F52" s="131"/>
      <c r="G52" s="148"/>
      <c r="H52" s="148"/>
      <c r="I52" s="148"/>
      <c r="J52" s="106"/>
      <c r="K52" s="106"/>
      <c r="L52" s="106"/>
      <c r="M52" s="106"/>
      <c r="N52" s="612"/>
      <c r="O52" s="203"/>
      <c r="P52" s="136"/>
      <c r="Q52" s="131"/>
      <c r="R52" s="603">
        <f>R47*R51</f>
        <v>-3.2288801091952974</v>
      </c>
      <c r="S52" s="616">
        <f t="shared" ref="S52:V52" si="9">S47*S51</f>
        <v>-3.1166796420804026</v>
      </c>
      <c r="T52" s="616">
        <f t="shared" si="9"/>
        <v>-3.0083780328961418</v>
      </c>
      <c r="U52" s="616">
        <f t="shared" si="9"/>
        <v>-2.903839800092801</v>
      </c>
      <c r="V52" s="621">
        <f t="shared" si="9"/>
        <v>-2.8029341699737458</v>
      </c>
    </row>
    <row r="53" spans="1:22" s="37" customFormat="1">
      <c r="C53" s="131"/>
      <c r="D53" s="104" t="s">
        <v>57</v>
      </c>
      <c r="E53" s="644" t="s">
        <v>412</v>
      </c>
      <c r="F53" s="131"/>
      <c r="G53" s="148"/>
      <c r="H53" s="148"/>
      <c r="I53" s="148"/>
      <c r="J53" s="106"/>
      <c r="K53" s="106"/>
      <c r="L53" s="106"/>
      <c r="M53" s="106"/>
      <c r="N53" s="612"/>
      <c r="O53" s="203"/>
      <c r="P53" s="136"/>
      <c r="Q53" s="131"/>
      <c r="R53" s="603">
        <f>R48*R51</f>
        <v>-15.504804607265003</v>
      </c>
      <c r="S53" s="616">
        <f t="shared" ref="S53:V53" si="10">S48*S51</f>
        <v>-14.966027613190157</v>
      </c>
      <c r="T53" s="616">
        <f t="shared" si="10"/>
        <v>-14.445972599604398</v>
      </c>
      <c r="U53" s="616">
        <f t="shared" si="10"/>
        <v>-13.943988995757142</v>
      </c>
      <c r="V53" s="621">
        <f t="shared" si="10"/>
        <v>-13.459448837603418</v>
      </c>
    </row>
    <row r="54" spans="1:22" s="37" customFormat="1">
      <c r="C54" s="131"/>
      <c r="D54" s="104" t="s">
        <v>57</v>
      </c>
      <c r="E54" s="643" t="s">
        <v>557</v>
      </c>
      <c r="F54" s="131"/>
      <c r="G54" s="148"/>
      <c r="H54" s="148"/>
      <c r="I54" s="148"/>
      <c r="J54" s="106"/>
      <c r="K54" s="106"/>
      <c r="L54" s="106"/>
      <c r="M54" s="106"/>
      <c r="N54" s="612"/>
      <c r="O54" s="203"/>
      <c r="P54" s="622">
        <f>SUM(R52:V52)</f>
        <v>-15.060711754238389</v>
      </c>
      <c r="Q54" s="131"/>
      <c r="R54" s="603"/>
      <c r="S54" s="131"/>
      <c r="T54" s="131"/>
      <c r="U54" s="131"/>
      <c r="V54" s="605"/>
    </row>
    <row r="55" spans="1:22" s="37" customFormat="1">
      <c r="C55" s="131"/>
      <c r="D55" s="104" t="s">
        <v>57</v>
      </c>
      <c r="E55" s="643" t="s">
        <v>558</v>
      </c>
      <c r="F55" s="155"/>
      <c r="G55" s="148"/>
      <c r="H55" s="148"/>
      <c r="I55" s="148"/>
      <c r="J55" s="156"/>
      <c r="K55" s="156"/>
      <c r="L55" s="156"/>
      <c r="M55" s="156"/>
      <c r="N55" s="365"/>
      <c r="O55" s="157"/>
      <c r="P55" s="622">
        <f>SUM(R53:V53)</f>
        <v>-72.320242653420109</v>
      </c>
      <c r="Q55" s="148"/>
      <c r="R55" s="594"/>
      <c r="S55" s="131"/>
      <c r="T55" s="131"/>
      <c r="U55" s="131"/>
      <c r="V55" s="595"/>
    </row>
    <row r="56" spans="1:22" s="37" customFormat="1">
      <c r="C56" s="131"/>
      <c r="D56" s="153"/>
      <c r="E56" s="646"/>
      <c r="F56" s="155"/>
      <c r="G56" s="148"/>
      <c r="H56" s="148"/>
      <c r="I56" s="148"/>
      <c r="J56" s="156"/>
      <c r="K56" s="156"/>
      <c r="L56" s="156"/>
      <c r="M56" s="156"/>
      <c r="N56" s="365"/>
      <c r="O56" s="157"/>
      <c r="P56" s="158"/>
      <c r="Q56" s="148"/>
      <c r="R56" s="594"/>
      <c r="S56" s="131"/>
      <c r="T56" s="131"/>
      <c r="U56" s="131"/>
      <c r="V56" s="595"/>
    </row>
    <row r="57" spans="1:22">
      <c r="A57" s="479"/>
      <c r="B57" s="452"/>
      <c r="C57" s="601">
        <v>2</v>
      </c>
      <c r="D57" s="601"/>
      <c r="E57" s="640" t="s">
        <v>548</v>
      </c>
      <c r="F57" s="440"/>
      <c r="G57" s="480"/>
      <c r="H57" s="480"/>
      <c r="I57" s="480"/>
      <c r="J57" s="440"/>
      <c r="K57" s="440"/>
      <c r="L57" s="440"/>
      <c r="M57" s="440"/>
      <c r="N57" s="446"/>
      <c r="O57" s="440"/>
      <c r="P57" s="475"/>
      <c r="Q57" s="476"/>
      <c r="R57" s="592"/>
      <c r="S57" s="503"/>
      <c r="T57" s="503"/>
      <c r="U57" s="503"/>
      <c r="V57" s="593"/>
    </row>
    <row r="58" spans="1:22" s="37" customFormat="1">
      <c r="C58" s="131"/>
      <c r="D58" s="153"/>
      <c r="E58" s="646"/>
      <c r="F58" s="155"/>
      <c r="G58" s="148"/>
      <c r="H58" s="148"/>
      <c r="I58" s="148"/>
      <c r="J58" s="156"/>
      <c r="K58" s="156"/>
      <c r="L58" s="156"/>
      <c r="M58" s="156"/>
      <c r="N58" s="365"/>
      <c r="O58" s="157"/>
      <c r="P58" s="158"/>
      <c r="Q58" s="148"/>
      <c r="R58" s="594"/>
      <c r="S58" s="131"/>
      <c r="T58" s="131"/>
      <c r="U58" s="131"/>
      <c r="V58" s="595"/>
    </row>
    <row r="59" spans="1:22" s="37" customFormat="1">
      <c r="C59" s="131"/>
      <c r="D59" s="149" t="str">
        <f>D$13</f>
        <v>£m 3dp</v>
      </c>
      <c r="E59" s="643" t="str">
        <f>E$13</f>
        <v>Water: Future value of ex post revenue adjustment of prior year annual adjustments (2012-13 prices)</v>
      </c>
      <c r="F59" s="131"/>
      <c r="G59" s="148"/>
      <c r="H59" s="148"/>
      <c r="I59" s="148"/>
      <c r="J59" s="106"/>
      <c r="K59" s="106"/>
      <c r="L59" s="106"/>
      <c r="M59" s="106"/>
      <c r="N59" s="612"/>
      <c r="O59" s="203"/>
      <c r="P59" s="622">
        <f>P$13</f>
        <v>-15.060711754238387</v>
      </c>
      <c r="Q59" s="148"/>
      <c r="R59" s="594"/>
      <c r="S59" s="131"/>
      <c r="T59" s="131"/>
      <c r="U59" s="131"/>
      <c r="V59" s="605"/>
    </row>
    <row r="60" spans="1:22" s="37" customFormat="1">
      <c r="C60" s="131"/>
      <c r="D60" s="149" t="str">
        <f>D$14</f>
        <v>£m 3dp</v>
      </c>
      <c r="E60" s="643" t="str">
        <f>E$14</f>
        <v>Sewerage: Future value of ex post revenue adjustment of prior year annual adjustments (2012-13 prices)</v>
      </c>
      <c r="F60" s="131"/>
      <c r="G60" s="148"/>
      <c r="H60" s="148"/>
      <c r="I60" s="148"/>
      <c r="J60" s="106"/>
      <c r="K60" s="106"/>
      <c r="L60" s="106"/>
      <c r="M60" s="106"/>
      <c r="N60" s="612"/>
      <c r="O60" s="203"/>
      <c r="P60" s="622">
        <f>P$14</f>
        <v>-72.320242653420109</v>
      </c>
      <c r="Q60" s="148"/>
      <c r="R60" s="594"/>
      <c r="S60" s="131"/>
      <c r="T60" s="131"/>
      <c r="U60" s="131"/>
      <c r="V60" s="605"/>
    </row>
    <row r="61" spans="1:22" s="37" customFormat="1">
      <c r="C61" s="131"/>
      <c r="D61" s="153" t="str">
        <f t="shared" ref="D61:E61" si="11">D25</f>
        <v>Nr 0dp</v>
      </c>
      <c r="E61" s="646" t="str">
        <f t="shared" si="11"/>
        <v>Number of years to profile over (needed for profiles 2 and 3)</v>
      </c>
      <c r="F61" s="155"/>
      <c r="G61" s="148"/>
      <c r="H61" s="148"/>
      <c r="I61" s="148"/>
      <c r="J61" s="156"/>
      <c r="K61" s="156"/>
      <c r="L61" s="156"/>
      <c r="M61" s="156"/>
      <c r="N61" s="604"/>
      <c r="O61" s="157"/>
      <c r="P61" s="625">
        <f t="shared" ref="P61" si="12">P25</f>
        <v>5</v>
      </c>
      <c r="Q61" s="148"/>
      <c r="R61" s="594"/>
      <c r="S61" s="131"/>
      <c r="T61" s="131"/>
      <c r="U61" s="131"/>
      <c r="V61" s="605"/>
    </row>
    <row r="62" spans="1:22" s="37" customFormat="1">
      <c r="C62" s="131"/>
      <c r="D62" s="153"/>
      <c r="E62" s="646" t="str">
        <f>E6</f>
        <v>Difference between Year and Application Year</v>
      </c>
      <c r="F62" s="155"/>
      <c r="G62" s="148"/>
      <c r="H62" s="148"/>
      <c r="I62" s="148"/>
      <c r="J62" s="156"/>
      <c r="K62" s="156"/>
      <c r="L62" s="156"/>
      <c r="M62" s="156"/>
      <c r="N62" s="604"/>
      <c r="O62" s="157"/>
      <c r="P62" s="158"/>
      <c r="Q62" s="148"/>
      <c r="R62" s="594">
        <f t="shared" ref="R62:V62" si="13">R6</f>
        <v>0</v>
      </c>
      <c r="S62" s="131">
        <f t="shared" si="13"/>
        <v>1</v>
      </c>
      <c r="T62" s="131">
        <f t="shared" si="13"/>
        <v>2</v>
      </c>
      <c r="U62" s="131">
        <f t="shared" si="13"/>
        <v>3</v>
      </c>
      <c r="V62" s="605">
        <f t="shared" si="13"/>
        <v>4</v>
      </c>
    </row>
    <row r="63" spans="1:22" s="37" customFormat="1">
      <c r="C63" s="131"/>
      <c r="D63" s="153"/>
      <c r="E63" s="646"/>
      <c r="F63" s="155"/>
      <c r="G63" s="148"/>
      <c r="H63" s="148"/>
      <c r="I63" s="148"/>
      <c r="J63" s="156"/>
      <c r="K63" s="156"/>
      <c r="L63" s="156"/>
      <c r="M63" s="156"/>
      <c r="N63" s="604"/>
      <c r="O63" s="157"/>
      <c r="P63" s="158"/>
      <c r="Q63" s="148"/>
      <c r="R63" s="594"/>
      <c r="S63" s="131"/>
      <c r="T63" s="131"/>
      <c r="U63" s="131"/>
      <c r="V63" s="605"/>
    </row>
    <row r="64" spans="1:22" s="37" customFormat="1">
      <c r="C64" s="131">
        <f>C57</f>
        <v>2</v>
      </c>
      <c r="D64" s="104" t="s">
        <v>57</v>
      </c>
      <c r="E64" s="643" t="s">
        <v>564</v>
      </c>
      <c r="F64" s="155"/>
      <c r="G64" s="148"/>
      <c r="H64" s="148"/>
      <c r="I64" s="148"/>
      <c r="J64" s="156"/>
      <c r="K64" s="156"/>
      <c r="L64" s="156"/>
      <c r="M64" s="156"/>
      <c r="N64" s="365"/>
      <c r="O64" s="157"/>
      <c r="P64" s="158"/>
      <c r="Q64" s="148"/>
      <c r="R64" s="620">
        <f>IF(R$62+1&lt;=$P$61,$P59/$P$61,0)</f>
        <v>-3.0121423508476775</v>
      </c>
      <c r="S64" s="616">
        <f t="shared" ref="S64:V64" si="14">IF(S$62+1&lt;=$P$61,$P59/$P$61,0)</f>
        <v>-3.0121423508476775</v>
      </c>
      <c r="T64" s="616">
        <f t="shared" si="14"/>
        <v>-3.0121423508476775</v>
      </c>
      <c r="U64" s="616">
        <f t="shared" si="14"/>
        <v>-3.0121423508476775</v>
      </c>
      <c r="V64" s="623">
        <f t="shared" si="14"/>
        <v>-3.0121423508476775</v>
      </c>
    </row>
    <row r="65" spans="1:22" s="37" customFormat="1">
      <c r="C65" s="131">
        <f>C64</f>
        <v>2</v>
      </c>
      <c r="D65" s="104" t="s">
        <v>57</v>
      </c>
      <c r="E65" s="643" t="s">
        <v>565</v>
      </c>
      <c r="F65" s="155"/>
      <c r="G65" s="148"/>
      <c r="H65" s="148"/>
      <c r="I65" s="148"/>
      <c r="J65" s="156"/>
      <c r="K65" s="156"/>
      <c r="L65" s="156"/>
      <c r="M65" s="156"/>
      <c r="N65" s="573"/>
      <c r="O65" s="157"/>
      <c r="P65" s="158"/>
      <c r="Q65" s="148"/>
      <c r="R65" s="620">
        <f t="shared" ref="R65:V65" si="15">IF(R$62+1&lt;=$P$61,$P60/$P$61,0)</f>
        <v>-14.464048530684021</v>
      </c>
      <c r="S65" s="616">
        <f t="shared" si="15"/>
        <v>-14.464048530684021</v>
      </c>
      <c r="T65" s="616">
        <f t="shared" si="15"/>
        <v>-14.464048530684021</v>
      </c>
      <c r="U65" s="616">
        <f t="shared" si="15"/>
        <v>-14.464048530684021</v>
      </c>
      <c r="V65" s="623">
        <f t="shared" si="15"/>
        <v>-14.464048530684021</v>
      </c>
    </row>
    <row r="66" spans="1:22" s="37" customFormat="1">
      <c r="C66" s="131"/>
      <c r="D66" s="153"/>
      <c r="E66" s="646"/>
      <c r="F66" s="155"/>
      <c r="G66" s="148"/>
      <c r="H66" s="148"/>
      <c r="I66" s="148"/>
      <c r="J66" s="156"/>
      <c r="K66" s="156"/>
      <c r="L66" s="156"/>
      <c r="M66" s="156"/>
      <c r="N66" s="365"/>
      <c r="O66" s="157"/>
      <c r="P66" s="158"/>
      <c r="Q66" s="148"/>
      <c r="R66" s="594"/>
      <c r="S66" s="131"/>
      <c r="T66" s="131"/>
      <c r="U66" s="131"/>
      <c r="V66" s="595"/>
    </row>
    <row r="67" spans="1:22" s="37" customFormat="1">
      <c r="C67" s="131" t="s">
        <v>555</v>
      </c>
      <c r="D67" s="104"/>
      <c r="E67" s="644"/>
      <c r="F67" s="131"/>
      <c r="G67" s="148"/>
      <c r="H67" s="148"/>
      <c r="I67" s="148"/>
      <c r="J67" s="106"/>
      <c r="K67" s="106"/>
      <c r="L67" s="106"/>
      <c r="M67" s="106"/>
      <c r="N67" s="612"/>
      <c r="O67" s="203"/>
      <c r="P67" s="136"/>
      <c r="Q67" s="131"/>
      <c r="R67" s="603"/>
      <c r="S67" s="131"/>
      <c r="T67" s="131"/>
      <c r="U67" s="131"/>
      <c r="V67" s="605"/>
    </row>
    <row r="68" spans="1:22" s="37" customFormat="1">
      <c r="C68" s="131"/>
      <c r="D68" s="615" t="str">
        <f>D$20</f>
        <v>Nr 3dp</v>
      </c>
      <c r="E68" s="644" t="str">
        <f>E$20</f>
        <v>Discount factors</v>
      </c>
      <c r="F68" s="616"/>
      <c r="G68" s="616"/>
      <c r="H68" s="616"/>
      <c r="I68" s="616"/>
      <c r="J68" s="617"/>
      <c r="K68" s="617"/>
      <c r="L68" s="617"/>
      <c r="M68" s="617"/>
      <c r="N68" s="618"/>
      <c r="O68" s="619"/>
      <c r="P68" s="613"/>
      <c r="Q68" s="616"/>
      <c r="R68" s="620">
        <f>R$20</f>
        <v>1</v>
      </c>
      <c r="S68" s="616">
        <f>S$20</f>
        <v>0.96525096525096521</v>
      </c>
      <c r="T68" s="616">
        <f>T$20</f>
        <v>0.93170942591792005</v>
      </c>
      <c r="U68" s="616">
        <f>U$20</f>
        <v>0.89933342270069505</v>
      </c>
      <c r="V68" s="621">
        <f>V$20</f>
        <v>0.8680824543443002</v>
      </c>
    </row>
    <row r="69" spans="1:22" s="37" customFormat="1">
      <c r="C69" s="131"/>
      <c r="D69" s="104" t="s">
        <v>57</v>
      </c>
      <c r="E69" s="643" t="s">
        <v>411</v>
      </c>
      <c r="F69" s="131"/>
      <c r="G69" s="148"/>
      <c r="H69" s="148"/>
      <c r="I69" s="148"/>
      <c r="J69" s="106"/>
      <c r="K69" s="106"/>
      <c r="L69" s="106"/>
      <c r="M69" s="106"/>
      <c r="N69" s="612"/>
      <c r="O69" s="203"/>
      <c r="P69" s="136"/>
      <c r="Q69" s="131"/>
      <c r="R69" s="603">
        <f>R64*R68</f>
        <v>-3.0121423508476775</v>
      </c>
      <c r="S69" s="616">
        <f t="shared" ref="S69:V69" si="16">S64*S68</f>
        <v>-2.9074733116290323</v>
      </c>
      <c r="T69" s="616">
        <f t="shared" si="16"/>
        <v>-2.8064414204913435</v>
      </c>
      <c r="U69" s="616">
        <f t="shared" si="16"/>
        <v>-2.7089202900495595</v>
      </c>
      <c r="V69" s="621">
        <f t="shared" si="16"/>
        <v>-2.6147879247582622</v>
      </c>
    </row>
    <row r="70" spans="1:22" s="37" customFormat="1">
      <c r="C70" s="131"/>
      <c r="D70" s="104" t="s">
        <v>57</v>
      </c>
      <c r="E70" s="644" t="s">
        <v>412</v>
      </c>
      <c r="F70" s="131"/>
      <c r="G70" s="148"/>
      <c r="H70" s="148"/>
      <c r="I70" s="148"/>
      <c r="J70" s="106"/>
      <c r="K70" s="106"/>
      <c r="L70" s="106"/>
      <c r="M70" s="106"/>
      <c r="N70" s="612"/>
      <c r="O70" s="203"/>
      <c r="P70" s="136"/>
      <c r="Q70" s="131"/>
      <c r="R70" s="603">
        <f>R65*R68</f>
        <v>-14.464048530684021</v>
      </c>
      <c r="S70" s="616">
        <f t="shared" ref="S70:V70" si="17">S65*S68</f>
        <v>-13.961436805679556</v>
      </c>
      <c r="T70" s="616">
        <f t="shared" si="17"/>
        <v>-13.476290352972544</v>
      </c>
      <c r="U70" s="616">
        <f t="shared" si="17"/>
        <v>-13.008002271209021</v>
      </c>
      <c r="V70" s="621">
        <f t="shared" si="17"/>
        <v>-12.555986748271254</v>
      </c>
    </row>
    <row r="71" spans="1:22" s="37" customFormat="1">
      <c r="C71" s="131"/>
      <c r="D71" s="104" t="s">
        <v>57</v>
      </c>
      <c r="E71" s="643" t="s">
        <v>557</v>
      </c>
      <c r="F71" s="131"/>
      <c r="G71" s="148"/>
      <c r="H71" s="148"/>
      <c r="I71" s="148"/>
      <c r="J71" s="106"/>
      <c r="K71" s="106"/>
      <c r="L71" s="106"/>
      <c r="M71" s="106"/>
      <c r="N71" s="612"/>
      <c r="O71" s="203"/>
      <c r="P71" s="622">
        <f>SUM(R69:V69)</f>
        <v>-14.049765297775876</v>
      </c>
      <c r="Q71" s="131"/>
      <c r="R71" s="603"/>
      <c r="S71" s="131"/>
      <c r="T71" s="131"/>
      <c r="U71" s="131"/>
      <c r="V71" s="605"/>
    </row>
    <row r="72" spans="1:22" s="37" customFormat="1">
      <c r="C72" s="131"/>
      <c r="D72" s="104" t="s">
        <v>57</v>
      </c>
      <c r="E72" s="643" t="s">
        <v>558</v>
      </c>
      <c r="F72" s="155"/>
      <c r="G72" s="148"/>
      <c r="H72" s="148"/>
      <c r="I72" s="148"/>
      <c r="J72" s="156"/>
      <c r="K72" s="156"/>
      <c r="L72" s="156"/>
      <c r="M72" s="156"/>
      <c r="N72" s="365"/>
      <c r="O72" s="157"/>
      <c r="P72" s="622">
        <f>SUM(R70:V70)</f>
        <v>-67.465764708816394</v>
      </c>
      <c r="Q72" s="148"/>
      <c r="R72" s="594"/>
      <c r="S72" s="131"/>
      <c r="T72" s="131"/>
      <c r="U72" s="131"/>
      <c r="V72" s="595"/>
    </row>
    <row r="73" spans="1:22" s="37" customFormat="1">
      <c r="C73" s="131"/>
      <c r="D73" s="104"/>
      <c r="E73" s="643"/>
      <c r="F73" s="155"/>
      <c r="G73" s="148"/>
      <c r="H73" s="148"/>
      <c r="I73" s="148"/>
      <c r="J73" s="156"/>
      <c r="K73" s="156"/>
      <c r="L73" s="156"/>
      <c r="M73" s="156"/>
      <c r="N73" s="604"/>
      <c r="O73" s="157"/>
      <c r="P73" s="622"/>
      <c r="Q73" s="148"/>
      <c r="R73" s="594"/>
      <c r="S73" s="131"/>
      <c r="T73" s="131"/>
      <c r="U73" s="131"/>
      <c r="V73" s="605"/>
    </row>
    <row r="74" spans="1:22">
      <c r="A74" s="479"/>
      <c r="B74" s="452"/>
      <c r="C74" s="601">
        <v>3</v>
      </c>
      <c r="D74" s="601"/>
      <c r="E74" s="640" t="s">
        <v>549</v>
      </c>
      <c r="F74" s="440"/>
      <c r="G74" s="480"/>
      <c r="H74" s="480"/>
      <c r="I74" s="480"/>
      <c r="J74" s="440"/>
      <c r="K74" s="440"/>
      <c r="L74" s="440"/>
      <c r="M74" s="440"/>
      <c r="N74" s="446"/>
      <c r="O74" s="440"/>
      <c r="P74" s="475"/>
      <c r="Q74" s="476"/>
      <c r="R74" s="592"/>
      <c r="S74" s="503"/>
      <c r="T74" s="503"/>
      <c r="U74" s="503"/>
      <c r="V74" s="593"/>
    </row>
    <row r="75" spans="1:22" s="37" customFormat="1">
      <c r="C75" s="131"/>
      <c r="D75" s="153"/>
      <c r="E75" s="646"/>
      <c r="F75" s="155"/>
      <c r="G75" s="148"/>
      <c r="H75" s="148"/>
      <c r="I75" s="148"/>
      <c r="J75" s="156"/>
      <c r="K75" s="156"/>
      <c r="L75" s="156"/>
      <c r="M75" s="156"/>
      <c r="N75" s="365"/>
      <c r="O75" s="157"/>
      <c r="P75" s="158"/>
      <c r="Q75" s="148"/>
      <c r="R75" s="594"/>
      <c r="S75" s="131"/>
      <c r="T75" s="131"/>
      <c r="U75" s="131"/>
      <c r="V75" s="595"/>
    </row>
    <row r="76" spans="1:22" s="37" customFormat="1">
      <c r="C76" s="131"/>
      <c r="D76" s="149" t="str">
        <f>D$13</f>
        <v>£m 3dp</v>
      </c>
      <c r="E76" s="643" t="str">
        <f>E$13</f>
        <v>Water: Future value of ex post revenue adjustment of prior year annual adjustments (2012-13 prices)</v>
      </c>
      <c r="F76" s="131"/>
      <c r="G76" s="148"/>
      <c r="H76" s="148"/>
      <c r="I76" s="148"/>
      <c r="J76" s="106"/>
      <c r="K76" s="106"/>
      <c r="L76" s="106"/>
      <c r="M76" s="106"/>
      <c r="N76" s="612"/>
      <c r="O76" s="203"/>
      <c r="P76" s="622">
        <f>P$13</f>
        <v>-15.060711754238387</v>
      </c>
      <c r="Q76" s="148"/>
      <c r="R76" s="594"/>
      <c r="S76" s="131"/>
      <c r="T76" s="131"/>
      <c r="U76" s="131"/>
      <c r="V76" s="605"/>
    </row>
    <row r="77" spans="1:22" s="37" customFormat="1">
      <c r="C77" s="131"/>
      <c r="D77" s="149" t="str">
        <f>D$14</f>
        <v>£m 3dp</v>
      </c>
      <c r="E77" s="643" t="str">
        <f>E$14</f>
        <v>Sewerage: Future value of ex post revenue adjustment of prior year annual adjustments (2012-13 prices)</v>
      </c>
      <c r="F77" s="131"/>
      <c r="G77" s="148"/>
      <c r="H77" s="148"/>
      <c r="I77" s="148"/>
      <c r="J77" s="106"/>
      <c r="K77" s="106"/>
      <c r="L77" s="106"/>
      <c r="M77" s="106"/>
      <c r="N77" s="612"/>
      <c r="O77" s="203"/>
      <c r="P77" s="622">
        <f>P$14</f>
        <v>-72.320242653420109</v>
      </c>
      <c r="Q77" s="148"/>
      <c r="R77" s="594"/>
      <c r="S77" s="131"/>
      <c r="T77" s="131"/>
      <c r="U77" s="131"/>
      <c r="V77" s="605"/>
    </row>
    <row r="78" spans="1:22" s="37" customFormat="1">
      <c r="C78" s="131"/>
      <c r="D78" s="154" t="str">
        <f t="shared" ref="D78" si="18">D25</f>
        <v>Nr 0dp</v>
      </c>
      <c r="E78" s="646" t="str">
        <f>E25</f>
        <v>Number of years to profile over (needed for profiles 2 and 3)</v>
      </c>
      <c r="F78" s="155"/>
      <c r="G78" s="148"/>
      <c r="H78" s="148"/>
      <c r="I78" s="148"/>
      <c r="J78" s="156"/>
      <c r="K78" s="156"/>
      <c r="L78" s="156"/>
      <c r="M78" s="156"/>
      <c r="N78" s="604"/>
      <c r="O78" s="157"/>
      <c r="P78" s="625">
        <f>P25</f>
        <v>5</v>
      </c>
      <c r="Q78" s="148"/>
      <c r="R78" s="594"/>
      <c r="S78" s="131"/>
      <c r="T78" s="131"/>
      <c r="U78" s="131"/>
      <c r="V78" s="605"/>
    </row>
    <row r="79" spans="1:22" s="37" customFormat="1">
      <c r="C79" s="131"/>
      <c r="D79" s="154" t="str">
        <f>D18</f>
        <v>%</v>
      </c>
      <c r="E79" s="646" t="str">
        <f>E18</f>
        <v>Discount rate (PR14 Vanilla WACC)</v>
      </c>
      <c r="F79" s="155"/>
      <c r="G79" s="148"/>
      <c r="H79" s="148"/>
      <c r="I79" s="148"/>
      <c r="J79" s="156"/>
      <c r="K79" s="156"/>
      <c r="L79" s="156"/>
      <c r="M79" s="156"/>
      <c r="N79" s="604"/>
      <c r="O79" s="157"/>
      <c r="P79" s="171">
        <f>P18</f>
        <v>3.5999999999999997E-2</v>
      </c>
      <c r="Q79" s="148"/>
      <c r="R79" s="594"/>
      <c r="S79" s="131"/>
      <c r="T79" s="131"/>
      <c r="U79" s="131"/>
      <c r="V79" s="605"/>
    </row>
    <row r="80" spans="1:22" s="37" customFormat="1">
      <c r="C80" s="131"/>
      <c r="D80" s="153"/>
      <c r="E80" s="646" t="str">
        <f>E6</f>
        <v>Difference between Year and Application Year</v>
      </c>
      <c r="F80" s="155"/>
      <c r="G80" s="148"/>
      <c r="H80" s="148"/>
      <c r="I80" s="148"/>
      <c r="J80" s="156"/>
      <c r="K80" s="156"/>
      <c r="L80" s="156"/>
      <c r="M80" s="156"/>
      <c r="N80" s="604"/>
      <c r="O80" s="157"/>
      <c r="P80" s="158"/>
      <c r="Q80" s="148"/>
      <c r="R80" s="594">
        <f t="shared" ref="R80:V80" si="19">R6</f>
        <v>0</v>
      </c>
      <c r="S80" s="131">
        <f t="shared" si="19"/>
        <v>1</v>
      </c>
      <c r="T80" s="131">
        <f t="shared" si="19"/>
        <v>2</v>
      </c>
      <c r="U80" s="131">
        <f t="shared" si="19"/>
        <v>3</v>
      </c>
      <c r="V80" s="605">
        <f t="shared" si="19"/>
        <v>4</v>
      </c>
    </row>
    <row r="81" spans="1:22" s="37" customFormat="1">
      <c r="C81" s="131"/>
      <c r="D81" s="153"/>
      <c r="E81" s="646"/>
      <c r="F81" s="155"/>
      <c r="G81" s="148"/>
      <c r="H81" s="148"/>
      <c r="I81" s="148"/>
      <c r="J81" s="156"/>
      <c r="K81" s="156"/>
      <c r="L81" s="156"/>
      <c r="M81" s="156"/>
      <c r="N81" s="604"/>
      <c r="O81" s="157"/>
      <c r="P81" s="158"/>
      <c r="Q81" s="148"/>
      <c r="R81" s="594"/>
      <c r="S81" s="131"/>
      <c r="T81" s="131"/>
      <c r="U81" s="131"/>
      <c r="V81" s="605"/>
    </row>
    <row r="82" spans="1:22" s="37" customFormat="1">
      <c r="C82" s="131">
        <f>C74</f>
        <v>3</v>
      </c>
      <c r="D82" s="104" t="s">
        <v>57</v>
      </c>
      <c r="E82" s="643" t="s">
        <v>566</v>
      </c>
      <c r="F82" s="155"/>
      <c r="G82" s="148"/>
      <c r="H82" s="148"/>
      <c r="I82" s="148"/>
      <c r="J82" s="156"/>
      <c r="K82" s="156"/>
      <c r="L82" s="156"/>
      <c r="M82" s="156"/>
      <c r="N82" s="365"/>
      <c r="O82" s="157"/>
      <c r="P82" s="158"/>
      <c r="Q82" s="148"/>
      <c r="R82" s="620">
        <f>IF(R$62+1&lt;=$P$78,$P76/$P$78,0) * (1+$P$79)^R$80</f>
        <v>-3.0121423508476775</v>
      </c>
      <c r="S82" s="616">
        <f t="shared" ref="S82:V83" si="20">IF(S$62+1&lt;=$P$78,$P76/$P$78,0) * (1+$P$79)^S$80</f>
        <v>-3.1205794754781939</v>
      </c>
      <c r="T82" s="616">
        <f t="shared" si="20"/>
        <v>-3.2329203365954089</v>
      </c>
      <c r="U82" s="616">
        <f t="shared" si="20"/>
        <v>-3.3493054687128438</v>
      </c>
      <c r="V82" s="623">
        <f t="shared" si="20"/>
        <v>-3.4698804655865061</v>
      </c>
    </row>
    <row r="83" spans="1:22" s="37" customFormat="1">
      <c r="C83" s="131">
        <f>C82</f>
        <v>3</v>
      </c>
      <c r="D83" s="104" t="s">
        <v>57</v>
      </c>
      <c r="E83" s="643" t="s">
        <v>567</v>
      </c>
      <c r="F83" s="155"/>
      <c r="G83" s="148"/>
      <c r="H83" s="148"/>
      <c r="I83" s="148"/>
      <c r="J83" s="156"/>
      <c r="K83" s="156"/>
      <c r="L83" s="156"/>
      <c r="M83" s="156"/>
      <c r="N83" s="573"/>
      <c r="O83" s="157"/>
      <c r="P83" s="158"/>
      <c r="Q83" s="148"/>
      <c r="R83" s="620">
        <f>IF(R$62+1&lt;=$P$78,$P77/$P$78,0) * (1+$P$79)^R$80</f>
        <v>-14.464048530684021</v>
      </c>
      <c r="S83" s="616">
        <f t="shared" si="20"/>
        <v>-14.984754277788646</v>
      </c>
      <c r="T83" s="616">
        <f t="shared" si="20"/>
        <v>-15.524205431789037</v>
      </c>
      <c r="U83" s="616">
        <f t="shared" si="20"/>
        <v>-16.083076827333443</v>
      </c>
      <c r="V83" s="623">
        <f t="shared" si="20"/>
        <v>-16.662067593117449</v>
      </c>
    </row>
    <row r="84" spans="1:22" s="37" customFormat="1">
      <c r="C84" s="131"/>
      <c r="D84" s="153"/>
      <c r="E84" s="646"/>
      <c r="F84" s="155"/>
      <c r="G84" s="148"/>
      <c r="H84" s="148"/>
      <c r="I84" s="148"/>
      <c r="J84" s="156"/>
      <c r="K84" s="156"/>
      <c r="L84" s="156"/>
      <c r="M84" s="156"/>
      <c r="N84" s="365"/>
      <c r="O84" s="157"/>
      <c r="P84" s="158"/>
      <c r="Q84" s="148"/>
      <c r="R84" s="594"/>
      <c r="S84" s="131"/>
      <c r="T84" s="131"/>
      <c r="U84" s="131"/>
      <c r="V84" s="595"/>
    </row>
    <row r="85" spans="1:22" s="37" customFormat="1">
      <c r="C85" s="131" t="s">
        <v>555</v>
      </c>
      <c r="D85" s="104"/>
      <c r="E85" s="644"/>
      <c r="F85" s="131"/>
      <c r="G85" s="148"/>
      <c r="H85" s="148"/>
      <c r="I85" s="148"/>
      <c r="J85" s="106"/>
      <c r="K85" s="106"/>
      <c r="L85" s="106"/>
      <c r="M85" s="106"/>
      <c r="N85" s="612"/>
      <c r="O85" s="203"/>
      <c r="P85" s="136"/>
      <c r="Q85" s="131"/>
      <c r="R85" s="603"/>
      <c r="S85" s="131"/>
      <c r="T85" s="131"/>
      <c r="U85" s="131"/>
      <c r="V85" s="605"/>
    </row>
    <row r="86" spans="1:22" s="37" customFormat="1">
      <c r="C86" s="131"/>
      <c r="D86" s="615" t="str">
        <f>D$20</f>
        <v>Nr 3dp</v>
      </c>
      <c r="E86" s="644" t="str">
        <f>E$20</f>
        <v>Discount factors</v>
      </c>
      <c r="F86" s="616"/>
      <c r="G86" s="616"/>
      <c r="H86" s="616"/>
      <c r="I86" s="616"/>
      <c r="J86" s="617"/>
      <c r="K86" s="617"/>
      <c r="L86" s="617"/>
      <c r="M86" s="617"/>
      <c r="N86" s="618"/>
      <c r="O86" s="619"/>
      <c r="P86" s="613"/>
      <c r="Q86" s="616"/>
      <c r="R86" s="620">
        <f>R$20</f>
        <v>1</v>
      </c>
      <c r="S86" s="616">
        <f>S$20</f>
        <v>0.96525096525096521</v>
      </c>
      <c r="T86" s="616">
        <f>T$20</f>
        <v>0.93170942591792005</v>
      </c>
      <c r="U86" s="616">
        <f>U$20</f>
        <v>0.89933342270069505</v>
      </c>
      <c r="V86" s="621">
        <f>V$20</f>
        <v>0.8680824543443002</v>
      </c>
    </row>
    <row r="87" spans="1:22" s="37" customFormat="1">
      <c r="C87" s="131"/>
      <c r="D87" s="104" t="s">
        <v>57</v>
      </c>
      <c r="E87" s="643" t="s">
        <v>411</v>
      </c>
      <c r="F87" s="131"/>
      <c r="G87" s="148"/>
      <c r="H87" s="148"/>
      <c r="I87" s="148"/>
      <c r="J87" s="106"/>
      <c r="K87" s="106"/>
      <c r="L87" s="106"/>
      <c r="M87" s="106"/>
      <c r="N87" s="612"/>
      <c r="O87" s="203"/>
      <c r="P87" s="136"/>
      <c r="Q87" s="131"/>
      <c r="R87" s="603">
        <f>R82*R86</f>
        <v>-3.0121423508476775</v>
      </c>
      <c r="S87" s="616">
        <f t="shared" ref="S87:V87" si="21">S82*S86</f>
        <v>-3.0121423508476775</v>
      </c>
      <c r="T87" s="616">
        <f t="shared" si="21"/>
        <v>-3.0121423508476775</v>
      </c>
      <c r="U87" s="616">
        <f t="shared" si="21"/>
        <v>-3.0121423508476775</v>
      </c>
      <c r="V87" s="621">
        <f t="shared" si="21"/>
        <v>-3.0121423508476775</v>
      </c>
    </row>
    <row r="88" spans="1:22" s="37" customFormat="1">
      <c r="C88" s="131"/>
      <c r="D88" s="104" t="s">
        <v>57</v>
      </c>
      <c r="E88" s="644" t="s">
        <v>412</v>
      </c>
      <c r="F88" s="131"/>
      <c r="G88" s="148"/>
      <c r="H88" s="148"/>
      <c r="I88" s="148"/>
      <c r="J88" s="106"/>
      <c r="K88" s="106"/>
      <c r="L88" s="106"/>
      <c r="M88" s="106"/>
      <c r="N88" s="612"/>
      <c r="O88" s="203"/>
      <c r="P88" s="136"/>
      <c r="Q88" s="131"/>
      <c r="R88" s="603">
        <f>R83*R86</f>
        <v>-14.464048530684021</v>
      </c>
      <c r="S88" s="616">
        <f t="shared" ref="S88:V88" si="22">S83*S86</f>
        <v>-14.464048530684021</v>
      </c>
      <c r="T88" s="616">
        <f t="shared" si="22"/>
        <v>-14.464048530684019</v>
      </c>
      <c r="U88" s="616">
        <f t="shared" si="22"/>
        <v>-14.464048530684021</v>
      </c>
      <c r="V88" s="621">
        <f t="shared" si="22"/>
        <v>-14.464048530684021</v>
      </c>
    </row>
    <row r="89" spans="1:22" s="37" customFormat="1">
      <c r="C89" s="131"/>
      <c r="D89" s="104" t="s">
        <v>57</v>
      </c>
      <c r="E89" s="643" t="s">
        <v>557</v>
      </c>
      <c r="F89" s="131"/>
      <c r="G89" s="148"/>
      <c r="H89" s="148"/>
      <c r="I89" s="148"/>
      <c r="J89" s="106"/>
      <c r="K89" s="106"/>
      <c r="L89" s="106"/>
      <c r="M89" s="106"/>
      <c r="N89" s="612"/>
      <c r="O89" s="203"/>
      <c r="P89" s="622">
        <f>SUM(R87:V87)</f>
        <v>-15.060711754238387</v>
      </c>
      <c r="Q89" s="131"/>
      <c r="R89" s="603"/>
      <c r="S89" s="131"/>
      <c r="T89" s="131"/>
      <c r="U89" s="131"/>
      <c r="V89" s="605"/>
    </row>
    <row r="90" spans="1:22" s="37" customFormat="1">
      <c r="C90" s="131"/>
      <c r="D90" s="104" t="s">
        <v>57</v>
      </c>
      <c r="E90" s="643" t="s">
        <v>558</v>
      </c>
      <c r="F90" s="155"/>
      <c r="G90" s="148"/>
      <c r="H90" s="148"/>
      <c r="I90" s="148"/>
      <c r="J90" s="156"/>
      <c r="K90" s="156"/>
      <c r="L90" s="156"/>
      <c r="M90" s="156"/>
      <c r="N90" s="365"/>
      <c r="O90" s="157"/>
      <c r="P90" s="622">
        <f>SUM(R88:V88)</f>
        <v>-72.320242653420109</v>
      </c>
      <c r="Q90" s="148"/>
      <c r="R90" s="594"/>
      <c r="S90" s="131"/>
      <c r="T90" s="131"/>
      <c r="U90" s="131"/>
      <c r="V90" s="595"/>
    </row>
    <row r="91" spans="1:22" s="37" customFormat="1">
      <c r="C91" s="131"/>
      <c r="D91" s="153"/>
      <c r="E91" s="646"/>
      <c r="F91" s="155"/>
      <c r="G91" s="148"/>
      <c r="H91" s="148"/>
      <c r="I91" s="148"/>
      <c r="J91" s="156"/>
      <c r="K91" s="156"/>
      <c r="L91" s="156"/>
      <c r="M91" s="156"/>
      <c r="N91" s="365"/>
      <c r="O91" s="157"/>
      <c r="P91" s="158"/>
      <c r="Q91" s="148"/>
      <c r="R91" s="594"/>
      <c r="S91" s="131"/>
      <c r="T91" s="131"/>
      <c r="U91" s="131"/>
      <c r="V91" s="595"/>
    </row>
    <row r="92" spans="1:22">
      <c r="A92" s="479"/>
      <c r="B92" s="452"/>
      <c r="C92" s="601">
        <v>4</v>
      </c>
      <c r="D92" s="601"/>
      <c r="E92" s="640" t="s">
        <v>550</v>
      </c>
      <c r="F92" s="440"/>
      <c r="G92" s="440"/>
      <c r="H92" s="440"/>
      <c r="I92" s="440"/>
      <c r="J92" s="440"/>
      <c r="K92" s="440"/>
      <c r="L92" s="440"/>
      <c r="M92" s="440"/>
      <c r="N92" s="446"/>
      <c r="O92" s="440"/>
      <c r="P92" s="475"/>
      <c r="Q92" s="476"/>
      <c r="R92" s="592"/>
      <c r="S92" s="503"/>
      <c r="T92" s="503"/>
      <c r="U92" s="503"/>
      <c r="V92" s="624"/>
    </row>
    <row r="93" spans="1:22" s="37" customFormat="1">
      <c r="C93" s="131"/>
      <c r="D93" s="153"/>
      <c r="E93" s="646"/>
      <c r="F93" s="155"/>
      <c r="G93" s="148"/>
      <c r="H93" s="148"/>
      <c r="I93" s="148"/>
      <c r="J93" s="156"/>
      <c r="K93" s="156"/>
      <c r="L93" s="156"/>
      <c r="M93" s="156"/>
      <c r="N93" s="604"/>
      <c r="O93" s="157"/>
      <c r="P93" s="158"/>
      <c r="Q93" s="148"/>
      <c r="R93" s="594"/>
      <c r="S93" s="131"/>
      <c r="T93" s="131"/>
      <c r="U93" s="131"/>
      <c r="V93" s="605"/>
    </row>
    <row r="94" spans="1:22" s="37" customFormat="1">
      <c r="C94" s="131">
        <f>C92</f>
        <v>4</v>
      </c>
      <c r="D94" s="104" t="s">
        <v>57</v>
      </c>
      <c r="E94" s="643" t="s">
        <v>573</v>
      </c>
      <c r="F94" s="155"/>
      <c r="G94" s="148"/>
      <c r="H94" s="148"/>
      <c r="I94" s="148"/>
      <c r="J94" s="156"/>
      <c r="K94" s="156"/>
      <c r="L94" s="156"/>
      <c r="M94" s="156"/>
      <c r="N94" s="365"/>
      <c r="O94" s="157"/>
      <c r="P94" s="158"/>
      <c r="Q94" s="148"/>
      <c r="R94" s="620">
        <f>'Calc2 FD'!J196</f>
        <v>2.6016688892521</v>
      </c>
      <c r="S94" s="616">
        <f>'Calc2 FD'!K196</f>
        <v>2.3389438266131077</v>
      </c>
      <c r="T94" s="616">
        <f>'Calc2 FD'!L196</f>
        <v>-3.102517030650171</v>
      </c>
      <c r="U94" s="616">
        <f>'Calc2 FD'!M196</f>
        <v>-7.8808803429584389</v>
      </c>
      <c r="V94" s="623">
        <f>'Calc2 FD'!N196</f>
        <v>-9.0179270964949829</v>
      </c>
    </row>
    <row r="95" spans="1:22" s="37" customFormat="1">
      <c r="C95" s="131">
        <f>C94</f>
        <v>4</v>
      </c>
      <c r="D95" s="104" t="s">
        <v>57</v>
      </c>
      <c r="E95" s="643" t="s">
        <v>574</v>
      </c>
      <c r="F95" s="155"/>
      <c r="G95" s="148"/>
      <c r="H95" s="148"/>
      <c r="I95" s="148"/>
      <c r="J95" s="156"/>
      <c r="K95" s="156"/>
      <c r="L95" s="156"/>
      <c r="M95" s="156"/>
      <c r="N95" s="573"/>
      <c r="O95" s="157"/>
      <c r="P95" s="158"/>
      <c r="Q95" s="148"/>
      <c r="R95" s="620">
        <f>'Calc2 FD'!J197</f>
        <v>5.2747006925072011</v>
      </c>
      <c r="S95" s="616">
        <f>'Calc2 FD'!K197</f>
        <v>-4.895306783251935</v>
      </c>
      <c r="T95" s="616">
        <f>'Calc2 FD'!L197</f>
        <v>-19.595974594776248</v>
      </c>
      <c r="U95" s="616">
        <f>'Calc2 FD'!M197</f>
        <v>-26.1105583717648</v>
      </c>
      <c r="V95" s="623">
        <f>'Calc2 FD'!N197</f>
        <v>-26.993103596134333</v>
      </c>
    </row>
    <row r="96" spans="1:22" s="37" customFormat="1">
      <c r="C96" s="131"/>
      <c r="D96" s="153"/>
      <c r="E96" s="646"/>
      <c r="F96" s="155"/>
      <c r="G96" s="148"/>
      <c r="H96" s="148"/>
      <c r="I96" s="148"/>
      <c r="J96" s="156"/>
      <c r="K96" s="156"/>
      <c r="L96" s="156"/>
      <c r="M96" s="156"/>
      <c r="N96" s="365"/>
      <c r="O96" s="157"/>
      <c r="P96" s="158"/>
      <c r="Q96" s="148"/>
      <c r="R96" s="594"/>
      <c r="S96" s="131"/>
      <c r="T96" s="131"/>
      <c r="U96" s="131"/>
      <c r="V96" s="595"/>
    </row>
    <row r="97" spans="1:22" s="37" customFormat="1">
      <c r="C97" s="131" t="s">
        <v>555</v>
      </c>
      <c r="D97" s="104"/>
      <c r="E97" s="644"/>
      <c r="F97" s="131"/>
      <c r="G97" s="148"/>
      <c r="H97" s="148"/>
      <c r="I97" s="148"/>
      <c r="J97" s="106"/>
      <c r="K97" s="106"/>
      <c r="L97" s="106"/>
      <c r="M97" s="106"/>
      <c r="N97" s="612"/>
      <c r="O97" s="203"/>
      <c r="P97" s="136"/>
      <c r="Q97" s="131"/>
      <c r="R97" s="603"/>
      <c r="S97" s="131"/>
      <c r="T97" s="131"/>
      <c r="U97" s="131"/>
      <c r="V97" s="605"/>
    </row>
    <row r="98" spans="1:22" s="37" customFormat="1">
      <c r="C98" s="131"/>
      <c r="D98" s="615" t="str">
        <f>D$20</f>
        <v>Nr 3dp</v>
      </c>
      <c r="E98" s="644" t="str">
        <f>E$20</f>
        <v>Discount factors</v>
      </c>
      <c r="F98" s="616"/>
      <c r="G98" s="616"/>
      <c r="H98" s="616"/>
      <c r="I98" s="616"/>
      <c r="J98" s="617"/>
      <c r="K98" s="617"/>
      <c r="L98" s="617"/>
      <c r="M98" s="617"/>
      <c r="N98" s="618"/>
      <c r="O98" s="619"/>
      <c r="P98" s="613"/>
      <c r="Q98" s="616"/>
      <c r="R98" s="620">
        <f>R$20</f>
        <v>1</v>
      </c>
      <c r="S98" s="616">
        <f>S$20</f>
        <v>0.96525096525096521</v>
      </c>
      <c r="T98" s="616">
        <f>T$20</f>
        <v>0.93170942591792005</v>
      </c>
      <c r="U98" s="616">
        <f>U$20</f>
        <v>0.89933342270069505</v>
      </c>
      <c r="V98" s="621">
        <f>V$20</f>
        <v>0.8680824543443002</v>
      </c>
    </row>
    <row r="99" spans="1:22" s="37" customFormat="1">
      <c r="C99" s="131"/>
      <c r="D99" s="104" t="s">
        <v>57</v>
      </c>
      <c r="E99" s="643" t="s">
        <v>411</v>
      </c>
      <c r="F99" s="131"/>
      <c r="G99" s="148"/>
      <c r="H99" s="148"/>
      <c r="I99" s="148"/>
      <c r="J99" s="106"/>
      <c r="K99" s="106"/>
      <c r="L99" s="106"/>
      <c r="M99" s="106"/>
      <c r="N99" s="612"/>
      <c r="O99" s="203"/>
      <c r="P99" s="136"/>
      <c r="Q99" s="131"/>
      <c r="R99" s="603">
        <f>R94*R98</f>
        <v>2.6016688892521</v>
      </c>
      <c r="S99" s="616">
        <f t="shared" ref="S99:V99" si="23">S94*S98</f>
        <v>2.2576677863060883</v>
      </c>
      <c r="T99" s="616">
        <f t="shared" si="23"/>
        <v>-2.8906443615276407</v>
      </c>
      <c r="U99" s="616">
        <f t="shared" si="23"/>
        <v>-7.0875390927274404</v>
      </c>
      <c r="V99" s="621">
        <f t="shared" si="23"/>
        <v>-7.8283042870233341</v>
      </c>
    </row>
    <row r="100" spans="1:22" s="37" customFormat="1">
      <c r="C100" s="131"/>
      <c r="D100" s="104" t="s">
        <v>57</v>
      </c>
      <c r="E100" s="644" t="s">
        <v>412</v>
      </c>
      <c r="F100" s="131"/>
      <c r="G100" s="148"/>
      <c r="H100" s="148"/>
      <c r="I100" s="148"/>
      <c r="J100" s="106"/>
      <c r="K100" s="106"/>
      <c r="L100" s="106"/>
      <c r="M100" s="106"/>
      <c r="N100" s="612"/>
      <c r="O100" s="203"/>
      <c r="P100" s="136"/>
      <c r="Q100" s="131"/>
      <c r="R100" s="603">
        <f>R95*R98</f>
        <v>5.2747006925072011</v>
      </c>
      <c r="S100" s="616">
        <f t="shared" ref="S100:V100" si="24">S95*S98</f>
        <v>-4.7251995977335275</v>
      </c>
      <c r="T100" s="616">
        <f t="shared" si="24"/>
        <v>-18.257754240001123</v>
      </c>
      <c r="U100" s="616">
        <f t="shared" si="24"/>
        <v>-23.482097829105523</v>
      </c>
      <c r="V100" s="621">
        <f t="shared" si="24"/>
        <v>-23.432239620102248</v>
      </c>
    </row>
    <row r="101" spans="1:22" s="37" customFormat="1">
      <c r="C101" s="131"/>
      <c r="D101" s="104" t="s">
        <v>57</v>
      </c>
      <c r="E101" s="643" t="s">
        <v>557</v>
      </c>
      <c r="F101" s="131"/>
      <c r="G101" s="148"/>
      <c r="H101" s="148"/>
      <c r="I101" s="148"/>
      <c r="J101" s="106"/>
      <c r="K101" s="106"/>
      <c r="L101" s="106"/>
      <c r="M101" s="106"/>
      <c r="N101" s="612"/>
      <c r="O101" s="203"/>
      <c r="P101" s="622">
        <f>SUM(R99:V99)</f>
        <v>-12.947151065720227</v>
      </c>
      <c r="Q101" s="131"/>
      <c r="R101" s="603"/>
      <c r="S101" s="131"/>
      <c r="T101" s="131"/>
      <c r="U101" s="131"/>
      <c r="V101" s="605"/>
    </row>
    <row r="102" spans="1:22" s="37" customFormat="1">
      <c r="C102" s="131"/>
      <c r="D102" s="104" t="s">
        <v>57</v>
      </c>
      <c r="E102" s="643" t="s">
        <v>558</v>
      </c>
      <c r="F102" s="155"/>
      <c r="G102" s="148"/>
      <c r="H102" s="148"/>
      <c r="I102" s="148"/>
      <c r="J102" s="156"/>
      <c r="K102" s="156"/>
      <c r="L102" s="156"/>
      <c r="M102" s="156"/>
      <c r="N102" s="365"/>
      <c r="O102" s="157"/>
      <c r="P102" s="622">
        <f>SUM(R100:V100)</f>
        <v>-64.622590594435223</v>
      </c>
      <c r="Q102" s="148"/>
      <c r="R102" s="594"/>
      <c r="S102" s="131"/>
      <c r="T102" s="131"/>
      <c r="U102" s="131"/>
      <c r="V102" s="595"/>
    </row>
    <row r="103" spans="1:22" s="37" customFormat="1">
      <c r="C103" s="131"/>
      <c r="D103" s="153"/>
      <c r="E103" s="646"/>
      <c r="F103" s="155"/>
      <c r="G103" s="148"/>
      <c r="H103" s="148"/>
      <c r="I103" s="148"/>
      <c r="J103" s="156"/>
      <c r="K103" s="156"/>
      <c r="L103" s="156"/>
      <c r="M103" s="156"/>
      <c r="N103" s="604"/>
      <c r="O103" s="157"/>
      <c r="P103" s="158"/>
      <c r="Q103" s="148"/>
      <c r="R103" s="594"/>
      <c r="S103" s="131"/>
      <c r="T103" s="131"/>
      <c r="U103" s="131"/>
      <c r="V103" s="605"/>
    </row>
    <row r="104" spans="1:22">
      <c r="A104" s="479"/>
      <c r="B104" s="452"/>
      <c r="C104" s="601">
        <v>5</v>
      </c>
      <c r="D104" s="601"/>
      <c r="E104" s="640" t="s">
        <v>551</v>
      </c>
      <c r="F104" s="440"/>
      <c r="G104" s="440"/>
      <c r="H104" s="440"/>
      <c r="I104" s="440"/>
      <c r="J104" s="440"/>
      <c r="K104" s="440"/>
      <c r="L104" s="440"/>
      <c r="M104" s="440"/>
      <c r="N104" s="446"/>
      <c r="O104" s="440"/>
      <c r="P104" s="475"/>
      <c r="Q104" s="476"/>
      <c r="R104" s="592"/>
      <c r="S104" s="503"/>
      <c r="T104" s="503"/>
      <c r="U104" s="503"/>
      <c r="V104" s="593"/>
    </row>
    <row r="105" spans="1:22" s="37" customFormat="1">
      <c r="C105" s="131"/>
      <c r="D105" s="153"/>
      <c r="E105" s="646"/>
      <c r="F105" s="155"/>
      <c r="G105" s="148"/>
      <c r="H105" s="148"/>
      <c r="I105" s="148"/>
      <c r="J105" s="156"/>
      <c r="K105" s="156"/>
      <c r="L105" s="156"/>
      <c r="M105" s="156"/>
      <c r="N105" s="365"/>
      <c r="O105" s="157"/>
      <c r="P105" s="158"/>
      <c r="Q105" s="148"/>
      <c r="R105" s="594"/>
      <c r="S105" s="131"/>
      <c r="T105" s="131"/>
      <c r="U105" s="131"/>
      <c r="V105" s="595"/>
    </row>
    <row r="106" spans="1:22" s="37" customFormat="1">
      <c r="C106" s="131"/>
      <c r="D106" s="104" t="s">
        <v>57</v>
      </c>
      <c r="E106" s="643" t="s">
        <v>411</v>
      </c>
      <c r="F106" s="155"/>
      <c r="G106" s="148"/>
      <c r="H106" s="148"/>
      <c r="I106" s="148"/>
      <c r="J106" s="156"/>
      <c r="K106" s="156"/>
      <c r="L106" s="156"/>
      <c r="M106" s="156"/>
      <c r="N106" s="365"/>
      <c r="O106" s="157"/>
      <c r="P106" s="158"/>
      <c r="Q106" s="148"/>
      <c r="R106" s="620">
        <f>'Calc2 FD'!J196</f>
        <v>2.6016688892521</v>
      </c>
      <c r="S106" s="616">
        <f>'Calc2 FD'!K196</f>
        <v>2.3389438266131077</v>
      </c>
      <c r="T106" s="616">
        <f>'Calc2 FD'!L196</f>
        <v>-3.102517030650171</v>
      </c>
      <c r="U106" s="616">
        <f>'Calc2 FD'!M196</f>
        <v>-7.8808803429584389</v>
      </c>
      <c r="V106" s="623">
        <f>'Calc2 FD'!N196</f>
        <v>-9.0179270964949829</v>
      </c>
    </row>
    <row r="107" spans="1:22" s="37" customFormat="1">
      <c r="C107" s="131"/>
      <c r="D107" s="104" t="s">
        <v>57</v>
      </c>
      <c r="E107" s="644" t="s">
        <v>412</v>
      </c>
      <c r="F107" s="155"/>
      <c r="G107" s="148"/>
      <c r="H107" s="148"/>
      <c r="I107" s="148"/>
      <c r="J107" s="156"/>
      <c r="K107" s="156"/>
      <c r="L107" s="156"/>
      <c r="M107" s="156"/>
      <c r="N107" s="573"/>
      <c r="O107" s="157"/>
      <c r="P107" s="158"/>
      <c r="Q107" s="148"/>
      <c r="R107" s="620">
        <f>'Calc2 FD'!J197</f>
        <v>5.2747006925072011</v>
      </c>
      <c r="S107" s="616">
        <f>'Calc2 FD'!K197</f>
        <v>-4.895306783251935</v>
      </c>
      <c r="T107" s="616">
        <f>'Calc2 FD'!L197</f>
        <v>-19.595974594776248</v>
      </c>
      <c r="U107" s="616">
        <f>'Calc2 FD'!M197</f>
        <v>-26.1105583717648</v>
      </c>
      <c r="V107" s="623">
        <f>'Calc2 FD'!N197</f>
        <v>-26.993103596134333</v>
      </c>
    </row>
    <row r="108" spans="1:22" s="37" customFormat="1">
      <c r="C108" s="131"/>
      <c r="D108" s="153"/>
      <c r="E108" s="646"/>
      <c r="F108" s="155"/>
      <c r="G108" s="148"/>
      <c r="H108" s="148"/>
      <c r="I108" s="148"/>
      <c r="J108" s="156"/>
      <c r="K108" s="156"/>
      <c r="L108" s="156"/>
      <c r="M108" s="156"/>
      <c r="N108" s="365"/>
      <c r="O108" s="157"/>
      <c r="P108" s="158"/>
      <c r="Q108" s="148"/>
      <c r="R108" s="594"/>
      <c r="S108" s="131"/>
      <c r="T108" s="131"/>
      <c r="U108" s="131"/>
      <c r="V108" s="595"/>
    </row>
    <row r="109" spans="1:22" s="37" customFormat="1">
      <c r="C109" s="131"/>
      <c r="D109" s="104"/>
      <c r="E109" s="644"/>
      <c r="F109" s="131"/>
      <c r="G109" s="148"/>
      <c r="H109" s="148"/>
      <c r="I109" s="148"/>
      <c r="J109" s="106"/>
      <c r="K109" s="106"/>
      <c r="L109" s="106"/>
      <c r="M109" s="106"/>
      <c r="N109" s="612"/>
      <c r="O109" s="203"/>
      <c r="P109" s="136"/>
      <c r="Q109" s="131"/>
      <c r="R109" s="603"/>
      <c r="S109" s="131"/>
      <c r="T109" s="131"/>
      <c r="U109" s="131"/>
      <c r="V109" s="605"/>
    </row>
    <row r="110" spans="1:22" s="37" customFormat="1">
      <c r="C110" s="131"/>
      <c r="D110" s="615" t="str">
        <f>D$20</f>
        <v>Nr 3dp</v>
      </c>
      <c r="E110" s="644" t="str">
        <f>E$20</f>
        <v>Discount factors</v>
      </c>
      <c r="F110" s="616"/>
      <c r="G110" s="616"/>
      <c r="H110" s="616"/>
      <c r="I110" s="616"/>
      <c r="J110" s="617"/>
      <c r="K110" s="617"/>
      <c r="L110" s="617"/>
      <c r="M110" s="617"/>
      <c r="N110" s="618"/>
      <c r="O110" s="619"/>
      <c r="P110" s="613"/>
      <c r="Q110" s="616"/>
      <c r="R110" s="620">
        <f>R$20</f>
        <v>1</v>
      </c>
      <c r="S110" s="616">
        <f>S$20</f>
        <v>0.96525096525096521</v>
      </c>
      <c r="T110" s="616">
        <f>T$20</f>
        <v>0.93170942591792005</v>
      </c>
      <c r="U110" s="616">
        <f>U$20</f>
        <v>0.89933342270069505</v>
      </c>
      <c r="V110" s="621">
        <f>V$20</f>
        <v>0.8680824543443002</v>
      </c>
    </row>
    <row r="111" spans="1:22" s="37" customFormat="1">
      <c r="C111" s="131"/>
      <c r="D111" s="104" t="s">
        <v>57</v>
      </c>
      <c r="E111" s="643" t="s">
        <v>411</v>
      </c>
      <c r="F111" s="131"/>
      <c r="G111" s="148"/>
      <c r="H111" s="148"/>
      <c r="I111" s="148"/>
      <c r="J111" s="106"/>
      <c r="K111" s="106"/>
      <c r="L111" s="106"/>
      <c r="M111" s="106"/>
      <c r="N111" s="612"/>
      <c r="O111" s="203"/>
      <c r="P111" s="136"/>
      <c r="Q111" s="131"/>
      <c r="R111" s="603">
        <f>R106*R110</f>
        <v>2.6016688892521</v>
      </c>
      <c r="S111" s="616">
        <f t="shared" ref="S111:V111" si="25">S106*S110</f>
        <v>2.2576677863060883</v>
      </c>
      <c r="T111" s="616">
        <f t="shared" si="25"/>
        <v>-2.8906443615276407</v>
      </c>
      <c r="U111" s="616">
        <f t="shared" si="25"/>
        <v>-7.0875390927274404</v>
      </c>
      <c r="V111" s="621">
        <f t="shared" si="25"/>
        <v>-7.8283042870233341</v>
      </c>
    </row>
    <row r="112" spans="1:22" s="37" customFormat="1">
      <c r="C112" s="131"/>
      <c r="D112" s="104" t="s">
        <v>57</v>
      </c>
      <c r="E112" s="644" t="s">
        <v>412</v>
      </c>
      <c r="F112" s="131"/>
      <c r="G112" s="148"/>
      <c r="H112" s="148"/>
      <c r="I112" s="148"/>
      <c r="J112" s="106"/>
      <c r="K112" s="106"/>
      <c r="L112" s="106"/>
      <c r="M112" s="106"/>
      <c r="N112" s="612"/>
      <c r="O112" s="203"/>
      <c r="P112" s="136"/>
      <c r="Q112" s="131"/>
      <c r="R112" s="603">
        <f>R107*R110</f>
        <v>5.2747006925072011</v>
      </c>
      <c r="S112" s="616">
        <f t="shared" ref="S112:V112" si="26">S107*S110</f>
        <v>-4.7251995977335275</v>
      </c>
      <c r="T112" s="616">
        <f t="shared" si="26"/>
        <v>-18.257754240001123</v>
      </c>
      <c r="U112" s="616">
        <f t="shared" si="26"/>
        <v>-23.482097829105523</v>
      </c>
      <c r="V112" s="621">
        <f t="shared" si="26"/>
        <v>-23.432239620102248</v>
      </c>
    </row>
    <row r="113" spans="3:22" s="37" customFormat="1">
      <c r="C113" s="131"/>
      <c r="D113" s="104" t="s">
        <v>57</v>
      </c>
      <c r="E113" s="643" t="s">
        <v>557</v>
      </c>
      <c r="F113" s="131"/>
      <c r="G113" s="148"/>
      <c r="H113" s="148"/>
      <c r="I113" s="148"/>
      <c r="J113" s="106"/>
      <c r="K113" s="106"/>
      <c r="L113" s="106"/>
      <c r="M113" s="106"/>
      <c r="N113" s="612"/>
      <c r="O113" s="203"/>
      <c r="P113" s="622">
        <f>SUM(R111:V111)</f>
        <v>-12.947151065720227</v>
      </c>
      <c r="Q113" s="131"/>
      <c r="R113" s="603"/>
      <c r="S113" s="131"/>
      <c r="T113" s="131"/>
      <c r="U113" s="131"/>
      <c r="V113" s="605"/>
    </row>
    <row r="114" spans="3:22" s="37" customFormat="1">
      <c r="C114" s="131"/>
      <c r="D114" s="104" t="s">
        <v>57</v>
      </c>
      <c r="E114" s="643" t="s">
        <v>558</v>
      </c>
      <c r="F114" s="155"/>
      <c r="G114" s="148"/>
      <c r="H114" s="148"/>
      <c r="I114" s="148"/>
      <c r="J114" s="156"/>
      <c r="K114" s="156"/>
      <c r="L114" s="156"/>
      <c r="M114" s="156"/>
      <c r="N114" s="365"/>
      <c r="O114" s="157"/>
      <c r="P114" s="622">
        <f>SUM(R112:V112)</f>
        <v>-64.622590594435223</v>
      </c>
      <c r="Q114" s="148"/>
      <c r="R114" s="594"/>
      <c r="S114" s="131"/>
      <c r="T114" s="131"/>
      <c r="U114" s="131"/>
      <c r="V114" s="595"/>
    </row>
    <row r="115" spans="3:22" s="37" customFormat="1">
      <c r="C115" s="131"/>
      <c r="D115" s="153"/>
      <c r="E115" s="646"/>
      <c r="F115" s="155"/>
      <c r="G115" s="148"/>
      <c r="H115" s="148"/>
      <c r="I115" s="148"/>
      <c r="J115" s="156"/>
      <c r="K115" s="156"/>
      <c r="L115" s="156"/>
      <c r="M115" s="156"/>
      <c r="N115" s="604"/>
      <c r="O115" s="157"/>
      <c r="P115" s="158"/>
      <c r="Q115" s="148"/>
      <c r="R115" s="594"/>
      <c r="S115" s="131"/>
      <c r="T115" s="131"/>
      <c r="U115" s="131"/>
      <c r="V115" s="605"/>
    </row>
    <row r="116" spans="3:22" s="37" customFormat="1">
      <c r="C116" s="131"/>
      <c r="D116" s="153" t="str">
        <f>D113</f>
        <v>£m 3dp</v>
      </c>
      <c r="E116" s="655" t="str">
        <f>E113</f>
        <v>Water: Present value of revenue adjustments (2012-13 prices)</v>
      </c>
      <c r="F116" s="155"/>
      <c r="G116" s="148"/>
      <c r="H116" s="148"/>
      <c r="I116" s="148"/>
      <c r="J116" s="156"/>
      <c r="K116" s="156"/>
      <c r="L116" s="156"/>
      <c r="M116" s="156"/>
      <c r="N116" s="604"/>
      <c r="O116" s="157"/>
      <c r="P116" s="613">
        <f>P113</f>
        <v>-12.947151065720227</v>
      </c>
      <c r="Q116" s="148"/>
      <c r="R116" s="594"/>
      <c r="S116" s="131"/>
      <c r="T116" s="131"/>
      <c r="U116" s="131"/>
      <c r="V116" s="605"/>
    </row>
    <row r="117" spans="3:22" s="37" customFormat="1">
      <c r="C117" s="131"/>
      <c r="D117" s="153" t="str">
        <f>D114</f>
        <v>£m 3dp</v>
      </c>
      <c r="E117" s="655" t="str">
        <f>E114</f>
        <v>Sewerage: Present value of revenue adjustments (2012-13 prices)</v>
      </c>
      <c r="F117" s="155"/>
      <c r="G117" s="148"/>
      <c r="H117" s="148"/>
      <c r="I117" s="148"/>
      <c r="J117" s="156"/>
      <c r="K117" s="156"/>
      <c r="L117" s="156"/>
      <c r="M117" s="156"/>
      <c r="N117" s="604"/>
      <c r="O117" s="157"/>
      <c r="P117" s="613">
        <f>P114</f>
        <v>-64.622590594435223</v>
      </c>
      <c r="Q117" s="148"/>
      <c r="R117" s="594"/>
      <c r="S117" s="131"/>
      <c r="T117" s="131"/>
      <c r="U117" s="131"/>
      <c r="V117" s="605"/>
    </row>
    <row r="118" spans="3:22" s="37" customFormat="1">
      <c r="C118" s="131"/>
      <c r="D118" s="153" t="str">
        <f>D13</f>
        <v>£m 3dp</v>
      </c>
      <c r="E118" s="646" t="str">
        <f>E13</f>
        <v>Water: Future value of ex post revenue adjustment of prior year annual adjustments (2012-13 prices)</v>
      </c>
      <c r="F118" s="155"/>
      <c r="G118" s="148"/>
      <c r="H118" s="148"/>
      <c r="I118" s="148"/>
      <c r="J118" s="156"/>
      <c r="K118" s="156"/>
      <c r="L118" s="156"/>
      <c r="M118" s="156"/>
      <c r="N118" s="604"/>
      <c r="O118" s="157"/>
      <c r="P118" s="613">
        <f>P13</f>
        <v>-15.060711754238387</v>
      </c>
      <c r="Q118" s="148"/>
      <c r="R118" s="594"/>
      <c r="S118" s="131"/>
      <c r="T118" s="131"/>
      <c r="U118" s="131"/>
      <c r="V118" s="605"/>
    </row>
    <row r="119" spans="3:22" s="37" customFormat="1">
      <c r="C119" s="131"/>
      <c r="D119" s="153" t="str">
        <f>D14</f>
        <v>£m 3dp</v>
      </c>
      <c r="E119" s="646" t="str">
        <f>E14</f>
        <v>Sewerage: Future value of ex post revenue adjustment of prior year annual adjustments (2012-13 prices)</v>
      </c>
      <c r="F119" s="155"/>
      <c r="G119" s="148"/>
      <c r="H119" s="148"/>
      <c r="I119" s="148"/>
      <c r="J119" s="156"/>
      <c r="K119" s="156"/>
      <c r="L119" s="156"/>
      <c r="M119" s="156"/>
      <c r="N119" s="365"/>
      <c r="O119" s="157"/>
      <c r="P119" s="613">
        <f>P14</f>
        <v>-72.320242653420109</v>
      </c>
      <c r="Q119" s="148"/>
      <c r="R119" s="594"/>
      <c r="S119" s="131"/>
      <c r="T119" s="131"/>
      <c r="U119" s="131"/>
      <c r="V119" s="595"/>
    </row>
    <row r="120" spans="3:22" s="37" customFormat="1">
      <c r="C120" s="131"/>
      <c r="D120" s="615" t="str">
        <f>D$20</f>
        <v>Nr 3dp</v>
      </c>
      <c r="E120" s="646" t="s">
        <v>560</v>
      </c>
      <c r="F120" s="155"/>
      <c r="G120" s="148"/>
      <c r="H120" s="148"/>
      <c r="I120" s="148"/>
      <c r="J120" s="156"/>
      <c r="K120" s="156"/>
      <c r="L120" s="156"/>
      <c r="M120" s="156"/>
      <c r="N120" s="604"/>
      <c r="O120" s="157"/>
      <c r="P120" s="613">
        <f>P118/P116</f>
        <v>1.1632452326994291</v>
      </c>
      <c r="Q120" s="148"/>
      <c r="R120" s="594"/>
      <c r="S120" s="131"/>
      <c r="T120" s="131"/>
      <c r="U120" s="131"/>
      <c r="V120" s="605"/>
    </row>
    <row r="121" spans="3:22" s="37" customFormat="1">
      <c r="C121" s="131"/>
      <c r="D121" s="615" t="str">
        <f>D$20</f>
        <v>Nr 3dp</v>
      </c>
      <c r="E121" s="646" t="s">
        <v>561</v>
      </c>
      <c r="F121" s="155"/>
      <c r="G121" s="148"/>
      <c r="H121" s="148"/>
      <c r="I121" s="148"/>
      <c r="J121" s="156"/>
      <c r="K121" s="156"/>
      <c r="L121" s="156"/>
      <c r="M121" s="156"/>
      <c r="N121" s="604"/>
      <c r="O121" s="157"/>
      <c r="P121" s="613">
        <f>P119/P117</f>
        <v>1.1191170454198371</v>
      </c>
      <c r="Q121" s="148"/>
      <c r="R121" s="594"/>
      <c r="S121" s="131"/>
      <c r="T121" s="131"/>
      <c r="U121" s="131"/>
      <c r="V121" s="605"/>
    </row>
    <row r="122" spans="3:22" s="37" customFormat="1">
      <c r="C122" s="131"/>
      <c r="D122" s="153"/>
      <c r="E122" s="646"/>
      <c r="F122" s="155"/>
      <c r="G122" s="148"/>
      <c r="H122" s="148"/>
      <c r="I122" s="148"/>
      <c r="J122" s="156"/>
      <c r="K122" s="156"/>
      <c r="L122" s="156"/>
      <c r="M122" s="156"/>
      <c r="N122" s="604"/>
      <c r="O122" s="157"/>
      <c r="P122" s="158"/>
      <c r="Q122" s="148"/>
      <c r="R122" s="594"/>
      <c r="S122" s="131"/>
      <c r="T122" s="131"/>
      <c r="U122" s="131"/>
      <c r="V122" s="605"/>
    </row>
    <row r="123" spans="3:22" s="37" customFormat="1">
      <c r="C123" s="131">
        <v>5</v>
      </c>
      <c r="D123" s="131" t="s">
        <v>57</v>
      </c>
      <c r="E123" s="643" t="s">
        <v>571</v>
      </c>
      <c r="F123" s="155"/>
      <c r="G123" s="148"/>
      <c r="H123" s="148"/>
      <c r="I123" s="148"/>
      <c r="J123" s="156"/>
      <c r="K123" s="156"/>
      <c r="L123" s="156"/>
      <c r="M123" s="156"/>
      <c r="N123" s="604"/>
      <c r="O123" s="157"/>
      <c r="P123" s="158"/>
      <c r="Q123" s="148"/>
      <c r="R123" s="620">
        <f t="shared" ref="R123:V124" si="27">$P120*R106</f>
        <v>3.0263789324849246</v>
      </c>
      <c r="S123" s="616">
        <f t="shared" si="27"/>
        <v>2.7207652558594577</v>
      </c>
      <c r="T123" s="616">
        <f t="shared" si="27"/>
        <v>-3.6089881452726003</v>
      </c>
      <c r="U123" s="616">
        <f t="shared" si="27"/>
        <v>-9.1673964884210459</v>
      </c>
      <c r="V123" s="621">
        <f t="shared" si="27"/>
        <v>-10.490060703828794</v>
      </c>
    </row>
    <row r="124" spans="3:22" s="37" customFormat="1">
      <c r="C124" s="131">
        <v>5</v>
      </c>
      <c r="D124" s="131" t="s">
        <v>57</v>
      </c>
      <c r="E124" s="643" t="s">
        <v>572</v>
      </c>
      <c r="F124" s="155"/>
      <c r="G124" s="148"/>
      <c r="H124" s="148"/>
      <c r="I124" s="148"/>
      <c r="J124" s="156"/>
      <c r="K124" s="156"/>
      <c r="L124" s="156"/>
      <c r="M124" s="156"/>
      <c r="N124" s="604"/>
      <c r="O124" s="157"/>
      <c r="P124" s="158"/>
      <c r="Q124" s="148"/>
      <c r="R124" s="620">
        <f t="shared" si="27"/>
        <v>5.9030074544726281</v>
      </c>
      <c r="S124" s="616">
        <f t="shared" si="27"/>
        <v>-5.4784212636965925</v>
      </c>
      <c r="T124" s="616">
        <f t="shared" si="27"/>
        <v>-21.930189190628184</v>
      </c>
      <c r="U124" s="616">
        <f t="shared" si="27"/>
        <v>-29.220770939271617</v>
      </c>
      <c r="V124" s="621">
        <f t="shared" si="27"/>
        <v>-30.208442343217435</v>
      </c>
    </row>
    <row r="125" spans="3:22" s="37" customFormat="1">
      <c r="C125" s="131"/>
      <c r="D125" s="153"/>
      <c r="E125" s="646"/>
      <c r="F125" s="155"/>
      <c r="G125" s="148"/>
      <c r="H125" s="148"/>
      <c r="I125" s="148"/>
      <c r="J125" s="156"/>
      <c r="K125" s="156"/>
      <c r="L125" s="156"/>
      <c r="M125" s="156"/>
      <c r="N125" s="604"/>
      <c r="O125" s="157"/>
      <c r="P125" s="158"/>
      <c r="Q125" s="148"/>
      <c r="R125" s="594"/>
      <c r="S125" s="131"/>
      <c r="T125" s="131"/>
      <c r="U125" s="131"/>
      <c r="V125" s="605"/>
    </row>
    <row r="126" spans="3:22" s="37" customFormat="1">
      <c r="C126" s="131" t="s">
        <v>555</v>
      </c>
      <c r="D126" s="131"/>
      <c r="E126" s="643"/>
      <c r="F126" s="131"/>
      <c r="G126" s="148"/>
      <c r="H126" s="148"/>
      <c r="I126" s="148"/>
      <c r="J126" s="106"/>
      <c r="K126" s="106"/>
      <c r="L126" s="106"/>
      <c r="M126" s="106"/>
      <c r="N126" s="612"/>
      <c r="O126" s="203"/>
      <c r="P126" s="136"/>
      <c r="Q126" s="131"/>
      <c r="R126" s="603"/>
      <c r="S126" s="131"/>
      <c r="T126" s="131"/>
      <c r="U126" s="131"/>
      <c r="V126" s="605"/>
    </row>
    <row r="127" spans="3:22" s="37" customFormat="1">
      <c r="C127" s="131"/>
      <c r="D127" s="616" t="str">
        <f>D$20</f>
        <v>Nr 3dp</v>
      </c>
      <c r="E127" s="643" t="str">
        <f>E$20</f>
        <v>Discount factors</v>
      </c>
      <c r="F127" s="616"/>
      <c r="G127" s="616"/>
      <c r="H127" s="616"/>
      <c r="I127" s="616"/>
      <c r="J127" s="617"/>
      <c r="K127" s="617"/>
      <c r="L127" s="617"/>
      <c r="M127" s="617"/>
      <c r="N127" s="618"/>
      <c r="O127" s="619"/>
      <c r="P127" s="613"/>
      <c r="Q127" s="616"/>
      <c r="R127" s="620">
        <f>R$20</f>
        <v>1</v>
      </c>
      <c r="S127" s="616">
        <f>S$20</f>
        <v>0.96525096525096521</v>
      </c>
      <c r="T127" s="616">
        <f>T$20</f>
        <v>0.93170942591792005</v>
      </c>
      <c r="U127" s="616">
        <f>U$20</f>
        <v>0.89933342270069505</v>
      </c>
      <c r="V127" s="621">
        <f>V$20</f>
        <v>0.8680824543443002</v>
      </c>
    </row>
    <row r="128" spans="3:22" s="37" customFormat="1">
      <c r="C128" s="131"/>
      <c r="D128" s="131" t="s">
        <v>57</v>
      </c>
      <c r="E128" s="643" t="s">
        <v>411</v>
      </c>
      <c r="F128" s="131"/>
      <c r="G128" s="148"/>
      <c r="H128" s="148"/>
      <c r="I128" s="148"/>
      <c r="J128" s="106"/>
      <c r="K128" s="106"/>
      <c r="L128" s="106"/>
      <c r="M128" s="106"/>
      <c r="N128" s="612"/>
      <c r="O128" s="203"/>
      <c r="P128" s="136"/>
      <c r="Q128" s="131"/>
      <c r="R128" s="603">
        <f>R123*R127</f>
        <v>3.0263789324849246</v>
      </c>
      <c r="S128" s="616">
        <f t="shared" ref="S128:V128" si="28">S123*S127</f>
        <v>2.6262212894396311</v>
      </c>
      <c r="T128" s="616">
        <f t="shared" si="28"/>
        <v>-3.3625282729765136</v>
      </c>
      <c r="U128" s="616">
        <f t="shared" si="28"/>
        <v>-8.2445460611860319</v>
      </c>
      <c r="V128" s="621">
        <f t="shared" si="28"/>
        <v>-9.1062376420003961</v>
      </c>
    </row>
    <row r="129" spans="1:22" s="37" customFormat="1">
      <c r="C129" s="131"/>
      <c r="D129" s="131" t="s">
        <v>57</v>
      </c>
      <c r="E129" s="643" t="s">
        <v>412</v>
      </c>
      <c r="F129" s="131"/>
      <c r="G129" s="148"/>
      <c r="H129" s="148"/>
      <c r="I129" s="148"/>
      <c r="J129" s="106"/>
      <c r="K129" s="106"/>
      <c r="L129" s="106"/>
      <c r="M129" s="106"/>
      <c r="N129" s="612"/>
      <c r="O129" s="203"/>
      <c r="P129" s="136"/>
      <c r="Q129" s="131"/>
      <c r="R129" s="603">
        <f>R124*R127</f>
        <v>5.9030074544726281</v>
      </c>
      <c r="S129" s="616">
        <f t="shared" ref="S129:V129" si="29">S124*S127</f>
        <v>-5.2880514128345482</v>
      </c>
      <c r="T129" s="616">
        <f t="shared" si="29"/>
        <v>-20.43256398107156</v>
      </c>
      <c r="U129" s="616">
        <f t="shared" si="29"/>
        <v>-26.279215942768147</v>
      </c>
      <c r="V129" s="621">
        <f t="shared" si="29"/>
        <v>-26.223418771218473</v>
      </c>
    </row>
    <row r="130" spans="1:22" s="37" customFormat="1">
      <c r="C130" s="131"/>
      <c r="D130" s="131" t="s">
        <v>57</v>
      </c>
      <c r="E130" s="643" t="s">
        <v>557</v>
      </c>
      <c r="F130" s="131"/>
      <c r="G130" s="148"/>
      <c r="H130" s="148"/>
      <c r="I130" s="148"/>
      <c r="J130" s="106"/>
      <c r="K130" s="106"/>
      <c r="L130" s="106"/>
      <c r="M130" s="106"/>
      <c r="N130" s="612"/>
      <c r="O130" s="203"/>
      <c r="P130" s="622">
        <f>SUM(R128:V128)</f>
        <v>-15.060711754238387</v>
      </c>
      <c r="Q130" s="131"/>
      <c r="R130" s="603"/>
      <c r="S130" s="131"/>
      <c r="T130" s="131"/>
      <c r="U130" s="131"/>
      <c r="V130" s="605"/>
    </row>
    <row r="131" spans="1:22" s="37" customFormat="1">
      <c r="C131" s="131"/>
      <c r="D131" s="131" t="s">
        <v>57</v>
      </c>
      <c r="E131" s="643" t="s">
        <v>558</v>
      </c>
      <c r="F131" s="155"/>
      <c r="G131" s="148"/>
      <c r="H131" s="148"/>
      <c r="I131" s="148"/>
      <c r="J131" s="156"/>
      <c r="K131" s="156"/>
      <c r="L131" s="156"/>
      <c r="M131" s="156"/>
      <c r="N131" s="365"/>
      <c r="O131" s="157"/>
      <c r="P131" s="622">
        <f>SUM(R129:V129)</f>
        <v>-72.320242653420095</v>
      </c>
      <c r="Q131" s="148"/>
      <c r="R131" s="594"/>
      <c r="S131" s="131"/>
      <c r="T131" s="131"/>
      <c r="U131" s="131"/>
      <c r="V131" s="595"/>
    </row>
    <row r="132" spans="1:22" s="37" customFormat="1">
      <c r="C132" s="131"/>
      <c r="D132" s="153"/>
      <c r="E132" s="646"/>
      <c r="F132" s="155"/>
      <c r="G132" s="148"/>
      <c r="H132" s="148"/>
      <c r="I132" s="148"/>
      <c r="J132" s="156"/>
      <c r="K132" s="156"/>
      <c r="L132" s="156"/>
      <c r="M132" s="156"/>
      <c r="N132" s="365"/>
      <c r="O132" s="157"/>
      <c r="P132" s="158"/>
      <c r="Q132" s="148"/>
      <c r="R132" s="594"/>
      <c r="S132" s="131"/>
      <c r="T132" s="131"/>
      <c r="U132" s="131"/>
      <c r="V132" s="595"/>
    </row>
    <row r="133" spans="1:22">
      <c r="A133" s="479"/>
      <c r="B133" s="452"/>
      <c r="C133" s="574"/>
      <c r="D133" s="481"/>
      <c r="E133" s="647" t="s">
        <v>538</v>
      </c>
      <c r="F133" s="440"/>
      <c r="G133" s="440"/>
      <c r="H133" s="440"/>
      <c r="I133" s="440"/>
      <c r="J133" s="440"/>
      <c r="K133" s="440"/>
      <c r="L133" s="440"/>
      <c r="M133" s="440"/>
      <c r="N133" s="446"/>
      <c r="O133" s="440"/>
      <c r="P133" s="475"/>
      <c r="Q133" s="476"/>
      <c r="R133" s="592"/>
      <c r="S133" s="503"/>
      <c r="T133" s="503"/>
      <c r="U133" s="503"/>
      <c r="V133" s="593"/>
    </row>
    <row r="134" spans="1:22" s="37" customFormat="1">
      <c r="C134" s="131"/>
      <c r="D134" s="153"/>
      <c r="E134" s="646"/>
      <c r="F134" s="155"/>
      <c r="G134" s="148"/>
      <c r="H134" s="148"/>
      <c r="I134" s="148"/>
      <c r="J134" s="156"/>
      <c r="K134" s="156"/>
      <c r="L134" s="156"/>
      <c r="M134" s="156"/>
      <c r="N134" s="365"/>
      <c r="O134" s="157"/>
      <c r="P134" s="158"/>
      <c r="Q134" s="148"/>
      <c r="R134" s="594"/>
      <c r="S134" s="131"/>
      <c r="T134" s="131"/>
      <c r="U134" s="131"/>
      <c r="V134" s="595"/>
    </row>
    <row r="135" spans="1:22" s="37" customFormat="1">
      <c r="C135" s="131"/>
      <c r="D135" s="153" t="s">
        <v>16</v>
      </c>
      <c r="E135" s="646" t="s">
        <v>536</v>
      </c>
      <c r="F135" s="155"/>
      <c r="G135" s="148"/>
      <c r="H135" s="148"/>
      <c r="I135" s="148"/>
      <c r="J135" s="156"/>
      <c r="K135" s="156"/>
      <c r="L135" s="156"/>
      <c r="M135" s="156"/>
      <c r="N135" s="365"/>
      <c r="O135" s="157"/>
      <c r="P135" s="602">
        <f>'Input FD'!$O$154</f>
        <v>1</v>
      </c>
      <c r="Q135" s="148"/>
      <c r="R135" s="594"/>
      <c r="S135" s="131"/>
      <c r="T135" s="131"/>
      <c r="U135" s="131"/>
      <c r="V135" s="595"/>
    </row>
    <row r="136" spans="1:22" s="37" customFormat="1">
      <c r="C136" s="131"/>
      <c r="D136" s="153"/>
      <c r="E136" s="643"/>
      <c r="F136" s="131"/>
      <c r="G136" s="131"/>
      <c r="H136" s="131"/>
      <c r="I136" s="131"/>
      <c r="J136" s="156"/>
      <c r="K136" s="156"/>
      <c r="L136" s="156"/>
      <c r="M136" s="156"/>
      <c r="N136" s="365"/>
      <c r="P136" s="625"/>
      <c r="Q136" s="131"/>
      <c r="R136" s="594"/>
      <c r="S136" s="131"/>
      <c r="T136" s="131"/>
      <c r="U136" s="131"/>
      <c r="V136" s="595"/>
    </row>
    <row r="137" spans="1:22" s="37" customFormat="1">
      <c r="C137" s="153">
        <f>C31</f>
        <v>0</v>
      </c>
      <c r="D137" s="153" t="str">
        <f>D31</f>
        <v>£m 3dp</v>
      </c>
      <c r="E137" s="646" t="str">
        <f>E31</f>
        <v>Water: value of ex post revenue adjustment if applied in first year (2012-13 prices)</v>
      </c>
      <c r="F137" s="131"/>
      <c r="G137" s="131"/>
      <c r="H137" s="131"/>
      <c r="I137" s="131"/>
      <c r="J137" s="156"/>
      <c r="K137" s="156"/>
      <c r="L137" s="156"/>
      <c r="M137" s="156"/>
      <c r="N137" s="604"/>
      <c r="P137" s="136"/>
      <c r="Q137" s="131"/>
      <c r="R137" s="620">
        <f>R31</f>
        <v>-15.060711754238387</v>
      </c>
      <c r="S137" s="616">
        <f>S31</f>
        <v>0</v>
      </c>
      <c r="T137" s="616">
        <f>T31</f>
        <v>0</v>
      </c>
      <c r="U137" s="616">
        <f>U31</f>
        <v>0</v>
      </c>
      <c r="V137" s="621">
        <f>V31</f>
        <v>0</v>
      </c>
    </row>
    <row r="138" spans="1:22" s="37" customFormat="1">
      <c r="C138" s="131">
        <f>C47</f>
        <v>1</v>
      </c>
      <c r="D138" s="131" t="str">
        <f>D47</f>
        <v>£m 3dp</v>
      </c>
      <c r="E138" s="643" t="str">
        <f>E47</f>
        <v>Water: value of ex post revenue adjustment with 5-year annuity approach (2012-13 prices)</v>
      </c>
      <c r="F138" s="131"/>
      <c r="G138" s="131"/>
      <c r="H138" s="131"/>
      <c r="I138" s="131"/>
      <c r="J138" s="156"/>
      <c r="K138" s="156"/>
      <c r="L138" s="156"/>
      <c r="M138" s="156"/>
      <c r="N138" s="604"/>
      <c r="P138" s="136"/>
      <c r="Q138" s="131"/>
      <c r="R138" s="620">
        <f>R47</f>
        <v>-3.2288801091952974</v>
      </c>
      <c r="S138" s="616">
        <f>S47</f>
        <v>-3.2288801091952974</v>
      </c>
      <c r="T138" s="616">
        <f>T47</f>
        <v>-3.2288801091952974</v>
      </c>
      <c r="U138" s="616">
        <f>U47</f>
        <v>-3.2288801091952974</v>
      </c>
      <c r="V138" s="621">
        <f>V47</f>
        <v>-3.2288801091952974</v>
      </c>
    </row>
    <row r="139" spans="1:22" s="37" customFormat="1">
      <c r="C139" s="131">
        <f>C64</f>
        <v>2</v>
      </c>
      <c r="D139" s="131" t="str">
        <f>D64</f>
        <v>£m 3dp</v>
      </c>
      <c r="E139" s="643" t="str">
        <f>E64</f>
        <v>Water: value of ex post revenue adjustment with Non NPV neutral even allocation(2012-13 prices)</v>
      </c>
      <c r="F139" s="131"/>
      <c r="G139" s="131"/>
      <c r="H139" s="131"/>
      <c r="I139" s="131"/>
      <c r="J139" s="156"/>
      <c r="K139" s="156"/>
      <c r="L139" s="156"/>
      <c r="M139" s="156"/>
      <c r="N139" s="604"/>
      <c r="P139" s="136"/>
      <c r="Q139" s="131"/>
      <c r="R139" s="620">
        <f>R64</f>
        <v>-3.0121423508476775</v>
      </c>
      <c r="S139" s="616">
        <f>S64</f>
        <v>-3.0121423508476775</v>
      </c>
      <c r="T139" s="616">
        <f>T64</f>
        <v>-3.0121423508476775</v>
      </c>
      <c r="U139" s="616">
        <f>U64</f>
        <v>-3.0121423508476775</v>
      </c>
      <c r="V139" s="621">
        <f>V64</f>
        <v>-3.0121423508476775</v>
      </c>
    </row>
    <row r="140" spans="1:22" s="37" customFormat="1">
      <c r="C140" s="131">
        <f>C82</f>
        <v>3</v>
      </c>
      <c r="D140" s="131" t="str">
        <f>D82</f>
        <v>£m 3dp</v>
      </c>
      <c r="E140" s="643" t="str">
        <f>E82</f>
        <v>Water: value of ex post revenue adjustment with NPV neutral even allocation(2012-13 prices)</v>
      </c>
      <c r="F140" s="131"/>
      <c r="G140" s="131"/>
      <c r="H140" s="131"/>
      <c r="I140" s="131"/>
      <c r="J140" s="156"/>
      <c r="K140" s="156"/>
      <c r="L140" s="156"/>
      <c r="M140" s="156"/>
      <c r="N140" s="604"/>
      <c r="P140" s="136"/>
      <c r="Q140" s="131"/>
      <c r="R140" s="620">
        <f>R82</f>
        <v>-3.0121423508476775</v>
      </c>
      <c r="S140" s="616">
        <f>S82</f>
        <v>-3.1205794754781939</v>
      </c>
      <c r="T140" s="616">
        <f>T82</f>
        <v>-3.2329203365954089</v>
      </c>
      <c r="U140" s="616">
        <f>U82</f>
        <v>-3.3493054687128438</v>
      </c>
      <c r="V140" s="621">
        <f>V82</f>
        <v>-3.4698804655865061</v>
      </c>
    </row>
    <row r="141" spans="1:22" s="37" customFormat="1">
      <c r="C141" s="131">
        <f>C94</f>
        <v>4</v>
      </c>
      <c r="D141" s="131" t="str">
        <f>D94</f>
        <v>£m 3dp</v>
      </c>
      <c r="E141" s="643" t="str">
        <f>E94</f>
        <v>Water: value of ex post revenue adjustment with lagged annual values non NPV neutral (2012-13 prices)</v>
      </c>
      <c r="F141" s="131"/>
      <c r="G141" s="131"/>
      <c r="H141" s="131"/>
      <c r="I141" s="131"/>
      <c r="J141" s="156"/>
      <c r="K141" s="156"/>
      <c r="L141" s="156"/>
      <c r="M141" s="156"/>
      <c r="N141" s="604"/>
      <c r="P141" s="136"/>
      <c r="Q141" s="131"/>
      <c r="R141" s="620">
        <f>R94</f>
        <v>2.6016688892521</v>
      </c>
      <c r="S141" s="616">
        <f>S94</f>
        <v>2.3389438266131077</v>
      </c>
      <c r="T141" s="616">
        <f>T94</f>
        <v>-3.102517030650171</v>
      </c>
      <c r="U141" s="616">
        <f>U94</f>
        <v>-7.8808803429584389</v>
      </c>
      <c r="V141" s="621">
        <f>V94</f>
        <v>-9.0179270964949829</v>
      </c>
    </row>
    <row r="142" spans="1:22" s="37" customFormat="1">
      <c r="C142" s="131">
        <f>C123</f>
        <v>5</v>
      </c>
      <c r="D142" s="131" t="str">
        <f t="shared" ref="D142:E142" si="30">D123</f>
        <v>£m 3dp</v>
      </c>
      <c r="E142" s="643" t="str">
        <f t="shared" si="30"/>
        <v>Water: value of ex post revenue adjustment with lagged annual values NPV neutral (2012-13 prices)</v>
      </c>
      <c r="F142" s="131"/>
      <c r="G142" s="131"/>
      <c r="H142" s="131"/>
      <c r="I142" s="131"/>
      <c r="J142" s="156"/>
      <c r="K142" s="156"/>
      <c r="L142" s="156"/>
      <c r="M142" s="156"/>
      <c r="N142" s="604"/>
      <c r="P142" s="136"/>
      <c r="Q142" s="131"/>
      <c r="R142" s="620">
        <f t="shared" ref="R142:V142" si="31">R123</f>
        <v>3.0263789324849246</v>
      </c>
      <c r="S142" s="616">
        <f t="shared" si="31"/>
        <v>2.7207652558594577</v>
      </c>
      <c r="T142" s="616">
        <f t="shared" si="31"/>
        <v>-3.6089881452726003</v>
      </c>
      <c r="U142" s="616">
        <f t="shared" si="31"/>
        <v>-9.1673964884210459</v>
      </c>
      <c r="V142" s="621">
        <f t="shared" si="31"/>
        <v>-10.490060703828794</v>
      </c>
    </row>
    <row r="143" spans="1:22" s="37" customFormat="1">
      <c r="C143" s="131"/>
      <c r="D143" s="632" t="s">
        <v>57</v>
      </c>
      <c r="E143" s="648" t="s">
        <v>411</v>
      </c>
      <c r="F143" s="632"/>
      <c r="G143" s="131"/>
      <c r="H143" s="131"/>
      <c r="I143" s="131"/>
      <c r="J143" s="156"/>
      <c r="K143" s="156"/>
      <c r="L143" s="156"/>
      <c r="M143" s="156"/>
      <c r="N143" s="604"/>
      <c r="P143" s="136"/>
      <c r="Q143" s="131"/>
      <c r="R143" s="629">
        <f>CHOOSE($P$135+1,R137,R138,R139,R140,R141,R142)</f>
        <v>-3.2288801091952974</v>
      </c>
      <c r="S143" s="630">
        <f t="shared" ref="S143:V143" si="32">CHOOSE($P$135+1,S137,S138,S139,S140,S141,S142)</f>
        <v>-3.2288801091952974</v>
      </c>
      <c r="T143" s="630">
        <f t="shared" si="32"/>
        <v>-3.2288801091952974</v>
      </c>
      <c r="U143" s="630">
        <f t="shared" si="32"/>
        <v>-3.2288801091952974</v>
      </c>
      <c r="V143" s="631">
        <f t="shared" si="32"/>
        <v>-3.2288801091952974</v>
      </c>
    </row>
    <row r="144" spans="1:22" s="37" customFormat="1">
      <c r="C144" s="131"/>
      <c r="D144" s="153"/>
      <c r="E144" s="643"/>
      <c r="F144" s="131"/>
      <c r="G144" s="131"/>
      <c r="H144" s="131"/>
      <c r="I144" s="131"/>
      <c r="J144" s="156"/>
      <c r="K144" s="156"/>
      <c r="L144" s="156"/>
      <c r="M144" s="156"/>
      <c r="N144" s="604"/>
      <c r="P144" s="136"/>
      <c r="Q144" s="131"/>
      <c r="R144" s="620"/>
      <c r="S144" s="616"/>
      <c r="T144" s="616"/>
      <c r="U144" s="616"/>
      <c r="V144" s="621"/>
    </row>
    <row r="145" spans="1:22" s="37" customFormat="1">
      <c r="C145" s="131">
        <f>C32</f>
        <v>0</v>
      </c>
      <c r="D145" s="131" t="str">
        <f>D32</f>
        <v>£m 3dp</v>
      </c>
      <c r="E145" s="643" t="str">
        <f>E32</f>
        <v>Sewerage: value of ex post revenue adjustment if applied in first year (2012-13 prices)</v>
      </c>
      <c r="F145" s="131"/>
      <c r="G145" s="131"/>
      <c r="H145" s="131"/>
      <c r="I145" s="131"/>
      <c r="J145" s="156"/>
      <c r="K145" s="156"/>
      <c r="L145" s="156"/>
      <c r="M145" s="156"/>
      <c r="N145" s="604"/>
      <c r="P145" s="136"/>
      <c r="Q145" s="131"/>
      <c r="R145" s="620">
        <f>R32</f>
        <v>-72.320242653420109</v>
      </c>
      <c r="S145" s="616">
        <f>S32</f>
        <v>0</v>
      </c>
      <c r="T145" s="616">
        <f>T32</f>
        <v>0</v>
      </c>
      <c r="U145" s="616">
        <f>U32</f>
        <v>0</v>
      </c>
      <c r="V145" s="621">
        <f>V32</f>
        <v>0</v>
      </c>
    </row>
    <row r="146" spans="1:22" s="37" customFormat="1">
      <c r="C146" s="131">
        <f>C48</f>
        <v>1</v>
      </c>
      <c r="D146" s="131" t="str">
        <f>D48</f>
        <v>£m 3dp</v>
      </c>
      <c r="E146" s="643" t="str">
        <f>E48</f>
        <v>Sewerage: value of ex post revenue adjustment with 5-year annuity approach (2012-13 prices)</v>
      </c>
      <c r="F146" s="131"/>
      <c r="G146" s="131"/>
      <c r="H146" s="131"/>
      <c r="I146" s="131"/>
      <c r="J146" s="156"/>
      <c r="K146" s="156"/>
      <c r="L146" s="156"/>
      <c r="M146" s="156"/>
      <c r="N146" s="604"/>
      <c r="P146" s="136"/>
      <c r="Q146" s="131"/>
      <c r="R146" s="620">
        <f>R48</f>
        <v>-15.504804607265003</v>
      </c>
      <c r="S146" s="616">
        <f>S48</f>
        <v>-15.504804607265003</v>
      </c>
      <c r="T146" s="616">
        <f>T48</f>
        <v>-15.504804607265003</v>
      </c>
      <c r="U146" s="616">
        <f>U48</f>
        <v>-15.504804607265003</v>
      </c>
      <c r="V146" s="621">
        <f>V48</f>
        <v>-15.504804607265003</v>
      </c>
    </row>
    <row r="147" spans="1:22" s="37" customFormat="1">
      <c r="C147" s="131">
        <f>C65</f>
        <v>2</v>
      </c>
      <c r="D147" s="131" t="str">
        <f>D65</f>
        <v>£m 3dp</v>
      </c>
      <c r="E147" s="643" t="str">
        <f>E65</f>
        <v>Sewerage: value of ex post revenue adjustment with Non NPV neutral even allocation(2012-13 prices)</v>
      </c>
      <c r="F147" s="131"/>
      <c r="G147" s="131"/>
      <c r="H147" s="131"/>
      <c r="I147" s="131"/>
      <c r="J147" s="156"/>
      <c r="K147" s="156"/>
      <c r="L147" s="156"/>
      <c r="M147" s="156"/>
      <c r="N147" s="604"/>
      <c r="P147" s="136"/>
      <c r="Q147" s="131"/>
      <c r="R147" s="620">
        <f>R65</f>
        <v>-14.464048530684021</v>
      </c>
      <c r="S147" s="616">
        <f>S65</f>
        <v>-14.464048530684021</v>
      </c>
      <c r="T147" s="616">
        <f>T65</f>
        <v>-14.464048530684021</v>
      </c>
      <c r="U147" s="616">
        <f>U65</f>
        <v>-14.464048530684021</v>
      </c>
      <c r="V147" s="621">
        <f>V65</f>
        <v>-14.464048530684021</v>
      </c>
    </row>
    <row r="148" spans="1:22" s="37" customFormat="1">
      <c r="C148" s="131">
        <f>C83</f>
        <v>3</v>
      </c>
      <c r="D148" s="131" t="str">
        <f>D83</f>
        <v>£m 3dp</v>
      </c>
      <c r="E148" s="643" t="str">
        <f>E83</f>
        <v>Sewerage: value of ex post revenue adjustment with NPV neutral even allocation(2012-13 prices)</v>
      </c>
      <c r="F148" s="131"/>
      <c r="G148" s="131"/>
      <c r="H148" s="131"/>
      <c r="I148" s="131"/>
      <c r="J148" s="156"/>
      <c r="K148" s="156"/>
      <c r="L148" s="156"/>
      <c r="M148" s="156"/>
      <c r="N148" s="604"/>
      <c r="P148" s="136"/>
      <c r="Q148" s="131"/>
      <c r="R148" s="620">
        <f>R83</f>
        <v>-14.464048530684021</v>
      </c>
      <c r="S148" s="616">
        <f>S83</f>
        <v>-14.984754277788646</v>
      </c>
      <c r="T148" s="616">
        <f>T83</f>
        <v>-15.524205431789037</v>
      </c>
      <c r="U148" s="616">
        <f>U83</f>
        <v>-16.083076827333443</v>
      </c>
      <c r="V148" s="621">
        <f>V83</f>
        <v>-16.662067593117449</v>
      </c>
    </row>
    <row r="149" spans="1:22" s="37" customFormat="1">
      <c r="C149" s="131">
        <f>C95</f>
        <v>4</v>
      </c>
      <c r="D149" s="131" t="str">
        <f>D95</f>
        <v>£m 3dp</v>
      </c>
      <c r="E149" s="643" t="str">
        <f>E95</f>
        <v>Sewerage: value of ex post revenue adjustment with lagged annual values non NPV neutral (2012-13 prices)</v>
      </c>
      <c r="F149" s="131"/>
      <c r="G149" s="131"/>
      <c r="H149" s="131"/>
      <c r="I149" s="131"/>
      <c r="J149" s="156"/>
      <c r="K149" s="156"/>
      <c r="L149" s="156"/>
      <c r="M149" s="156"/>
      <c r="N149" s="604"/>
      <c r="P149" s="136"/>
      <c r="Q149" s="131"/>
      <c r="R149" s="620">
        <f>R95</f>
        <v>5.2747006925072011</v>
      </c>
      <c r="S149" s="616">
        <f>S95</f>
        <v>-4.895306783251935</v>
      </c>
      <c r="T149" s="616">
        <f>T95</f>
        <v>-19.595974594776248</v>
      </c>
      <c r="U149" s="616">
        <f>U95</f>
        <v>-26.1105583717648</v>
      </c>
      <c r="V149" s="621">
        <f>V95</f>
        <v>-26.993103596134333</v>
      </c>
    </row>
    <row r="150" spans="1:22" s="37" customFormat="1">
      <c r="C150" s="131">
        <f>C124</f>
        <v>5</v>
      </c>
      <c r="D150" s="131" t="str">
        <f t="shared" ref="D150:E150" si="33">D124</f>
        <v>£m 3dp</v>
      </c>
      <c r="E150" s="643" t="str">
        <f t="shared" si="33"/>
        <v>Sewerage: value of ex post revenue adjustment with lagged annual values NPV neutral (2012-13 prices)</v>
      </c>
      <c r="F150" s="131"/>
      <c r="G150" s="131"/>
      <c r="H150" s="131"/>
      <c r="I150" s="131"/>
      <c r="J150" s="156"/>
      <c r="K150" s="156"/>
      <c r="L150" s="156"/>
      <c r="M150" s="156"/>
      <c r="N150" s="604"/>
      <c r="P150" s="136"/>
      <c r="Q150" s="131"/>
      <c r="R150" s="620">
        <f t="shared" ref="R150:V150" si="34">R124</f>
        <v>5.9030074544726281</v>
      </c>
      <c r="S150" s="616">
        <f t="shared" si="34"/>
        <v>-5.4784212636965925</v>
      </c>
      <c r="T150" s="616">
        <f t="shared" si="34"/>
        <v>-21.930189190628184</v>
      </c>
      <c r="U150" s="616">
        <f t="shared" si="34"/>
        <v>-29.220770939271617</v>
      </c>
      <c r="V150" s="621">
        <f t="shared" si="34"/>
        <v>-30.208442343217435</v>
      </c>
    </row>
    <row r="151" spans="1:22" s="37" customFormat="1">
      <c r="C151" s="131"/>
      <c r="D151" s="632" t="s">
        <v>57</v>
      </c>
      <c r="E151" s="648" t="s">
        <v>412</v>
      </c>
      <c r="F151" s="632"/>
      <c r="G151" s="131"/>
      <c r="H151" s="131"/>
      <c r="I151" s="131"/>
      <c r="J151" s="156"/>
      <c r="K151" s="156"/>
      <c r="L151" s="156"/>
      <c r="M151" s="156"/>
      <c r="N151" s="604"/>
      <c r="P151" s="136"/>
      <c r="Q151" s="131"/>
      <c r="R151" s="629">
        <f>CHOOSE($P$135+1,R145,R146,R147,R148,R149,R150)</f>
        <v>-15.504804607265003</v>
      </c>
      <c r="S151" s="630">
        <f t="shared" ref="S151:V151" si="35">CHOOSE($P$135+1,S145,S146,S147,S148,S149,S150)</f>
        <v>-15.504804607265003</v>
      </c>
      <c r="T151" s="630">
        <f t="shared" si="35"/>
        <v>-15.504804607265003</v>
      </c>
      <c r="U151" s="630">
        <f t="shared" si="35"/>
        <v>-15.504804607265003</v>
      </c>
      <c r="V151" s="631">
        <f t="shared" si="35"/>
        <v>-15.504804607265003</v>
      </c>
    </row>
    <row r="152" spans="1:22" s="37" customFormat="1">
      <c r="C152" s="131"/>
      <c r="D152" s="153"/>
      <c r="E152" s="643"/>
      <c r="F152" s="131"/>
      <c r="G152" s="131"/>
      <c r="H152" s="131"/>
      <c r="I152" s="131"/>
      <c r="J152" s="156"/>
      <c r="K152" s="156"/>
      <c r="L152" s="156"/>
      <c r="M152" s="156"/>
      <c r="N152" s="604"/>
      <c r="P152" s="136"/>
      <c r="Q152" s="131"/>
      <c r="R152" s="594"/>
      <c r="S152" s="131"/>
      <c r="T152" s="131"/>
      <c r="U152" s="131"/>
      <c r="V152" s="605"/>
    </row>
    <row r="153" spans="1:22" s="37" customFormat="1">
      <c r="C153" s="131"/>
      <c r="D153" s="153"/>
      <c r="E153" s="643"/>
      <c r="F153" s="131"/>
      <c r="G153" s="131"/>
      <c r="H153" s="131"/>
      <c r="I153" s="131"/>
      <c r="J153" s="156"/>
      <c r="K153" s="156"/>
      <c r="L153" s="156"/>
      <c r="M153" s="156"/>
      <c r="N153" s="604"/>
      <c r="P153" s="136"/>
      <c r="Q153" s="131"/>
      <c r="R153" s="594"/>
      <c r="S153" s="131"/>
      <c r="T153" s="131"/>
      <c r="U153" s="131"/>
      <c r="V153" s="605"/>
    </row>
    <row r="154" spans="1:22">
      <c r="A154" s="479"/>
      <c r="B154" s="452"/>
      <c r="C154" s="574"/>
      <c r="D154" s="481"/>
      <c r="E154" s="647" t="s">
        <v>539</v>
      </c>
      <c r="F154" s="440"/>
      <c r="G154" s="440"/>
      <c r="H154" s="440"/>
      <c r="I154" s="440"/>
      <c r="J154" s="440"/>
      <c r="K154" s="440"/>
      <c r="L154" s="440"/>
      <c r="M154" s="440"/>
      <c r="N154" s="446"/>
      <c r="O154" s="440"/>
      <c r="P154" s="475"/>
      <c r="Q154" s="476"/>
      <c r="R154" s="592"/>
      <c r="S154" s="503"/>
      <c r="T154" s="503"/>
      <c r="U154" s="503"/>
      <c r="V154" s="593"/>
    </row>
    <row r="155" spans="1:22" s="37" customFormat="1">
      <c r="C155" s="131"/>
      <c r="D155" s="131"/>
      <c r="E155" s="643"/>
      <c r="F155" s="131"/>
      <c r="G155" s="131"/>
      <c r="H155" s="131"/>
      <c r="I155" s="131"/>
      <c r="J155" s="156"/>
      <c r="K155" s="156"/>
      <c r="L155" s="156"/>
      <c r="M155" s="156"/>
      <c r="N155" s="365"/>
      <c r="P155" s="136"/>
      <c r="Q155" s="131"/>
      <c r="R155" s="594"/>
      <c r="S155" s="131"/>
      <c r="T155" s="131"/>
      <c r="U155" s="131"/>
      <c r="V155" s="595"/>
    </row>
    <row r="156" spans="1:22" s="37" customFormat="1">
      <c r="B156" s="109"/>
      <c r="C156" s="104" t="s">
        <v>484</v>
      </c>
      <c r="D156" s="104" t="s">
        <v>57</v>
      </c>
      <c r="E156" s="643" t="s">
        <v>411</v>
      </c>
      <c r="F156" s="131"/>
      <c r="G156" s="131"/>
      <c r="H156" s="131"/>
      <c r="I156" s="131"/>
      <c r="J156" s="156"/>
      <c r="K156" s="156"/>
      <c r="L156" s="156"/>
      <c r="M156" s="156"/>
      <c r="N156" s="365"/>
      <c r="P156" s="136"/>
      <c r="Q156" s="131"/>
      <c r="R156" s="626">
        <f>R143</f>
        <v>-3.2288801091952974</v>
      </c>
      <c r="S156" s="627">
        <f t="shared" ref="S156:V156" si="36">S143</f>
        <v>-3.2288801091952974</v>
      </c>
      <c r="T156" s="627">
        <f t="shared" si="36"/>
        <v>-3.2288801091952974</v>
      </c>
      <c r="U156" s="627">
        <f t="shared" si="36"/>
        <v>-3.2288801091952974</v>
      </c>
      <c r="V156" s="628">
        <f t="shared" si="36"/>
        <v>-3.2288801091952974</v>
      </c>
    </row>
    <row r="157" spans="1:22" s="37" customFormat="1">
      <c r="B157" s="109"/>
      <c r="C157" s="104" t="s">
        <v>498</v>
      </c>
      <c r="D157" s="104" t="s">
        <v>57</v>
      </c>
      <c r="E157" s="643" t="s">
        <v>412</v>
      </c>
      <c r="F157" s="131"/>
      <c r="G157" s="131"/>
      <c r="H157" s="131"/>
      <c r="I157" s="131"/>
      <c r="J157" s="156"/>
      <c r="K157" s="156"/>
      <c r="L157" s="156"/>
      <c r="M157" s="156"/>
      <c r="N157" s="365"/>
      <c r="P157" s="136"/>
      <c r="Q157" s="131"/>
      <c r="R157" s="626">
        <f>R151</f>
        <v>-15.504804607265003</v>
      </c>
      <c r="S157" s="627">
        <f t="shared" ref="S157:V157" si="37">S151</f>
        <v>-15.504804607265003</v>
      </c>
      <c r="T157" s="627">
        <f t="shared" si="37"/>
        <v>-15.504804607265003</v>
      </c>
      <c r="U157" s="627">
        <f t="shared" si="37"/>
        <v>-15.504804607265003</v>
      </c>
      <c r="V157" s="628">
        <f t="shared" si="37"/>
        <v>-15.504804607265003</v>
      </c>
    </row>
    <row r="158" spans="1:22" s="37" customFormat="1">
      <c r="C158" s="131"/>
      <c r="D158" s="153"/>
      <c r="E158" s="643"/>
      <c r="F158" s="131"/>
      <c r="G158" s="131"/>
      <c r="H158" s="131"/>
      <c r="I158" s="131"/>
      <c r="J158" s="159"/>
      <c r="K158" s="159"/>
      <c r="L158" s="159"/>
      <c r="M158" s="159"/>
      <c r="N158" s="362"/>
      <c r="P158" s="136"/>
      <c r="Q158" s="131"/>
      <c r="R158" s="594"/>
      <c r="S158" s="131"/>
      <c r="T158" s="131"/>
      <c r="U158" s="131"/>
      <c r="V158" s="595"/>
    </row>
    <row r="159" spans="1:22" s="37" customFormat="1">
      <c r="A159" s="209"/>
      <c r="B159" s="209"/>
      <c r="C159" s="209"/>
      <c r="D159" s="209"/>
      <c r="E159" s="649"/>
      <c r="F159" s="209"/>
      <c r="G159" s="209"/>
      <c r="H159" s="209"/>
      <c r="I159" s="209"/>
      <c r="J159" s="211"/>
      <c r="K159" s="211"/>
      <c r="L159" s="211"/>
      <c r="M159" s="211"/>
      <c r="N159" s="212"/>
      <c r="O159" s="109"/>
      <c r="P159" s="188"/>
      <c r="Q159" s="131"/>
      <c r="R159" s="598"/>
      <c r="S159" s="599"/>
      <c r="T159" s="599"/>
      <c r="U159" s="599"/>
      <c r="V159" s="600"/>
    </row>
    <row r="160" spans="1:22">
      <c r="E160" s="643"/>
    </row>
    <row r="161" spans="8:14">
      <c r="J161" s="353"/>
      <c r="K161" s="353"/>
      <c r="L161" s="353"/>
      <c r="M161" s="353"/>
      <c r="N161" s="353"/>
    </row>
    <row r="163" spans="8:14">
      <c r="H163" s="22"/>
      <c r="J163" s="353"/>
      <c r="K163" s="353"/>
      <c r="L163" s="353"/>
      <c r="M163" s="353"/>
      <c r="N163" s="353"/>
    </row>
    <row r="164" spans="8:14">
      <c r="J164" s="354"/>
      <c r="K164" s="354"/>
      <c r="L164" s="354"/>
      <c r="M164" s="354"/>
      <c r="N164" s="354"/>
    </row>
    <row r="165" spans="8:14">
      <c r="J165" s="353"/>
      <c r="K165" s="353"/>
      <c r="L165" s="353"/>
      <c r="M165" s="353"/>
      <c r="N165" s="353"/>
    </row>
    <row r="167" spans="8:14">
      <c r="J167" s="354"/>
    </row>
  </sheetData>
  <pageMargins left="0.70866141732283472" right="0.70866141732283472" top="0.74803149606299213" bottom="0.74803149606299213" header="0.31496062992125984" footer="0.31496062992125984"/>
  <pageSetup paperSize="9" scale="48" fitToHeight="0" orientation="landscape" r:id="rId1"/>
  <headerFooter>
    <oddFooter>&amp;LPL14L012 CIS v3.5
Ofwat, February 2016</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B101"/>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E3" sqref="E3"/>
    </sheetView>
  </sheetViews>
  <sheetFormatPr defaultRowHeight="13.2"/>
  <cols>
    <col min="1" max="1" width="1.88671875" customWidth="1"/>
    <col min="2" max="2" width="8.88671875" customWidth="1"/>
    <col min="3" max="3" width="3.44140625" customWidth="1"/>
    <col min="4" max="4" width="0" hidden="1" customWidth="1"/>
    <col min="5" max="5" width="107.88671875" customWidth="1"/>
    <col min="6" max="14" width="18.88671875" customWidth="1"/>
    <col min="15" max="19" width="20.6640625" hidden="1" customWidth="1"/>
    <col min="20" max="20" width="3.109375" customWidth="1"/>
    <col min="21" max="21" width="23.886718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FD'!G150="","",'Input FD'!G150)</f>
        <v>TMS Inputs as at FD</v>
      </c>
      <c r="F2" s="510"/>
      <c r="G2" s="496"/>
      <c r="H2" s="496"/>
      <c r="I2" s="496"/>
      <c r="J2" s="496"/>
      <c r="K2" s="496"/>
      <c r="L2" s="496"/>
      <c r="M2" s="496"/>
      <c r="N2" s="496"/>
      <c r="O2" s="496"/>
      <c r="P2" s="496"/>
      <c r="Q2" s="496"/>
      <c r="R2" s="496"/>
      <c r="S2" s="496"/>
      <c r="T2" s="496"/>
      <c r="U2" s="498"/>
    </row>
    <row r="3" spans="1:27" ht="26.85" customHeight="1">
      <c r="A3" s="495"/>
      <c r="B3" s="496"/>
      <c r="C3" s="496"/>
      <c r="D3" s="496"/>
      <c r="E3" s="497" t="s">
        <v>746</v>
      </c>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358</v>
      </c>
      <c r="F5" s="511"/>
      <c r="G5" s="496"/>
      <c r="H5" s="496"/>
      <c r="I5" s="496"/>
      <c r="J5" s="496"/>
      <c r="K5" s="496"/>
      <c r="L5" s="496"/>
      <c r="M5" s="496"/>
      <c r="N5" s="502"/>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5"/>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14" t="s">
        <v>59</v>
      </c>
      <c r="V11" s="30"/>
      <c r="W11" s="2"/>
      <c r="X11" s="2"/>
      <c r="Y11" s="11"/>
      <c r="Z11" s="12"/>
      <c r="AA11" s="12"/>
    </row>
    <row r="12" spans="1:27"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108"/>
    </row>
    <row r="13" spans="1:27" s="109" customFormat="1" ht="18" customHeight="1">
      <c r="A13" s="102"/>
      <c r="B13" s="103">
        <v>1</v>
      </c>
      <c r="C13" s="104"/>
      <c r="D13" s="104"/>
      <c r="E13" s="105" t="s">
        <v>128</v>
      </c>
      <c r="F13" s="105"/>
      <c r="G13" s="104"/>
      <c r="H13" s="104"/>
      <c r="I13" s="104"/>
      <c r="J13" s="106"/>
      <c r="K13" s="106"/>
      <c r="L13" s="106"/>
      <c r="M13" s="106"/>
      <c r="N13" s="106"/>
      <c r="O13" s="104"/>
      <c r="P13" s="104"/>
      <c r="Q13" s="104"/>
      <c r="R13" s="104"/>
      <c r="S13" s="104"/>
      <c r="T13" s="107"/>
      <c r="U13" s="108"/>
    </row>
    <row r="14" spans="1:27"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108"/>
    </row>
    <row r="15" spans="1:27" s="117" customFormat="1" ht="17.399999999999999">
      <c r="A15" s="110"/>
      <c r="B15" s="111">
        <v>1.1000000000000001</v>
      </c>
      <c r="C15" s="112"/>
      <c r="D15" s="113"/>
      <c r="E15" s="105" t="s">
        <v>163</v>
      </c>
      <c r="F15" s="105"/>
      <c r="G15" s="113"/>
      <c r="H15" s="113"/>
      <c r="I15" s="113"/>
      <c r="J15" s="114"/>
      <c r="K15" s="114"/>
      <c r="L15" s="114"/>
      <c r="M15" s="114"/>
      <c r="N15" s="114"/>
      <c r="O15" s="113"/>
      <c r="P15" s="113"/>
      <c r="Q15" s="113"/>
      <c r="R15" s="113"/>
      <c r="S15" s="113"/>
      <c r="T15" s="115"/>
      <c r="U15" s="116"/>
    </row>
    <row r="16" spans="1:27" s="117" customFormat="1" ht="17.399999999999999">
      <c r="A16" s="110"/>
      <c r="B16" s="118" t="s">
        <v>129</v>
      </c>
      <c r="C16" s="119"/>
      <c r="D16" s="113"/>
      <c r="E16" s="113" t="str">
        <f>'Input FD'!E10</f>
        <v>Water: FBP IRE (net of grants &amp; contributions)</v>
      </c>
      <c r="F16" s="113"/>
      <c r="G16" s="120"/>
      <c r="H16" s="120"/>
      <c r="I16" s="120"/>
      <c r="J16" s="121">
        <f>'Input FD'!J10</f>
        <v>103.470908642818</v>
      </c>
      <c r="K16" s="121">
        <f>'Input FD'!K10</f>
        <v>132.99800637627399</v>
      </c>
      <c r="L16" s="121">
        <f>'Input FD'!L10</f>
        <v>111.563416483532</v>
      </c>
      <c r="M16" s="121">
        <f>'Input FD'!M10</f>
        <v>129.981643721457</v>
      </c>
      <c r="N16" s="121">
        <f>'Input FD'!N10</f>
        <v>124.476495414871</v>
      </c>
      <c r="O16" s="113"/>
      <c r="P16" s="113"/>
      <c r="Q16" s="113"/>
      <c r="R16" s="113"/>
      <c r="S16" s="113"/>
      <c r="T16" s="115"/>
      <c r="U16" s="122">
        <f t="shared" ref="U16:U34" si="0">SUM(J16:N16)</f>
        <v>602.49047063895193</v>
      </c>
      <c r="W16" s="123"/>
      <c r="X16" s="123"/>
      <c r="Y16" s="123"/>
      <c r="Z16" s="123"/>
      <c r="AA16" s="123"/>
    </row>
    <row r="17" spans="1:27" s="117" customFormat="1" ht="17.399999999999999">
      <c r="A17" s="110"/>
      <c r="B17" s="118" t="s">
        <v>131</v>
      </c>
      <c r="C17" s="119"/>
      <c r="D17" s="113"/>
      <c r="E17" s="113" t="str">
        <f>'Input FD'!E11</f>
        <v>Water: FBP MNI (net of grants &amp; contributions)</v>
      </c>
      <c r="F17" s="113"/>
      <c r="G17" s="120"/>
      <c r="H17" s="120"/>
      <c r="I17" s="120"/>
      <c r="J17" s="121">
        <f>'Input FD'!J11</f>
        <v>113.913414843349</v>
      </c>
      <c r="K17" s="121">
        <f>'Input FD'!K11</f>
        <v>166.357511332</v>
      </c>
      <c r="L17" s="121">
        <f>'Input FD'!L11</f>
        <v>140.887898901509</v>
      </c>
      <c r="M17" s="121">
        <f>'Input FD'!M11</f>
        <v>118.387980577061</v>
      </c>
      <c r="N17" s="121">
        <f>'Input FD'!N11</f>
        <v>84.269135592107304</v>
      </c>
      <c r="O17" s="113"/>
      <c r="P17" s="113"/>
      <c r="Q17" s="113"/>
      <c r="R17" s="113"/>
      <c r="S17" s="113"/>
      <c r="T17" s="115"/>
      <c r="U17" s="122">
        <f t="shared" si="0"/>
        <v>623.81594124602634</v>
      </c>
      <c r="W17" s="123"/>
      <c r="X17" s="123"/>
      <c r="Y17" s="123"/>
      <c r="Z17" s="123"/>
      <c r="AA17" s="123"/>
    </row>
    <row r="18" spans="1:27" s="117" customFormat="1" ht="17.399999999999999">
      <c r="A18" s="110"/>
      <c r="B18" s="118" t="s">
        <v>132</v>
      </c>
      <c r="C18" s="119"/>
      <c r="D18" s="113"/>
      <c r="E18" s="113" t="str">
        <f>'Input FD'!E12</f>
        <v>Water: FBP infrastructure expenditure</v>
      </c>
      <c r="F18" s="113"/>
      <c r="G18" s="120"/>
      <c r="H18" s="120"/>
      <c r="I18" s="120"/>
      <c r="J18" s="121">
        <f>'Input FD'!J12</f>
        <v>107.772134616793</v>
      </c>
      <c r="K18" s="121">
        <f>'Input FD'!K12</f>
        <v>128.94885703399399</v>
      </c>
      <c r="L18" s="121">
        <f>'Input FD'!L12</f>
        <v>39.916639210552901</v>
      </c>
      <c r="M18" s="121">
        <f>'Input FD'!M12</f>
        <v>28.593380651569401</v>
      </c>
      <c r="N18" s="121">
        <f>'Input FD'!N12</f>
        <v>15.432786951569399</v>
      </c>
      <c r="O18" s="113"/>
      <c r="P18" s="113"/>
      <c r="Q18" s="113"/>
      <c r="R18" s="113"/>
      <c r="S18" s="113"/>
      <c r="T18" s="115"/>
      <c r="U18" s="122">
        <f t="shared" si="0"/>
        <v>320.6637984644787</v>
      </c>
      <c r="W18" s="123"/>
      <c r="X18" s="123"/>
      <c r="Y18" s="123"/>
      <c r="Z18" s="123"/>
      <c r="AA18" s="123"/>
    </row>
    <row r="19" spans="1:27" s="117" customFormat="1" ht="17.399999999999999">
      <c r="A19" s="110"/>
      <c r="B19" s="118" t="s">
        <v>133</v>
      </c>
      <c r="C19" s="119"/>
      <c r="D19" s="113"/>
      <c r="E19" s="113" t="str">
        <f>'Input FD'!E13</f>
        <v>Water: FBP non-infrastructure expenditure</v>
      </c>
      <c r="F19" s="113"/>
      <c r="G19" s="120"/>
      <c r="H19" s="120"/>
      <c r="I19" s="120"/>
      <c r="J19" s="121">
        <f>'Input FD'!J13</f>
        <v>68.677982659469805</v>
      </c>
      <c r="K19" s="121">
        <f>'Input FD'!K13</f>
        <v>79.775220134809601</v>
      </c>
      <c r="L19" s="121">
        <f>'Input FD'!L13</f>
        <v>52.664264101835997</v>
      </c>
      <c r="M19" s="121">
        <f>'Input FD'!M13</f>
        <v>42.8514853069493</v>
      </c>
      <c r="N19" s="121">
        <f>'Input FD'!N13</f>
        <v>32.973380172967403</v>
      </c>
      <c r="O19" s="113"/>
      <c r="P19" s="113"/>
      <c r="Q19" s="113"/>
      <c r="R19" s="113"/>
      <c r="S19" s="113"/>
      <c r="T19" s="115"/>
      <c r="U19" s="122">
        <f t="shared" si="0"/>
        <v>276.94233237603208</v>
      </c>
      <c r="W19" s="123"/>
      <c r="X19" s="123"/>
      <c r="Y19" s="123"/>
      <c r="Z19" s="123"/>
      <c r="AA19" s="123"/>
    </row>
    <row r="20" spans="1:27" s="117" customFormat="1" ht="17.399999999999999">
      <c r="A20" s="110"/>
      <c r="B20" s="118" t="s">
        <v>134</v>
      </c>
      <c r="C20" s="119"/>
      <c r="D20" s="113"/>
      <c r="E20" s="113" t="str">
        <f>'Input FD'!E14</f>
        <v>Water: FBP enhancement grants and contributions</v>
      </c>
      <c r="F20" s="113"/>
      <c r="G20" s="120"/>
      <c r="H20" s="120"/>
      <c r="I20" s="120"/>
      <c r="J20" s="121">
        <f>-'Input FD'!J14</f>
        <v>-5.7140000000000004</v>
      </c>
      <c r="K20" s="121">
        <f>-'Input FD'!K14</f>
        <v>-7.7889999999999997</v>
      </c>
      <c r="L20" s="121">
        <f>-'Input FD'!L14</f>
        <v>-8.3089999999999993</v>
      </c>
      <c r="M20" s="121">
        <f>-'Input FD'!M14</f>
        <v>-9.66</v>
      </c>
      <c r="N20" s="121">
        <f>-'Input FD'!N14</f>
        <v>-9.9890000000000008</v>
      </c>
      <c r="O20" s="113"/>
      <c r="P20" s="113"/>
      <c r="Q20" s="113"/>
      <c r="R20" s="113"/>
      <c r="S20" s="113"/>
      <c r="T20" s="115"/>
      <c r="U20" s="122">
        <f t="shared" si="0"/>
        <v>-41.460999999999999</v>
      </c>
      <c r="W20" s="123"/>
      <c r="X20" s="123"/>
      <c r="Y20" s="123"/>
      <c r="Z20" s="123"/>
      <c r="AA20" s="123"/>
    </row>
    <row r="21" spans="1:27" s="117" customFormat="1" ht="17.399999999999999">
      <c r="A21" s="110"/>
      <c r="B21" s="118" t="s">
        <v>135</v>
      </c>
      <c r="C21" s="119"/>
      <c r="D21" s="113"/>
      <c r="E21" s="113" t="str">
        <f>'Input FD'!E17</f>
        <v>Water: FBP adjustment for Competition Commission determination</v>
      </c>
      <c r="F21" s="113"/>
      <c r="G21" s="120"/>
      <c r="H21" s="120"/>
      <c r="I21" s="120"/>
      <c r="J21" s="121">
        <f>-'Input FD'!J17</f>
        <v>0</v>
      </c>
      <c r="K21" s="121">
        <f>-'Input FD'!K17</f>
        <v>0</v>
      </c>
      <c r="L21" s="121">
        <f>-'Input FD'!L17</f>
        <v>0</v>
      </c>
      <c r="M21" s="121">
        <f>-'Input FD'!M17</f>
        <v>0</v>
      </c>
      <c r="N21" s="121">
        <f>-'Input FD'!N17</f>
        <v>0</v>
      </c>
      <c r="O21" s="113"/>
      <c r="P21" s="113"/>
      <c r="Q21" s="113"/>
      <c r="R21" s="113"/>
      <c r="S21" s="113"/>
      <c r="T21" s="115"/>
      <c r="U21" s="122">
        <f t="shared" ref="U21:U23" si="1">SUM(J21:N21)</f>
        <v>0</v>
      </c>
      <c r="W21" s="123"/>
      <c r="X21" s="123"/>
      <c r="Y21" s="123"/>
      <c r="Z21" s="123"/>
      <c r="AA21" s="123"/>
    </row>
    <row r="22" spans="1:27" s="117" customFormat="1" ht="17.399999999999999">
      <c r="A22" s="110"/>
      <c r="B22" s="118" t="s">
        <v>136</v>
      </c>
      <c r="C22" s="119"/>
      <c r="D22" s="113"/>
      <c r="E22" s="113" t="str">
        <f>'Input FD'!E15</f>
        <v>Water: FBP large projects infrastructure (exc large project capex not subject to CIS)</v>
      </c>
      <c r="F22" s="113"/>
      <c r="G22" s="120"/>
      <c r="H22" s="120"/>
      <c r="I22" s="120"/>
      <c r="J22" s="121">
        <f>-'Input FD'!J15</f>
        <v>0</v>
      </c>
      <c r="K22" s="121">
        <f>-'Input FD'!K15</f>
        <v>0</v>
      </c>
      <c r="L22" s="121">
        <f>-'Input FD'!L15</f>
        <v>0</v>
      </c>
      <c r="M22" s="121">
        <f>-'Input FD'!M15</f>
        <v>0</v>
      </c>
      <c r="N22" s="121">
        <f>-'Input FD'!N15</f>
        <v>0</v>
      </c>
      <c r="O22" s="113"/>
      <c r="P22" s="113"/>
      <c r="Q22" s="113"/>
      <c r="R22" s="113"/>
      <c r="S22" s="113"/>
      <c r="T22" s="115"/>
      <c r="U22" s="122">
        <f t="shared" si="1"/>
        <v>0</v>
      </c>
      <c r="W22" s="123"/>
      <c r="X22" s="123"/>
      <c r="Y22" s="123"/>
      <c r="Z22" s="123"/>
      <c r="AA22" s="123"/>
    </row>
    <row r="23" spans="1:27" s="117" customFormat="1" ht="17.399999999999999">
      <c r="A23" s="110"/>
      <c r="B23" s="118" t="s">
        <v>137</v>
      </c>
      <c r="C23" s="119"/>
      <c r="D23" s="113"/>
      <c r="E23" s="113" t="str">
        <f>'Input FD'!E16</f>
        <v>Water: FBP large projects non-infrastructure (exc large project capex not subject to CIS)</v>
      </c>
      <c r="F23" s="113"/>
      <c r="G23" s="120"/>
      <c r="H23" s="120"/>
      <c r="I23" s="120"/>
      <c r="J23" s="121">
        <f>-'Input FD'!J16</f>
        <v>0</v>
      </c>
      <c r="K23" s="121">
        <f>-'Input FD'!K16</f>
        <v>0</v>
      </c>
      <c r="L23" s="121">
        <f>-'Input FD'!L16</f>
        <v>0</v>
      </c>
      <c r="M23" s="121">
        <f>-'Input FD'!M16</f>
        <v>0</v>
      </c>
      <c r="N23" s="121">
        <f>-'Input FD'!N16</f>
        <v>0</v>
      </c>
      <c r="O23" s="113"/>
      <c r="P23" s="113"/>
      <c r="Q23" s="113"/>
      <c r="R23" s="113"/>
      <c r="S23" s="113"/>
      <c r="T23" s="115"/>
      <c r="U23" s="122">
        <f t="shared" si="1"/>
        <v>0</v>
      </c>
      <c r="W23" s="123"/>
      <c r="X23" s="123"/>
      <c r="Y23" s="123"/>
      <c r="Z23" s="123"/>
      <c r="AA23" s="123"/>
    </row>
    <row r="24" spans="1:27" s="117" customFormat="1" ht="17.399999999999999">
      <c r="A24" s="110"/>
      <c r="B24" s="118" t="s">
        <v>138</v>
      </c>
      <c r="C24" s="119"/>
      <c r="D24" s="113"/>
      <c r="E24" s="113" t="str">
        <f>'Calc2 FD'!E55</f>
        <v>Water: Company bid capex (gross of adjustments)</v>
      </c>
      <c r="F24" s="113"/>
      <c r="G24" s="120"/>
      <c r="H24" s="120"/>
      <c r="I24" s="120"/>
      <c r="J24" s="121">
        <f>'Calc2 FD'!J55</f>
        <v>388.12044076242984</v>
      </c>
      <c r="K24" s="121">
        <f>'Calc2 FD'!K55</f>
        <v>500.29059487707758</v>
      </c>
      <c r="L24" s="121">
        <f>'Calc2 FD'!L55</f>
        <v>336.7232186974299</v>
      </c>
      <c r="M24" s="121">
        <f>'Calc2 FD'!M55</f>
        <v>310.15449025703668</v>
      </c>
      <c r="N24" s="121">
        <f>'Calc2 FD'!N55</f>
        <v>247.16279813151507</v>
      </c>
      <c r="O24" s="113"/>
      <c r="P24" s="113"/>
      <c r="Q24" s="113"/>
      <c r="R24" s="113"/>
      <c r="S24" s="113"/>
      <c r="T24" s="115"/>
      <c r="U24" s="122">
        <f t="shared" si="0"/>
        <v>1782.4515427254892</v>
      </c>
      <c r="W24" s="123"/>
      <c r="X24" s="123"/>
      <c r="Y24" s="123"/>
      <c r="Z24" s="123"/>
      <c r="AA24" s="123"/>
    </row>
    <row r="25" spans="1:27" s="117" customFormat="1" ht="17.399999999999999">
      <c r="A25" s="110"/>
      <c r="B25" s="118"/>
      <c r="C25" s="119"/>
      <c r="D25" s="113"/>
      <c r="E25" s="113"/>
      <c r="F25" s="113"/>
      <c r="G25" s="113"/>
      <c r="H25" s="113"/>
      <c r="I25" s="113"/>
      <c r="J25" s="121"/>
      <c r="K25" s="121"/>
      <c r="L25" s="121"/>
      <c r="M25" s="121"/>
      <c r="N25" s="121"/>
      <c r="O25" s="113"/>
      <c r="P25" s="113"/>
      <c r="Q25" s="113"/>
      <c r="R25" s="113"/>
      <c r="S25" s="113"/>
      <c r="T25" s="115"/>
      <c r="U25" s="122"/>
    </row>
    <row r="26" spans="1:27" s="117" customFormat="1" ht="17.399999999999999">
      <c r="A26" s="110"/>
      <c r="B26" s="118" t="s">
        <v>139</v>
      </c>
      <c r="C26" s="119"/>
      <c r="D26" s="113"/>
      <c r="E26" s="113" t="str">
        <f>'Input FD'!E19</f>
        <v>Sewerage: FBP IRE (net of grants &amp; contributions)</v>
      </c>
      <c r="F26" s="113"/>
      <c r="G26" s="120"/>
      <c r="H26" s="120"/>
      <c r="I26" s="120"/>
      <c r="J26" s="121">
        <f>'Input FD'!J19</f>
        <v>42.720897600000001</v>
      </c>
      <c r="K26" s="121">
        <f>'Input FD'!K19</f>
        <v>38.648853000000003</v>
      </c>
      <c r="L26" s="121">
        <f>'Input FD'!L19</f>
        <v>45.982225700000001</v>
      </c>
      <c r="M26" s="121">
        <f>'Input FD'!M19</f>
        <v>47.438052999999996</v>
      </c>
      <c r="N26" s="121">
        <f>'Input FD'!N19</f>
        <v>47.2990274</v>
      </c>
      <c r="O26" s="113"/>
      <c r="P26" s="113"/>
      <c r="Q26" s="113"/>
      <c r="R26" s="113"/>
      <c r="S26" s="113"/>
      <c r="T26" s="115"/>
      <c r="U26" s="122">
        <f t="shared" si="0"/>
        <v>222.08905670000001</v>
      </c>
    </row>
    <row r="27" spans="1:27" s="117" customFormat="1" ht="17.399999999999999">
      <c r="A27" s="110"/>
      <c r="B27" s="118" t="s">
        <v>140</v>
      </c>
      <c r="C27" s="119"/>
      <c r="D27" s="113"/>
      <c r="E27" s="113" t="str">
        <f>'Input FD'!E20</f>
        <v>Sewerage: FBP MNI (net of grants &amp; contributions)</v>
      </c>
      <c r="F27" s="113"/>
      <c r="G27" s="120"/>
      <c r="H27" s="120"/>
      <c r="I27" s="120"/>
      <c r="J27" s="121">
        <f>'Input FD'!J20</f>
        <v>174.42350429999999</v>
      </c>
      <c r="K27" s="121">
        <f>'Input FD'!K20</f>
        <v>249.0989931</v>
      </c>
      <c r="L27" s="121">
        <f>'Input FD'!L20</f>
        <v>148.0181566</v>
      </c>
      <c r="M27" s="121">
        <f>'Input FD'!M20</f>
        <v>158.6278312</v>
      </c>
      <c r="N27" s="121">
        <f>'Input FD'!N20</f>
        <v>122.76039400000001</v>
      </c>
      <c r="O27" s="113"/>
      <c r="P27" s="113"/>
      <c r="Q27" s="113"/>
      <c r="R27" s="113"/>
      <c r="S27" s="113"/>
      <c r="T27" s="115"/>
      <c r="U27" s="122">
        <f t="shared" si="0"/>
        <v>852.9288792000001</v>
      </c>
    </row>
    <row r="28" spans="1:27" s="117" customFormat="1" ht="17.399999999999999">
      <c r="A28" s="110"/>
      <c r="B28" s="118" t="s">
        <v>141</v>
      </c>
      <c r="C28" s="119"/>
      <c r="D28" s="113"/>
      <c r="E28" s="113" t="str">
        <f>'Input FD'!E21</f>
        <v>Sewerage: FBP infrastructure expenditure</v>
      </c>
      <c r="F28" s="113"/>
      <c r="G28" s="120"/>
      <c r="H28" s="120"/>
      <c r="I28" s="120"/>
      <c r="J28" s="121">
        <f>'Input FD'!J21</f>
        <v>63.993343000000003</v>
      </c>
      <c r="K28" s="121">
        <f>'Input FD'!K21</f>
        <v>107.633421</v>
      </c>
      <c r="L28" s="121">
        <f>'Input FD'!L21</f>
        <v>138.6957151</v>
      </c>
      <c r="M28" s="121">
        <f>'Input FD'!M21</f>
        <v>121.4034858</v>
      </c>
      <c r="N28" s="121">
        <f>'Input FD'!N21</f>
        <v>114.6391064</v>
      </c>
      <c r="O28" s="113"/>
      <c r="P28" s="113"/>
      <c r="Q28" s="113"/>
      <c r="R28" s="113"/>
      <c r="S28" s="113"/>
      <c r="T28" s="115"/>
      <c r="U28" s="122">
        <f t="shared" si="0"/>
        <v>546.36507129999995</v>
      </c>
    </row>
    <row r="29" spans="1:27" s="117" customFormat="1" ht="17.399999999999999">
      <c r="A29" s="110"/>
      <c r="B29" s="118" t="s">
        <v>212</v>
      </c>
      <c r="C29" s="118"/>
      <c r="D29" s="113"/>
      <c r="E29" s="113" t="str">
        <f>'Input FD'!E22</f>
        <v>Sewerage: FBP non-infrastructure expenditure</v>
      </c>
      <c r="F29" s="113"/>
      <c r="G29" s="120"/>
      <c r="H29" s="120"/>
      <c r="I29" s="120"/>
      <c r="J29" s="121">
        <f>'Input FD'!J22</f>
        <v>286.69337969999998</v>
      </c>
      <c r="K29" s="121">
        <f>'Input FD'!K22</f>
        <v>323.45532571049398</v>
      </c>
      <c r="L29" s="121">
        <f>'Input FD'!L22</f>
        <v>274.44730395646098</v>
      </c>
      <c r="M29" s="121">
        <f>'Input FD'!M22</f>
        <v>174.79395094065501</v>
      </c>
      <c r="N29" s="121">
        <f>'Input FD'!N22</f>
        <v>122.67399018527</v>
      </c>
      <c r="O29" s="113"/>
      <c r="P29" s="113"/>
      <c r="Q29" s="113"/>
      <c r="R29" s="113"/>
      <c r="S29" s="113"/>
      <c r="T29" s="115"/>
      <c r="U29" s="122">
        <f t="shared" si="0"/>
        <v>1182.0639504928797</v>
      </c>
    </row>
    <row r="30" spans="1:27" s="117" customFormat="1" ht="17.399999999999999">
      <c r="A30" s="110"/>
      <c r="B30" s="118" t="s">
        <v>213</v>
      </c>
      <c r="C30" s="118"/>
      <c r="D30" s="113"/>
      <c r="E30" s="113" t="str">
        <f>'Input FD'!E23</f>
        <v>Sewerage: FBP enhancement grants and contributions</v>
      </c>
      <c r="F30" s="113"/>
      <c r="G30" s="120"/>
      <c r="H30" s="120"/>
      <c r="I30" s="120"/>
      <c r="J30" s="121">
        <f>-'Input FD'!J23</f>
        <v>-9.1329999999999991</v>
      </c>
      <c r="K30" s="121">
        <f>-'Input FD'!K23</f>
        <v>-12.135</v>
      </c>
      <c r="L30" s="121">
        <f>-'Input FD'!L23</f>
        <v>-13.163</v>
      </c>
      <c r="M30" s="121">
        <f>-'Input FD'!M23</f>
        <v>-15.06</v>
      </c>
      <c r="N30" s="121">
        <f>-'Input FD'!N23</f>
        <v>-15.964</v>
      </c>
      <c r="O30" s="113"/>
      <c r="P30" s="113"/>
      <c r="Q30" s="113"/>
      <c r="R30" s="113"/>
      <c r="S30" s="113"/>
      <c r="T30" s="115"/>
      <c r="U30" s="122">
        <f t="shared" si="0"/>
        <v>-65.454999999999998</v>
      </c>
    </row>
    <row r="31" spans="1:27" s="117" customFormat="1" ht="17.399999999999999">
      <c r="A31" s="110"/>
      <c r="B31" s="118" t="s">
        <v>234</v>
      </c>
      <c r="C31" s="118"/>
      <c r="D31" s="113"/>
      <c r="E31" s="113" t="str">
        <f>'Input FD'!E26</f>
        <v>Sewerage: FBP adjustment for Competition Commission determination</v>
      </c>
      <c r="F31" s="113"/>
      <c r="G31" s="120"/>
      <c r="H31" s="120"/>
      <c r="I31" s="120"/>
      <c r="J31" s="121">
        <f>-'Input FD'!J26</f>
        <v>0</v>
      </c>
      <c r="K31" s="121">
        <f>-'Input FD'!K26</f>
        <v>0</v>
      </c>
      <c r="L31" s="121">
        <f>-'Input FD'!L26</f>
        <v>0</v>
      </c>
      <c r="M31" s="121">
        <f>-'Input FD'!M26</f>
        <v>0</v>
      </c>
      <c r="N31" s="121">
        <f>-'Input FD'!N26</f>
        <v>0</v>
      </c>
      <c r="O31" s="113"/>
      <c r="P31" s="113"/>
      <c r="Q31" s="113"/>
      <c r="R31" s="113"/>
      <c r="S31" s="113"/>
      <c r="T31" s="115"/>
      <c r="U31" s="122">
        <f t="shared" ref="U31:U33" si="2">SUM(J31:N31)</f>
        <v>0</v>
      </c>
    </row>
    <row r="32" spans="1:27" s="117" customFormat="1" ht="17.399999999999999">
      <c r="A32" s="110"/>
      <c r="B32" s="118" t="s">
        <v>235</v>
      </c>
      <c r="C32" s="118"/>
      <c r="D32" s="113"/>
      <c r="E32" s="113" t="str">
        <f>'Input FD'!E24</f>
        <v>Sewerage: FBP large projects infrastructure (exc large project capex not subject to CIS)</v>
      </c>
      <c r="F32" s="113"/>
      <c r="G32" s="120"/>
      <c r="H32" s="120"/>
      <c r="I32" s="120"/>
      <c r="J32" s="121">
        <f>'Input FD'!J24</f>
        <v>124.684</v>
      </c>
      <c r="K32" s="121">
        <f>'Input FD'!K24</f>
        <v>136.78299999999999</v>
      </c>
      <c r="L32" s="121">
        <f>'Input FD'!L24</f>
        <v>99.774000000000001</v>
      </c>
      <c r="M32" s="121">
        <f>'Input FD'!M24</f>
        <v>90.923000000000002</v>
      </c>
      <c r="N32" s="121">
        <f>'Input FD'!N24</f>
        <v>74.247</v>
      </c>
      <c r="O32" s="113"/>
      <c r="P32" s="113"/>
      <c r="Q32" s="113"/>
      <c r="R32" s="113"/>
      <c r="S32" s="113"/>
      <c r="T32" s="115"/>
      <c r="U32" s="122">
        <f t="shared" si="2"/>
        <v>526.41099999999994</v>
      </c>
    </row>
    <row r="33" spans="1:28" s="117" customFormat="1" ht="17.399999999999999">
      <c r="A33" s="110"/>
      <c r="B33" s="118" t="s">
        <v>236</v>
      </c>
      <c r="C33" s="118"/>
      <c r="D33" s="113"/>
      <c r="E33" s="113" t="str">
        <f>'Input FD'!E25</f>
        <v>Sewerage: FBP large projects non-infrastructure (exc large project capex not subject to CIS)</v>
      </c>
      <c r="F33" s="113"/>
      <c r="G33" s="120"/>
      <c r="H33" s="120"/>
      <c r="I33" s="120"/>
      <c r="J33" s="121">
        <f>'Input FD'!J25</f>
        <v>15.026999999999999</v>
      </c>
      <c r="K33" s="121">
        <f>'Input FD'!K25</f>
        <v>16.484999999999999</v>
      </c>
      <c r="L33" s="121">
        <f>'Input FD'!L25</f>
        <v>12.023999999999999</v>
      </c>
      <c r="M33" s="121">
        <f>'Input FD'!M25</f>
        <v>10.958</v>
      </c>
      <c r="N33" s="121">
        <f>'Input FD'!N25</f>
        <v>8.9480000000000004</v>
      </c>
      <c r="O33" s="113"/>
      <c r="P33" s="113"/>
      <c r="Q33" s="113"/>
      <c r="R33" s="113"/>
      <c r="S33" s="113"/>
      <c r="T33" s="115"/>
      <c r="U33" s="122">
        <f t="shared" si="2"/>
        <v>63.442</v>
      </c>
    </row>
    <row r="34" spans="1:28" s="117" customFormat="1" ht="17.399999999999999">
      <c r="A34" s="110"/>
      <c r="B34" s="118" t="s">
        <v>237</v>
      </c>
      <c r="C34" s="118"/>
      <c r="D34" s="113"/>
      <c r="E34" s="113" t="str">
        <f>'Calc2 FD'!E66</f>
        <v>Sewerage: Company bid capex (gross of adjustments)</v>
      </c>
      <c r="F34" s="113"/>
      <c r="G34" s="113"/>
      <c r="H34" s="113"/>
      <c r="I34" s="113"/>
      <c r="J34" s="121">
        <f>'Calc2 FD'!J66</f>
        <v>698.40912459999993</v>
      </c>
      <c r="K34" s="121">
        <f>'Calc2 FD'!K66</f>
        <v>859.96959281049408</v>
      </c>
      <c r="L34" s="121">
        <f>'Calc2 FD'!L66</f>
        <v>705.77840135646102</v>
      </c>
      <c r="M34" s="121">
        <f>'Calc2 FD'!M66</f>
        <v>589.08432094065495</v>
      </c>
      <c r="N34" s="121">
        <f>'Calc2 FD'!N66</f>
        <v>474.60351798527</v>
      </c>
      <c r="O34" s="113"/>
      <c r="P34" s="113"/>
      <c r="Q34" s="113"/>
      <c r="R34" s="113"/>
      <c r="S34" s="113"/>
      <c r="T34" s="115"/>
      <c r="U34" s="122">
        <f t="shared" si="0"/>
        <v>3327.8449576928801</v>
      </c>
    </row>
    <row r="35" spans="1:28" s="117" customFormat="1" ht="17.399999999999999">
      <c r="A35" s="110"/>
      <c r="B35" s="119"/>
      <c r="C35" s="119"/>
      <c r="D35" s="113"/>
      <c r="E35" s="113"/>
      <c r="F35" s="113"/>
      <c r="G35" s="113"/>
      <c r="H35" s="113"/>
      <c r="I35" s="113"/>
      <c r="J35" s="121"/>
      <c r="K35" s="121"/>
      <c r="L35" s="121"/>
      <c r="M35" s="121"/>
      <c r="N35" s="121"/>
      <c r="O35" s="113"/>
      <c r="P35" s="113"/>
      <c r="Q35" s="113"/>
      <c r="R35" s="113"/>
      <c r="S35" s="113"/>
      <c r="T35" s="115"/>
      <c r="U35" s="122"/>
    </row>
    <row r="36" spans="1:28" s="117" customFormat="1" ht="17.399999999999999">
      <c r="A36" s="110"/>
      <c r="B36" s="111">
        <v>1.2</v>
      </c>
      <c r="C36" s="112"/>
      <c r="D36" s="113"/>
      <c r="E36" s="105" t="s">
        <v>164</v>
      </c>
      <c r="F36" s="105"/>
      <c r="G36" s="113"/>
      <c r="H36" s="113"/>
      <c r="I36" s="113"/>
      <c r="J36" s="121"/>
      <c r="K36" s="121"/>
      <c r="L36" s="121"/>
      <c r="M36" s="121"/>
      <c r="N36" s="121"/>
      <c r="O36" s="113"/>
      <c r="P36" s="113"/>
      <c r="Q36" s="113"/>
      <c r="R36" s="113"/>
      <c r="S36" s="113"/>
      <c r="T36" s="115"/>
      <c r="U36" s="122"/>
    </row>
    <row r="37" spans="1:28" s="117" customFormat="1" ht="17.399999999999999">
      <c r="A37" s="110"/>
      <c r="B37" s="119" t="s">
        <v>130</v>
      </c>
      <c r="C37" s="119"/>
      <c r="D37" s="113"/>
      <c r="E37" s="113" t="str">
        <f>'Input FD'!E30</f>
        <v>Water: IRE (net of grants &amp; contributions)</v>
      </c>
      <c r="F37" s="113"/>
      <c r="G37" s="120"/>
      <c r="H37" s="120"/>
      <c r="I37" s="120"/>
      <c r="J37" s="121">
        <f>'Input FD'!J30</f>
        <v>87.234824625137904</v>
      </c>
      <c r="K37" s="121">
        <f>'Input FD'!K30</f>
        <v>116.24143844602401</v>
      </c>
      <c r="L37" s="121">
        <f>'Input FD'!L30</f>
        <v>100.113592207853</v>
      </c>
      <c r="M37" s="121">
        <f>'Input FD'!M30</f>
        <v>118.78149153639799</v>
      </c>
      <c r="N37" s="121">
        <f>'Input FD'!N30</f>
        <v>113.233114207279</v>
      </c>
      <c r="O37" s="113"/>
      <c r="P37" s="113"/>
      <c r="Q37" s="113"/>
      <c r="R37" s="113"/>
      <c r="S37" s="113"/>
      <c r="T37" s="115"/>
      <c r="U37" s="122">
        <f t="shared" ref="U37:U51" si="3">SUM(J37:N37)</f>
        <v>535.60446102269191</v>
      </c>
      <c r="W37" s="123"/>
      <c r="X37" s="123"/>
      <c r="Y37" s="123"/>
      <c r="Z37" s="123"/>
      <c r="AA37" s="123"/>
      <c r="AB37" s="123"/>
    </row>
    <row r="38" spans="1:28" s="117" customFormat="1" ht="17.399999999999999">
      <c r="A38" s="110"/>
      <c r="B38" s="119" t="s">
        <v>142</v>
      </c>
      <c r="C38" s="119"/>
      <c r="D38" s="113"/>
      <c r="E38" s="113" t="str">
        <f>'Input FD'!E31</f>
        <v>Water: MNI (net of grants &amp; contributions)</v>
      </c>
      <c r="F38" s="113"/>
      <c r="G38" s="120"/>
      <c r="H38" s="120"/>
      <c r="I38" s="120"/>
      <c r="J38" s="121">
        <f>'Input FD'!J31</f>
        <v>99.545006652130994</v>
      </c>
      <c r="K38" s="121">
        <f>'Input FD'!K31</f>
        <v>150.844562776717</v>
      </c>
      <c r="L38" s="121">
        <f>'Input FD'!L31</f>
        <v>134.191808450297</v>
      </c>
      <c r="M38" s="121">
        <f>'Input FD'!M31</f>
        <v>113.33852173593</v>
      </c>
      <c r="N38" s="121">
        <f>'Input FD'!N31</f>
        <v>80.167266017515203</v>
      </c>
      <c r="O38" s="113"/>
      <c r="P38" s="113"/>
      <c r="Q38" s="113"/>
      <c r="R38" s="113"/>
      <c r="S38" s="113"/>
      <c r="T38" s="115"/>
      <c r="U38" s="122">
        <f t="shared" si="3"/>
        <v>578.0871656325902</v>
      </c>
      <c r="W38" s="123"/>
      <c r="X38" s="123"/>
      <c r="Y38" s="123"/>
      <c r="Z38" s="123"/>
      <c r="AA38" s="123"/>
    </row>
    <row r="39" spans="1:28" s="117" customFormat="1" ht="17.399999999999999">
      <c r="A39" s="110"/>
      <c r="B39" s="119" t="s">
        <v>143</v>
      </c>
      <c r="C39" s="119"/>
      <c r="D39" s="113"/>
      <c r="E39" s="113" t="str">
        <f>'Input FD'!E32</f>
        <v>Water: Total enhancements (infra) net of grants &amp; contributions</v>
      </c>
      <c r="F39" s="113"/>
      <c r="G39" s="120"/>
      <c r="H39" s="120"/>
      <c r="I39" s="120"/>
      <c r="J39" s="121">
        <f>'Input FD'!J32</f>
        <v>14.6630093946795</v>
      </c>
      <c r="K39" s="121">
        <f>'Input FD'!K32</f>
        <v>28.3972202217724</v>
      </c>
      <c r="L39" s="121">
        <f>'Input FD'!L32</f>
        <v>35.886578219887397</v>
      </c>
      <c r="M39" s="121">
        <f>'Input FD'!M32</f>
        <v>24.7722318520544</v>
      </c>
      <c r="N39" s="121">
        <f>'Input FD'!N32</f>
        <v>12.2079348953171</v>
      </c>
      <c r="O39" s="113"/>
      <c r="P39" s="113"/>
      <c r="Q39" s="113"/>
      <c r="R39" s="113"/>
      <c r="S39" s="113"/>
      <c r="T39" s="115"/>
      <c r="U39" s="122">
        <f t="shared" si="3"/>
        <v>115.9269745837108</v>
      </c>
      <c r="W39" s="123"/>
      <c r="X39" s="123"/>
      <c r="Y39" s="123"/>
      <c r="Z39" s="123"/>
      <c r="AA39" s="123"/>
    </row>
    <row r="40" spans="1:28" s="117" customFormat="1" ht="17.399999999999999">
      <c r="A40" s="110"/>
      <c r="B40" s="119" t="s">
        <v>144</v>
      </c>
      <c r="C40" s="119"/>
      <c r="D40" s="113"/>
      <c r="E40" s="113" t="str">
        <f>'Input FD'!E33</f>
        <v>Water: Total enhancements (non-infra) net of grants &amp; contributions</v>
      </c>
      <c r="F40" s="113"/>
      <c r="G40" s="120"/>
      <c r="H40" s="120"/>
      <c r="I40" s="120"/>
      <c r="J40" s="121">
        <f>'Input FD'!J33</f>
        <v>36.395993577846603</v>
      </c>
      <c r="K40" s="121">
        <f>'Input FD'!K33</f>
        <v>50.356710850691897</v>
      </c>
      <c r="L40" s="121">
        <f>'Input FD'!L33</f>
        <v>43.3124901487842</v>
      </c>
      <c r="M40" s="121">
        <f>'Input FD'!M33</f>
        <v>37.075628137562802</v>
      </c>
      <c r="N40" s="121">
        <f>'Input FD'!N33</f>
        <v>26.200056726643101</v>
      </c>
      <c r="O40" s="113"/>
      <c r="P40" s="113"/>
      <c r="Q40" s="113"/>
      <c r="R40" s="113"/>
      <c r="S40" s="113"/>
      <c r="T40" s="115"/>
      <c r="U40" s="122">
        <f t="shared" si="3"/>
        <v>193.34087944152861</v>
      </c>
      <c r="W40" s="123"/>
      <c r="X40" s="123"/>
      <c r="Y40" s="123"/>
      <c r="Z40" s="123"/>
      <c r="AA40" s="123"/>
    </row>
    <row r="41" spans="1:28" s="117" customFormat="1" ht="17.399999999999999">
      <c r="A41" s="110"/>
      <c r="B41" s="119" t="s">
        <v>145</v>
      </c>
      <c r="C41" s="119"/>
      <c r="D41" s="113"/>
      <c r="E41" s="113" t="str">
        <f>'Input FD'!E34</f>
        <v>Water: Large projects infrastructure (exc large project capex not subject to CIS)</v>
      </c>
      <c r="F41" s="113"/>
      <c r="G41" s="120"/>
      <c r="H41" s="120"/>
      <c r="I41" s="120"/>
      <c r="J41" s="121">
        <f>'Input FD'!J34</f>
        <v>0</v>
      </c>
      <c r="K41" s="121">
        <f>'Input FD'!K34</f>
        <v>0</v>
      </c>
      <c r="L41" s="121">
        <f>'Input FD'!L34</f>
        <v>0</v>
      </c>
      <c r="M41" s="121">
        <f>'Input FD'!M34</f>
        <v>0</v>
      </c>
      <c r="N41" s="121">
        <f>'Input FD'!N34</f>
        <v>0</v>
      </c>
      <c r="O41" s="113"/>
      <c r="P41" s="113"/>
      <c r="Q41" s="113"/>
      <c r="R41" s="113"/>
      <c r="S41" s="113"/>
      <c r="T41" s="115"/>
      <c r="U41" s="122">
        <f t="shared" si="3"/>
        <v>0</v>
      </c>
      <c r="W41" s="123"/>
      <c r="X41" s="123"/>
      <c r="Y41" s="123"/>
      <c r="Z41" s="123"/>
      <c r="AA41" s="123"/>
    </row>
    <row r="42" spans="1:28" s="117" customFormat="1" ht="17.399999999999999">
      <c r="A42" s="110"/>
      <c r="B42" s="119" t="s">
        <v>146</v>
      </c>
      <c r="C42" s="119"/>
      <c r="D42" s="113"/>
      <c r="E42" s="113" t="str">
        <f>'Input FD'!E35</f>
        <v>Water: Large projects non-infrastructure (exc large project capex not subject to CIS)</v>
      </c>
      <c r="F42" s="113"/>
      <c r="G42" s="120"/>
      <c r="H42" s="120"/>
      <c r="I42" s="120"/>
      <c r="J42" s="121">
        <f>'Input FD'!J35</f>
        <v>0</v>
      </c>
      <c r="K42" s="121">
        <f>'Input FD'!K35</f>
        <v>0</v>
      </c>
      <c r="L42" s="121">
        <f>'Input FD'!L35</f>
        <v>0</v>
      </c>
      <c r="M42" s="121">
        <f>'Input FD'!M35</f>
        <v>0</v>
      </c>
      <c r="N42" s="121">
        <f>'Input FD'!N35</f>
        <v>0</v>
      </c>
      <c r="O42" s="113"/>
      <c r="P42" s="113"/>
      <c r="Q42" s="113"/>
      <c r="R42" s="113"/>
      <c r="S42" s="113"/>
      <c r="T42" s="115"/>
      <c r="U42" s="122">
        <f t="shared" si="3"/>
        <v>0</v>
      </c>
      <c r="W42" s="123"/>
      <c r="X42" s="123"/>
      <c r="Y42" s="123"/>
      <c r="Z42" s="123"/>
      <c r="AA42" s="123"/>
    </row>
    <row r="43" spans="1:28" s="117" customFormat="1" ht="17.399999999999999">
      <c r="A43" s="110"/>
      <c r="B43" s="119" t="s">
        <v>147</v>
      </c>
      <c r="C43" s="119"/>
      <c r="D43" s="113"/>
      <c r="E43" s="113" t="str">
        <f>'Calc2 FD'!E56</f>
        <v>Water: Baseline capex (gross of adjustments)</v>
      </c>
      <c r="F43" s="113"/>
      <c r="G43" s="120"/>
      <c r="H43" s="120"/>
      <c r="I43" s="120"/>
      <c r="J43" s="121">
        <f>'Calc2 FD'!J56</f>
        <v>237.83883424979501</v>
      </c>
      <c r="K43" s="121">
        <f>'Calc2 FD'!K56</f>
        <v>345.8399322952053</v>
      </c>
      <c r="L43" s="121">
        <f>'Calc2 FD'!L56</f>
        <v>313.5044690268216</v>
      </c>
      <c r="M43" s="121">
        <f>'Calc2 FD'!M56</f>
        <v>293.96787326194521</v>
      </c>
      <c r="N43" s="121">
        <f>'Calc2 FD'!N56</f>
        <v>231.80837184675443</v>
      </c>
      <c r="O43" s="113"/>
      <c r="P43" s="113"/>
      <c r="Q43" s="113"/>
      <c r="R43" s="113"/>
      <c r="S43" s="113"/>
      <c r="T43" s="115"/>
      <c r="U43" s="122">
        <f t="shared" si="3"/>
        <v>1422.9594806805217</v>
      </c>
      <c r="W43" s="123"/>
      <c r="X43" s="123"/>
      <c r="Y43" s="123"/>
      <c r="Z43" s="123"/>
      <c r="AA43" s="123"/>
    </row>
    <row r="44" spans="1:28" s="117" customFormat="1" ht="17.399999999999999">
      <c r="A44" s="110"/>
      <c r="B44" s="119"/>
      <c r="C44" s="119"/>
      <c r="D44" s="113"/>
      <c r="E44" s="113"/>
      <c r="F44" s="113"/>
      <c r="G44" s="113"/>
      <c r="H44" s="113"/>
      <c r="I44" s="113"/>
      <c r="J44" s="121"/>
      <c r="K44" s="121"/>
      <c r="L44" s="121"/>
      <c r="M44" s="121"/>
      <c r="N44" s="121"/>
      <c r="O44" s="113"/>
      <c r="P44" s="113"/>
      <c r="Q44" s="113"/>
      <c r="R44" s="113"/>
      <c r="S44" s="113"/>
      <c r="T44" s="115"/>
      <c r="U44" s="122"/>
    </row>
    <row r="45" spans="1:28" s="117" customFormat="1" ht="17.399999999999999">
      <c r="A45" s="110"/>
      <c r="B45" s="119" t="s">
        <v>148</v>
      </c>
      <c r="C45" s="119"/>
      <c r="D45" s="113"/>
      <c r="E45" s="113" t="str">
        <f>'Input FD'!E37</f>
        <v>Sewerage: IRE (net of grants &amp; contributions)</v>
      </c>
      <c r="F45" s="113"/>
      <c r="G45" s="120"/>
      <c r="H45" s="120"/>
      <c r="I45" s="120"/>
      <c r="J45" s="121">
        <f>'Input FD'!J37</f>
        <v>38.865761372709599</v>
      </c>
      <c r="K45" s="121">
        <f>'Input FD'!K37</f>
        <v>35.781513546488704</v>
      </c>
      <c r="L45" s="121">
        <f>'Input FD'!L37</f>
        <v>43.532020009209504</v>
      </c>
      <c r="M45" s="121">
        <f>'Input FD'!M37</f>
        <v>45.321577742291701</v>
      </c>
      <c r="N45" s="121">
        <f>'Input FD'!N37</f>
        <v>44.6772327147224</v>
      </c>
      <c r="O45" s="113"/>
      <c r="P45" s="113"/>
      <c r="Q45" s="113"/>
      <c r="R45" s="113"/>
      <c r="S45" s="113"/>
      <c r="T45" s="115"/>
      <c r="U45" s="122">
        <f t="shared" si="3"/>
        <v>208.17810538542193</v>
      </c>
    </row>
    <row r="46" spans="1:28" s="117" customFormat="1" ht="17.399999999999999">
      <c r="A46" s="110"/>
      <c r="B46" s="119" t="s">
        <v>149</v>
      </c>
      <c r="C46" s="119"/>
      <c r="D46" s="113"/>
      <c r="E46" s="113" t="str">
        <f>'Input FD'!E38</f>
        <v>Sewerage: MNI (net of grants &amp; contributions)</v>
      </c>
      <c r="F46" s="113"/>
      <c r="G46" s="120"/>
      <c r="H46" s="120"/>
      <c r="I46" s="120"/>
      <c r="J46" s="121">
        <f>'Input FD'!J38</f>
        <v>147.81277901553301</v>
      </c>
      <c r="K46" s="121">
        <f>'Input FD'!K38</f>
        <v>221.861562203463</v>
      </c>
      <c r="L46" s="121">
        <f>'Input FD'!L38</f>
        <v>130.194251699132</v>
      </c>
      <c r="M46" s="121">
        <f>'Input FD'!M38</f>
        <v>143.986736667993</v>
      </c>
      <c r="N46" s="121">
        <f>'Input FD'!N38</f>
        <v>110.83618408906401</v>
      </c>
      <c r="O46" s="113"/>
      <c r="P46" s="113"/>
      <c r="Q46" s="113"/>
      <c r="R46" s="113"/>
      <c r="S46" s="113"/>
      <c r="T46" s="115"/>
      <c r="U46" s="122">
        <f t="shared" si="3"/>
        <v>754.69151367518498</v>
      </c>
    </row>
    <row r="47" spans="1:28" s="117" customFormat="1" ht="17.399999999999999">
      <c r="A47" s="110"/>
      <c r="B47" s="119" t="s">
        <v>150</v>
      </c>
      <c r="C47" s="119"/>
      <c r="D47" s="113"/>
      <c r="E47" s="113" t="str">
        <f>'Input FD'!E39</f>
        <v>Sewerage: Total enhancements (infra) net of grants &amp; contributions</v>
      </c>
      <c r="F47" s="113"/>
      <c r="G47" s="120"/>
      <c r="H47" s="120"/>
      <c r="I47" s="120"/>
      <c r="J47" s="121">
        <f>'Input FD'!J39</f>
        <v>56.530581629279297</v>
      </c>
      <c r="K47" s="121">
        <f>'Input FD'!K39</f>
        <v>95.368745344233602</v>
      </c>
      <c r="L47" s="121">
        <f>'Input FD'!L39</f>
        <v>100.421626739213</v>
      </c>
      <c r="M47" s="121">
        <f>'Input FD'!M39</f>
        <v>83.751564155600406</v>
      </c>
      <c r="N47" s="121">
        <f>'Input FD'!N39</f>
        <v>74.585730211598403</v>
      </c>
      <c r="O47" s="113"/>
      <c r="P47" s="113"/>
      <c r="Q47" s="113"/>
      <c r="R47" s="113"/>
      <c r="S47" s="113"/>
      <c r="T47" s="115"/>
      <c r="U47" s="122">
        <f t="shared" si="3"/>
        <v>410.6582480799247</v>
      </c>
    </row>
    <row r="48" spans="1:28" s="117" customFormat="1" ht="17.399999999999999">
      <c r="A48" s="110"/>
      <c r="B48" s="119" t="s">
        <v>214</v>
      </c>
      <c r="C48" s="119"/>
      <c r="D48" s="113"/>
      <c r="E48" s="113" t="str">
        <f>'Input FD'!E40</f>
        <v>Sewerage: Total enhancements (non-infra) net of grants &amp; contributions</v>
      </c>
      <c r="F48" s="113"/>
      <c r="G48" s="120"/>
      <c r="H48" s="120"/>
      <c r="I48" s="120"/>
      <c r="J48" s="121">
        <f>'Input FD'!J40</f>
        <v>271.55400562869698</v>
      </c>
      <c r="K48" s="121">
        <f>'Input FD'!K40</f>
        <v>307.44605639175199</v>
      </c>
      <c r="L48" s="121">
        <f>'Input FD'!L40</f>
        <v>261.40140772536898</v>
      </c>
      <c r="M48" s="121">
        <f>'Input FD'!M40</f>
        <v>163.49351378198699</v>
      </c>
      <c r="N48" s="121">
        <f>'Input FD'!N40</f>
        <v>114.792250671535</v>
      </c>
      <c r="O48" s="113"/>
      <c r="P48" s="113"/>
      <c r="Q48" s="113"/>
      <c r="R48" s="113"/>
      <c r="S48" s="113"/>
      <c r="T48" s="115"/>
      <c r="U48" s="122">
        <f t="shared" si="3"/>
        <v>1118.6872341993399</v>
      </c>
    </row>
    <row r="49" spans="1:27" s="117" customFormat="1" ht="17.399999999999999">
      <c r="A49" s="110"/>
      <c r="B49" s="119" t="s">
        <v>215</v>
      </c>
      <c r="C49" s="119"/>
      <c r="D49" s="113"/>
      <c r="E49" s="113" t="str">
        <f>'Input FD'!E41</f>
        <v>Sewerage: Large projects infrastructure (exc large project capex not subject to CIS)</v>
      </c>
      <c r="F49" s="113"/>
      <c r="G49" s="120"/>
      <c r="H49" s="120"/>
      <c r="I49" s="120"/>
      <c r="J49" s="121">
        <f>'Input FD'!J41</f>
        <v>124.684</v>
      </c>
      <c r="K49" s="121">
        <f>'Input FD'!K41</f>
        <v>136.78299999999999</v>
      </c>
      <c r="L49" s="121">
        <f>'Input FD'!L41</f>
        <v>99.774000000000001</v>
      </c>
      <c r="M49" s="121">
        <f>'Input FD'!M41</f>
        <v>90.923000000000002</v>
      </c>
      <c r="N49" s="121">
        <f>'Input FD'!N41</f>
        <v>74.247</v>
      </c>
      <c r="O49" s="113"/>
      <c r="P49" s="113"/>
      <c r="Q49" s="113"/>
      <c r="R49" s="113"/>
      <c r="S49" s="113"/>
      <c r="T49" s="115"/>
      <c r="U49" s="122">
        <f t="shared" si="3"/>
        <v>526.41099999999994</v>
      </c>
    </row>
    <row r="50" spans="1:27" s="117" customFormat="1" ht="17.399999999999999">
      <c r="A50" s="110"/>
      <c r="B50" s="119" t="s">
        <v>216</v>
      </c>
      <c r="C50" s="119"/>
      <c r="D50" s="113"/>
      <c r="E50" s="113" t="str">
        <f>'Input FD'!E42</f>
        <v>Sewerage: Large projects non-infrastructure (exc large project capex not subject to CIS)</v>
      </c>
      <c r="F50" s="113"/>
      <c r="G50" s="120"/>
      <c r="H50" s="120"/>
      <c r="I50" s="120"/>
      <c r="J50" s="121">
        <f>'Input FD'!J42</f>
        <v>15.026999999999999</v>
      </c>
      <c r="K50" s="121">
        <f>'Input FD'!K42</f>
        <v>16.484999999999999</v>
      </c>
      <c r="L50" s="121">
        <f>'Input FD'!L42</f>
        <v>12.023999999999999</v>
      </c>
      <c r="M50" s="121">
        <f>'Input FD'!M42</f>
        <v>10.958</v>
      </c>
      <c r="N50" s="121">
        <f>'Input FD'!N42</f>
        <v>8.9480000000000004</v>
      </c>
      <c r="O50" s="113"/>
      <c r="P50" s="113"/>
      <c r="Q50" s="113"/>
      <c r="R50" s="113"/>
      <c r="S50" s="113"/>
      <c r="T50" s="115"/>
      <c r="U50" s="122">
        <f t="shared" si="3"/>
        <v>63.442</v>
      </c>
    </row>
    <row r="51" spans="1:27" s="117" customFormat="1" ht="17.399999999999999">
      <c r="A51" s="110"/>
      <c r="B51" s="119" t="s">
        <v>217</v>
      </c>
      <c r="C51" s="118"/>
      <c r="D51" s="113"/>
      <c r="E51" s="113" t="str">
        <f>'Calc2 FD'!E67</f>
        <v>Sewerage: Baseline capex (gross of adjustments)</v>
      </c>
      <c r="F51" s="113"/>
      <c r="G51" s="120"/>
      <c r="H51" s="120"/>
      <c r="I51" s="120"/>
      <c r="J51" s="121">
        <f>'Calc2 FD'!J67</f>
        <v>654.4741276462189</v>
      </c>
      <c r="K51" s="121">
        <f>'Calc2 FD'!K67</f>
        <v>813.72587748593742</v>
      </c>
      <c r="L51" s="121">
        <f>'Calc2 FD'!L67</f>
        <v>647.34730617292348</v>
      </c>
      <c r="M51" s="121">
        <f>'Calc2 FD'!M67</f>
        <v>538.43439234787206</v>
      </c>
      <c r="N51" s="121">
        <f>'Calc2 FD'!N67</f>
        <v>428.08639768691978</v>
      </c>
      <c r="O51" s="113"/>
      <c r="P51" s="113"/>
      <c r="Q51" s="113"/>
      <c r="R51" s="113"/>
      <c r="S51" s="113"/>
      <c r="T51" s="115"/>
      <c r="U51" s="122">
        <f t="shared" si="3"/>
        <v>3082.0681013398716</v>
      </c>
    </row>
    <row r="52" spans="1:27" s="117" customFormat="1" ht="17.399999999999999">
      <c r="A52" s="110"/>
      <c r="B52" s="118"/>
      <c r="C52" s="118"/>
      <c r="D52" s="113"/>
      <c r="E52" s="113"/>
      <c r="F52" s="113"/>
      <c r="G52" s="113"/>
      <c r="H52" s="113"/>
      <c r="I52" s="113"/>
      <c r="J52" s="121"/>
      <c r="K52" s="121"/>
      <c r="L52" s="121"/>
      <c r="M52" s="121"/>
      <c r="N52" s="121"/>
      <c r="O52" s="113"/>
      <c r="P52" s="113"/>
      <c r="Q52" s="113"/>
      <c r="R52" s="113"/>
      <c r="S52" s="113"/>
      <c r="T52" s="115"/>
      <c r="U52" s="122"/>
    </row>
    <row r="53" spans="1:27" s="117" customFormat="1" ht="17.399999999999999">
      <c r="A53" s="110"/>
      <c r="B53" s="111">
        <v>1.3</v>
      </c>
      <c r="C53" s="112"/>
      <c r="D53" s="113"/>
      <c r="E53" s="105" t="s">
        <v>51</v>
      </c>
      <c r="F53" s="105"/>
      <c r="G53" s="113"/>
      <c r="H53" s="113"/>
      <c r="I53" s="113"/>
      <c r="J53" s="121"/>
      <c r="K53" s="121"/>
      <c r="L53" s="121"/>
      <c r="M53" s="121"/>
      <c r="N53" s="121"/>
      <c r="O53" s="113"/>
      <c r="P53" s="113"/>
      <c r="Q53" s="113"/>
      <c r="R53" s="113"/>
      <c r="S53" s="113"/>
      <c r="T53" s="115"/>
      <c r="U53" s="122"/>
    </row>
    <row r="54" spans="1:27" s="117" customFormat="1" ht="17.399999999999999">
      <c r="A54" s="110"/>
      <c r="B54" s="119" t="s">
        <v>151</v>
      </c>
      <c r="C54" s="119"/>
      <c r="D54" s="113"/>
      <c r="E54" s="113" t="str">
        <f>'Calc2 FD'!E39</f>
        <v>Water: IRE</v>
      </c>
      <c r="F54" s="113"/>
      <c r="G54" s="120"/>
      <c r="H54" s="120"/>
      <c r="I54" s="120"/>
      <c r="J54" s="121">
        <f>'Calc2 FD'!J39</f>
        <v>92.744508388519577</v>
      </c>
      <c r="K54" s="121">
        <f>'Calc2 FD'!K39</f>
        <v>123.58315740734844</v>
      </c>
      <c r="L54" s="121">
        <f>'Calc2 FD'!L39</f>
        <v>106.43668892813312</v>
      </c>
      <c r="M54" s="121">
        <f>'Calc2 FD'!M39</f>
        <v>126.28363827791573</v>
      </c>
      <c r="N54" s="121">
        <f>'Calc2 FD'!N39</f>
        <v>120.38482974641023</v>
      </c>
      <c r="O54" s="113"/>
      <c r="P54" s="113"/>
      <c r="Q54" s="113"/>
      <c r="R54" s="113"/>
      <c r="S54" s="113"/>
      <c r="T54" s="115"/>
      <c r="U54" s="122">
        <f>SUM(J54:N54)</f>
        <v>569.43282274832711</v>
      </c>
      <c r="W54" s="123"/>
      <c r="X54" s="123"/>
      <c r="Y54" s="123"/>
      <c r="Z54" s="123"/>
      <c r="AA54" s="123"/>
    </row>
    <row r="55" spans="1:27" s="117" customFormat="1" ht="17.399999999999999">
      <c r="A55" s="110"/>
      <c r="B55" s="119" t="s">
        <v>152</v>
      </c>
      <c r="C55" s="119"/>
      <c r="D55" s="113"/>
      <c r="E55" s="113" t="str">
        <f>'Calc2 FD'!E40</f>
        <v>Water: MNI</v>
      </c>
      <c r="F55" s="113"/>
      <c r="G55" s="120"/>
      <c r="H55" s="120"/>
      <c r="I55" s="120"/>
      <c r="J55" s="121">
        <f>'Calc2 FD'!J40</f>
        <v>105.83219195036244</v>
      </c>
      <c r="K55" s="121">
        <f>'Calc2 FD'!K40</f>
        <v>160.37178819267535</v>
      </c>
      <c r="L55" s="121">
        <f>'Calc2 FD'!L40</f>
        <v>142.66725883808135</v>
      </c>
      <c r="M55" s="121">
        <f>'Calc2 FD'!M40</f>
        <v>120.49689473269518</v>
      </c>
      <c r="N55" s="121">
        <f>'Calc2 FD'!N40</f>
        <v>85.230568268989231</v>
      </c>
      <c r="O55" s="113"/>
      <c r="P55" s="113"/>
      <c r="Q55" s="113"/>
      <c r="R55" s="113"/>
      <c r="S55" s="113"/>
      <c r="T55" s="115"/>
      <c r="U55" s="122">
        <f>SUM(J55:N55)</f>
        <v>614.59870198280362</v>
      </c>
      <c r="W55" s="123"/>
      <c r="X55" s="123"/>
      <c r="Y55" s="123"/>
      <c r="Z55" s="123"/>
      <c r="AA55" s="123"/>
    </row>
    <row r="56" spans="1:27" s="117" customFormat="1" ht="17.399999999999999">
      <c r="A56" s="110"/>
      <c r="B56" s="119" t="s">
        <v>153</v>
      </c>
      <c r="C56" s="119"/>
      <c r="D56" s="113"/>
      <c r="E56" s="113" t="str">
        <f>'Calc2 FD'!E41</f>
        <v>Water: Infrastructure enhancements</v>
      </c>
      <c r="F56" s="113"/>
      <c r="G56" s="120"/>
      <c r="H56" s="120"/>
      <c r="I56" s="120"/>
      <c r="J56" s="121">
        <f>'Calc2 FD'!J41</f>
        <v>15.589113678505825</v>
      </c>
      <c r="K56" s="121">
        <f>'Calc2 FD'!K41</f>
        <v>30.190766593343678</v>
      </c>
      <c r="L56" s="121">
        <f>'Calc2 FD'!L41</f>
        <v>38.153146625235721</v>
      </c>
      <c r="M56" s="121">
        <f>'Calc2 FD'!M41</f>
        <v>26.33682677391614</v>
      </c>
      <c r="N56" s="121">
        <f>'Calc2 FD'!N41</f>
        <v>12.978978580751031</v>
      </c>
      <c r="O56" s="113"/>
      <c r="P56" s="113"/>
      <c r="Q56" s="113"/>
      <c r="R56" s="113"/>
      <c r="S56" s="113"/>
      <c r="T56" s="115"/>
      <c r="U56" s="122">
        <f>SUM(J56:N56)</f>
        <v>123.2488322517524</v>
      </c>
      <c r="W56" s="123"/>
      <c r="X56" s="123"/>
      <c r="Y56" s="123"/>
      <c r="Z56" s="123"/>
      <c r="AA56" s="123"/>
    </row>
    <row r="57" spans="1:27" s="117" customFormat="1" ht="17.399999999999999">
      <c r="A57" s="110"/>
      <c r="B57" s="119" t="s">
        <v>154</v>
      </c>
      <c r="C57" s="119"/>
      <c r="D57" s="113"/>
      <c r="E57" s="113" t="str">
        <f>'Calc2 FD'!E42</f>
        <v>Water: Non-infrastructure enhancements</v>
      </c>
      <c r="F57" s="113"/>
      <c r="G57" s="120"/>
      <c r="H57" s="120"/>
      <c r="I57" s="120"/>
      <c r="J57" s="121">
        <f>'Calc2 FD'!J42</f>
        <v>38.694736261513548</v>
      </c>
      <c r="K57" s="121">
        <f>'Calc2 FD'!K42</f>
        <v>53.537201593277878</v>
      </c>
      <c r="L57" s="121">
        <f>'Calc2 FD'!L42</f>
        <v>46.048073383459695</v>
      </c>
      <c r="M57" s="121">
        <f>'Calc2 FD'!M42</f>
        <v>39.417296012112999</v>
      </c>
      <c r="N57" s="121">
        <f>'Calc2 FD'!N42</f>
        <v>27.854831958516112</v>
      </c>
      <c r="O57" s="113"/>
      <c r="P57" s="113"/>
      <c r="Q57" s="113"/>
      <c r="R57" s="113"/>
      <c r="S57" s="113"/>
      <c r="T57" s="115"/>
      <c r="U57" s="122">
        <f>SUM(J57:N57)</f>
        <v>205.55213920888025</v>
      </c>
      <c r="W57" s="123"/>
      <c r="X57" s="123"/>
      <c r="Y57" s="123"/>
      <c r="Z57" s="123"/>
      <c r="AA57" s="123"/>
    </row>
    <row r="58" spans="1:27" s="117" customFormat="1" ht="17.399999999999999">
      <c r="A58" s="110"/>
      <c r="B58" s="119" t="s">
        <v>155</v>
      </c>
      <c r="C58" s="119"/>
      <c r="D58" s="113"/>
      <c r="E58" s="113" t="str">
        <f>'Calc2 FD'!E43</f>
        <v>Water: Large projects infrastructure</v>
      </c>
      <c r="F58" s="113"/>
      <c r="G58" s="120"/>
      <c r="H58" s="120"/>
      <c r="I58" s="120"/>
      <c r="J58" s="121">
        <f>'Calc2 FD'!J43</f>
        <v>0</v>
      </c>
      <c r="K58" s="121">
        <f>'Calc2 FD'!K43</f>
        <v>0</v>
      </c>
      <c r="L58" s="121">
        <f>'Calc2 FD'!L43</f>
        <v>0</v>
      </c>
      <c r="M58" s="121">
        <f>'Calc2 FD'!M43</f>
        <v>0</v>
      </c>
      <c r="N58" s="121">
        <f>'Calc2 FD'!N43</f>
        <v>0</v>
      </c>
      <c r="O58" s="113"/>
      <c r="P58" s="113"/>
      <c r="Q58" s="113"/>
      <c r="R58" s="113"/>
      <c r="S58" s="113"/>
      <c r="T58" s="115"/>
      <c r="U58" s="122">
        <f t="shared" ref="U58:U59" si="4">SUM(J58:N58)</f>
        <v>0</v>
      </c>
      <c r="W58" s="123"/>
      <c r="X58" s="123"/>
      <c r="Y58" s="123"/>
      <c r="Z58" s="123"/>
      <c r="AA58" s="123"/>
    </row>
    <row r="59" spans="1:27" s="117" customFormat="1" ht="17.399999999999999">
      <c r="A59" s="110"/>
      <c r="B59" s="119" t="s">
        <v>156</v>
      </c>
      <c r="C59" s="119"/>
      <c r="D59" s="113"/>
      <c r="E59" s="113" t="str">
        <f>'Calc2 FD'!E44</f>
        <v>Water: Large projects non-infrastructure</v>
      </c>
      <c r="F59" s="113"/>
      <c r="G59" s="120"/>
      <c r="H59" s="120"/>
      <c r="I59" s="120"/>
      <c r="J59" s="121">
        <f>'Calc2 FD'!J44</f>
        <v>0</v>
      </c>
      <c r="K59" s="121">
        <f>'Calc2 FD'!K44</f>
        <v>0</v>
      </c>
      <c r="L59" s="121">
        <f>'Calc2 FD'!L44</f>
        <v>0</v>
      </c>
      <c r="M59" s="121">
        <f>'Calc2 FD'!M44</f>
        <v>0</v>
      </c>
      <c r="N59" s="121">
        <f>'Calc2 FD'!N44</f>
        <v>0</v>
      </c>
      <c r="O59" s="113"/>
      <c r="P59" s="113"/>
      <c r="Q59" s="113"/>
      <c r="R59" s="113"/>
      <c r="S59" s="113"/>
      <c r="T59" s="115"/>
      <c r="U59" s="122">
        <f t="shared" si="4"/>
        <v>0</v>
      </c>
      <c r="W59" s="123"/>
      <c r="X59" s="123"/>
      <c r="Y59" s="123"/>
      <c r="Z59" s="123"/>
      <c r="AA59" s="123"/>
    </row>
    <row r="60" spans="1:27" s="117" customFormat="1" ht="17.399999999999999">
      <c r="A60" s="110"/>
      <c r="B60" s="119" t="s">
        <v>157</v>
      </c>
      <c r="C60" s="119"/>
      <c r="D60" s="113"/>
      <c r="E60" s="113" t="str">
        <f>'Calc2 FD'!E57</f>
        <v>Water: Allowance capex (gross of adjustments)</v>
      </c>
      <c r="F60" s="113"/>
      <c r="G60" s="120"/>
      <c r="H60" s="120"/>
      <c r="I60" s="120"/>
      <c r="J60" s="121">
        <f>'Calc2 FD'!J57</f>
        <v>252.8605502789014</v>
      </c>
      <c r="K60" s="121">
        <f>'Calc2 FD'!K57</f>
        <v>367.68291378664532</v>
      </c>
      <c r="L60" s="121">
        <f>'Calc2 FD'!L57</f>
        <v>333.30516777490993</v>
      </c>
      <c r="M60" s="121">
        <f>'Calc2 FD'!M57</f>
        <v>312.53465579664004</v>
      </c>
      <c r="N60" s="121">
        <f>'Calc2 FD'!N57</f>
        <v>246.44920855466663</v>
      </c>
      <c r="O60" s="113"/>
      <c r="P60" s="113"/>
      <c r="Q60" s="113"/>
      <c r="R60" s="113"/>
      <c r="S60" s="113"/>
      <c r="T60" s="115"/>
      <c r="U60" s="122">
        <f>SUM(J60:N60)</f>
        <v>1512.8324961917633</v>
      </c>
      <c r="W60" s="123"/>
      <c r="X60" s="123"/>
      <c r="Y60" s="123"/>
      <c r="Z60" s="123"/>
      <c r="AA60" s="123"/>
    </row>
    <row r="61" spans="1:27" s="117" customFormat="1" ht="17.399999999999999">
      <c r="A61" s="110"/>
      <c r="B61" s="119"/>
      <c r="C61" s="119"/>
      <c r="D61" s="113"/>
      <c r="E61" s="113"/>
      <c r="F61" s="113"/>
      <c r="G61" s="120"/>
      <c r="H61" s="120"/>
      <c r="I61" s="120"/>
      <c r="J61" s="121"/>
      <c r="K61" s="121"/>
      <c r="L61" s="121"/>
      <c r="M61" s="121"/>
      <c r="N61" s="121"/>
      <c r="O61" s="113"/>
      <c r="P61" s="113"/>
      <c r="Q61" s="113"/>
      <c r="R61" s="113"/>
      <c r="S61" s="113"/>
      <c r="T61" s="115"/>
      <c r="U61" s="122"/>
    </row>
    <row r="62" spans="1:27" s="117" customFormat="1" ht="17.399999999999999">
      <c r="A62" s="110"/>
      <c r="B62" s="119" t="s">
        <v>158</v>
      </c>
      <c r="C62" s="119"/>
      <c r="D62" s="113"/>
      <c r="E62" s="113" t="str">
        <f>'Calc2 FD'!E46</f>
        <v>Sewerage: IRE</v>
      </c>
      <c r="F62" s="113"/>
      <c r="G62" s="120"/>
      <c r="H62" s="120"/>
      <c r="I62" s="120"/>
      <c r="J62" s="121">
        <f>'Calc2 FD'!J46</f>
        <v>39.640590508201292</v>
      </c>
      <c r="K62" s="121">
        <f>'Calc2 FD'!K46</f>
        <v>36.494855012823066</v>
      </c>
      <c r="L62" s="121">
        <f>'Calc2 FD'!L46</f>
        <v>44.399875834970501</v>
      </c>
      <c r="M62" s="121">
        <f>'Calc2 FD'!M46</f>
        <v>46.225110251649333</v>
      </c>
      <c r="N62" s="121">
        <f>'Calc2 FD'!N46</f>
        <v>45.567919539780114</v>
      </c>
      <c r="O62" s="113"/>
      <c r="P62" s="113"/>
      <c r="Q62" s="113"/>
      <c r="R62" s="113"/>
      <c r="S62" s="113"/>
      <c r="T62" s="115"/>
      <c r="U62" s="122">
        <f>SUM(J62:N62)</f>
        <v>212.32835114742431</v>
      </c>
    </row>
    <row r="63" spans="1:27" s="117" customFormat="1" ht="17.399999999999999">
      <c r="A63" s="110"/>
      <c r="B63" s="119" t="s">
        <v>159</v>
      </c>
      <c r="C63" s="119"/>
      <c r="D63" s="113"/>
      <c r="E63" s="113" t="str">
        <f>'Calc2 FD'!E47</f>
        <v>Sewerage: MNI</v>
      </c>
      <c r="F63" s="113"/>
      <c r="G63" s="120"/>
      <c r="H63" s="120"/>
      <c r="I63" s="120"/>
      <c r="J63" s="121">
        <f>'Calc2 FD'!J47</f>
        <v>150.75957958585835</v>
      </c>
      <c r="K63" s="121">
        <f>'Calc2 FD'!K47</f>
        <v>226.284601824183</v>
      </c>
      <c r="L63" s="121">
        <f>'Calc2 FD'!L47</f>
        <v>132.78980871196487</v>
      </c>
      <c r="M63" s="121">
        <f>'Calc2 FD'!M47</f>
        <v>146.85726112845211</v>
      </c>
      <c r="N63" s="121">
        <f>'Calc2 FD'!N47</f>
        <v>113.04581801017456</v>
      </c>
      <c r="O63" s="113"/>
      <c r="P63" s="113"/>
      <c r="Q63" s="113"/>
      <c r="R63" s="113"/>
      <c r="S63" s="113"/>
      <c r="T63" s="115"/>
      <c r="U63" s="122">
        <f>SUM(J63:N63)</f>
        <v>769.73706926063289</v>
      </c>
    </row>
    <row r="64" spans="1:27" s="117" customFormat="1" ht="17.399999999999999">
      <c r="A64" s="110"/>
      <c r="B64" s="119" t="s">
        <v>160</v>
      </c>
      <c r="C64" s="119"/>
      <c r="D64" s="113"/>
      <c r="E64" s="113" t="str">
        <f>'Calc2 FD'!E48</f>
        <v>Sewerage: Infrastructure enhancements</v>
      </c>
      <c r="F64" s="113"/>
      <c r="G64" s="120"/>
      <c r="H64" s="120"/>
      <c r="I64" s="120"/>
      <c r="J64" s="121">
        <f>'Calc2 FD'!J48</f>
        <v>57.657577219887052</v>
      </c>
      <c r="K64" s="121">
        <f>'Calc2 FD'!K48</f>
        <v>97.270019882493031</v>
      </c>
      <c r="L64" s="121">
        <f>'Calc2 FD'!L48</f>
        <v>102.4236356921535</v>
      </c>
      <c r="M64" s="121">
        <f>'Calc2 FD'!M48</f>
        <v>85.421238176095116</v>
      </c>
      <c r="N64" s="121">
        <f>'Calc2 FD'!N48</f>
        <v>76.07267385604861</v>
      </c>
      <c r="O64" s="113"/>
      <c r="P64" s="113"/>
      <c r="Q64" s="113"/>
      <c r="R64" s="113"/>
      <c r="S64" s="113"/>
      <c r="T64" s="115"/>
      <c r="U64" s="122">
        <f>SUM(J64:N64)</f>
        <v>418.84514482667731</v>
      </c>
    </row>
    <row r="65" spans="1:21" s="117" customFormat="1" ht="17.399999999999999">
      <c r="A65" s="110"/>
      <c r="B65" s="119" t="s">
        <v>238</v>
      </c>
      <c r="C65" s="119"/>
      <c r="D65" s="113"/>
      <c r="E65" s="113" t="str">
        <f>'Calc2 FD'!E49</f>
        <v>Sewerage: Non-infrastructure enhancements</v>
      </c>
      <c r="F65" s="113"/>
      <c r="G65" s="120"/>
      <c r="H65" s="120"/>
      <c r="I65" s="120"/>
      <c r="J65" s="121">
        <f>'Calc2 FD'!J49</f>
        <v>276.96771548511396</v>
      </c>
      <c r="K65" s="121">
        <f>'Calc2 FD'!K49</f>
        <v>313.57531138819775</v>
      </c>
      <c r="L65" s="121">
        <f>'Calc2 FD'!L49</f>
        <v>266.61271504601694</v>
      </c>
      <c r="M65" s="121">
        <f>'Calc2 FD'!M49</f>
        <v>166.75292601187698</v>
      </c>
      <c r="N65" s="121">
        <f>'Calc2 FD'!N49</f>
        <v>117.08075287006456</v>
      </c>
      <c r="O65" s="113"/>
      <c r="P65" s="113"/>
      <c r="Q65" s="113"/>
      <c r="R65" s="113"/>
      <c r="S65" s="113"/>
      <c r="T65" s="115"/>
      <c r="U65" s="122">
        <f>SUM(J65:N65)</f>
        <v>1140.9894208012702</v>
      </c>
    </row>
    <row r="66" spans="1:21" s="117" customFormat="1" ht="17.399999999999999">
      <c r="A66" s="110"/>
      <c r="B66" s="119" t="s">
        <v>239</v>
      </c>
      <c r="C66" s="119"/>
      <c r="D66" s="113"/>
      <c r="E66" s="113" t="str">
        <f>'Calc2 FD'!E50</f>
        <v>Sewerage: Large projects infrastructure</v>
      </c>
      <c r="F66" s="113"/>
      <c r="G66" s="120"/>
      <c r="H66" s="120"/>
      <c r="I66" s="120"/>
      <c r="J66" s="121">
        <f>'Calc2 FD'!J50</f>
        <v>127.16970444827261</v>
      </c>
      <c r="K66" s="121">
        <f>'Calc2 FD'!K50</f>
        <v>139.50991052218464</v>
      </c>
      <c r="L66" s="121">
        <f>'Calc2 FD'!L50</f>
        <v>101.76309784432605</v>
      </c>
      <c r="M66" s="121">
        <f>'Calc2 FD'!M50</f>
        <v>92.735644008455694</v>
      </c>
      <c r="N66" s="121">
        <f>'Calc2 FD'!N50</f>
        <v>75.727190707475671</v>
      </c>
      <c r="O66" s="113"/>
      <c r="P66" s="113"/>
      <c r="Q66" s="113"/>
      <c r="R66" s="113"/>
      <c r="S66" s="113"/>
      <c r="T66" s="115"/>
      <c r="U66" s="122">
        <f t="shared" ref="U66:U67" si="5">SUM(J66:N66)</f>
        <v>536.90554753071467</v>
      </c>
    </row>
    <row r="67" spans="1:21" s="117" customFormat="1" ht="17.399999999999999">
      <c r="A67" s="110"/>
      <c r="B67" s="119" t="s">
        <v>240</v>
      </c>
      <c r="C67" s="119"/>
      <c r="D67" s="113"/>
      <c r="E67" s="113" t="str">
        <f>'Calc2 FD'!E51</f>
        <v>Sewerage: Large projects non-infrastructure</v>
      </c>
      <c r="F67" s="113"/>
      <c r="G67" s="120"/>
      <c r="H67" s="120"/>
      <c r="I67" s="120"/>
      <c r="J67" s="121">
        <f>'Calc2 FD'!J51</f>
        <v>15.32657878111219</v>
      </c>
      <c r="K67" s="121">
        <f>'Calc2 FD'!K51</f>
        <v>16.813645518508981</v>
      </c>
      <c r="L67" s="121">
        <f>'Calc2 FD'!L51</f>
        <v>12.263710871371064</v>
      </c>
      <c r="M67" s="121">
        <f>'Calc2 FD'!M51</f>
        <v>11.176459059255167</v>
      </c>
      <c r="N67" s="121">
        <f>'Calc2 FD'!N51</f>
        <v>9.1263876311567103</v>
      </c>
      <c r="O67" s="113"/>
      <c r="P67" s="113"/>
      <c r="Q67" s="113"/>
      <c r="R67" s="113"/>
      <c r="S67" s="113"/>
      <c r="T67" s="115"/>
      <c r="U67" s="122">
        <f t="shared" si="5"/>
        <v>64.706781861404096</v>
      </c>
    </row>
    <row r="68" spans="1:21" s="117" customFormat="1" ht="17.399999999999999">
      <c r="A68" s="110"/>
      <c r="B68" s="119" t="s">
        <v>241</v>
      </c>
      <c r="C68" s="118"/>
      <c r="D68" s="113"/>
      <c r="E68" s="113" t="str">
        <f>'Calc2 FD'!E68</f>
        <v>Sewerage: Allowance capex (gross of adjustments)</v>
      </c>
      <c r="F68" s="113"/>
      <c r="G68" s="120"/>
      <c r="H68" s="120"/>
      <c r="I68" s="120"/>
      <c r="J68" s="121">
        <f>'Calc2 FD'!J68</f>
        <v>667.52174602844536</v>
      </c>
      <c r="K68" s="121">
        <f>'Calc2 FD'!K68</f>
        <v>829.94834414839056</v>
      </c>
      <c r="L68" s="121">
        <f>'Calc2 FD'!L68</f>
        <v>660.25284400080284</v>
      </c>
      <c r="M68" s="121">
        <f>'Calc2 FD'!M68</f>
        <v>549.16863863578442</v>
      </c>
      <c r="N68" s="121">
        <f>'Calc2 FD'!N68</f>
        <v>436.62074261470025</v>
      </c>
      <c r="O68" s="113"/>
      <c r="P68" s="113"/>
      <c r="Q68" s="113"/>
      <c r="R68" s="113"/>
      <c r="S68" s="113"/>
      <c r="T68" s="115"/>
      <c r="U68" s="122">
        <f>SUM(J68:N68)</f>
        <v>3143.5123154281237</v>
      </c>
    </row>
    <row r="69" spans="1:21" s="117" customFormat="1" ht="17.399999999999999">
      <c r="A69" s="110"/>
      <c r="B69" s="118"/>
      <c r="C69" s="118"/>
      <c r="D69" s="113"/>
      <c r="E69" s="113"/>
      <c r="F69" s="113"/>
      <c r="G69" s="120"/>
      <c r="H69" s="120"/>
      <c r="I69" s="120"/>
      <c r="J69" s="121"/>
      <c r="K69" s="121"/>
      <c r="L69" s="121"/>
      <c r="M69" s="121"/>
      <c r="N69" s="121"/>
      <c r="O69" s="113"/>
      <c r="P69" s="113"/>
      <c r="Q69" s="113"/>
      <c r="R69" s="113"/>
      <c r="S69" s="113"/>
      <c r="T69" s="115"/>
      <c r="U69" s="122"/>
    </row>
    <row r="70" spans="1:21" s="117" customFormat="1" ht="17.399999999999999">
      <c r="A70" s="110"/>
      <c r="B70" s="112">
        <v>2</v>
      </c>
      <c r="C70" s="112"/>
      <c r="D70" s="113"/>
      <c r="E70" s="105" t="s">
        <v>161</v>
      </c>
      <c r="F70" s="105"/>
      <c r="G70" s="113"/>
      <c r="H70" s="113"/>
      <c r="I70" s="113"/>
      <c r="J70" s="121"/>
      <c r="K70" s="121"/>
      <c r="L70" s="121"/>
      <c r="M70" s="121"/>
      <c r="N70" s="121"/>
      <c r="O70" s="113"/>
      <c r="P70" s="113"/>
      <c r="Q70" s="113"/>
      <c r="R70" s="113"/>
      <c r="S70" s="113"/>
      <c r="T70" s="115"/>
      <c r="U70" s="122"/>
    </row>
    <row r="71" spans="1:21" s="117" customFormat="1" ht="17.399999999999999">
      <c r="A71" s="110"/>
      <c r="B71" s="113"/>
      <c r="C71" s="113"/>
      <c r="D71" s="113"/>
      <c r="E71" s="113"/>
      <c r="F71" s="113"/>
      <c r="G71" s="113"/>
      <c r="H71" s="113"/>
      <c r="I71" s="113"/>
      <c r="J71" s="121"/>
      <c r="K71" s="121"/>
      <c r="L71" s="121"/>
      <c r="M71" s="121"/>
      <c r="N71" s="121"/>
      <c r="O71" s="113"/>
      <c r="P71" s="113"/>
      <c r="Q71" s="113"/>
      <c r="R71" s="113"/>
      <c r="S71" s="113"/>
      <c r="T71" s="115"/>
      <c r="U71" s="122"/>
    </row>
    <row r="72" spans="1:21" s="117" customFormat="1" ht="17.399999999999999">
      <c r="A72" s="110"/>
      <c r="B72" s="119">
        <v>2.1</v>
      </c>
      <c r="C72" s="119"/>
      <c r="D72" s="113"/>
      <c r="E72" s="113" t="str">
        <f>'Calc2 FD'!E94</f>
        <v>Water: CIS bid ratio</v>
      </c>
      <c r="F72" s="113"/>
      <c r="G72" s="124">
        <f>'Calc2 FD'!G94</f>
        <v>125.26368929866103</v>
      </c>
      <c r="H72" s="120"/>
      <c r="I72" s="120"/>
      <c r="J72" s="121"/>
      <c r="K72" s="121"/>
      <c r="L72" s="121"/>
      <c r="M72" s="121"/>
      <c r="N72" s="121"/>
      <c r="O72" s="113"/>
      <c r="P72" s="113"/>
      <c r="Q72" s="113"/>
      <c r="R72" s="113"/>
      <c r="S72" s="113"/>
      <c r="T72" s="115"/>
      <c r="U72" s="122"/>
    </row>
    <row r="73" spans="1:21" s="117" customFormat="1" ht="17.399999999999999">
      <c r="A73" s="110"/>
      <c r="B73" s="119">
        <v>2.2000000000000002</v>
      </c>
      <c r="C73" s="119"/>
      <c r="D73" s="113"/>
      <c r="E73" s="113" t="str">
        <f>'Calc2 FD'!E127</f>
        <v>Water: Additional income (applied at FD)</v>
      </c>
      <c r="F73" s="113"/>
      <c r="G73" s="124"/>
      <c r="H73" s="120"/>
      <c r="I73" s="120"/>
      <c r="J73" s="121">
        <f>'Calc2 FD'!J127</f>
        <v>-6.4040346411921103</v>
      </c>
      <c r="K73" s="121">
        <f>'Calc2 FD'!K127</f>
        <v>-9.3120659362126101</v>
      </c>
      <c r="L73" s="121">
        <f>'Calc2 FD'!L127</f>
        <v>-8.4414031297668295</v>
      </c>
      <c r="M73" s="121">
        <f>'Calc2 FD'!M127</f>
        <v>-7.9153618865700501</v>
      </c>
      <c r="N73" s="121">
        <f>'Calc2 FD'!N127</f>
        <v>-6.2416587606791998</v>
      </c>
      <c r="O73" s="113"/>
      <c r="P73" s="113"/>
      <c r="Q73" s="113"/>
      <c r="R73" s="113"/>
      <c r="S73" s="113"/>
      <c r="T73" s="115"/>
      <c r="U73" s="122">
        <f>SUM(J73:N73)</f>
        <v>-38.314524354420797</v>
      </c>
    </row>
    <row r="74" spans="1:21" s="117" customFormat="1" ht="17.399999999999999">
      <c r="A74" s="110"/>
      <c r="B74" s="119"/>
      <c r="C74" s="119"/>
      <c r="D74" s="113"/>
      <c r="E74" s="113"/>
      <c r="F74" s="113"/>
      <c r="G74" s="124"/>
      <c r="H74" s="113"/>
      <c r="I74" s="113"/>
      <c r="J74" s="121"/>
      <c r="K74" s="121"/>
      <c r="L74" s="121"/>
      <c r="M74" s="121"/>
      <c r="N74" s="121"/>
      <c r="O74" s="113"/>
      <c r="P74" s="113"/>
      <c r="Q74" s="113"/>
      <c r="R74" s="113"/>
      <c r="S74" s="113"/>
      <c r="T74" s="115"/>
      <c r="U74" s="122"/>
    </row>
    <row r="75" spans="1:21" s="117" customFormat="1" ht="17.399999999999999">
      <c r="A75" s="110"/>
      <c r="B75" s="119">
        <v>2.2999999999999998</v>
      </c>
      <c r="C75" s="119"/>
      <c r="D75" s="113"/>
      <c r="E75" s="113" t="str">
        <f>'Calc2 FD'!E99</f>
        <v>Sewerage: CIS bid ratio</v>
      </c>
      <c r="F75" s="113"/>
      <c r="G75" s="301">
        <f>'Calc2 FD'!G99</f>
        <v>107.97441355193162</v>
      </c>
      <c r="H75" s="120"/>
      <c r="I75" s="120"/>
      <c r="J75" s="121"/>
      <c r="K75" s="121"/>
      <c r="L75" s="121"/>
      <c r="M75" s="121"/>
      <c r="N75" s="121"/>
      <c r="O75" s="113"/>
      <c r="P75" s="113"/>
      <c r="Q75" s="113"/>
      <c r="R75" s="113"/>
      <c r="S75" s="113"/>
      <c r="T75" s="115"/>
      <c r="U75" s="122"/>
    </row>
    <row r="76" spans="1:21" s="117" customFormat="1" ht="17.399999999999999">
      <c r="A76" s="110"/>
      <c r="B76" s="119">
        <v>2.4</v>
      </c>
      <c r="C76" s="119"/>
      <c r="D76" s="113"/>
      <c r="E76" s="113" t="str">
        <f>'Calc2 FD'!E128</f>
        <v>Sewerage: Additional income (applied at FD)</v>
      </c>
      <c r="F76" s="113"/>
      <c r="G76" s="120"/>
      <c r="H76" s="120"/>
      <c r="I76" s="120"/>
      <c r="J76" s="121">
        <f>'Calc2 FD'!J128</f>
        <v>-4.4345210389061096</v>
      </c>
      <c r="K76" s="121">
        <f>'Calc2 FD'!K128</f>
        <v>-5.5135632887299098</v>
      </c>
      <c r="L76" s="121">
        <f>'Calc2 FD'!L128</f>
        <v>-4.38623182711172</v>
      </c>
      <c r="M76" s="121">
        <f>'Calc2 FD'!M128</f>
        <v>-3.6482704817140701</v>
      </c>
      <c r="N76" s="121">
        <f>'Calc2 FD'!N128</f>
        <v>-2.90058545757877</v>
      </c>
      <c r="O76" s="113"/>
      <c r="P76" s="113"/>
      <c r="Q76" s="113"/>
      <c r="R76" s="113"/>
      <c r="S76" s="113"/>
      <c r="T76" s="115"/>
      <c r="U76" s="122">
        <f>SUM(J76:N76)</f>
        <v>-20.883172094040582</v>
      </c>
    </row>
    <row r="77" spans="1:21" s="117" customFormat="1" ht="17.399999999999999">
      <c r="A77" s="110"/>
      <c r="B77" s="118"/>
      <c r="C77" s="118"/>
      <c r="D77" s="113"/>
      <c r="E77" s="113"/>
      <c r="F77" s="113"/>
      <c r="G77" s="113"/>
      <c r="H77" s="113"/>
      <c r="I77" s="113"/>
      <c r="J77" s="114"/>
      <c r="K77" s="114"/>
      <c r="L77" s="114"/>
      <c r="M77" s="114"/>
      <c r="N77" s="114"/>
      <c r="O77" s="113"/>
      <c r="P77" s="113"/>
      <c r="Q77" s="113"/>
      <c r="R77" s="113"/>
      <c r="S77" s="113"/>
      <c r="T77" s="115"/>
      <c r="U77" s="125"/>
    </row>
    <row r="78" spans="1:21" s="117" customFormat="1" ht="17.399999999999999">
      <c r="A78" s="126"/>
      <c r="B78" s="127"/>
      <c r="C78" s="127"/>
      <c r="D78" s="127"/>
      <c r="E78" s="127"/>
      <c r="F78" s="127"/>
      <c r="G78" s="127"/>
      <c r="H78" s="127"/>
      <c r="I78" s="127"/>
      <c r="J78" s="128"/>
      <c r="K78" s="128"/>
      <c r="L78" s="128"/>
      <c r="M78" s="128"/>
      <c r="N78" s="128"/>
      <c r="O78" s="127"/>
      <c r="P78" s="127"/>
      <c r="Q78" s="127"/>
      <c r="R78" s="127"/>
      <c r="S78" s="127"/>
      <c r="T78" s="129"/>
      <c r="U78" s="130"/>
    </row>
    <row r="79" spans="1:21" s="41" customFormat="1" ht="17.399999999999999"/>
    <row r="80" spans="1:21" s="41" customFormat="1" ht="17.399999999999999"/>
    <row r="81" s="41" customFormat="1" ht="17.399999999999999"/>
    <row r="82" s="41" customFormat="1" ht="17.399999999999999"/>
    <row r="83" s="41" customFormat="1" ht="17.399999999999999"/>
    <row r="84" s="41" customFormat="1" ht="17.399999999999999"/>
    <row r="85" s="41" customFormat="1" ht="17.399999999999999"/>
    <row r="86" s="41" customFormat="1" ht="17.399999999999999"/>
    <row r="87" s="41" customFormat="1" ht="17.399999999999999"/>
    <row r="88" s="41" customFormat="1" ht="17.399999999999999"/>
    <row r="89" s="41" customFormat="1" ht="17.399999999999999"/>
    <row r="90" s="41" customFormat="1" ht="17.399999999999999"/>
    <row r="91" s="41" customFormat="1" ht="17.399999999999999"/>
    <row r="92" s="41" customFormat="1" ht="17.399999999999999"/>
    <row r="93" s="41" customFormat="1" ht="17.399999999999999"/>
    <row r="94" s="41" customFormat="1" ht="17.399999999999999"/>
    <row r="95" s="41" customFormat="1" ht="17.399999999999999"/>
    <row r="96" s="41" customFormat="1" ht="17.399999999999999"/>
    <row r="97" s="41" customFormat="1" ht="17.399999999999999"/>
    <row r="98" s="41" customFormat="1" ht="17.399999999999999"/>
    <row r="99" s="41" customFormat="1" ht="17.399999999999999"/>
    <row r="100" s="41" customFormat="1" ht="17.399999999999999"/>
    <row r="101" s="41" customFormat="1" ht="17.399999999999999"/>
  </sheetData>
  <pageMargins left="0.70866141732283472" right="0.70866141732283472" top="0.74803149606299213" bottom="0.74803149606299213" header="0.31496062992125984" footer="0.31496062992125984"/>
  <pageSetup paperSize="9" scale="35" orientation="landscape" r:id="rId1"/>
  <headerFooter>
    <oddFooter>&amp;LPL14L012 CIS v3.5
Ofwat, February 2016</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124"/>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E3" sqref="E3"/>
    </sheetView>
  </sheetViews>
  <sheetFormatPr defaultRowHeight="13.2"/>
  <cols>
    <col min="1" max="1" width="1.88671875" customWidth="1"/>
    <col min="2" max="2" width="8.88671875" customWidth="1"/>
    <col min="3" max="3" width="3.44140625" customWidth="1"/>
    <col min="4" max="4" width="0" hidden="1" customWidth="1"/>
    <col min="5" max="5" width="93.88671875" bestFit="1" customWidth="1"/>
    <col min="6" max="14" width="17.44140625" customWidth="1"/>
    <col min="15" max="18" width="20.6640625" hidden="1" customWidth="1"/>
    <col min="19" max="19" width="18.33203125" hidden="1" customWidth="1"/>
    <col min="20" max="20" width="3.109375" customWidth="1"/>
    <col min="21" max="21" width="26.109375" style="291" customWidth="1"/>
  </cols>
  <sheetData>
    <row r="1" spans="1:21" ht="26.85" customHeight="1">
      <c r="A1" s="492"/>
      <c r="B1" s="493"/>
      <c r="C1" s="493"/>
      <c r="D1" s="493"/>
      <c r="E1" s="493"/>
      <c r="F1" s="493"/>
      <c r="G1" s="493"/>
      <c r="H1" s="493"/>
      <c r="I1" s="493"/>
      <c r="J1" s="493"/>
      <c r="K1" s="493"/>
      <c r="L1" s="493"/>
      <c r="M1" s="493"/>
      <c r="N1" s="493"/>
      <c r="O1" s="493"/>
      <c r="P1" s="493"/>
      <c r="Q1" s="493"/>
      <c r="R1" s="493"/>
      <c r="S1" s="493"/>
      <c r="T1" s="493"/>
      <c r="U1" s="515"/>
    </row>
    <row r="2" spans="1:21" ht="26.85" customHeight="1">
      <c r="A2" s="495"/>
      <c r="B2" s="496"/>
      <c r="C2" s="496"/>
      <c r="D2" s="496"/>
      <c r="E2" s="510" t="str">
        <f>IF('Input FD'!G150="","",'Input FD'!G150)</f>
        <v>TMS Inputs as at FD</v>
      </c>
      <c r="F2" s="510"/>
      <c r="G2" s="496"/>
      <c r="H2" s="496"/>
      <c r="I2" s="496"/>
      <c r="J2" s="496"/>
      <c r="K2" s="496"/>
      <c r="L2" s="496"/>
      <c r="M2" s="496"/>
      <c r="N2" s="496"/>
      <c r="O2" s="496"/>
      <c r="P2" s="496"/>
      <c r="Q2" s="496"/>
      <c r="R2" s="496"/>
      <c r="S2" s="496"/>
      <c r="T2" s="496"/>
      <c r="U2" s="516"/>
    </row>
    <row r="3" spans="1:21" ht="26.85" customHeight="1">
      <c r="A3" s="495"/>
      <c r="B3" s="496"/>
      <c r="C3" s="496"/>
      <c r="D3" s="496"/>
      <c r="E3" s="497" t="s">
        <v>746</v>
      </c>
      <c r="F3" s="497"/>
      <c r="G3" s="496"/>
      <c r="H3" s="496"/>
      <c r="I3" s="496"/>
      <c r="J3" s="496"/>
      <c r="K3" s="496"/>
      <c r="L3" s="496"/>
      <c r="M3" s="496"/>
      <c r="N3" s="496"/>
      <c r="O3" s="496"/>
      <c r="P3" s="496"/>
      <c r="Q3" s="496"/>
      <c r="R3" s="496"/>
      <c r="S3" s="496"/>
      <c r="T3" s="496"/>
      <c r="U3" s="516"/>
    </row>
    <row r="4" spans="1:21" ht="35.25" customHeight="1">
      <c r="A4" s="495"/>
      <c r="B4" s="496"/>
      <c r="C4" s="496"/>
      <c r="D4" s="496"/>
      <c r="E4" s="496"/>
      <c r="F4" s="496"/>
      <c r="G4" s="496"/>
      <c r="H4" s="496"/>
      <c r="I4" s="496"/>
      <c r="J4" s="496"/>
      <c r="K4" s="496"/>
      <c r="L4" s="496"/>
      <c r="M4" s="499" t="s">
        <v>79</v>
      </c>
      <c r="N4" s="500" t="s">
        <v>100</v>
      </c>
      <c r="O4" s="500"/>
      <c r="P4" s="500"/>
      <c r="Q4" s="500"/>
      <c r="R4" s="500"/>
      <c r="S4" s="500"/>
      <c r="T4" s="500"/>
      <c r="U4" s="517"/>
    </row>
    <row r="5" spans="1:21" ht="26.85" customHeight="1">
      <c r="A5" s="495"/>
      <c r="B5" s="496"/>
      <c r="C5" s="496"/>
      <c r="D5" s="496"/>
      <c r="E5" s="511" t="s">
        <v>581</v>
      </c>
      <c r="F5" s="511"/>
      <c r="G5" s="496"/>
      <c r="H5" s="496"/>
      <c r="I5" s="496"/>
      <c r="J5" s="496"/>
      <c r="K5" s="496"/>
      <c r="L5" s="496"/>
      <c r="M5" s="496"/>
      <c r="N5" s="502"/>
      <c r="O5" s="496"/>
      <c r="P5" s="496"/>
      <c r="Q5" s="496"/>
      <c r="R5" s="496"/>
      <c r="S5" s="496"/>
      <c r="T5" s="496"/>
      <c r="U5" s="516"/>
    </row>
    <row r="6" spans="1:21" ht="26.85" customHeight="1">
      <c r="A6" s="495"/>
      <c r="B6" s="496"/>
      <c r="C6" s="496"/>
      <c r="D6" s="496"/>
      <c r="E6" s="503"/>
      <c r="F6" s="503"/>
      <c r="G6" s="496"/>
      <c r="H6" s="496"/>
      <c r="I6" s="496"/>
      <c r="J6" s="496"/>
      <c r="K6" s="496"/>
      <c r="L6" s="496"/>
      <c r="M6" s="496"/>
      <c r="N6" s="496"/>
      <c r="O6" s="496"/>
      <c r="P6" s="496"/>
      <c r="Q6" s="496"/>
      <c r="R6" s="496"/>
      <c r="S6" s="496"/>
      <c r="T6" s="496"/>
      <c r="U6" s="516"/>
    </row>
    <row r="7" spans="1:21" ht="26.85" customHeight="1">
      <c r="A7" s="495"/>
      <c r="B7" s="496"/>
      <c r="C7" s="496"/>
      <c r="D7" s="496"/>
      <c r="E7" s="496"/>
      <c r="F7" s="496"/>
      <c r="G7" s="496"/>
      <c r="H7" s="496"/>
      <c r="I7" s="496"/>
      <c r="J7" s="496"/>
      <c r="K7" s="496"/>
      <c r="L7" s="496"/>
      <c r="M7" s="496"/>
      <c r="N7" s="496"/>
      <c r="O7" s="496"/>
      <c r="P7" s="496"/>
      <c r="Q7" s="496"/>
      <c r="R7" s="496"/>
      <c r="S7" s="496"/>
      <c r="T7" s="496"/>
      <c r="U7" s="516"/>
    </row>
    <row r="8" spans="1:21" ht="26.85" customHeight="1">
      <c r="A8" s="495"/>
      <c r="B8" s="496"/>
      <c r="C8" s="496"/>
      <c r="D8" s="496"/>
      <c r="E8" s="518"/>
      <c r="F8" s="518"/>
      <c r="G8" s="496"/>
      <c r="H8" s="496"/>
      <c r="I8" s="496"/>
      <c r="J8" s="496"/>
      <c r="K8" s="496"/>
      <c r="L8" s="496"/>
      <c r="M8" s="496"/>
      <c r="N8" s="496"/>
      <c r="O8" s="496"/>
      <c r="P8" s="496"/>
      <c r="Q8" s="496"/>
      <c r="R8" s="496"/>
      <c r="S8" s="496"/>
      <c r="T8" s="496"/>
      <c r="U8" s="516"/>
    </row>
    <row r="9" spans="1:21"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19"/>
    </row>
    <row r="10" spans="1:21" ht="17.399999999999999">
      <c r="A10" s="43"/>
      <c r="B10" s="45"/>
      <c r="C10" s="45"/>
      <c r="D10" s="46"/>
      <c r="E10" s="47"/>
      <c r="F10" s="47"/>
      <c r="G10" s="49"/>
      <c r="H10" s="49"/>
      <c r="I10" s="49"/>
      <c r="J10" s="50"/>
      <c r="K10" s="50"/>
      <c r="L10" s="50"/>
      <c r="M10" s="50"/>
      <c r="N10" s="50"/>
      <c r="O10" s="49"/>
      <c r="P10" s="49"/>
      <c r="Q10" s="49"/>
      <c r="R10" s="49"/>
      <c r="S10" s="49"/>
      <c r="T10" s="49"/>
      <c r="U10" s="292"/>
    </row>
    <row r="11" spans="1:21"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20" t="s">
        <v>59</v>
      </c>
    </row>
    <row r="12" spans="1:21"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293"/>
    </row>
    <row r="13" spans="1:21" s="109" customFormat="1" ht="18" customHeight="1">
      <c r="A13" s="102"/>
      <c r="B13" s="103">
        <v>1</v>
      </c>
      <c r="C13" s="104"/>
      <c r="D13" s="104"/>
      <c r="E13" s="105" t="s">
        <v>301</v>
      </c>
      <c r="F13" s="105"/>
      <c r="G13" s="104"/>
      <c r="H13" s="104"/>
      <c r="I13" s="104"/>
      <c r="J13" s="106"/>
      <c r="K13" s="106"/>
      <c r="L13" s="106"/>
      <c r="M13" s="106"/>
      <c r="N13" s="106"/>
      <c r="O13" s="104"/>
      <c r="P13" s="104"/>
      <c r="Q13" s="104"/>
      <c r="R13" s="104"/>
      <c r="S13" s="104"/>
      <c r="T13" s="107"/>
      <c r="U13" s="293"/>
    </row>
    <row r="14" spans="1:21"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293"/>
    </row>
    <row r="15" spans="1:21" s="117" customFormat="1" ht="17.399999999999999">
      <c r="A15" s="110"/>
      <c r="B15" s="111">
        <v>1.1000000000000001</v>
      </c>
      <c r="C15" s="112"/>
      <c r="D15" s="113"/>
      <c r="E15" s="105" t="s">
        <v>302</v>
      </c>
      <c r="F15" s="105"/>
      <c r="G15" s="113"/>
      <c r="H15" s="113"/>
      <c r="I15" s="113"/>
      <c r="J15" s="114"/>
      <c r="K15" s="114"/>
      <c r="L15" s="114"/>
      <c r="M15" s="114"/>
      <c r="N15" s="114"/>
      <c r="O15" s="113"/>
      <c r="P15" s="113"/>
      <c r="Q15" s="113"/>
      <c r="R15" s="113"/>
      <c r="S15" s="113"/>
      <c r="T15" s="115"/>
      <c r="U15" s="294"/>
    </row>
    <row r="16" spans="1:21" s="117" customFormat="1" ht="17.399999999999999">
      <c r="A16" s="110"/>
      <c r="B16" s="118" t="s">
        <v>129</v>
      </c>
      <c r="C16" s="119"/>
      <c r="D16" s="113"/>
      <c r="E16" s="124" t="str">
        <f>'Calc2 FD'!E55</f>
        <v>Water: Company bid capex (gross of adjustments)</v>
      </c>
      <c r="F16" s="124"/>
      <c r="G16" s="113"/>
      <c r="H16" s="120"/>
      <c r="I16" s="120"/>
      <c r="J16" s="121">
        <f>'Calc2 FD'!J55</f>
        <v>388.12044076242984</v>
      </c>
      <c r="K16" s="121">
        <f>'Calc2 FD'!K55</f>
        <v>500.29059487707758</v>
      </c>
      <c r="L16" s="121">
        <f>'Calc2 FD'!L55</f>
        <v>336.7232186974299</v>
      </c>
      <c r="M16" s="121">
        <f>'Calc2 FD'!M55</f>
        <v>310.15449025703668</v>
      </c>
      <c r="N16" s="121">
        <f>'Calc2 FD'!N55</f>
        <v>247.16279813151507</v>
      </c>
      <c r="O16" s="113"/>
      <c r="P16" s="113"/>
      <c r="Q16" s="113"/>
      <c r="R16" s="113"/>
      <c r="S16" s="113"/>
      <c r="T16" s="115"/>
      <c r="U16" s="295">
        <f>SUM(J16:N16)</f>
        <v>1782.4515427254892</v>
      </c>
    </row>
    <row r="17" spans="1:21" s="117" customFormat="1" ht="17.399999999999999">
      <c r="A17" s="110"/>
      <c r="B17" s="118" t="s">
        <v>131</v>
      </c>
      <c r="C17" s="119"/>
      <c r="D17" s="113"/>
      <c r="E17" s="124" t="str">
        <f>'Calc2 FD'!E56</f>
        <v>Water: Baseline capex (gross of adjustments)</v>
      </c>
      <c r="F17" s="124"/>
      <c r="G17" s="113"/>
      <c r="H17" s="120"/>
      <c r="I17" s="120"/>
      <c r="J17" s="121">
        <f>'Calc2 FD'!J56</f>
        <v>237.83883424979501</v>
      </c>
      <c r="K17" s="121">
        <f>'Calc2 FD'!K56</f>
        <v>345.8399322952053</v>
      </c>
      <c r="L17" s="121">
        <f>'Calc2 FD'!L56</f>
        <v>313.5044690268216</v>
      </c>
      <c r="M17" s="121">
        <f>'Calc2 FD'!M56</f>
        <v>293.96787326194521</v>
      </c>
      <c r="N17" s="121">
        <f>'Calc2 FD'!N56</f>
        <v>231.80837184675443</v>
      </c>
      <c r="O17" s="113"/>
      <c r="P17" s="113"/>
      <c r="Q17" s="113"/>
      <c r="R17" s="113"/>
      <c r="S17" s="113"/>
      <c r="T17" s="115"/>
      <c r="U17" s="295">
        <f t="shared" ref="U17:U18" si="0">SUM(J17:N17)</f>
        <v>1422.9594806805217</v>
      </c>
    </row>
    <row r="18" spans="1:21" s="117" customFormat="1" ht="17.399999999999999">
      <c r="A18" s="110"/>
      <c r="B18" s="118" t="s">
        <v>132</v>
      </c>
      <c r="C18" s="119"/>
      <c r="D18" s="113"/>
      <c r="E18" s="124" t="str">
        <f>'Calc2 FD'!E57</f>
        <v>Water: Allowance capex (gross of adjustments)</v>
      </c>
      <c r="F18" s="124"/>
      <c r="G18" s="113"/>
      <c r="H18" s="286"/>
      <c r="I18" s="120"/>
      <c r="J18" s="121">
        <f>'Calc2 FD'!J57</f>
        <v>252.8605502789014</v>
      </c>
      <c r="K18" s="121">
        <f>'Calc2 FD'!K57</f>
        <v>367.68291378664532</v>
      </c>
      <c r="L18" s="121">
        <f>'Calc2 FD'!L57</f>
        <v>333.30516777490993</v>
      </c>
      <c r="M18" s="121">
        <f>'Calc2 FD'!M57</f>
        <v>312.53465579664004</v>
      </c>
      <c r="N18" s="121">
        <f>'Calc2 FD'!N57</f>
        <v>246.44920855466663</v>
      </c>
      <c r="O18" s="113"/>
      <c r="P18" s="113"/>
      <c r="Q18" s="113"/>
      <c r="R18" s="113"/>
      <c r="S18" s="113"/>
      <c r="T18" s="115"/>
      <c r="U18" s="295">
        <f t="shared" si="0"/>
        <v>1512.8324961917633</v>
      </c>
    </row>
    <row r="19" spans="1:21" s="117" customFormat="1" ht="17.399999999999999">
      <c r="A19" s="110"/>
      <c r="B19" s="118" t="s">
        <v>133</v>
      </c>
      <c r="C19" s="119"/>
      <c r="D19" s="113"/>
      <c r="E19" s="124" t="str">
        <f>'Calc2 FD'!E94</f>
        <v>Water: CIS bid ratio</v>
      </c>
      <c r="F19" s="124"/>
      <c r="G19" s="301">
        <f>'Calc2 FD'!G94</f>
        <v>125.26368929866103</v>
      </c>
      <c r="H19" s="120"/>
      <c r="I19" s="120"/>
      <c r="J19" s="121"/>
      <c r="K19" s="121"/>
      <c r="L19" s="121"/>
      <c r="M19" s="121"/>
      <c r="N19" s="121"/>
      <c r="O19" s="113"/>
      <c r="P19" s="113"/>
      <c r="Q19" s="113"/>
      <c r="R19" s="113"/>
      <c r="S19" s="113"/>
      <c r="T19" s="115"/>
      <c r="U19" s="302"/>
    </row>
    <row r="20" spans="1:21" s="117" customFormat="1" ht="17.399999999999999">
      <c r="A20" s="110"/>
      <c r="B20" s="118"/>
      <c r="C20" s="119"/>
      <c r="D20" s="113"/>
      <c r="E20" s="124"/>
      <c r="F20" s="124"/>
      <c r="G20" s="113"/>
      <c r="H20" s="120"/>
      <c r="I20" s="120"/>
      <c r="J20" s="121"/>
      <c r="K20" s="121"/>
      <c r="L20" s="121"/>
      <c r="M20" s="121"/>
      <c r="N20" s="121"/>
      <c r="O20" s="113"/>
      <c r="P20" s="113"/>
      <c r="Q20" s="113"/>
      <c r="R20" s="113"/>
      <c r="S20" s="113"/>
      <c r="T20" s="115"/>
      <c r="U20" s="294"/>
    </row>
    <row r="21" spans="1:21" s="117" customFormat="1" ht="17.399999999999999">
      <c r="A21" s="110"/>
      <c r="B21" s="118" t="s">
        <v>134</v>
      </c>
      <c r="C21" s="119"/>
      <c r="D21" s="113"/>
      <c r="E21" s="113" t="str">
        <f>'Calc2 FD'!E59</f>
        <v>Water: Adjustments to company bid capex</v>
      </c>
      <c r="F21" s="113"/>
      <c r="G21" s="113"/>
      <c r="H21" s="120"/>
      <c r="I21" s="120"/>
      <c r="J21" s="121">
        <f>'Calc2 FD'!J59</f>
        <v>0</v>
      </c>
      <c r="K21" s="121">
        <f>'Calc2 FD'!K59</f>
        <v>0</v>
      </c>
      <c r="L21" s="121">
        <f>'Calc2 FD'!L59</f>
        <v>0</v>
      </c>
      <c r="M21" s="121">
        <f>'Calc2 FD'!M59</f>
        <v>0</v>
      </c>
      <c r="N21" s="121">
        <f>'Calc2 FD'!N59</f>
        <v>0</v>
      </c>
      <c r="O21" s="113"/>
      <c r="P21" s="113"/>
      <c r="Q21" s="113"/>
      <c r="R21" s="113"/>
      <c r="S21" s="113"/>
      <c r="T21" s="115"/>
      <c r="U21" s="295">
        <f t="shared" ref="U21:U22" si="1">SUM(J21:N21)</f>
        <v>0</v>
      </c>
    </row>
    <row r="22" spans="1:21" s="117" customFormat="1" ht="17.399999999999999">
      <c r="A22" s="110"/>
      <c r="B22" s="118" t="s">
        <v>135</v>
      </c>
      <c r="C22" s="119"/>
      <c r="D22" s="113"/>
      <c r="E22" s="113" t="str">
        <f>'Calc2 FD'!E60</f>
        <v>Water: Adjustments to baseline capex</v>
      </c>
      <c r="F22" s="113"/>
      <c r="G22" s="113"/>
      <c r="H22" s="120"/>
      <c r="I22" s="120"/>
      <c r="J22" s="121">
        <f>'Calc2 FD'!J60</f>
        <v>-1.63480322336759</v>
      </c>
      <c r="K22" s="121">
        <f>'Calc2 FD'!K60</f>
        <v>-2.49664163081039</v>
      </c>
      <c r="L22" s="121">
        <f>'Calc2 FD'!L60</f>
        <v>-1.33179340600143</v>
      </c>
      <c r="M22" s="121">
        <f>'Calc2 FD'!M60</f>
        <v>0</v>
      </c>
      <c r="N22" s="121">
        <f>'Calc2 FD'!N60</f>
        <v>0.52887650038741996</v>
      </c>
      <c r="O22" s="113"/>
      <c r="P22" s="113"/>
      <c r="Q22" s="113"/>
      <c r="R22" s="113"/>
      <c r="S22" s="113"/>
      <c r="T22" s="115"/>
      <c r="U22" s="295">
        <f t="shared" si="1"/>
        <v>-4.9343617597919902</v>
      </c>
    </row>
    <row r="23" spans="1:21" s="117" customFormat="1" ht="17.399999999999999">
      <c r="A23" s="110"/>
      <c r="B23" s="118"/>
      <c r="C23" s="119"/>
      <c r="D23" s="113"/>
      <c r="E23" s="113"/>
      <c r="F23" s="113"/>
      <c r="G23" s="113"/>
      <c r="H23" s="120"/>
      <c r="I23" s="120"/>
      <c r="J23" s="121"/>
      <c r="K23" s="121"/>
      <c r="L23" s="121"/>
      <c r="M23" s="121"/>
      <c r="N23" s="121"/>
      <c r="O23" s="113"/>
      <c r="P23" s="113"/>
      <c r="Q23" s="113"/>
      <c r="R23" s="113"/>
      <c r="S23" s="113"/>
      <c r="T23" s="115"/>
      <c r="U23" s="294"/>
    </row>
    <row r="24" spans="1:21" s="117" customFormat="1" ht="17.399999999999999">
      <c r="A24" s="110"/>
      <c r="B24" s="118" t="s">
        <v>136</v>
      </c>
      <c r="C24" s="119"/>
      <c r="D24" s="113"/>
      <c r="E24" s="113" t="str">
        <f>'Calc2 FD'!E62</f>
        <v>Water: Company bid capex (net of logging and IDoK)</v>
      </c>
      <c r="F24" s="113"/>
      <c r="G24" s="113"/>
      <c r="H24" s="120"/>
      <c r="I24" s="120"/>
      <c r="J24" s="121">
        <f>'Calc2 FD'!J62</f>
        <v>388.12044076242984</v>
      </c>
      <c r="K24" s="121">
        <f>'Calc2 FD'!K62</f>
        <v>500.29059487707758</v>
      </c>
      <c r="L24" s="121">
        <f>'Calc2 FD'!L62</f>
        <v>336.7232186974299</v>
      </c>
      <c r="M24" s="121">
        <f>'Calc2 FD'!M62</f>
        <v>310.15449025703668</v>
      </c>
      <c r="N24" s="121">
        <f>'Calc2 FD'!N62</f>
        <v>247.16279813151507</v>
      </c>
      <c r="O24" s="113"/>
      <c r="P24" s="113"/>
      <c r="Q24" s="113"/>
      <c r="R24" s="113"/>
      <c r="S24" s="113"/>
      <c r="T24" s="115"/>
      <c r="U24" s="295">
        <f t="shared" ref="U24:U26" si="2">SUM(J24:N24)</f>
        <v>1782.4515427254892</v>
      </c>
    </row>
    <row r="25" spans="1:21" s="117" customFormat="1" ht="17.399999999999999">
      <c r="A25" s="110"/>
      <c r="B25" s="118" t="s">
        <v>137</v>
      </c>
      <c r="C25" s="119"/>
      <c r="D25" s="113"/>
      <c r="E25" s="113" t="str">
        <f>'Calc2 FD'!E63</f>
        <v>Water: Baseline capex (net of logging, IDoK and shortfalls)</v>
      </c>
      <c r="F25" s="113"/>
      <c r="G25" s="113"/>
      <c r="H25" s="120"/>
      <c r="I25" s="120"/>
      <c r="J25" s="121">
        <f>'Calc2 FD'!J63</f>
        <v>236.20403102642743</v>
      </c>
      <c r="K25" s="121">
        <f>'Calc2 FD'!K63</f>
        <v>343.34329066439489</v>
      </c>
      <c r="L25" s="121">
        <f>'Calc2 FD'!L63</f>
        <v>312.17267562082014</v>
      </c>
      <c r="M25" s="121">
        <f>'Calc2 FD'!M63</f>
        <v>293.96787326194521</v>
      </c>
      <c r="N25" s="121">
        <f>'Calc2 FD'!N63</f>
        <v>232.33724834714184</v>
      </c>
      <c r="O25" s="113"/>
      <c r="P25" s="113"/>
      <c r="Q25" s="113"/>
      <c r="R25" s="113"/>
      <c r="S25" s="113"/>
      <c r="T25" s="115"/>
      <c r="U25" s="295">
        <f t="shared" si="2"/>
        <v>1418.0251189207295</v>
      </c>
    </row>
    <row r="26" spans="1:21" s="117" customFormat="1" ht="17.399999999999999">
      <c r="A26" s="110"/>
      <c r="B26" s="118" t="s">
        <v>138</v>
      </c>
      <c r="C26" s="119"/>
      <c r="D26" s="113"/>
      <c r="E26" s="113" t="str">
        <f>'Calc2 FD'!E64</f>
        <v>Water: Allowance capex (net of adjustments)</v>
      </c>
      <c r="F26" s="113"/>
      <c r="G26" s="113"/>
      <c r="H26" s="120"/>
      <c r="I26" s="120"/>
      <c r="J26" s="121">
        <f>'Calc2 FD'!J64</f>
        <v>251.37988883858398</v>
      </c>
      <c r="K26" s="121">
        <f>'Calc2 FD'!K64</f>
        <v>365.40273197552909</v>
      </c>
      <c r="L26" s="121">
        <f>'Calc2 FD'!L64</f>
        <v>332.22943806249066</v>
      </c>
      <c r="M26" s="121">
        <f>'Calc2 FD'!M64</f>
        <v>312.85499651119324</v>
      </c>
      <c r="N26" s="121">
        <f>'Calc2 FD'!N64</f>
        <v>247.26466948412249</v>
      </c>
      <c r="O26" s="113"/>
      <c r="P26" s="113"/>
      <c r="Q26" s="113"/>
      <c r="R26" s="113"/>
      <c r="S26" s="113"/>
      <c r="T26" s="115"/>
      <c r="U26" s="295">
        <f t="shared" si="2"/>
        <v>1509.1317248719195</v>
      </c>
    </row>
    <row r="27" spans="1:21" s="117" customFormat="1" ht="17.399999999999999">
      <c r="A27" s="110"/>
      <c r="B27" s="118" t="s">
        <v>139</v>
      </c>
      <c r="C27" s="119"/>
      <c r="D27" s="113"/>
      <c r="E27" s="113" t="str">
        <f>'Calc2 FD'!E106</f>
        <v>Water: Restated CIS bid ratio</v>
      </c>
      <c r="F27" s="113"/>
      <c r="G27" s="301">
        <f>'Calc2 FD'!G106</f>
        <v>125.69957463674039</v>
      </c>
      <c r="H27" s="120"/>
      <c r="I27" s="120"/>
      <c r="J27" s="121"/>
      <c r="K27" s="121"/>
      <c r="L27" s="121"/>
      <c r="M27" s="121"/>
      <c r="N27" s="121"/>
      <c r="O27" s="113"/>
      <c r="P27" s="113"/>
      <c r="Q27" s="113"/>
      <c r="R27" s="113"/>
      <c r="S27" s="113"/>
      <c r="T27" s="115"/>
      <c r="U27" s="296"/>
    </row>
    <row r="28" spans="1:21" s="117" customFormat="1" ht="17.399999999999999">
      <c r="A28" s="110"/>
      <c r="B28" s="118"/>
      <c r="C28" s="119"/>
      <c r="D28" s="113"/>
      <c r="E28" s="113"/>
      <c r="F28" s="113"/>
      <c r="G28" s="113"/>
      <c r="H28" s="120"/>
      <c r="I28" s="120"/>
      <c r="J28" s="121"/>
      <c r="K28" s="121"/>
      <c r="L28" s="121"/>
      <c r="M28" s="121"/>
      <c r="N28" s="121"/>
      <c r="O28" s="113"/>
      <c r="P28" s="113"/>
      <c r="Q28" s="113"/>
      <c r="R28" s="113"/>
      <c r="S28" s="113"/>
      <c r="T28" s="115"/>
      <c r="U28" s="294"/>
    </row>
    <row r="29" spans="1:21" s="117" customFormat="1" ht="17.399999999999999">
      <c r="A29" s="110"/>
      <c r="B29" s="111">
        <v>1.2</v>
      </c>
      <c r="C29" s="112"/>
      <c r="D29" s="113"/>
      <c r="E29" s="105" t="s">
        <v>303</v>
      </c>
      <c r="F29" s="105"/>
      <c r="G29" s="113"/>
      <c r="H29" s="113"/>
      <c r="I29" s="113"/>
      <c r="J29" s="114"/>
      <c r="K29" s="114"/>
      <c r="L29" s="114"/>
      <c r="M29" s="114"/>
      <c r="N29" s="114"/>
      <c r="O29" s="113"/>
      <c r="P29" s="113"/>
      <c r="Q29" s="113"/>
      <c r="R29" s="113"/>
      <c r="S29" s="113"/>
      <c r="T29" s="115"/>
      <c r="U29" s="294"/>
    </row>
    <row r="30" spans="1:21" s="117" customFormat="1" ht="17.399999999999999">
      <c r="A30" s="110"/>
      <c r="B30" s="118" t="s">
        <v>130</v>
      </c>
      <c r="C30" s="119"/>
      <c r="D30" s="113"/>
      <c r="E30" s="113" t="str">
        <f>'Calc2 FD'!E79&amp;" (adjusted for actual NI)"</f>
        <v>Water: Company bid capex (adjusted for actual NI)</v>
      </c>
      <c r="F30" s="113"/>
      <c r="G30" s="113"/>
      <c r="H30" s="120"/>
      <c r="I30" s="120"/>
      <c r="J30" s="121">
        <f>'Calc2 FD'!J79</f>
        <v>344.86666261806266</v>
      </c>
      <c r="K30" s="121">
        <f>'Calc2 FD'!K79</f>
        <v>434.35554919574412</v>
      </c>
      <c r="L30" s="121">
        <f>'Calc2 FD'!L79</f>
        <v>292.93279975655378</v>
      </c>
      <c r="M30" s="121">
        <f>'Calc2 FD'!M79</f>
        <v>271.75572321198888</v>
      </c>
      <c r="N30" s="121">
        <f>'Calc2 FD'!N79</f>
        <v>215.11877067270771</v>
      </c>
      <c r="O30" s="113"/>
      <c r="P30" s="113"/>
      <c r="Q30" s="113"/>
      <c r="R30" s="113"/>
      <c r="S30" s="113"/>
      <c r="T30" s="115"/>
      <c r="U30" s="295">
        <f t="shared" ref="U30:U33" si="3">SUM(J30:N30)</f>
        <v>1559.0295054550572</v>
      </c>
    </row>
    <row r="31" spans="1:21" s="117" customFormat="1" ht="17.399999999999999">
      <c r="A31" s="110"/>
      <c r="B31" s="118" t="s">
        <v>142</v>
      </c>
      <c r="C31" s="118"/>
      <c r="D31" s="113"/>
      <c r="E31" s="113" t="str">
        <f>'Calc2 FD'!E80&amp;" (adjusted for actual NI)"</f>
        <v>Water: Baseline capex (adjusted for actual NI)</v>
      </c>
      <c r="F31" s="113"/>
      <c r="G31" s="113"/>
      <c r="H31" s="120"/>
      <c r="I31" s="120"/>
      <c r="J31" s="121">
        <f>'Calc2 FD'!J80</f>
        <v>209.88045802740572</v>
      </c>
      <c r="K31" s="121">
        <f>'Calc2 FD'!K80</f>
        <v>298.0928786315672</v>
      </c>
      <c r="L31" s="121">
        <f>'Calc2 FD'!L80</f>
        <v>271.57502304369393</v>
      </c>
      <c r="M31" s="121">
        <f>'Calc2 FD'!M80</f>
        <v>257.57309505074221</v>
      </c>
      <c r="N31" s="121">
        <f>'Calc2 FD'!N80</f>
        <v>202.21531566948187</v>
      </c>
      <c r="O31" s="113"/>
      <c r="P31" s="113"/>
      <c r="Q31" s="113"/>
      <c r="R31" s="113"/>
      <c r="S31" s="113"/>
      <c r="T31" s="115"/>
      <c r="U31" s="295">
        <f t="shared" si="3"/>
        <v>1239.336770422891</v>
      </c>
    </row>
    <row r="32" spans="1:21" s="117" customFormat="1" ht="17.399999999999999">
      <c r="A32" s="110"/>
      <c r="B32" s="118" t="s">
        <v>143</v>
      </c>
      <c r="C32" s="118"/>
      <c r="D32" s="113"/>
      <c r="E32" s="113" t="str">
        <f>'Calc2 FD'!E81&amp;" (adjusted for actual NI)"</f>
        <v>Water: Allowance capex (adjusted for actual NI)</v>
      </c>
      <c r="F32" s="113"/>
      <c r="G32" s="113"/>
      <c r="H32" s="120"/>
      <c r="I32" s="120"/>
      <c r="J32" s="121">
        <f>'Calc2 FD'!J81</f>
        <v>223.36505426707714</v>
      </c>
      <c r="K32" s="121">
        <f>'Calc2 FD'!K81</f>
        <v>317.24502908924916</v>
      </c>
      <c r="L32" s="121">
        <f>'Calc2 FD'!L81</f>
        <v>289.02342947915866</v>
      </c>
      <c r="M32" s="121">
        <f>'Calc2 FD'!M81</f>
        <v>274.12189250242415</v>
      </c>
      <c r="N32" s="121">
        <f>'Calc2 FD'!N81</f>
        <v>215.20743466383155</v>
      </c>
      <c r="O32" s="113"/>
      <c r="P32" s="113"/>
      <c r="Q32" s="113"/>
      <c r="R32" s="113"/>
      <c r="S32" s="113"/>
      <c r="T32" s="115"/>
      <c r="U32" s="295">
        <f t="shared" si="3"/>
        <v>1318.9628400017405</v>
      </c>
    </row>
    <row r="33" spans="1:21" s="117" customFormat="1" ht="17.399999999999999">
      <c r="A33" s="110"/>
      <c r="B33" s="118" t="s">
        <v>144</v>
      </c>
      <c r="C33" s="118"/>
      <c r="D33" s="113"/>
      <c r="E33" s="113" t="str">
        <f>'Calc2 FD'!E82&amp;" (adjusted for actual NI)"</f>
        <v>Water: Actual capex (adjusted for actual NI)</v>
      </c>
      <c r="F33" s="113"/>
      <c r="G33" s="113"/>
      <c r="H33" s="120"/>
      <c r="I33" s="120"/>
      <c r="J33" s="121">
        <f>'Calc2 FD'!J82</f>
        <v>297.52272336921601</v>
      </c>
      <c r="K33" s="121">
        <f>'Calc2 FD'!K82</f>
        <v>292.42004399479276</v>
      </c>
      <c r="L33" s="121">
        <f>'Calc2 FD'!L82</f>
        <v>235.14577518492791</v>
      </c>
      <c r="M33" s="121">
        <f>'Calc2 FD'!M82</f>
        <v>246.66955855823218</v>
      </c>
      <c r="N33" s="121">
        <f>'Calc2 FD'!N82</f>
        <v>261.08059128838113</v>
      </c>
      <c r="O33" s="113"/>
      <c r="P33" s="113"/>
      <c r="Q33" s="113"/>
      <c r="R33" s="113"/>
      <c r="S33" s="113"/>
      <c r="T33" s="115"/>
      <c r="U33" s="295">
        <f t="shared" si="3"/>
        <v>1332.83869239555</v>
      </c>
    </row>
    <row r="34" spans="1:21" s="117" customFormat="1" ht="17.399999999999999">
      <c r="A34" s="110"/>
      <c r="B34" s="118" t="s">
        <v>145</v>
      </c>
      <c r="C34" s="118"/>
      <c r="D34" s="113"/>
      <c r="E34" s="113" t="str">
        <f>'Calc2 FD'!E116</f>
        <v>Water: CIS outturn ratio</v>
      </c>
      <c r="F34" s="113"/>
      <c r="G34" s="301">
        <f>'Calc2 FD'!G116</f>
        <v>107.54451285591679</v>
      </c>
      <c r="H34" s="287"/>
      <c r="I34" s="120"/>
      <c r="J34" s="121"/>
      <c r="K34" s="121"/>
      <c r="L34" s="121"/>
      <c r="M34" s="121"/>
      <c r="N34" s="121"/>
      <c r="O34" s="113"/>
      <c r="P34" s="113"/>
      <c r="Q34" s="113"/>
      <c r="R34" s="113"/>
      <c r="S34" s="113"/>
      <c r="T34" s="115"/>
      <c r="U34" s="296"/>
    </row>
    <row r="35" spans="1:21" s="117" customFormat="1" ht="17.399999999999999">
      <c r="A35" s="110"/>
      <c r="B35" s="118"/>
      <c r="C35" s="118"/>
      <c r="D35" s="113"/>
      <c r="E35" s="113"/>
      <c r="F35" s="113"/>
      <c r="G35" s="113"/>
      <c r="H35" s="120"/>
      <c r="I35" s="120"/>
      <c r="J35" s="121"/>
      <c r="K35" s="121"/>
      <c r="L35" s="121"/>
      <c r="M35" s="121"/>
      <c r="N35" s="121"/>
      <c r="O35" s="113"/>
      <c r="P35" s="113"/>
      <c r="Q35" s="113"/>
      <c r="R35" s="113"/>
      <c r="S35" s="113"/>
      <c r="T35" s="115"/>
      <c r="U35" s="294"/>
    </row>
    <row r="36" spans="1:21" s="117" customFormat="1" ht="17.399999999999999">
      <c r="A36" s="110"/>
      <c r="B36" s="111">
        <v>1.3</v>
      </c>
      <c r="C36" s="112"/>
      <c r="D36" s="113"/>
      <c r="E36" s="105" t="s">
        <v>322</v>
      </c>
      <c r="F36" s="105"/>
      <c r="G36" s="113"/>
      <c r="H36" s="113"/>
      <c r="I36" s="113"/>
      <c r="J36" s="114"/>
      <c r="K36" s="114"/>
      <c r="L36" s="114"/>
      <c r="M36" s="114"/>
      <c r="N36" s="114"/>
      <c r="O36" s="113"/>
      <c r="P36" s="113"/>
      <c r="Q36" s="113"/>
      <c r="R36" s="113"/>
      <c r="S36" s="113"/>
      <c r="T36" s="115"/>
      <c r="U36" s="294"/>
    </row>
    <row r="37" spans="1:21" s="117" customFormat="1" ht="17.399999999999999">
      <c r="A37" s="110"/>
      <c r="B37" s="118" t="s">
        <v>151</v>
      </c>
      <c r="C37" s="119"/>
      <c r="D37" s="113"/>
      <c r="E37" s="113" t="str">
        <f>'Calc2 FD'!E124</f>
        <v>Water: Total reward/(penalty)</v>
      </c>
      <c r="F37" s="113"/>
      <c r="G37" s="113"/>
      <c r="H37" s="120"/>
      <c r="I37" s="120"/>
      <c r="J37" s="121"/>
      <c r="K37" s="121"/>
      <c r="L37" s="121"/>
      <c r="M37" s="121"/>
      <c r="N37" s="121"/>
      <c r="O37" s="113"/>
      <c r="P37" s="113"/>
      <c r="Q37" s="113"/>
      <c r="R37" s="113"/>
      <c r="S37" s="113"/>
      <c r="T37" s="115"/>
      <c r="U37" s="295">
        <f>'Calc2 FD'!P124</f>
        <v>-35.750048116777315</v>
      </c>
    </row>
    <row r="38" spans="1:21" s="117" customFormat="1" ht="17.399999999999999">
      <c r="A38" s="110"/>
      <c r="B38" s="118" t="s">
        <v>152</v>
      </c>
      <c r="C38" s="119"/>
      <c r="D38" s="113"/>
      <c r="E38" s="113" t="str">
        <f>'Calc2 FD'!E127</f>
        <v>Water: Additional income (applied at FD)</v>
      </c>
      <c r="F38" s="113"/>
      <c r="G38" s="113"/>
      <c r="H38" s="113"/>
      <c r="I38" s="113"/>
      <c r="J38" s="121">
        <f>'Calc2 FD'!J127</f>
        <v>-6.4040346411921103</v>
      </c>
      <c r="K38" s="121">
        <f>'Calc2 FD'!K127</f>
        <v>-9.3120659362126101</v>
      </c>
      <c r="L38" s="121">
        <f>'Calc2 FD'!L127</f>
        <v>-8.4414031297668295</v>
      </c>
      <c r="M38" s="121">
        <f>'Calc2 FD'!M127</f>
        <v>-7.9153618865700501</v>
      </c>
      <c r="N38" s="121">
        <f>'Calc2 FD'!N127</f>
        <v>-6.2416587606791998</v>
      </c>
      <c r="O38" s="113"/>
      <c r="P38" s="113"/>
      <c r="Q38" s="113"/>
      <c r="R38" s="113"/>
      <c r="S38" s="113"/>
      <c r="T38" s="115"/>
      <c r="U38" s="295">
        <f t="shared" ref="U38" si="4">SUM(J38:N38)</f>
        <v>-38.314524354420797</v>
      </c>
    </row>
    <row r="39" spans="1:21" s="117" customFormat="1" ht="17.399999999999999">
      <c r="A39" s="110"/>
      <c r="B39" s="118" t="s">
        <v>153</v>
      </c>
      <c r="C39" s="119"/>
      <c r="D39" s="113"/>
      <c r="E39" s="113" t="str">
        <f>'Calc2 FD'!E187</f>
        <v>Water: Ex post reward/penalty</v>
      </c>
      <c r="F39" s="113"/>
      <c r="G39" s="113"/>
      <c r="H39" s="120"/>
      <c r="I39" s="120"/>
      <c r="J39" s="121"/>
      <c r="K39" s="121"/>
      <c r="L39" s="121"/>
      <c r="M39" s="121"/>
      <c r="N39" s="121"/>
      <c r="O39" s="113"/>
      <c r="P39" s="113"/>
      <c r="Q39" s="113"/>
      <c r="R39" s="113"/>
      <c r="S39" s="113"/>
      <c r="T39" s="115"/>
      <c r="U39" s="295">
        <f>SUM('Calc2 FD'!J187:N187)</f>
        <v>2.5644762376434831</v>
      </c>
    </row>
    <row r="40" spans="1:21" s="117" customFormat="1" ht="17.399999999999999">
      <c r="A40" s="110"/>
      <c r="B40" s="119"/>
      <c r="C40" s="119"/>
      <c r="D40" s="113"/>
      <c r="E40" s="113"/>
      <c r="F40" s="113"/>
      <c r="G40" s="120"/>
      <c r="H40" s="120"/>
      <c r="I40" s="120"/>
      <c r="J40" s="121"/>
      <c r="K40" s="121"/>
      <c r="L40" s="121"/>
      <c r="M40" s="121"/>
      <c r="N40" s="121"/>
      <c r="O40" s="113"/>
      <c r="P40" s="113"/>
      <c r="Q40" s="113"/>
      <c r="R40" s="113"/>
      <c r="S40" s="113"/>
      <c r="T40" s="115"/>
      <c r="U40" s="294"/>
    </row>
    <row r="41" spans="1:21" s="117" customFormat="1" ht="17.399999999999999">
      <c r="A41" s="110"/>
      <c r="B41" s="119"/>
      <c r="C41" s="119"/>
      <c r="D41" s="113"/>
      <c r="E41" s="113"/>
      <c r="F41" s="113"/>
      <c r="G41" s="120"/>
      <c r="H41" s="120"/>
      <c r="I41" s="120"/>
      <c r="J41" s="121"/>
      <c r="K41" s="121"/>
      <c r="L41" s="121"/>
      <c r="M41" s="121"/>
      <c r="N41" s="121"/>
      <c r="O41" s="113"/>
      <c r="P41" s="113"/>
      <c r="Q41" s="113"/>
      <c r="R41" s="113"/>
      <c r="S41" s="113"/>
      <c r="T41" s="115"/>
      <c r="U41" s="294"/>
    </row>
    <row r="42" spans="1:21" s="109" customFormat="1" ht="18" customHeight="1">
      <c r="A42" s="102"/>
      <c r="B42" s="103">
        <v>2</v>
      </c>
      <c r="C42" s="104"/>
      <c r="D42" s="104"/>
      <c r="E42" s="105" t="s">
        <v>325</v>
      </c>
      <c r="F42" s="105"/>
      <c r="G42" s="104"/>
      <c r="H42" s="104"/>
      <c r="I42" s="104"/>
      <c r="J42" s="106"/>
      <c r="K42" s="106"/>
      <c r="L42" s="106"/>
      <c r="M42" s="106"/>
      <c r="N42" s="106"/>
      <c r="O42" s="104"/>
      <c r="P42" s="104"/>
      <c r="Q42" s="104"/>
      <c r="R42" s="104"/>
      <c r="S42" s="104"/>
      <c r="T42" s="115"/>
      <c r="U42" s="293"/>
    </row>
    <row r="43" spans="1:21" s="109" customFormat="1" ht="18" customHeight="1">
      <c r="A43" s="102"/>
      <c r="B43" s="104"/>
      <c r="C43" s="104"/>
      <c r="D43" s="104"/>
      <c r="E43" s="104"/>
      <c r="F43" s="104"/>
      <c r="G43" s="104"/>
      <c r="H43" s="104"/>
      <c r="I43" s="104"/>
      <c r="J43" s="106"/>
      <c r="K43" s="106"/>
      <c r="L43" s="106"/>
      <c r="M43" s="106"/>
      <c r="N43" s="106"/>
      <c r="O43" s="104"/>
      <c r="P43" s="104"/>
      <c r="Q43" s="104"/>
      <c r="R43" s="104"/>
      <c r="S43" s="104"/>
      <c r="T43" s="115"/>
      <c r="U43" s="293"/>
    </row>
    <row r="44" spans="1:21" s="117" customFormat="1" ht="17.399999999999999">
      <c r="A44" s="110"/>
      <c r="B44" s="111">
        <v>2.1</v>
      </c>
      <c r="C44" s="112"/>
      <c r="D44" s="113"/>
      <c r="E44" s="105" t="s">
        <v>302</v>
      </c>
      <c r="F44" s="105"/>
      <c r="G44" s="113"/>
      <c r="H44" s="113"/>
      <c r="I44" s="113"/>
      <c r="J44" s="114"/>
      <c r="K44" s="114"/>
      <c r="L44" s="114"/>
      <c r="M44" s="114"/>
      <c r="N44" s="114"/>
      <c r="O44" s="113"/>
      <c r="P44" s="113"/>
      <c r="Q44" s="113"/>
      <c r="R44" s="113"/>
      <c r="S44" s="113"/>
      <c r="T44" s="115"/>
      <c r="U44" s="294"/>
    </row>
    <row r="45" spans="1:21" s="117" customFormat="1" ht="17.399999999999999">
      <c r="A45" s="110"/>
      <c r="B45" s="118" t="s">
        <v>326</v>
      </c>
      <c r="C45" s="119"/>
      <c r="D45" s="113"/>
      <c r="E45" s="124" t="str">
        <f>'Calc2 FD'!E66</f>
        <v>Sewerage: Company bid capex (gross of adjustments)</v>
      </c>
      <c r="F45" s="124"/>
      <c r="G45" s="113"/>
      <c r="H45" s="120"/>
      <c r="I45" s="120"/>
      <c r="J45" s="121">
        <f>'Calc2 FD'!J66</f>
        <v>698.40912459999993</v>
      </c>
      <c r="K45" s="121">
        <f>'Calc2 FD'!K66</f>
        <v>859.96959281049408</v>
      </c>
      <c r="L45" s="121">
        <f>'Calc2 FD'!L66</f>
        <v>705.77840135646102</v>
      </c>
      <c r="M45" s="121">
        <f>'Calc2 FD'!M66</f>
        <v>589.08432094065495</v>
      </c>
      <c r="N45" s="121">
        <f>'Calc2 FD'!N66</f>
        <v>474.60351798527</v>
      </c>
      <c r="O45" s="113"/>
      <c r="P45" s="113"/>
      <c r="Q45" s="113"/>
      <c r="R45" s="113"/>
      <c r="S45" s="113"/>
      <c r="T45" s="115"/>
      <c r="U45" s="295">
        <f>SUM(J45:N45)</f>
        <v>3327.8449576928801</v>
      </c>
    </row>
    <row r="46" spans="1:21" s="117" customFormat="1" ht="17.399999999999999">
      <c r="A46" s="110"/>
      <c r="B46" s="118" t="s">
        <v>327</v>
      </c>
      <c r="C46" s="119"/>
      <c r="D46" s="113"/>
      <c r="E46" s="124" t="str">
        <f>'Calc2 FD'!E67</f>
        <v>Sewerage: Baseline capex (gross of adjustments)</v>
      </c>
      <c r="F46" s="124"/>
      <c r="G46" s="113"/>
      <c r="H46" s="120"/>
      <c r="I46" s="120"/>
      <c r="J46" s="121">
        <f>'Calc2 FD'!J67</f>
        <v>654.4741276462189</v>
      </c>
      <c r="K46" s="121">
        <f>'Calc2 FD'!K67</f>
        <v>813.72587748593742</v>
      </c>
      <c r="L46" s="121">
        <f>'Calc2 FD'!L67</f>
        <v>647.34730617292348</v>
      </c>
      <c r="M46" s="121">
        <f>'Calc2 FD'!M67</f>
        <v>538.43439234787206</v>
      </c>
      <c r="N46" s="121">
        <f>'Calc2 FD'!N67</f>
        <v>428.08639768691978</v>
      </c>
      <c r="O46" s="113"/>
      <c r="P46" s="113"/>
      <c r="Q46" s="113"/>
      <c r="R46" s="113"/>
      <c r="S46" s="113"/>
      <c r="T46" s="115"/>
      <c r="U46" s="295">
        <f t="shared" ref="U46:U47" si="5">SUM(J46:N46)</f>
        <v>3082.0681013398716</v>
      </c>
    </row>
    <row r="47" spans="1:21" s="117" customFormat="1" ht="17.399999999999999">
      <c r="A47" s="110"/>
      <c r="B47" s="118" t="s">
        <v>328</v>
      </c>
      <c r="C47" s="119"/>
      <c r="D47" s="113"/>
      <c r="E47" s="124" t="str">
        <f>'Calc2 FD'!E68</f>
        <v>Sewerage: Allowance capex (gross of adjustments)</v>
      </c>
      <c r="F47" s="124"/>
      <c r="G47" s="113"/>
      <c r="H47" s="286"/>
      <c r="I47" s="120"/>
      <c r="J47" s="121">
        <f>'Calc2 FD'!J68</f>
        <v>667.52174602844536</v>
      </c>
      <c r="K47" s="121">
        <f>'Calc2 FD'!K68</f>
        <v>829.94834414839056</v>
      </c>
      <c r="L47" s="121">
        <f>'Calc2 FD'!L68</f>
        <v>660.25284400080284</v>
      </c>
      <c r="M47" s="121">
        <f>'Calc2 FD'!M68</f>
        <v>549.16863863578442</v>
      </c>
      <c r="N47" s="121">
        <f>'Calc2 FD'!N68</f>
        <v>436.62074261470025</v>
      </c>
      <c r="O47" s="113"/>
      <c r="P47" s="113"/>
      <c r="Q47" s="113"/>
      <c r="R47" s="113"/>
      <c r="S47" s="113"/>
      <c r="T47" s="115"/>
      <c r="U47" s="295">
        <f t="shared" si="5"/>
        <v>3143.5123154281237</v>
      </c>
    </row>
    <row r="48" spans="1:21" s="117" customFormat="1" ht="17.399999999999999">
      <c r="A48" s="110"/>
      <c r="B48" s="118" t="s">
        <v>329</v>
      </c>
      <c r="C48" s="119"/>
      <c r="D48" s="113"/>
      <c r="E48" s="124" t="str">
        <f>'Calc2 FD'!E99</f>
        <v>Sewerage: CIS bid ratio</v>
      </c>
      <c r="F48" s="124"/>
      <c r="G48" s="301">
        <f>'Calc2 FD'!G99</f>
        <v>107.97441355193162</v>
      </c>
      <c r="H48" s="120"/>
      <c r="I48" s="120"/>
      <c r="J48" s="121"/>
      <c r="K48" s="121"/>
      <c r="L48" s="121"/>
      <c r="M48" s="121"/>
      <c r="N48" s="121"/>
      <c r="O48" s="113"/>
      <c r="P48" s="113"/>
      <c r="Q48" s="113"/>
      <c r="R48" s="113"/>
      <c r="S48" s="113"/>
      <c r="T48" s="115"/>
      <c r="U48" s="296"/>
    </row>
    <row r="49" spans="1:21" s="117" customFormat="1" ht="17.399999999999999">
      <c r="A49" s="110"/>
      <c r="B49" s="118"/>
      <c r="C49" s="119"/>
      <c r="D49" s="113"/>
      <c r="E49" s="124"/>
      <c r="F49" s="124"/>
      <c r="G49" s="113"/>
      <c r="H49" s="120"/>
      <c r="I49" s="120"/>
      <c r="J49" s="121"/>
      <c r="K49" s="121"/>
      <c r="L49" s="121"/>
      <c r="M49" s="121"/>
      <c r="N49" s="121"/>
      <c r="O49" s="113"/>
      <c r="P49" s="113"/>
      <c r="Q49" s="113"/>
      <c r="R49" s="113"/>
      <c r="S49" s="113"/>
      <c r="T49" s="115"/>
      <c r="U49" s="294"/>
    </row>
    <row r="50" spans="1:21" s="117" customFormat="1" ht="17.399999999999999">
      <c r="A50" s="110"/>
      <c r="B50" s="118" t="s">
        <v>330</v>
      </c>
      <c r="C50" s="119"/>
      <c r="D50" s="113"/>
      <c r="E50" s="113" t="str">
        <f>'Calc2 FD'!E70</f>
        <v>Sewerage: Adjustments to company bid capex</v>
      </c>
      <c r="F50" s="113"/>
      <c r="G50" s="113"/>
      <c r="H50" s="120"/>
      <c r="I50" s="120"/>
      <c r="J50" s="121">
        <f>'Calc2 FD'!J70</f>
        <v>12.5972785095222</v>
      </c>
      <c r="K50" s="121">
        <f>'Calc2 FD'!K70</f>
        <v>-51.295026970738498</v>
      </c>
      <c r="L50" s="121">
        <f>'Calc2 FD'!L70</f>
        <v>30.783805523921298</v>
      </c>
      <c r="M50" s="121">
        <f>'Calc2 FD'!M70</f>
        <v>130.97321157648099</v>
      </c>
      <c r="N50" s="121">
        <f>'Calc2 FD'!N70</f>
        <v>232.06244378456901</v>
      </c>
      <c r="O50" s="113"/>
      <c r="P50" s="113"/>
      <c r="Q50" s="113"/>
      <c r="R50" s="113"/>
      <c r="S50" s="113"/>
      <c r="T50" s="115"/>
      <c r="U50" s="295">
        <f t="shared" ref="U50:U51" si="6">SUM(J50:N50)</f>
        <v>355.12171242375501</v>
      </c>
    </row>
    <row r="51" spans="1:21" s="117" customFormat="1" ht="17.399999999999999">
      <c r="A51" s="110"/>
      <c r="B51" s="118" t="s">
        <v>331</v>
      </c>
      <c r="C51" s="119"/>
      <c r="D51" s="113"/>
      <c r="E51" s="113" t="str">
        <f>'Calc2 FD'!E71</f>
        <v>Sewerage: Adjustments to baseline capex</v>
      </c>
      <c r="F51" s="113"/>
      <c r="G51" s="113"/>
      <c r="H51" s="120"/>
      <c r="I51" s="120"/>
      <c r="J51" s="121">
        <f>'Calc2 FD'!J71</f>
        <v>-17.680798795440602</v>
      </c>
      <c r="K51" s="121">
        <f>'Calc2 FD'!K71</f>
        <v>-27.812069938126101</v>
      </c>
      <c r="L51" s="121">
        <f>'Calc2 FD'!L71</f>
        <v>-30.208876235148601</v>
      </c>
      <c r="M51" s="121">
        <f>'Calc2 FD'!M71</f>
        <v>-5.3702994656609304</v>
      </c>
      <c r="N51" s="121">
        <f>'Calc2 FD'!N71</f>
        <v>-61.486130087278099</v>
      </c>
      <c r="O51" s="113"/>
      <c r="P51" s="113"/>
      <c r="Q51" s="113"/>
      <c r="R51" s="113"/>
      <c r="S51" s="113"/>
      <c r="T51" s="115"/>
      <c r="U51" s="295">
        <f t="shared" si="6"/>
        <v>-142.55817452165434</v>
      </c>
    </row>
    <row r="52" spans="1:21" s="117" customFormat="1" ht="17.399999999999999">
      <c r="A52" s="110"/>
      <c r="B52" s="118"/>
      <c r="C52" s="119"/>
      <c r="D52" s="113"/>
      <c r="E52" s="113"/>
      <c r="F52" s="113"/>
      <c r="G52" s="113"/>
      <c r="H52" s="120"/>
      <c r="I52" s="120"/>
      <c r="J52" s="121"/>
      <c r="K52" s="121"/>
      <c r="L52" s="121"/>
      <c r="M52" s="121"/>
      <c r="N52" s="121"/>
      <c r="O52" s="113"/>
      <c r="P52" s="113"/>
      <c r="Q52" s="113"/>
      <c r="R52" s="113"/>
      <c r="S52" s="113"/>
      <c r="T52" s="115"/>
      <c r="U52" s="294"/>
    </row>
    <row r="53" spans="1:21" s="117" customFormat="1" ht="17.399999999999999">
      <c r="A53" s="110"/>
      <c r="B53" s="118" t="s">
        <v>332</v>
      </c>
      <c r="C53" s="119"/>
      <c r="D53" s="113"/>
      <c r="E53" s="113" t="str">
        <f>'Calc2 FD'!E73</f>
        <v>Sewerage: Company bid capex (net of logging and IDoK)</v>
      </c>
      <c r="F53" s="113"/>
      <c r="G53" s="113"/>
      <c r="H53" s="120"/>
      <c r="I53" s="120"/>
      <c r="J53" s="121">
        <f>'Calc2 FD'!J73</f>
        <v>711.00640310952213</v>
      </c>
      <c r="K53" s="121">
        <f>'Calc2 FD'!K73</f>
        <v>808.67456583975559</v>
      </c>
      <c r="L53" s="121">
        <f>'Calc2 FD'!L73</f>
        <v>736.56220688038229</v>
      </c>
      <c r="M53" s="121">
        <f>'Calc2 FD'!M73</f>
        <v>720.057532517136</v>
      </c>
      <c r="N53" s="121">
        <f>'Calc2 FD'!N73</f>
        <v>706.66596176983899</v>
      </c>
      <c r="O53" s="113"/>
      <c r="P53" s="113"/>
      <c r="Q53" s="113"/>
      <c r="R53" s="113"/>
      <c r="S53" s="113"/>
      <c r="T53" s="115"/>
      <c r="U53" s="295">
        <f t="shared" ref="U53:U55" si="7">SUM(J53:N53)</f>
        <v>3682.9666701166343</v>
      </c>
    </row>
    <row r="54" spans="1:21" s="117" customFormat="1" ht="17.399999999999999">
      <c r="A54" s="110"/>
      <c r="B54" s="118" t="s">
        <v>333</v>
      </c>
      <c r="C54" s="119"/>
      <c r="D54" s="113"/>
      <c r="E54" s="113" t="str">
        <f>'Calc2 FD'!E74</f>
        <v>Sewerage: Baseline capex (net of logging, IDoK and shortfalls)</v>
      </c>
      <c r="F54" s="113"/>
      <c r="G54" s="113"/>
      <c r="H54" s="120"/>
      <c r="I54" s="120"/>
      <c r="J54" s="121">
        <f>'Calc2 FD'!J74</f>
        <v>636.79332885077827</v>
      </c>
      <c r="K54" s="121">
        <f>'Calc2 FD'!K74</f>
        <v>785.9138075478113</v>
      </c>
      <c r="L54" s="121">
        <f>'Calc2 FD'!L74</f>
        <v>617.13842993777484</v>
      </c>
      <c r="M54" s="121">
        <f>'Calc2 FD'!M74</f>
        <v>533.06409288221118</v>
      </c>
      <c r="N54" s="121">
        <f>'Calc2 FD'!N74</f>
        <v>366.60026759964171</v>
      </c>
      <c r="O54" s="113"/>
      <c r="P54" s="113"/>
      <c r="Q54" s="113"/>
      <c r="R54" s="113"/>
      <c r="S54" s="113"/>
      <c r="T54" s="115"/>
      <c r="U54" s="295">
        <f t="shared" si="7"/>
        <v>2939.5099268182175</v>
      </c>
    </row>
    <row r="55" spans="1:21" s="117" customFormat="1" ht="17.399999999999999">
      <c r="A55" s="110"/>
      <c r="B55" s="118" t="s">
        <v>334</v>
      </c>
      <c r="C55" s="119"/>
      <c r="D55" s="113"/>
      <c r="E55" s="113" t="str">
        <f>'Calc2 FD'!E75</f>
        <v>Sewerage: Allowance capex (net of adjustments)</v>
      </c>
      <c r="F55" s="113"/>
      <c r="G55" s="113"/>
      <c r="H55" s="120"/>
      <c r="I55" s="120"/>
      <c r="J55" s="121">
        <f>'Calc2 FD'!J75</f>
        <v>677.05754858535875</v>
      </c>
      <c r="K55" s="121">
        <f>'Calc2 FD'!K75</f>
        <v>835.60686305870081</v>
      </c>
      <c r="L55" s="121">
        <f>'Calc2 FD'!L75</f>
        <v>656.15987728005916</v>
      </c>
      <c r="M55" s="121">
        <f>'Calc2 FD'!M75</f>
        <v>566.76954926184885</v>
      </c>
      <c r="N55" s="121">
        <f>'Calc2 FD'!N75</f>
        <v>389.78027445685387</v>
      </c>
      <c r="O55" s="113"/>
      <c r="P55" s="113"/>
      <c r="Q55" s="113"/>
      <c r="R55" s="113"/>
      <c r="S55" s="113"/>
      <c r="T55" s="115"/>
      <c r="U55" s="295">
        <f t="shared" si="7"/>
        <v>3125.3741126428217</v>
      </c>
    </row>
    <row r="56" spans="1:21" s="117" customFormat="1" ht="17.399999999999999">
      <c r="A56" s="110"/>
      <c r="B56" s="118" t="s">
        <v>335</v>
      </c>
      <c r="C56" s="119"/>
      <c r="D56" s="113"/>
      <c r="E56" s="113" t="str">
        <f>'Calc2 FD'!E110</f>
        <v>Sewerage: Restated CIS bid ratio</v>
      </c>
      <c r="F56" s="113"/>
      <c r="G56" s="301">
        <f>'Calc2 FD'!G110</f>
        <v>125.29186026948203</v>
      </c>
      <c r="H56" s="120"/>
      <c r="I56" s="120"/>
      <c r="J56" s="121"/>
      <c r="K56" s="121"/>
      <c r="L56" s="121"/>
      <c r="M56" s="121"/>
      <c r="N56" s="121"/>
      <c r="O56" s="113"/>
      <c r="P56" s="113"/>
      <c r="Q56" s="113"/>
      <c r="R56" s="113"/>
      <c r="S56" s="113"/>
      <c r="T56" s="115"/>
      <c r="U56" s="296"/>
    </row>
    <row r="57" spans="1:21" s="117" customFormat="1" ht="17.399999999999999">
      <c r="A57" s="110"/>
      <c r="B57" s="118"/>
      <c r="C57" s="119"/>
      <c r="D57" s="113"/>
      <c r="E57" s="113"/>
      <c r="F57" s="113"/>
      <c r="G57" s="113"/>
      <c r="H57" s="120"/>
      <c r="I57" s="120"/>
      <c r="J57" s="121"/>
      <c r="K57" s="121"/>
      <c r="L57" s="121"/>
      <c r="M57" s="121"/>
      <c r="N57" s="121"/>
      <c r="O57" s="113"/>
      <c r="P57" s="113"/>
      <c r="Q57" s="113"/>
      <c r="R57" s="113"/>
      <c r="S57" s="113"/>
      <c r="T57" s="115"/>
      <c r="U57" s="294"/>
    </row>
    <row r="58" spans="1:21" s="117" customFormat="1" ht="17.399999999999999">
      <c r="A58" s="110"/>
      <c r="B58" s="111">
        <v>2.2000000000000002</v>
      </c>
      <c r="C58" s="112"/>
      <c r="D58" s="113"/>
      <c r="E58" s="105" t="s">
        <v>303</v>
      </c>
      <c r="F58" s="105"/>
      <c r="G58" s="113"/>
      <c r="H58" s="113"/>
      <c r="I58" s="113"/>
      <c r="J58" s="114"/>
      <c r="K58" s="114"/>
      <c r="L58" s="114"/>
      <c r="M58" s="114"/>
      <c r="N58" s="114"/>
      <c r="O58" s="113"/>
      <c r="P58" s="113"/>
      <c r="Q58" s="113"/>
      <c r="R58" s="113"/>
      <c r="S58" s="113"/>
      <c r="T58" s="115"/>
      <c r="U58" s="294"/>
    </row>
    <row r="59" spans="1:21" s="117" customFormat="1" ht="17.399999999999999">
      <c r="A59" s="110"/>
      <c r="B59" s="118" t="s">
        <v>336</v>
      </c>
      <c r="C59" s="119"/>
      <c r="D59" s="113"/>
      <c r="E59" s="113" t="str">
        <f>'Calc2 FD'!E84&amp;" (adjusted for actual NI)"</f>
        <v>Sewerage: Company bid capex (adjusted for actual NI)</v>
      </c>
      <c r="F59" s="113"/>
      <c r="G59" s="113"/>
      <c r="H59" s="120"/>
      <c r="I59" s="120"/>
      <c r="J59" s="121">
        <f>'Calc2 FD'!J84</f>
        <v>631.76885210883097</v>
      </c>
      <c r="K59" s="121">
        <f>'Calc2 FD'!K84</f>
        <v>702.09651902862652</v>
      </c>
      <c r="L59" s="121">
        <f>'Calc2 FD'!L84</f>
        <v>640.77324483588757</v>
      </c>
      <c r="M59" s="121">
        <f>'Calc2 FD'!M84</f>
        <v>630.91059987965139</v>
      </c>
      <c r="N59" s="121">
        <f>'Calc2 FD'!N84</f>
        <v>615.04851911931451</v>
      </c>
      <c r="O59" s="113"/>
      <c r="P59" s="113"/>
      <c r="Q59" s="113"/>
      <c r="R59" s="113"/>
      <c r="S59" s="113"/>
      <c r="T59" s="115"/>
      <c r="U59" s="295">
        <f t="shared" ref="U59:U62" si="8">SUM(J59:N59)</f>
        <v>3220.5977349723107</v>
      </c>
    </row>
    <row r="60" spans="1:21" s="117" customFormat="1" ht="17.399999999999999">
      <c r="A60" s="110"/>
      <c r="B60" s="118" t="s">
        <v>337</v>
      </c>
      <c r="C60" s="118"/>
      <c r="D60" s="113"/>
      <c r="E60" s="113" t="str">
        <f>'Calc2 FD'!E85&amp;" (adjusted for actual NI)"</f>
        <v>Sewerage: Baseline capex (adjusted for actual NI)</v>
      </c>
      <c r="F60" s="113"/>
      <c r="G60" s="113"/>
      <c r="H60" s="120"/>
      <c r="I60" s="120"/>
      <c r="J60" s="121">
        <f>'Calc2 FD'!J85</f>
        <v>565.82639571059815</v>
      </c>
      <c r="K60" s="121">
        <f>'Calc2 FD'!K85</f>
        <v>682.33548060567136</v>
      </c>
      <c r="L60" s="121">
        <f>'Calc2 FD'!L85</f>
        <v>536.88037557481334</v>
      </c>
      <c r="M60" s="121">
        <f>'Calc2 FD'!M85</f>
        <v>467.06793752847017</v>
      </c>
      <c r="N60" s="121">
        <f>'Calc2 FD'!N85</f>
        <v>319.07147633260689</v>
      </c>
      <c r="O60" s="113"/>
      <c r="P60" s="113"/>
      <c r="Q60" s="113"/>
      <c r="R60" s="113"/>
      <c r="S60" s="113"/>
      <c r="T60" s="115"/>
      <c r="U60" s="295">
        <f t="shared" si="8"/>
        <v>2571.1816657521599</v>
      </c>
    </row>
    <row r="61" spans="1:21" s="117" customFormat="1" ht="17.399999999999999">
      <c r="A61" s="110"/>
      <c r="B61" s="118" t="s">
        <v>338</v>
      </c>
      <c r="C61" s="118"/>
      <c r="D61" s="113"/>
      <c r="E61" s="113" t="str">
        <f>'Calc2 FD'!E86&amp;" (adjusted for actual NI)"</f>
        <v>Sewerage: Allowance capex (adjusted for actual NI)</v>
      </c>
      <c r="F61" s="113"/>
      <c r="G61" s="113"/>
      <c r="H61" s="120"/>
      <c r="I61" s="120"/>
      <c r="J61" s="121">
        <f>'Calc2 FD'!J86</f>
        <v>601.60340105334092</v>
      </c>
      <c r="K61" s="121">
        <f>'Calc2 FD'!K86</f>
        <v>725.47931468664251</v>
      </c>
      <c r="L61" s="121">
        <f>'Calc2 FD'!L86</f>
        <v>570.82713417597643</v>
      </c>
      <c r="M61" s="121">
        <f>'Calc2 FD'!M86</f>
        <v>496.6004800592832</v>
      </c>
      <c r="N61" s="121">
        <f>'Calc2 FD'!N86</f>
        <v>339.24625432106097</v>
      </c>
      <c r="O61" s="113"/>
      <c r="P61" s="113"/>
      <c r="Q61" s="113"/>
      <c r="R61" s="113"/>
      <c r="S61" s="113"/>
      <c r="T61" s="115"/>
      <c r="U61" s="295">
        <f t="shared" si="8"/>
        <v>2733.756584296304</v>
      </c>
    </row>
    <row r="62" spans="1:21" s="117" customFormat="1" ht="17.399999999999999">
      <c r="A62" s="110"/>
      <c r="B62" s="118" t="s">
        <v>339</v>
      </c>
      <c r="C62" s="118"/>
      <c r="D62" s="113"/>
      <c r="E62" s="113" t="str">
        <f>'Calc2 FD'!E87&amp;" (adjusted for actual NI)"</f>
        <v>Sewerage: Actual capex (adjusted for actual NI)</v>
      </c>
      <c r="F62" s="113"/>
      <c r="G62" s="113"/>
      <c r="H62" s="120"/>
      <c r="I62" s="120"/>
      <c r="J62" s="121">
        <f>'Calc2 FD'!J87</f>
        <v>516.38523078811454</v>
      </c>
      <c r="K62" s="121">
        <f>'Calc2 FD'!K87</f>
        <v>585.62048966644477</v>
      </c>
      <c r="L62" s="121">
        <f>'Calc2 FD'!L87</f>
        <v>492.89275436076286</v>
      </c>
      <c r="M62" s="121">
        <f>'Calc2 FD'!M87</f>
        <v>498.50581632330659</v>
      </c>
      <c r="N62" s="121">
        <f>'Calc2 FD'!N87</f>
        <v>477.43064765252643</v>
      </c>
      <c r="O62" s="113"/>
      <c r="P62" s="113"/>
      <c r="Q62" s="113"/>
      <c r="R62" s="113"/>
      <c r="S62" s="113"/>
      <c r="T62" s="115"/>
      <c r="U62" s="295">
        <f t="shared" si="8"/>
        <v>2570.8349387911549</v>
      </c>
    </row>
    <row r="63" spans="1:21" s="117" customFormat="1" ht="17.399999999999999">
      <c r="A63" s="110"/>
      <c r="B63" s="118" t="s">
        <v>340</v>
      </c>
      <c r="C63" s="118"/>
      <c r="D63" s="113"/>
      <c r="E63" s="113" t="str">
        <f>'Calc2 FD'!E119</f>
        <v>Sewerage: CIS outturn ratio</v>
      </c>
      <c r="F63" s="113"/>
      <c r="G63" s="301">
        <f>'Calc2 FD'!G119</f>
        <v>99.986514878912544</v>
      </c>
      <c r="H63" s="287"/>
      <c r="I63" s="120"/>
      <c r="J63" s="121"/>
      <c r="K63" s="121"/>
      <c r="L63" s="121"/>
      <c r="M63" s="121"/>
      <c r="N63" s="121"/>
      <c r="O63" s="113"/>
      <c r="P63" s="113"/>
      <c r="Q63" s="113"/>
      <c r="R63" s="113"/>
      <c r="S63" s="113"/>
      <c r="T63" s="115"/>
      <c r="U63" s="296"/>
    </row>
    <row r="64" spans="1:21" s="117" customFormat="1" ht="17.399999999999999">
      <c r="A64" s="110"/>
      <c r="B64" s="118"/>
      <c r="C64" s="118"/>
      <c r="D64" s="113"/>
      <c r="E64" s="113"/>
      <c r="F64" s="113"/>
      <c r="G64" s="113"/>
      <c r="H64" s="120"/>
      <c r="I64" s="120"/>
      <c r="J64" s="121"/>
      <c r="K64" s="121"/>
      <c r="L64" s="121"/>
      <c r="M64" s="121"/>
      <c r="N64" s="121"/>
      <c r="O64" s="113"/>
      <c r="P64" s="113"/>
      <c r="Q64" s="113"/>
      <c r="R64" s="113"/>
      <c r="S64" s="113"/>
      <c r="T64" s="115"/>
      <c r="U64" s="294"/>
    </row>
    <row r="65" spans="1:24" s="117" customFormat="1" ht="17.399999999999999">
      <c r="A65" s="110"/>
      <c r="B65" s="111">
        <v>2.2999999999999998</v>
      </c>
      <c r="C65" s="112"/>
      <c r="D65" s="113"/>
      <c r="E65" s="105" t="s">
        <v>322</v>
      </c>
      <c r="F65" s="105"/>
      <c r="G65" s="113"/>
      <c r="H65" s="113"/>
      <c r="I65" s="113"/>
      <c r="J65" s="114"/>
      <c r="K65" s="114"/>
      <c r="L65" s="114"/>
      <c r="M65" s="114"/>
      <c r="N65" s="114"/>
      <c r="O65" s="113"/>
      <c r="P65" s="113"/>
      <c r="Q65" s="113"/>
      <c r="R65" s="113"/>
      <c r="S65" s="113"/>
      <c r="T65" s="115"/>
      <c r="U65" s="294"/>
    </row>
    <row r="66" spans="1:24" s="117" customFormat="1" ht="17.399999999999999">
      <c r="A66" s="110"/>
      <c r="B66" s="118" t="s">
        <v>341</v>
      </c>
      <c r="C66" s="119"/>
      <c r="D66" s="113"/>
      <c r="E66" s="113" t="str">
        <f>'Calc2 FD'!E125</f>
        <v>Sewerage: Total reward/(penalty)</v>
      </c>
      <c r="F66" s="113"/>
      <c r="G66" s="113"/>
      <c r="H66" s="120"/>
      <c r="I66" s="120"/>
      <c r="J66" s="121"/>
      <c r="K66" s="121"/>
      <c r="L66" s="121"/>
      <c r="M66" s="121"/>
      <c r="N66" s="121"/>
      <c r="O66" s="113"/>
      <c r="P66" s="113"/>
      <c r="Q66" s="113"/>
      <c r="R66" s="113"/>
      <c r="S66" s="113"/>
      <c r="T66" s="115"/>
      <c r="U66" s="295">
        <f>'Calc2 FD'!P125</f>
        <v>10.851977854509688</v>
      </c>
    </row>
    <row r="67" spans="1:24" s="117" customFormat="1" ht="17.399999999999999">
      <c r="A67" s="110"/>
      <c r="B67" s="118" t="s">
        <v>342</v>
      </c>
      <c r="C67" s="119"/>
      <c r="D67" s="113"/>
      <c r="E67" s="113" t="str">
        <f>'Calc2 FD'!E128</f>
        <v>Sewerage: Additional income (applied at FD)</v>
      </c>
      <c r="F67" s="113"/>
      <c r="G67" s="113"/>
      <c r="H67" s="113"/>
      <c r="I67" s="113"/>
      <c r="J67" s="121">
        <f>'Calc2 FD'!J128</f>
        <v>-4.4345210389061096</v>
      </c>
      <c r="K67" s="121">
        <f>'Calc2 FD'!K128</f>
        <v>-5.5135632887299098</v>
      </c>
      <c r="L67" s="121">
        <f>'Calc2 FD'!L128</f>
        <v>-4.38623182711172</v>
      </c>
      <c r="M67" s="121">
        <f>'Calc2 FD'!M128</f>
        <v>-3.6482704817140701</v>
      </c>
      <c r="N67" s="121">
        <f>'Calc2 FD'!N128</f>
        <v>-2.90058545757877</v>
      </c>
      <c r="O67" s="113"/>
      <c r="P67" s="113"/>
      <c r="Q67" s="113"/>
      <c r="R67" s="113"/>
      <c r="S67" s="113"/>
      <c r="T67" s="115"/>
      <c r="U67" s="295">
        <f t="shared" ref="U67" si="9">SUM(J67:N67)</f>
        <v>-20.883172094040582</v>
      </c>
    </row>
    <row r="68" spans="1:24" s="117" customFormat="1" ht="17.399999999999999">
      <c r="A68" s="110"/>
      <c r="B68" s="118" t="s">
        <v>343</v>
      </c>
      <c r="C68" s="119"/>
      <c r="D68" s="113"/>
      <c r="E68" s="113" t="str">
        <f>'Calc2 FD'!E188</f>
        <v>Sewerage: Ex post reward/penalty</v>
      </c>
      <c r="F68" s="113"/>
      <c r="G68" s="113"/>
      <c r="H68" s="120"/>
      <c r="I68" s="120"/>
      <c r="J68" s="121"/>
      <c r="K68" s="121"/>
      <c r="L68" s="121"/>
      <c r="M68" s="121"/>
      <c r="N68" s="121"/>
      <c r="O68" s="113"/>
      <c r="P68" s="113"/>
      <c r="Q68" s="113"/>
      <c r="R68" s="113"/>
      <c r="S68" s="113"/>
      <c r="T68" s="115"/>
      <c r="U68" s="295">
        <f>SUM('Calc2 FD'!J188:N188)</f>
        <v>31.735149948550269</v>
      </c>
    </row>
    <row r="69" spans="1:24" s="117" customFormat="1" ht="17.399999999999999">
      <c r="A69" s="110"/>
      <c r="B69" s="118"/>
      <c r="C69" s="119"/>
      <c r="D69" s="113"/>
      <c r="E69" s="113"/>
      <c r="F69" s="113"/>
      <c r="G69" s="113"/>
      <c r="H69" s="120"/>
      <c r="I69" s="120"/>
      <c r="J69" s="121"/>
      <c r="K69" s="121"/>
      <c r="L69" s="121"/>
      <c r="M69" s="121"/>
      <c r="N69" s="121"/>
      <c r="O69" s="113"/>
      <c r="P69" s="113"/>
      <c r="Q69" s="113"/>
      <c r="R69" s="113"/>
      <c r="S69" s="113"/>
      <c r="T69" s="115"/>
      <c r="U69" s="295"/>
    </row>
    <row r="70" spans="1:24" s="117" customFormat="1" ht="17.399999999999999">
      <c r="A70" s="126"/>
      <c r="B70" s="297"/>
      <c r="C70" s="297"/>
      <c r="D70" s="127"/>
      <c r="E70" s="127"/>
      <c r="F70" s="127"/>
      <c r="G70" s="298"/>
      <c r="H70" s="298"/>
      <c r="I70" s="298"/>
      <c r="J70" s="299"/>
      <c r="K70" s="299"/>
      <c r="L70" s="299"/>
      <c r="M70" s="299"/>
      <c r="N70" s="299"/>
      <c r="O70" s="127"/>
      <c r="P70" s="127"/>
      <c r="Q70" s="127"/>
      <c r="R70" s="127"/>
      <c r="S70" s="127"/>
      <c r="T70" s="129"/>
      <c r="U70" s="300"/>
    </row>
    <row r="71" spans="1:24" s="117" customFormat="1" ht="17.399999999999999">
      <c r="A71" s="110"/>
      <c r="B71" s="119"/>
      <c r="C71" s="119"/>
      <c r="D71" s="113"/>
      <c r="E71" s="113"/>
      <c r="F71" s="113"/>
      <c r="G71" s="113"/>
      <c r="H71" s="113"/>
      <c r="I71" s="113"/>
      <c r="J71" s="113"/>
      <c r="K71" s="113"/>
      <c r="L71" s="113"/>
      <c r="M71" s="113"/>
      <c r="N71" s="113"/>
      <c r="O71" s="113"/>
      <c r="P71" s="113"/>
      <c r="Q71" s="113"/>
      <c r="R71" s="113"/>
      <c r="S71" s="113"/>
      <c r="T71" s="113"/>
      <c r="U71" s="113"/>
    </row>
    <row r="72" spans="1:24" s="117" customFormat="1" ht="17.399999999999999">
      <c r="A72" s="110"/>
      <c r="B72" s="119"/>
      <c r="C72" s="119"/>
      <c r="D72" s="113"/>
      <c r="E72" s="113"/>
      <c r="F72" s="113"/>
      <c r="G72" s="113"/>
      <c r="H72" s="113"/>
      <c r="I72" s="113"/>
      <c r="J72" s="113"/>
      <c r="K72" s="113"/>
      <c r="L72" s="113"/>
      <c r="M72" s="113"/>
      <c r="N72" s="113"/>
      <c r="O72" s="113"/>
      <c r="P72" s="113"/>
      <c r="Q72" s="113"/>
      <c r="R72" s="113"/>
      <c r="S72" s="113"/>
      <c r="T72" s="113"/>
      <c r="U72" s="113"/>
      <c r="V72" s="113"/>
      <c r="W72" s="113"/>
      <c r="X72" s="113"/>
    </row>
    <row r="73" spans="1:24" s="117" customFormat="1" ht="17.399999999999999">
      <c r="A73" s="110"/>
      <c r="B73" s="119"/>
      <c r="C73" s="119"/>
      <c r="D73" s="113"/>
      <c r="E73" s="113"/>
      <c r="F73" s="113"/>
      <c r="G73" s="113"/>
      <c r="H73" s="113"/>
      <c r="I73" s="113"/>
      <c r="J73" s="113"/>
      <c r="K73" s="113"/>
      <c r="L73" s="113"/>
      <c r="M73" s="113"/>
      <c r="N73" s="113"/>
      <c r="O73" s="113"/>
      <c r="P73" s="113"/>
      <c r="Q73" s="113"/>
      <c r="R73" s="113"/>
      <c r="S73" s="113"/>
      <c r="T73" s="113"/>
      <c r="U73" s="113"/>
      <c r="V73" s="113"/>
      <c r="W73" s="113"/>
      <c r="X73" s="113"/>
    </row>
    <row r="74" spans="1:24" s="117" customFormat="1" ht="17.399999999999999">
      <c r="A74" s="110"/>
      <c r="B74" s="119"/>
      <c r="C74" s="119"/>
      <c r="D74" s="113"/>
      <c r="E74" s="113"/>
      <c r="F74" s="113"/>
      <c r="G74" s="113"/>
      <c r="H74" s="113"/>
      <c r="I74" s="113"/>
      <c r="J74" s="113"/>
      <c r="K74" s="113"/>
      <c r="L74" s="113"/>
      <c r="M74" s="113"/>
      <c r="N74" s="113"/>
      <c r="O74" s="113"/>
      <c r="P74" s="113"/>
      <c r="Q74" s="113"/>
      <c r="R74" s="113"/>
      <c r="S74" s="113"/>
      <c r="T74" s="113"/>
      <c r="U74" s="113"/>
      <c r="V74" s="113"/>
      <c r="W74" s="113"/>
      <c r="X74" s="113"/>
    </row>
    <row r="75" spans="1:24" s="117" customFormat="1" ht="17.399999999999999">
      <c r="A75" s="110"/>
      <c r="B75" s="119"/>
      <c r="C75" s="119"/>
      <c r="D75" s="113"/>
      <c r="E75" s="113"/>
      <c r="F75" s="113"/>
      <c r="G75" s="113"/>
      <c r="H75" s="113"/>
      <c r="I75" s="113"/>
      <c r="J75" s="113"/>
      <c r="K75" s="113"/>
      <c r="L75" s="113"/>
      <c r="M75" s="113"/>
      <c r="N75" s="113"/>
      <c r="O75" s="113"/>
      <c r="P75" s="113"/>
      <c r="Q75" s="113"/>
      <c r="R75" s="113"/>
      <c r="S75" s="113"/>
      <c r="T75" s="113"/>
      <c r="U75" s="113"/>
      <c r="V75" s="113"/>
      <c r="W75" s="113"/>
      <c r="X75" s="113"/>
    </row>
    <row r="76" spans="1:24" s="117" customFormat="1" ht="17.399999999999999">
      <c r="A76" s="110"/>
      <c r="B76" s="119"/>
      <c r="C76" s="119"/>
      <c r="D76" s="113"/>
      <c r="E76" s="113"/>
      <c r="F76" s="113"/>
      <c r="G76" s="113"/>
      <c r="H76" s="113"/>
      <c r="I76" s="113"/>
      <c r="J76" s="113"/>
      <c r="K76" s="113"/>
      <c r="L76" s="113"/>
      <c r="M76" s="113"/>
      <c r="N76" s="113"/>
      <c r="O76" s="113"/>
      <c r="P76" s="113"/>
      <c r="Q76" s="113"/>
      <c r="R76" s="113"/>
      <c r="S76" s="113"/>
      <c r="T76" s="113"/>
      <c r="U76" s="113"/>
      <c r="V76" s="113"/>
      <c r="W76" s="113"/>
      <c r="X76" s="113"/>
    </row>
    <row r="77" spans="1:24" s="117" customFormat="1" ht="17.399999999999999">
      <c r="A77" s="110"/>
      <c r="B77" s="119"/>
      <c r="C77" s="119"/>
      <c r="D77" s="113"/>
      <c r="E77" s="113"/>
      <c r="F77" s="113"/>
      <c r="G77" s="113"/>
      <c r="H77" s="113"/>
      <c r="I77" s="113"/>
      <c r="J77" s="113"/>
      <c r="K77" s="113"/>
      <c r="L77" s="113"/>
      <c r="M77" s="113"/>
      <c r="N77" s="113"/>
      <c r="O77" s="113"/>
      <c r="P77" s="113"/>
      <c r="Q77" s="113"/>
      <c r="R77" s="113"/>
      <c r="S77" s="113"/>
      <c r="T77" s="113"/>
      <c r="U77" s="113"/>
      <c r="V77" s="113"/>
      <c r="W77" s="113"/>
      <c r="X77" s="113"/>
    </row>
    <row r="78" spans="1:24" s="117" customFormat="1" ht="17.399999999999999">
      <c r="A78" s="110"/>
      <c r="B78" s="119"/>
      <c r="C78" s="118"/>
      <c r="D78" s="113"/>
      <c r="E78" s="113"/>
      <c r="F78" s="113"/>
      <c r="G78" s="113"/>
      <c r="H78" s="113"/>
      <c r="I78" s="113"/>
      <c r="J78" s="113"/>
      <c r="K78" s="113"/>
      <c r="L78" s="113"/>
      <c r="M78" s="113"/>
      <c r="N78" s="113"/>
      <c r="O78" s="113"/>
      <c r="P78" s="113"/>
      <c r="Q78" s="113"/>
      <c r="R78" s="113"/>
      <c r="S78" s="113"/>
      <c r="T78" s="113"/>
      <c r="U78" s="113"/>
      <c r="V78" s="113"/>
      <c r="W78" s="113"/>
      <c r="X78" s="113"/>
    </row>
    <row r="79" spans="1:24" s="117" customFormat="1" ht="17.399999999999999">
      <c r="A79" s="110"/>
      <c r="B79" s="118"/>
      <c r="C79" s="118"/>
      <c r="D79" s="113"/>
      <c r="E79" s="113"/>
      <c r="F79" s="113"/>
      <c r="G79" s="113"/>
      <c r="H79" s="113"/>
      <c r="I79" s="113"/>
      <c r="J79" s="113"/>
      <c r="K79" s="113"/>
      <c r="L79" s="113"/>
      <c r="M79" s="113"/>
      <c r="N79" s="113"/>
      <c r="O79" s="113"/>
      <c r="P79" s="113"/>
      <c r="Q79" s="113"/>
      <c r="R79" s="113"/>
      <c r="S79" s="113"/>
      <c r="T79" s="113"/>
      <c r="U79" s="113"/>
      <c r="V79" s="113"/>
      <c r="W79" s="113"/>
      <c r="X79" s="113"/>
    </row>
    <row r="80" spans="1:24" s="117" customFormat="1" ht="17.399999999999999">
      <c r="A80" s="110"/>
      <c r="B80" s="111"/>
      <c r="C80" s="112"/>
      <c r="D80" s="113"/>
      <c r="E80" s="105"/>
      <c r="F80" s="105"/>
      <c r="G80" s="113"/>
      <c r="H80" s="113"/>
      <c r="I80" s="113"/>
      <c r="J80" s="113"/>
      <c r="K80" s="113"/>
      <c r="L80" s="113"/>
      <c r="M80" s="113"/>
      <c r="N80" s="113"/>
      <c r="O80" s="113"/>
      <c r="P80" s="113"/>
      <c r="Q80" s="113"/>
      <c r="R80" s="113"/>
      <c r="S80" s="113"/>
      <c r="T80" s="113"/>
      <c r="U80" s="113"/>
      <c r="V80" s="113"/>
      <c r="W80" s="113"/>
      <c r="X80" s="113"/>
    </row>
    <row r="81" spans="1:21" s="117" customFormat="1" ht="17.399999999999999">
      <c r="A81" s="110"/>
      <c r="B81" s="119"/>
      <c r="C81" s="119"/>
      <c r="D81" s="113"/>
      <c r="E81" s="113"/>
      <c r="F81" s="113"/>
      <c r="G81" s="113"/>
      <c r="H81" s="113"/>
      <c r="I81" s="113"/>
      <c r="J81" s="113"/>
      <c r="K81" s="113"/>
      <c r="L81" s="113"/>
      <c r="M81" s="113"/>
      <c r="N81" s="113"/>
      <c r="O81" s="113"/>
      <c r="P81" s="113"/>
      <c r="Q81" s="113"/>
      <c r="R81" s="113"/>
      <c r="S81" s="113"/>
      <c r="T81" s="41"/>
      <c r="U81" s="288"/>
    </row>
    <row r="82" spans="1:21" s="117" customFormat="1" ht="17.399999999999999">
      <c r="A82" s="110"/>
      <c r="B82" s="119"/>
      <c r="C82" s="119"/>
      <c r="D82" s="113"/>
      <c r="E82" s="113"/>
      <c r="F82" s="113"/>
      <c r="G82" s="113"/>
      <c r="H82" s="113"/>
      <c r="I82" s="113"/>
      <c r="J82" s="113"/>
      <c r="K82" s="113"/>
      <c r="L82" s="113"/>
      <c r="M82" s="113"/>
      <c r="N82" s="113"/>
      <c r="O82" s="113"/>
      <c r="P82" s="113"/>
      <c r="Q82" s="113"/>
      <c r="R82" s="113"/>
      <c r="S82" s="113"/>
      <c r="T82" s="41"/>
      <c r="U82" s="289"/>
    </row>
    <row r="83" spans="1:21" s="117" customFormat="1" ht="17.399999999999999">
      <c r="A83" s="110"/>
      <c r="B83" s="119"/>
      <c r="C83" s="119"/>
      <c r="D83" s="113"/>
      <c r="E83" s="113"/>
      <c r="F83" s="113"/>
      <c r="G83" s="113"/>
      <c r="H83" s="113"/>
      <c r="I83" s="113"/>
      <c r="J83" s="113"/>
      <c r="K83" s="113"/>
      <c r="L83" s="113"/>
      <c r="M83" s="113"/>
      <c r="N83" s="113"/>
      <c r="O83" s="113"/>
      <c r="P83" s="113"/>
      <c r="Q83" s="113"/>
      <c r="R83" s="113"/>
      <c r="S83" s="113"/>
      <c r="T83" s="41"/>
      <c r="U83" s="289"/>
    </row>
    <row r="84" spans="1:21" s="117" customFormat="1" ht="17.399999999999999">
      <c r="A84" s="110"/>
      <c r="B84" s="119"/>
      <c r="C84" s="119"/>
      <c r="D84" s="113"/>
      <c r="E84" s="113"/>
      <c r="F84" s="113"/>
      <c r="G84" s="113"/>
      <c r="H84" s="113"/>
      <c r="I84" s="113"/>
      <c r="J84" s="113"/>
      <c r="K84" s="113"/>
      <c r="L84" s="113"/>
      <c r="M84" s="113"/>
      <c r="N84" s="113"/>
      <c r="O84" s="113"/>
      <c r="P84" s="113"/>
      <c r="Q84" s="113"/>
      <c r="R84" s="113"/>
      <c r="S84" s="113"/>
      <c r="T84" s="41"/>
      <c r="U84" s="289"/>
    </row>
    <row r="85" spans="1:21" s="117" customFormat="1" ht="17.399999999999999">
      <c r="A85" s="110"/>
      <c r="B85" s="119"/>
      <c r="C85" s="119"/>
      <c r="D85" s="113"/>
      <c r="E85" s="113"/>
      <c r="F85" s="113"/>
      <c r="G85" s="113"/>
      <c r="H85" s="113"/>
      <c r="I85" s="113"/>
      <c r="J85" s="113"/>
      <c r="K85" s="113"/>
      <c r="L85" s="113"/>
      <c r="M85" s="113"/>
      <c r="N85" s="113"/>
      <c r="O85" s="113"/>
      <c r="P85" s="113"/>
      <c r="Q85" s="113"/>
      <c r="R85" s="113"/>
      <c r="S85" s="113"/>
      <c r="T85" s="41"/>
      <c r="U85" s="289"/>
    </row>
    <row r="86" spans="1:21" s="117" customFormat="1" ht="17.399999999999999">
      <c r="A86" s="110"/>
      <c r="B86" s="119"/>
      <c r="C86" s="119"/>
      <c r="D86" s="113"/>
      <c r="E86" s="113"/>
      <c r="F86" s="113"/>
      <c r="G86" s="113"/>
      <c r="H86" s="113"/>
      <c r="I86" s="113"/>
      <c r="J86" s="113"/>
      <c r="K86" s="113"/>
      <c r="L86" s="113"/>
      <c r="M86" s="113"/>
      <c r="N86" s="113"/>
      <c r="O86" s="113"/>
      <c r="P86" s="113"/>
      <c r="Q86" s="113"/>
      <c r="R86" s="113"/>
      <c r="S86" s="113"/>
      <c r="T86" s="41"/>
      <c r="U86" s="289"/>
    </row>
    <row r="87" spans="1:21" s="117" customFormat="1" ht="17.399999999999999">
      <c r="A87" s="110"/>
      <c r="B87" s="119"/>
      <c r="C87" s="119"/>
      <c r="D87" s="113"/>
      <c r="E87" s="113"/>
      <c r="F87" s="113"/>
      <c r="G87" s="113"/>
      <c r="H87" s="113"/>
      <c r="I87" s="113"/>
      <c r="J87" s="113"/>
      <c r="K87" s="113"/>
      <c r="L87" s="113"/>
      <c r="M87" s="113"/>
      <c r="N87" s="113"/>
      <c r="O87" s="113"/>
      <c r="P87" s="113"/>
      <c r="Q87" s="113"/>
      <c r="R87" s="113"/>
      <c r="S87" s="113"/>
      <c r="T87" s="41"/>
      <c r="U87" s="289"/>
    </row>
    <row r="88" spans="1:21" s="117" customFormat="1" ht="17.399999999999999">
      <c r="A88" s="110"/>
      <c r="B88" s="119"/>
      <c r="C88" s="119"/>
      <c r="D88" s="113"/>
      <c r="E88" s="113"/>
      <c r="F88" s="113"/>
      <c r="G88" s="113"/>
      <c r="H88" s="113"/>
      <c r="I88" s="113"/>
      <c r="J88" s="113"/>
      <c r="K88" s="113"/>
      <c r="L88" s="113"/>
      <c r="M88" s="113"/>
      <c r="N88" s="113"/>
      <c r="O88" s="113"/>
      <c r="P88" s="113"/>
      <c r="Q88" s="113"/>
      <c r="R88" s="113"/>
      <c r="S88" s="113"/>
      <c r="T88" s="41"/>
      <c r="U88" s="289"/>
    </row>
    <row r="89" spans="1:21" s="117" customFormat="1" ht="17.399999999999999">
      <c r="A89" s="110"/>
      <c r="B89" s="119"/>
      <c r="C89" s="119"/>
      <c r="D89" s="113"/>
      <c r="E89" s="113"/>
      <c r="F89" s="113"/>
      <c r="G89" s="113"/>
      <c r="H89" s="113"/>
      <c r="I89" s="113"/>
      <c r="J89" s="113"/>
      <c r="K89" s="113"/>
      <c r="L89" s="113"/>
      <c r="M89" s="113"/>
      <c r="N89" s="113"/>
      <c r="O89" s="113"/>
      <c r="P89" s="113"/>
      <c r="Q89" s="113"/>
      <c r="R89" s="113"/>
      <c r="S89" s="113"/>
      <c r="T89" s="41"/>
      <c r="U89" s="289"/>
    </row>
    <row r="90" spans="1:21" s="117" customFormat="1" ht="17.399999999999999">
      <c r="A90" s="110"/>
      <c r="B90" s="119"/>
      <c r="C90" s="119"/>
      <c r="D90" s="113"/>
      <c r="E90" s="113"/>
      <c r="F90" s="113"/>
      <c r="G90" s="113"/>
      <c r="H90" s="113"/>
      <c r="I90" s="113"/>
      <c r="J90" s="113"/>
      <c r="K90" s="113"/>
      <c r="L90" s="113"/>
      <c r="M90" s="113"/>
      <c r="N90" s="113"/>
      <c r="O90" s="113"/>
      <c r="P90" s="113"/>
      <c r="Q90" s="113"/>
      <c r="R90" s="113"/>
      <c r="S90" s="113"/>
      <c r="T90" s="41"/>
      <c r="U90" s="289"/>
    </row>
    <row r="91" spans="1:21" s="117" customFormat="1" ht="17.399999999999999">
      <c r="A91" s="110"/>
      <c r="B91" s="119"/>
      <c r="C91" s="119"/>
      <c r="D91" s="113"/>
      <c r="E91" s="113"/>
      <c r="F91" s="113"/>
      <c r="G91" s="113"/>
      <c r="H91" s="113"/>
      <c r="I91" s="113"/>
      <c r="J91" s="113"/>
      <c r="K91" s="113"/>
      <c r="L91" s="113"/>
      <c r="M91" s="113"/>
      <c r="N91" s="113"/>
      <c r="O91" s="113"/>
      <c r="P91" s="113"/>
      <c r="Q91" s="113"/>
      <c r="R91" s="113"/>
      <c r="S91" s="113"/>
      <c r="T91" s="41"/>
      <c r="U91" s="289"/>
    </row>
    <row r="92" spans="1:21" s="117" customFormat="1" ht="17.399999999999999">
      <c r="A92" s="110"/>
      <c r="B92" s="119"/>
      <c r="C92" s="119"/>
      <c r="D92" s="113"/>
      <c r="E92" s="113"/>
      <c r="F92" s="113"/>
      <c r="G92" s="113"/>
      <c r="H92" s="113"/>
      <c r="I92" s="113"/>
      <c r="J92" s="113"/>
      <c r="K92" s="113"/>
      <c r="L92" s="113"/>
      <c r="M92" s="113"/>
      <c r="N92" s="113"/>
      <c r="O92" s="113"/>
      <c r="P92" s="113"/>
      <c r="Q92" s="113"/>
      <c r="R92" s="113"/>
      <c r="S92" s="113"/>
      <c r="T92" s="41"/>
      <c r="U92" s="289"/>
    </row>
    <row r="93" spans="1:21" s="117" customFormat="1" ht="17.399999999999999">
      <c r="A93" s="110"/>
      <c r="B93" s="119"/>
      <c r="C93" s="119"/>
      <c r="D93" s="113"/>
      <c r="E93" s="113"/>
      <c r="F93" s="113"/>
      <c r="G93" s="113"/>
      <c r="H93" s="113"/>
      <c r="I93" s="113"/>
      <c r="J93" s="113"/>
      <c r="K93" s="113"/>
      <c r="L93" s="113"/>
      <c r="M93" s="113"/>
      <c r="N93" s="113"/>
      <c r="O93" s="113"/>
      <c r="P93" s="113"/>
      <c r="Q93" s="113"/>
      <c r="R93" s="113"/>
      <c r="S93" s="113"/>
      <c r="T93" s="41"/>
      <c r="U93" s="289"/>
    </row>
    <row r="94" spans="1:21" s="117" customFormat="1" ht="17.399999999999999">
      <c r="A94" s="110"/>
      <c r="B94" s="119"/>
      <c r="C94" s="119"/>
      <c r="D94" s="113"/>
      <c r="E94" s="113"/>
      <c r="F94" s="113"/>
      <c r="G94" s="113"/>
      <c r="H94" s="113"/>
      <c r="I94" s="113"/>
      <c r="J94" s="113"/>
      <c r="K94" s="113"/>
      <c r="L94" s="113"/>
      <c r="M94" s="113"/>
      <c r="N94" s="113"/>
      <c r="O94" s="113"/>
      <c r="P94" s="113"/>
      <c r="Q94" s="113"/>
      <c r="R94" s="113"/>
      <c r="S94" s="113"/>
      <c r="T94" s="41"/>
      <c r="U94" s="289"/>
    </row>
    <row r="95" spans="1:21" s="117" customFormat="1" ht="17.399999999999999">
      <c r="A95" s="110"/>
      <c r="B95" s="119"/>
      <c r="C95" s="118"/>
      <c r="D95" s="113"/>
      <c r="E95" s="113"/>
      <c r="F95" s="113"/>
      <c r="G95" s="113"/>
      <c r="H95" s="113"/>
      <c r="I95" s="113"/>
      <c r="J95" s="113"/>
      <c r="K95" s="113"/>
      <c r="L95" s="113"/>
      <c r="M95" s="113"/>
      <c r="N95" s="113"/>
      <c r="O95" s="113"/>
      <c r="P95" s="113"/>
      <c r="Q95" s="113"/>
      <c r="R95" s="113"/>
      <c r="S95" s="113"/>
      <c r="T95" s="41"/>
      <c r="U95" s="289"/>
    </row>
    <row r="96" spans="1:21" s="117" customFormat="1" ht="17.399999999999999">
      <c r="A96" s="110"/>
      <c r="B96" s="118"/>
      <c r="C96" s="118"/>
      <c r="D96" s="113"/>
      <c r="E96" s="113"/>
      <c r="F96" s="113"/>
      <c r="G96" s="113"/>
      <c r="H96" s="113"/>
      <c r="I96" s="113"/>
      <c r="J96" s="113"/>
      <c r="K96" s="113"/>
      <c r="L96" s="113"/>
      <c r="M96" s="113"/>
      <c r="N96" s="113"/>
      <c r="O96" s="113"/>
      <c r="P96" s="113"/>
      <c r="Q96" s="113"/>
      <c r="R96" s="113"/>
      <c r="S96" s="113"/>
      <c r="T96" s="41"/>
      <c r="U96" s="289"/>
    </row>
    <row r="97" spans="1:21" s="117" customFormat="1" ht="17.399999999999999">
      <c r="A97" s="110"/>
      <c r="B97" s="112"/>
      <c r="C97" s="112"/>
      <c r="D97" s="113"/>
      <c r="E97" s="105"/>
      <c r="F97" s="105"/>
      <c r="G97" s="113"/>
      <c r="H97" s="113"/>
      <c r="I97" s="113"/>
      <c r="J97" s="113"/>
      <c r="K97" s="113"/>
      <c r="L97" s="113"/>
      <c r="M97" s="113"/>
      <c r="N97" s="113"/>
      <c r="O97" s="113"/>
      <c r="P97" s="113"/>
      <c r="Q97" s="113"/>
      <c r="R97" s="113"/>
      <c r="S97" s="113"/>
      <c r="T97" s="41"/>
      <c r="U97" s="289"/>
    </row>
    <row r="98" spans="1:21" s="117" customFormat="1" ht="17.399999999999999">
      <c r="A98" s="110"/>
      <c r="B98" s="113"/>
      <c r="C98" s="113"/>
      <c r="D98" s="113"/>
      <c r="E98" s="113"/>
      <c r="F98" s="113"/>
      <c r="G98" s="113"/>
      <c r="H98" s="113"/>
      <c r="I98" s="113"/>
      <c r="J98" s="113"/>
      <c r="K98" s="113"/>
      <c r="L98" s="113"/>
      <c r="M98" s="113"/>
      <c r="N98" s="113"/>
      <c r="O98" s="113"/>
      <c r="P98" s="113"/>
      <c r="Q98" s="113"/>
      <c r="R98" s="113"/>
      <c r="S98" s="113"/>
      <c r="T98" s="41"/>
      <c r="U98" s="289"/>
    </row>
    <row r="99" spans="1:21" s="117" customFormat="1" ht="17.399999999999999">
      <c r="A99" s="110"/>
      <c r="B99" s="119"/>
      <c r="C99" s="119"/>
      <c r="D99" s="113"/>
      <c r="E99" s="113"/>
      <c r="F99" s="113"/>
      <c r="G99" s="113"/>
      <c r="H99" s="113"/>
      <c r="I99" s="113"/>
      <c r="J99" s="113"/>
      <c r="K99" s="113"/>
      <c r="L99" s="113"/>
      <c r="M99" s="113"/>
      <c r="N99" s="113"/>
      <c r="O99" s="113"/>
      <c r="P99" s="113"/>
      <c r="Q99" s="113"/>
      <c r="R99" s="113"/>
      <c r="S99" s="113"/>
      <c r="T99" s="41"/>
      <c r="U99" s="289"/>
    </row>
    <row r="100" spans="1:21" s="117" customFormat="1" ht="17.399999999999999">
      <c r="A100" s="110"/>
      <c r="B100" s="119"/>
      <c r="C100" s="119"/>
      <c r="D100" s="113"/>
      <c r="E100" s="113"/>
      <c r="F100" s="113"/>
      <c r="G100" s="113"/>
      <c r="H100" s="113"/>
      <c r="I100" s="113"/>
      <c r="J100" s="113"/>
      <c r="K100" s="113"/>
      <c r="L100" s="113"/>
      <c r="M100" s="113"/>
      <c r="N100" s="113"/>
      <c r="O100" s="113"/>
      <c r="P100" s="113"/>
      <c r="Q100" s="113"/>
      <c r="R100" s="113"/>
      <c r="S100" s="113"/>
      <c r="T100" s="41"/>
      <c r="U100" s="289"/>
    </row>
    <row r="101" spans="1:21" s="117" customFormat="1" ht="17.399999999999999">
      <c r="A101" s="110"/>
      <c r="B101" s="119"/>
      <c r="C101" s="119"/>
      <c r="D101" s="113"/>
      <c r="E101" s="113"/>
      <c r="F101" s="113"/>
      <c r="G101" s="113"/>
      <c r="H101" s="113"/>
      <c r="I101" s="113"/>
      <c r="J101" s="113"/>
      <c r="K101" s="113"/>
      <c r="L101" s="113"/>
      <c r="M101" s="113"/>
      <c r="N101" s="113"/>
      <c r="O101" s="113"/>
      <c r="P101" s="113"/>
      <c r="Q101" s="113"/>
      <c r="R101" s="113"/>
      <c r="S101" s="113"/>
      <c r="T101" s="41"/>
      <c r="U101" s="289"/>
    </row>
    <row r="102" spans="1:21" s="117" customFormat="1" ht="17.399999999999999">
      <c r="A102" s="110"/>
      <c r="B102" s="119"/>
      <c r="C102" s="119"/>
      <c r="D102" s="113"/>
      <c r="E102" s="113"/>
      <c r="F102" s="113"/>
      <c r="G102" s="113"/>
      <c r="H102" s="113"/>
      <c r="I102" s="113"/>
      <c r="J102" s="113"/>
      <c r="K102" s="113"/>
      <c r="L102" s="113"/>
      <c r="M102" s="113"/>
      <c r="N102" s="113"/>
      <c r="O102" s="113"/>
      <c r="P102" s="113"/>
      <c r="Q102" s="113"/>
      <c r="R102" s="113"/>
      <c r="S102" s="113"/>
      <c r="T102" s="41"/>
      <c r="U102" s="289"/>
    </row>
    <row r="103" spans="1:21" s="117" customFormat="1" ht="17.399999999999999">
      <c r="A103" s="110"/>
      <c r="B103" s="119"/>
      <c r="C103" s="119"/>
      <c r="D103" s="113"/>
      <c r="E103" s="113"/>
      <c r="F103" s="113"/>
      <c r="G103" s="113"/>
      <c r="H103" s="113"/>
      <c r="I103" s="113"/>
      <c r="J103" s="113"/>
      <c r="K103" s="113"/>
      <c r="L103" s="113"/>
      <c r="M103" s="113"/>
      <c r="N103" s="113"/>
      <c r="O103" s="113"/>
      <c r="P103" s="113"/>
      <c r="Q103" s="113"/>
      <c r="R103" s="113"/>
      <c r="S103" s="113"/>
      <c r="T103"/>
      <c r="U103" s="289"/>
    </row>
    <row r="104" spans="1:21" s="41" customFormat="1" ht="17.399999999999999">
      <c r="G104" s="113"/>
      <c r="H104" s="113"/>
      <c r="I104" s="113"/>
      <c r="J104" s="113"/>
      <c r="K104" s="113"/>
      <c r="L104" s="113"/>
      <c r="M104" s="113"/>
      <c r="N104" s="113"/>
      <c r="O104" s="113"/>
      <c r="P104" s="113"/>
      <c r="Q104" s="113"/>
      <c r="R104" s="113"/>
      <c r="S104" s="113"/>
      <c r="T104"/>
      <c r="U104" s="290"/>
    </row>
    <row r="105" spans="1:21" s="41" customFormat="1" ht="17.399999999999999">
      <c r="T105"/>
      <c r="U105" s="290"/>
    </row>
    <row r="106" spans="1:21" s="41" customFormat="1" ht="17.399999999999999">
      <c r="T106"/>
      <c r="U106" s="290"/>
    </row>
    <row r="107" spans="1:21" s="41" customFormat="1" ht="17.399999999999999">
      <c r="T107"/>
      <c r="U107" s="290"/>
    </row>
    <row r="108" spans="1:21" s="41" customFormat="1" ht="17.399999999999999">
      <c r="T108"/>
      <c r="U108" s="290"/>
    </row>
    <row r="109" spans="1:21" s="41" customFormat="1" ht="17.399999999999999">
      <c r="T109"/>
      <c r="U109" s="290"/>
    </row>
    <row r="110" spans="1:21" s="41" customFormat="1" ht="17.399999999999999">
      <c r="T110"/>
      <c r="U110" s="290"/>
    </row>
    <row r="111" spans="1:21" s="41" customFormat="1" ht="17.399999999999999">
      <c r="T111"/>
      <c r="U111" s="290"/>
    </row>
    <row r="112" spans="1:21" s="41" customFormat="1" ht="17.399999999999999">
      <c r="T112"/>
      <c r="U112" s="290"/>
    </row>
    <row r="113" spans="20:21" s="41" customFormat="1" ht="17.399999999999999">
      <c r="T113"/>
      <c r="U113" s="290"/>
    </row>
    <row r="114" spans="20:21" s="41" customFormat="1" ht="17.399999999999999">
      <c r="T114"/>
      <c r="U114" s="290"/>
    </row>
    <row r="115" spans="20:21" s="41" customFormat="1" ht="17.399999999999999">
      <c r="T115"/>
      <c r="U115" s="290"/>
    </row>
    <row r="116" spans="20:21" s="41" customFormat="1" ht="17.399999999999999">
      <c r="T116"/>
      <c r="U116" s="290"/>
    </row>
    <row r="117" spans="20:21" s="41" customFormat="1" ht="17.399999999999999">
      <c r="T117"/>
      <c r="U117" s="290"/>
    </row>
    <row r="118" spans="20:21" s="41" customFormat="1" ht="17.399999999999999">
      <c r="T118"/>
      <c r="U118" s="290"/>
    </row>
    <row r="119" spans="20:21" s="41" customFormat="1" ht="17.399999999999999">
      <c r="T119"/>
      <c r="U119" s="290"/>
    </row>
    <row r="120" spans="20:21" s="41" customFormat="1" ht="17.399999999999999">
      <c r="T120"/>
      <c r="U120" s="290"/>
    </row>
    <row r="121" spans="20:21" s="41" customFormat="1" ht="17.399999999999999">
      <c r="T121"/>
      <c r="U121" s="290"/>
    </row>
    <row r="122" spans="20:21" s="41" customFormat="1" ht="17.399999999999999">
      <c r="T122"/>
      <c r="U122" s="290"/>
    </row>
    <row r="123" spans="20:21" s="41" customFormat="1" ht="17.399999999999999">
      <c r="T123"/>
      <c r="U123" s="290"/>
    </row>
    <row r="124" spans="20:21" s="41" customFormat="1" ht="17.399999999999999">
      <c r="T124"/>
      <c r="U124" s="290"/>
    </row>
  </sheetData>
  <pageMargins left="0.70866141732283472" right="0.70866141732283472" top="0.74803149606299213" bottom="0.74803149606299213" header="0.31496062992125984" footer="0.31496062992125984"/>
  <pageSetup paperSize="9" scale="39" orientation="landscape" r:id="rId1"/>
  <headerFooter>
    <oddFooter>&amp;LPL14L012 CIS v3.5
Ofwat, February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104"/>
  <sheetViews>
    <sheetView showGridLines="0" topLeftCell="A58" zoomScale="80" zoomScaleNormal="80" workbookViewId="0">
      <selection activeCell="A3" sqref="A3"/>
    </sheetView>
  </sheetViews>
  <sheetFormatPr defaultColWidth="9.109375" defaultRowHeight="13.2"/>
  <cols>
    <col min="1" max="6" width="9.6640625" style="304" customWidth="1"/>
    <col min="7" max="7" width="12.109375" style="304" customWidth="1"/>
    <col min="8" max="21" width="9.6640625" style="304" customWidth="1"/>
    <col min="22" max="26" width="7.6640625" style="304" customWidth="1"/>
    <col min="27" max="27" width="3.44140625" style="304" customWidth="1"/>
    <col min="28" max="32" width="7.6640625" style="304" customWidth="1"/>
    <col min="33" max="16384" width="9.109375" style="304"/>
  </cols>
  <sheetData>
    <row r="1" spans="1:23" ht="24.6">
      <c r="A1" s="778" t="s">
        <v>364</v>
      </c>
      <c r="B1" s="778"/>
      <c r="C1" s="778"/>
      <c r="D1" s="778"/>
      <c r="E1" s="778"/>
      <c r="F1" s="778"/>
      <c r="G1" s="778"/>
      <c r="H1" s="778"/>
      <c r="I1" s="778"/>
      <c r="J1" s="778"/>
      <c r="K1" s="778"/>
      <c r="L1" s="778"/>
      <c r="M1" s="778"/>
      <c r="N1" s="778"/>
      <c r="O1" s="778"/>
      <c r="P1" s="778"/>
      <c r="Q1" s="778"/>
      <c r="R1" s="778"/>
      <c r="S1" s="778"/>
      <c r="T1" s="316"/>
      <c r="U1" s="316"/>
    </row>
    <row r="2" spans="1:23" ht="22.5" customHeight="1">
      <c r="A2" s="307"/>
      <c r="B2" s="352"/>
      <c r="C2" s="307"/>
      <c r="D2" s="307"/>
      <c r="E2" s="307"/>
      <c r="F2" s="307"/>
      <c r="G2" s="307"/>
      <c r="H2" s="307"/>
      <c r="I2" s="307"/>
      <c r="J2" s="307"/>
      <c r="K2" s="307"/>
      <c r="L2" s="307"/>
      <c r="M2" s="307"/>
      <c r="N2" s="307"/>
      <c r="O2" s="307"/>
      <c r="P2" s="307"/>
      <c r="Q2" s="307"/>
      <c r="R2" s="307"/>
      <c r="S2" s="306"/>
      <c r="T2" s="305"/>
      <c r="U2" s="305"/>
      <c r="V2" s="305"/>
      <c r="W2" s="305"/>
    </row>
    <row r="3" spans="1:23" ht="18.75" customHeight="1">
      <c r="A3" s="307"/>
      <c r="B3" s="438" t="s">
        <v>344</v>
      </c>
      <c r="C3" s="317"/>
      <c r="D3" s="317"/>
      <c r="E3" s="317"/>
      <c r="F3" s="317"/>
      <c r="G3" s="317"/>
      <c r="H3" s="317"/>
      <c r="I3" s="317"/>
      <c r="J3" s="318"/>
      <c r="K3" s="317"/>
      <c r="L3" s="317"/>
      <c r="M3" s="317"/>
      <c r="N3" s="317"/>
      <c r="O3" s="318"/>
      <c r="P3" s="317"/>
      <c r="Q3" s="317"/>
      <c r="R3" s="319"/>
      <c r="S3" s="311"/>
      <c r="T3" s="310"/>
      <c r="U3" s="310"/>
      <c r="V3" s="305"/>
      <c r="W3" s="305"/>
    </row>
    <row r="4" spans="1:23" ht="14.25" customHeight="1">
      <c r="A4" s="307"/>
      <c r="B4" s="320"/>
      <c r="C4" s="321"/>
      <c r="D4" s="321"/>
      <c r="E4" s="321"/>
      <c r="F4" s="321"/>
      <c r="G4" s="321"/>
      <c r="H4" s="321"/>
      <c r="I4" s="321"/>
      <c r="J4" s="322"/>
      <c r="K4" s="321"/>
      <c r="L4" s="321"/>
      <c r="M4" s="321"/>
      <c r="N4" s="321"/>
      <c r="O4" s="321"/>
      <c r="P4" s="321"/>
      <c r="Q4" s="321"/>
      <c r="R4" s="323"/>
      <c r="S4" s="311"/>
      <c r="T4" s="310"/>
      <c r="U4" s="310"/>
      <c r="V4" s="305"/>
      <c r="W4" s="305"/>
    </row>
    <row r="5" spans="1:23" s="312" customFormat="1" ht="14.25" customHeight="1">
      <c r="A5" s="315"/>
      <c r="B5" s="324" t="s">
        <v>345</v>
      </c>
      <c r="C5" s="325"/>
      <c r="D5" s="325"/>
      <c r="E5" s="325"/>
      <c r="F5" s="325"/>
      <c r="G5" s="325"/>
      <c r="H5" s="326" t="s">
        <v>346</v>
      </c>
      <c r="I5" s="325"/>
      <c r="J5" s="327"/>
      <c r="K5" s="325"/>
      <c r="L5" s="325"/>
      <c r="M5" s="325"/>
      <c r="N5" s="326" t="s">
        <v>347</v>
      </c>
      <c r="O5" s="325"/>
      <c r="P5" s="325"/>
      <c r="Q5" s="325"/>
      <c r="R5" s="328"/>
      <c r="S5" s="314"/>
      <c r="T5" s="313"/>
      <c r="U5" s="313"/>
      <c r="V5" s="313"/>
      <c r="W5" s="313"/>
    </row>
    <row r="6" spans="1:23" s="312" customFormat="1" ht="14.25" customHeight="1">
      <c r="A6" s="315"/>
      <c r="B6" s="324" t="s">
        <v>348</v>
      </c>
      <c r="C6" s="325"/>
      <c r="D6" s="325"/>
      <c r="E6" s="325"/>
      <c r="F6" s="325"/>
      <c r="G6" s="325"/>
      <c r="H6" s="326" t="s">
        <v>349</v>
      </c>
      <c r="I6" s="325"/>
      <c r="J6" s="327"/>
      <c r="K6" s="325"/>
      <c r="L6" s="325"/>
      <c r="M6" s="325"/>
      <c r="N6" s="326" t="s">
        <v>350</v>
      </c>
      <c r="O6" s="325"/>
      <c r="P6" s="325"/>
      <c r="Q6" s="325"/>
      <c r="R6" s="328"/>
      <c r="S6" s="314"/>
      <c r="T6" s="313"/>
      <c r="U6" s="313"/>
      <c r="V6" s="313"/>
      <c r="W6" s="313"/>
    </row>
    <row r="7" spans="1:23" s="312" customFormat="1" ht="14.25" customHeight="1">
      <c r="A7" s="315"/>
      <c r="B7" s="324" t="s">
        <v>351</v>
      </c>
      <c r="C7" s="325"/>
      <c r="D7" s="325"/>
      <c r="E7" s="325"/>
      <c r="F7" s="325"/>
      <c r="G7" s="325"/>
      <c r="H7" s="326" t="s">
        <v>352</v>
      </c>
      <c r="I7" s="325"/>
      <c r="J7" s="327"/>
      <c r="K7" s="325"/>
      <c r="L7" s="325"/>
      <c r="M7" s="325"/>
      <c r="N7" s="325"/>
      <c r="O7" s="325"/>
      <c r="P7" s="325"/>
      <c r="Q7" s="325"/>
      <c r="R7" s="329"/>
      <c r="S7" s="314"/>
      <c r="T7" s="313"/>
      <c r="U7" s="313"/>
      <c r="V7" s="313"/>
      <c r="W7" s="313"/>
    </row>
    <row r="8" spans="1:23" s="312" customFormat="1" ht="14.25" customHeight="1">
      <c r="A8" s="315"/>
      <c r="B8" s="324" t="s">
        <v>353</v>
      </c>
      <c r="C8" s="325"/>
      <c r="D8" s="325"/>
      <c r="E8" s="325"/>
      <c r="F8" s="325"/>
      <c r="G8" s="325"/>
      <c r="H8" s="326" t="s">
        <v>354</v>
      </c>
      <c r="I8" s="325"/>
      <c r="J8" s="327"/>
      <c r="K8" s="325"/>
      <c r="L8" s="325"/>
      <c r="M8" s="325"/>
      <c r="N8" s="325"/>
      <c r="O8" s="325"/>
      <c r="P8" s="325"/>
      <c r="Q8" s="325"/>
      <c r="R8" s="329"/>
      <c r="S8" s="314"/>
      <c r="T8" s="313"/>
      <c r="U8" s="313"/>
      <c r="V8" s="313"/>
      <c r="W8" s="313"/>
    </row>
    <row r="9" spans="1:23" s="312" customFormat="1" ht="14.25" customHeight="1">
      <c r="A9" s="315"/>
      <c r="B9" s="324"/>
      <c r="C9" s="325"/>
      <c r="D9" s="325"/>
      <c r="E9" s="325"/>
      <c r="F9" s="325"/>
      <c r="G9" s="325"/>
      <c r="H9" s="326" t="s">
        <v>355</v>
      </c>
      <c r="I9" s="325"/>
      <c r="J9" s="327"/>
      <c r="K9" s="325"/>
      <c r="L9" s="325"/>
      <c r="M9" s="325"/>
      <c r="N9" s="325"/>
      <c r="O9" s="325"/>
      <c r="P9" s="325"/>
      <c r="Q9" s="325"/>
      <c r="R9" s="329"/>
      <c r="S9" s="314"/>
      <c r="T9" s="313"/>
      <c r="U9" s="313"/>
      <c r="V9" s="313"/>
      <c r="W9" s="313"/>
    </row>
    <row r="10" spans="1:23" ht="14.25" customHeight="1">
      <c r="A10" s="307"/>
      <c r="B10" s="320"/>
      <c r="C10" s="321"/>
      <c r="D10" s="321"/>
      <c r="E10" s="321"/>
      <c r="F10" s="321"/>
      <c r="G10" s="321"/>
      <c r="H10" s="321"/>
      <c r="I10" s="321"/>
      <c r="J10" s="322"/>
      <c r="K10" s="321"/>
      <c r="L10" s="321"/>
      <c r="M10" s="321"/>
      <c r="N10" s="321"/>
      <c r="O10" s="321"/>
      <c r="P10" s="321"/>
      <c r="Q10" s="321"/>
      <c r="R10" s="323"/>
      <c r="S10" s="311"/>
      <c r="T10" s="310"/>
      <c r="U10" s="310"/>
      <c r="V10" s="305"/>
      <c r="W10" s="305"/>
    </row>
    <row r="11" spans="1:23" ht="14.25" customHeight="1">
      <c r="A11" s="307"/>
      <c r="B11" s="330"/>
      <c r="C11" s="331"/>
      <c r="D11" s="331"/>
      <c r="E11" s="331"/>
      <c r="F11" s="331"/>
      <c r="G11" s="331"/>
      <c r="H11" s="331"/>
      <c r="I11" s="331"/>
      <c r="J11" s="331"/>
      <c r="K11" s="331"/>
      <c r="L11" s="331"/>
      <c r="M11" s="331"/>
      <c r="N11" s="331"/>
      <c r="O11" s="331"/>
      <c r="P11" s="331"/>
      <c r="Q11" s="331"/>
      <c r="R11" s="332"/>
      <c r="S11" s="311"/>
      <c r="T11" s="310"/>
      <c r="U11" s="310"/>
      <c r="V11" s="305"/>
      <c r="W11" s="305"/>
    </row>
    <row r="12" spans="1:23" ht="12" customHeight="1">
      <c r="A12" s="307"/>
      <c r="B12" s="309"/>
      <c r="C12" s="307"/>
      <c r="D12" s="307"/>
      <c r="E12" s="307"/>
      <c r="F12" s="307"/>
      <c r="G12" s="307"/>
      <c r="H12" s="307"/>
      <c r="I12" s="307"/>
      <c r="J12" s="307"/>
      <c r="K12" s="307"/>
      <c r="L12" s="307"/>
      <c r="M12" s="307"/>
      <c r="N12" s="307"/>
      <c r="O12" s="307"/>
      <c r="P12" s="307"/>
      <c r="Q12" s="307"/>
      <c r="R12" s="307"/>
      <c r="S12" s="306"/>
      <c r="T12" s="305"/>
      <c r="U12" s="305"/>
      <c r="V12" s="305"/>
    </row>
    <row r="13" spans="1:23" ht="14.25" customHeight="1">
      <c r="A13" s="307"/>
      <c r="B13" s="439" t="s">
        <v>356</v>
      </c>
      <c r="C13" s="340"/>
      <c r="D13" s="340"/>
      <c r="E13" s="340"/>
      <c r="F13" s="340"/>
      <c r="G13" s="340"/>
      <c r="H13" s="340"/>
      <c r="I13" s="340"/>
      <c r="J13" s="340"/>
      <c r="K13" s="340"/>
      <c r="L13" s="340"/>
      <c r="M13" s="340"/>
      <c r="N13" s="340"/>
      <c r="O13" s="340"/>
      <c r="P13" s="340"/>
      <c r="Q13" s="340"/>
      <c r="R13" s="341"/>
      <c r="S13" s="306"/>
      <c r="T13" s="305"/>
      <c r="U13" s="305"/>
      <c r="V13" s="305"/>
    </row>
    <row r="14" spans="1:23" ht="14.25" customHeight="1">
      <c r="A14" s="307"/>
      <c r="B14" s="342"/>
      <c r="C14" s="343"/>
      <c r="D14" s="343"/>
      <c r="E14" s="343"/>
      <c r="F14" s="343"/>
      <c r="G14" s="343"/>
      <c r="H14" s="343"/>
      <c r="I14" s="343"/>
      <c r="J14" s="343"/>
      <c r="K14" s="343"/>
      <c r="L14" s="343"/>
      <c r="M14" s="343"/>
      <c r="N14" s="343"/>
      <c r="O14" s="343"/>
      <c r="P14" s="343"/>
      <c r="Q14" s="343"/>
      <c r="R14" s="344"/>
      <c r="S14" s="306"/>
      <c r="T14" s="305"/>
      <c r="U14" s="305"/>
      <c r="V14" s="305"/>
    </row>
    <row r="15" spans="1:23" ht="14.25" customHeight="1">
      <c r="A15" s="307"/>
      <c r="B15" s="345"/>
      <c r="C15" s="343"/>
      <c r="D15" s="343"/>
      <c r="E15" s="343"/>
      <c r="F15" s="343"/>
      <c r="G15" s="343"/>
      <c r="H15" s="343"/>
      <c r="I15" s="343"/>
      <c r="J15" s="343"/>
      <c r="K15" s="343"/>
      <c r="L15" s="343"/>
      <c r="M15" s="343"/>
      <c r="N15" s="343"/>
      <c r="O15" s="343"/>
      <c r="P15" s="343"/>
      <c r="Q15" s="343"/>
      <c r="R15" s="344"/>
      <c r="S15" s="306"/>
      <c r="T15" s="305"/>
      <c r="U15" s="305"/>
      <c r="V15" s="305"/>
    </row>
    <row r="16" spans="1:23" ht="14.25" customHeight="1">
      <c r="A16" s="307"/>
      <c r="B16" s="345"/>
      <c r="C16" s="343"/>
      <c r="D16" s="343"/>
      <c r="E16" s="343"/>
      <c r="F16" s="343"/>
      <c r="G16" s="343"/>
      <c r="H16" s="343"/>
      <c r="I16" s="343"/>
      <c r="J16" s="343"/>
      <c r="K16" s="343"/>
      <c r="L16" s="343"/>
      <c r="M16" s="343"/>
      <c r="N16" s="343"/>
      <c r="O16" s="343"/>
      <c r="P16" s="343"/>
      <c r="Q16" s="343"/>
      <c r="R16" s="344"/>
      <c r="S16" s="306"/>
      <c r="T16" s="305"/>
      <c r="U16" s="305"/>
      <c r="V16" s="305"/>
    </row>
    <row r="17" spans="1:22" ht="14.25" customHeight="1">
      <c r="A17" s="307"/>
      <c r="B17" s="345"/>
      <c r="C17" s="343"/>
      <c r="D17" s="343"/>
      <c r="E17" s="343"/>
      <c r="F17" s="343"/>
      <c r="G17" s="343"/>
      <c r="H17" s="343"/>
      <c r="I17" s="343"/>
      <c r="J17" s="343"/>
      <c r="K17" s="343"/>
      <c r="L17" s="343"/>
      <c r="M17" s="343"/>
      <c r="N17" s="343"/>
      <c r="O17" s="343"/>
      <c r="P17" s="343"/>
      <c r="Q17" s="343"/>
      <c r="R17" s="344"/>
      <c r="S17" s="306"/>
      <c r="T17" s="305"/>
      <c r="U17" s="305"/>
      <c r="V17" s="305"/>
    </row>
    <row r="18" spans="1:22" ht="14.25" customHeight="1">
      <c r="A18" s="307"/>
      <c r="B18" s="345"/>
      <c r="C18" s="343"/>
      <c r="D18" s="343"/>
      <c r="E18" s="343"/>
      <c r="F18" s="343"/>
      <c r="G18" s="343"/>
      <c r="H18" s="343"/>
      <c r="I18" s="343"/>
      <c r="J18" s="343"/>
      <c r="K18" s="343"/>
      <c r="L18" s="343"/>
      <c r="M18" s="343"/>
      <c r="N18" s="343"/>
      <c r="O18" s="343"/>
      <c r="P18" s="343"/>
      <c r="Q18" s="343"/>
      <c r="R18" s="344"/>
      <c r="S18" s="306"/>
      <c r="T18" s="305"/>
      <c r="U18" s="305"/>
      <c r="V18" s="305"/>
    </row>
    <row r="19" spans="1:22" ht="14.25" customHeight="1">
      <c r="A19" s="307"/>
      <c r="B19" s="345"/>
      <c r="C19" s="343"/>
      <c r="D19" s="343"/>
      <c r="E19" s="343"/>
      <c r="F19" s="343"/>
      <c r="G19" s="343"/>
      <c r="H19" s="343"/>
      <c r="I19" s="343"/>
      <c r="J19" s="343"/>
      <c r="K19" s="343"/>
      <c r="L19" s="343"/>
      <c r="M19" s="343"/>
      <c r="N19" s="343"/>
      <c r="O19" s="343"/>
      <c r="P19" s="343"/>
      <c r="Q19" s="343"/>
      <c r="R19" s="344"/>
      <c r="S19" s="306"/>
      <c r="T19" s="305"/>
      <c r="U19" s="305"/>
      <c r="V19" s="305"/>
    </row>
    <row r="20" spans="1:22" ht="14.25" customHeight="1">
      <c r="A20" s="307"/>
      <c r="B20" s="345"/>
      <c r="C20" s="343"/>
      <c r="D20" s="343"/>
      <c r="E20" s="343"/>
      <c r="F20" s="343"/>
      <c r="G20" s="343"/>
      <c r="H20" s="343"/>
      <c r="I20" s="343"/>
      <c r="J20" s="343"/>
      <c r="K20" s="343"/>
      <c r="L20" s="343"/>
      <c r="M20" s="343"/>
      <c r="N20" s="343"/>
      <c r="O20" s="343"/>
      <c r="P20" s="343"/>
      <c r="Q20" s="343"/>
      <c r="R20" s="344"/>
      <c r="S20" s="306"/>
      <c r="T20" s="305"/>
      <c r="U20" s="305"/>
      <c r="V20" s="305"/>
    </row>
    <row r="21" spans="1:22" ht="14.25" customHeight="1">
      <c r="A21" s="307"/>
      <c r="B21" s="345"/>
      <c r="C21" s="343"/>
      <c r="D21" s="343"/>
      <c r="E21" s="343"/>
      <c r="F21" s="343"/>
      <c r="G21" s="343"/>
      <c r="H21" s="343"/>
      <c r="I21" s="343"/>
      <c r="J21" s="343"/>
      <c r="K21" s="343"/>
      <c r="L21" s="343"/>
      <c r="M21" s="343"/>
      <c r="N21" s="343"/>
      <c r="O21" s="343"/>
      <c r="P21" s="343"/>
      <c r="Q21" s="343"/>
      <c r="R21" s="344"/>
      <c r="S21" s="306"/>
      <c r="T21" s="305"/>
      <c r="U21" s="305"/>
      <c r="V21" s="305"/>
    </row>
    <row r="22" spans="1:22" ht="14.25" customHeight="1">
      <c r="A22" s="307"/>
      <c r="B22" s="345"/>
      <c r="C22" s="343"/>
      <c r="D22" s="343"/>
      <c r="E22" s="343"/>
      <c r="F22" s="343"/>
      <c r="G22" s="343"/>
      <c r="H22" s="343"/>
      <c r="I22" s="343"/>
      <c r="J22" s="343"/>
      <c r="K22" s="343"/>
      <c r="L22" s="343"/>
      <c r="M22" s="343"/>
      <c r="N22" s="343"/>
      <c r="O22" s="343"/>
      <c r="P22" s="343"/>
      <c r="Q22" s="343"/>
      <c r="R22" s="344"/>
      <c r="S22" s="306"/>
      <c r="T22" s="305"/>
      <c r="U22" s="305"/>
      <c r="V22" s="305"/>
    </row>
    <row r="23" spans="1:22" ht="14.25" customHeight="1">
      <c r="A23" s="307"/>
      <c r="B23" s="345"/>
      <c r="C23" s="343"/>
      <c r="D23" s="343"/>
      <c r="E23" s="343"/>
      <c r="F23" s="343"/>
      <c r="G23" s="343"/>
      <c r="H23" s="343"/>
      <c r="I23" s="343"/>
      <c r="J23" s="343"/>
      <c r="K23" s="343"/>
      <c r="L23" s="343"/>
      <c r="M23" s="343"/>
      <c r="N23" s="343"/>
      <c r="O23" s="343"/>
      <c r="P23" s="343"/>
      <c r="Q23" s="343"/>
      <c r="R23" s="344"/>
      <c r="S23" s="306"/>
      <c r="T23" s="305"/>
      <c r="U23" s="305"/>
      <c r="V23" s="305"/>
    </row>
    <row r="24" spans="1:22" ht="14.25" customHeight="1">
      <c r="A24" s="307"/>
      <c r="B24" s="345"/>
      <c r="C24" s="343"/>
      <c r="D24" s="343"/>
      <c r="E24" s="343"/>
      <c r="F24" s="343"/>
      <c r="G24" s="343"/>
      <c r="H24" s="343"/>
      <c r="I24" s="343"/>
      <c r="J24" s="343"/>
      <c r="K24" s="343"/>
      <c r="L24" s="343"/>
      <c r="M24" s="343"/>
      <c r="N24" s="343"/>
      <c r="O24" s="343"/>
      <c r="P24" s="343"/>
      <c r="Q24" s="343"/>
      <c r="R24" s="344"/>
      <c r="S24" s="306"/>
      <c r="T24" s="305"/>
      <c r="U24" s="305"/>
      <c r="V24" s="305"/>
    </row>
    <row r="25" spans="1:22" ht="14.25" customHeight="1">
      <c r="A25" s="307"/>
      <c r="B25" s="345"/>
      <c r="C25" s="343"/>
      <c r="D25" s="343"/>
      <c r="E25" s="343"/>
      <c r="F25" s="343"/>
      <c r="G25" s="343"/>
      <c r="H25" s="343"/>
      <c r="I25" s="343"/>
      <c r="J25" s="343"/>
      <c r="K25" s="343"/>
      <c r="L25" s="343"/>
      <c r="M25" s="343"/>
      <c r="N25" s="343"/>
      <c r="O25" s="343"/>
      <c r="P25" s="343"/>
      <c r="Q25" s="343"/>
      <c r="R25" s="344"/>
      <c r="S25" s="306"/>
      <c r="T25" s="305"/>
      <c r="U25" s="305"/>
      <c r="V25" s="305"/>
    </row>
    <row r="26" spans="1:22" ht="14.25" customHeight="1">
      <c r="A26" s="307"/>
      <c r="B26" s="345"/>
      <c r="C26" s="343"/>
      <c r="D26" s="343"/>
      <c r="E26" s="343"/>
      <c r="F26" s="343"/>
      <c r="G26" s="343"/>
      <c r="H26" s="343"/>
      <c r="I26" s="343"/>
      <c r="J26" s="343"/>
      <c r="K26" s="343"/>
      <c r="L26" s="343"/>
      <c r="M26" s="343"/>
      <c r="N26" s="343"/>
      <c r="O26" s="343"/>
      <c r="P26" s="343"/>
      <c r="Q26" s="343"/>
      <c r="R26" s="344"/>
      <c r="S26" s="306"/>
      <c r="T26" s="305"/>
      <c r="U26" s="305"/>
      <c r="V26" s="305"/>
    </row>
    <row r="27" spans="1:22" ht="14.25" customHeight="1">
      <c r="A27" s="307"/>
      <c r="B27" s="345"/>
      <c r="C27" s="343"/>
      <c r="D27" s="343"/>
      <c r="E27" s="343"/>
      <c r="F27" s="343"/>
      <c r="G27" s="343"/>
      <c r="H27" s="343"/>
      <c r="I27" s="343"/>
      <c r="J27" s="343"/>
      <c r="K27" s="343"/>
      <c r="L27" s="343"/>
      <c r="M27" s="343"/>
      <c r="N27" s="343"/>
      <c r="O27" s="343"/>
      <c r="P27" s="343"/>
      <c r="Q27" s="343"/>
      <c r="R27" s="344"/>
      <c r="S27" s="306"/>
      <c r="T27" s="305"/>
      <c r="U27" s="305"/>
      <c r="V27" s="305"/>
    </row>
    <row r="28" spans="1:22" ht="14.25" customHeight="1">
      <c r="A28" s="307"/>
      <c r="B28" s="345"/>
      <c r="C28" s="343"/>
      <c r="D28" s="343"/>
      <c r="E28" s="343"/>
      <c r="F28" s="343"/>
      <c r="G28" s="343"/>
      <c r="H28" s="343"/>
      <c r="I28" s="343"/>
      <c r="J28" s="343"/>
      <c r="K28" s="343"/>
      <c r="L28" s="343"/>
      <c r="M28" s="343"/>
      <c r="N28" s="343"/>
      <c r="O28" s="343"/>
      <c r="P28" s="343"/>
      <c r="Q28" s="343"/>
      <c r="R28" s="344"/>
      <c r="S28" s="306"/>
      <c r="T28" s="305"/>
      <c r="U28" s="305"/>
      <c r="V28" s="305"/>
    </row>
    <row r="29" spans="1:22" ht="14.25" customHeight="1">
      <c r="A29" s="307"/>
      <c r="B29" s="345"/>
      <c r="C29" s="343"/>
      <c r="D29" s="343"/>
      <c r="E29" s="343"/>
      <c r="F29" s="343"/>
      <c r="G29" s="343"/>
      <c r="H29" s="343"/>
      <c r="I29" s="343"/>
      <c r="J29" s="343"/>
      <c r="K29" s="343"/>
      <c r="L29" s="343"/>
      <c r="M29" s="343"/>
      <c r="N29" s="343"/>
      <c r="O29" s="343"/>
      <c r="P29" s="343"/>
      <c r="Q29" s="343"/>
      <c r="R29" s="344"/>
      <c r="S29" s="306"/>
      <c r="T29" s="305"/>
      <c r="U29" s="305"/>
      <c r="V29" s="305"/>
    </row>
    <row r="30" spans="1:22" ht="14.25" customHeight="1">
      <c r="A30" s="307"/>
      <c r="B30" s="345"/>
      <c r="C30" s="343"/>
      <c r="D30" s="343"/>
      <c r="E30" s="343"/>
      <c r="F30" s="343"/>
      <c r="G30" s="343"/>
      <c r="H30" s="343"/>
      <c r="I30" s="343"/>
      <c r="J30" s="343"/>
      <c r="K30" s="343"/>
      <c r="L30" s="343"/>
      <c r="M30" s="343"/>
      <c r="N30" s="343"/>
      <c r="O30" s="343"/>
      <c r="P30" s="343"/>
      <c r="Q30" s="343"/>
      <c r="R30" s="344"/>
      <c r="S30" s="306"/>
      <c r="T30" s="305"/>
      <c r="U30" s="305"/>
      <c r="V30" s="305"/>
    </row>
    <row r="31" spans="1:22" ht="14.25" customHeight="1">
      <c r="A31" s="307"/>
      <c r="B31" s="345"/>
      <c r="C31" s="343"/>
      <c r="D31" s="343"/>
      <c r="E31" s="343"/>
      <c r="F31" s="343"/>
      <c r="G31" s="343"/>
      <c r="H31" s="343"/>
      <c r="I31" s="343"/>
      <c r="J31" s="343"/>
      <c r="K31" s="343"/>
      <c r="L31" s="343"/>
      <c r="M31" s="343"/>
      <c r="N31" s="343"/>
      <c r="O31" s="343"/>
      <c r="P31" s="343"/>
      <c r="Q31" s="343"/>
      <c r="R31" s="344"/>
      <c r="S31" s="306"/>
      <c r="T31" s="305"/>
      <c r="U31" s="305"/>
      <c r="V31" s="305"/>
    </row>
    <row r="32" spans="1:22" ht="14.25" customHeight="1">
      <c r="A32" s="307"/>
      <c r="B32" s="345"/>
      <c r="C32" s="343"/>
      <c r="D32" s="343"/>
      <c r="E32" s="343"/>
      <c r="F32" s="343"/>
      <c r="G32" s="343"/>
      <c r="H32" s="343"/>
      <c r="I32" s="343"/>
      <c r="J32" s="343"/>
      <c r="K32" s="343"/>
      <c r="L32" s="343"/>
      <c r="M32" s="343"/>
      <c r="N32" s="343"/>
      <c r="O32" s="343"/>
      <c r="P32" s="343"/>
      <c r="Q32" s="343"/>
      <c r="R32" s="344"/>
      <c r="S32" s="306"/>
      <c r="T32" s="305"/>
      <c r="U32" s="305"/>
      <c r="V32" s="305"/>
    </row>
    <row r="33" spans="1:22" ht="14.25" customHeight="1">
      <c r="A33" s="307"/>
      <c r="B33" s="345"/>
      <c r="C33" s="343"/>
      <c r="D33" s="343"/>
      <c r="E33" s="343"/>
      <c r="F33" s="343"/>
      <c r="G33" s="343"/>
      <c r="H33" s="343"/>
      <c r="I33" s="343"/>
      <c r="J33" s="343"/>
      <c r="K33" s="343"/>
      <c r="L33" s="343"/>
      <c r="M33" s="343"/>
      <c r="N33" s="343"/>
      <c r="O33" s="343"/>
      <c r="P33" s="343"/>
      <c r="Q33" s="343"/>
      <c r="R33" s="344"/>
      <c r="S33" s="306"/>
      <c r="T33" s="305"/>
      <c r="U33" s="305"/>
      <c r="V33" s="305"/>
    </row>
    <row r="34" spans="1:22" ht="14.25" customHeight="1">
      <c r="A34" s="307"/>
      <c r="B34" s="345"/>
      <c r="C34" s="343"/>
      <c r="D34" s="343"/>
      <c r="E34" s="343"/>
      <c r="F34" s="343"/>
      <c r="G34" s="343"/>
      <c r="H34" s="343"/>
      <c r="I34" s="343"/>
      <c r="J34" s="343"/>
      <c r="K34" s="343"/>
      <c r="L34" s="343"/>
      <c r="M34" s="343"/>
      <c r="N34" s="343"/>
      <c r="O34" s="343"/>
      <c r="P34" s="343"/>
      <c r="Q34" s="343"/>
      <c r="R34" s="344"/>
      <c r="S34" s="306"/>
      <c r="T34" s="305"/>
      <c r="U34" s="305"/>
      <c r="V34" s="305"/>
    </row>
    <row r="35" spans="1:22" ht="14.25" customHeight="1">
      <c r="A35" s="307"/>
      <c r="B35" s="345"/>
      <c r="C35" s="343"/>
      <c r="D35" s="343"/>
      <c r="E35" s="343"/>
      <c r="F35" s="343"/>
      <c r="G35" s="343"/>
      <c r="H35" s="343"/>
      <c r="I35" s="343"/>
      <c r="J35" s="343"/>
      <c r="K35" s="343"/>
      <c r="L35" s="343"/>
      <c r="M35" s="343"/>
      <c r="N35" s="343"/>
      <c r="O35" s="343"/>
      <c r="P35" s="343"/>
      <c r="Q35" s="343"/>
      <c r="R35" s="344"/>
      <c r="S35" s="306"/>
      <c r="T35" s="305"/>
      <c r="U35" s="305"/>
      <c r="V35" s="305"/>
    </row>
    <row r="36" spans="1:22" ht="14.25" customHeight="1">
      <c r="A36" s="307"/>
      <c r="B36" s="345"/>
      <c r="C36" s="343"/>
      <c r="D36" s="343"/>
      <c r="E36" s="343"/>
      <c r="F36" s="343"/>
      <c r="G36" s="343"/>
      <c r="H36" s="343"/>
      <c r="I36" s="343"/>
      <c r="J36" s="343"/>
      <c r="K36" s="343"/>
      <c r="L36" s="343"/>
      <c r="M36" s="343"/>
      <c r="N36" s="343"/>
      <c r="O36" s="343"/>
      <c r="P36" s="343"/>
      <c r="Q36" s="343"/>
      <c r="R36" s="344"/>
      <c r="S36" s="306"/>
      <c r="T36" s="305"/>
      <c r="U36" s="305"/>
      <c r="V36" s="305"/>
    </row>
    <row r="37" spans="1:22" ht="14.25" customHeight="1">
      <c r="A37" s="307"/>
      <c r="B37" s="345"/>
      <c r="C37" s="343"/>
      <c r="D37" s="343"/>
      <c r="E37" s="343"/>
      <c r="F37" s="343"/>
      <c r="G37" s="343"/>
      <c r="H37" s="343"/>
      <c r="I37" s="343"/>
      <c r="J37" s="343"/>
      <c r="K37" s="343"/>
      <c r="L37" s="343"/>
      <c r="M37" s="343"/>
      <c r="N37" s="343"/>
      <c r="O37" s="343"/>
      <c r="P37" s="343"/>
      <c r="Q37" s="343"/>
      <c r="R37" s="344"/>
      <c r="S37" s="306"/>
      <c r="T37" s="305"/>
      <c r="U37" s="305"/>
      <c r="V37" s="305"/>
    </row>
    <row r="38" spans="1:22" ht="14.25" customHeight="1">
      <c r="A38" s="307"/>
      <c r="B38" s="345"/>
      <c r="C38" s="343"/>
      <c r="D38" s="343"/>
      <c r="E38" s="343"/>
      <c r="F38" s="343"/>
      <c r="G38" s="343"/>
      <c r="H38" s="343"/>
      <c r="I38" s="343"/>
      <c r="J38" s="343"/>
      <c r="K38" s="343"/>
      <c r="L38" s="343"/>
      <c r="M38" s="343"/>
      <c r="N38" s="343"/>
      <c r="O38" s="343"/>
      <c r="P38" s="343"/>
      <c r="Q38" s="343"/>
      <c r="R38" s="344"/>
      <c r="S38" s="306"/>
      <c r="T38" s="305"/>
      <c r="U38" s="305"/>
      <c r="V38" s="305"/>
    </row>
    <row r="39" spans="1:22" ht="14.25" customHeight="1">
      <c r="A39" s="307"/>
      <c r="B39" s="345"/>
      <c r="C39" s="343"/>
      <c r="D39" s="343"/>
      <c r="E39" s="343"/>
      <c r="F39" s="343"/>
      <c r="G39" s="343"/>
      <c r="H39" s="343"/>
      <c r="I39" s="343"/>
      <c r="J39" s="343"/>
      <c r="K39" s="343"/>
      <c r="L39" s="343"/>
      <c r="M39" s="343"/>
      <c r="N39" s="343"/>
      <c r="O39" s="343"/>
      <c r="P39" s="343"/>
      <c r="Q39" s="343"/>
      <c r="R39" s="344"/>
      <c r="S39" s="306"/>
      <c r="T39" s="305"/>
      <c r="U39" s="305"/>
      <c r="V39" s="305"/>
    </row>
    <row r="40" spans="1:22" ht="14.25" customHeight="1">
      <c r="B40" s="346"/>
      <c r="C40" s="347"/>
      <c r="D40" s="347"/>
      <c r="E40" s="347"/>
      <c r="F40" s="347"/>
      <c r="G40" s="347"/>
      <c r="H40" s="347"/>
      <c r="I40" s="347"/>
      <c r="J40" s="347"/>
      <c r="K40" s="347"/>
      <c r="L40" s="347"/>
      <c r="M40" s="347"/>
      <c r="N40" s="347"/>
      <c r="O40" s="347"/>
      <c r="P40" s="347"/>
      <c r="Q40" s="347"/>
      <c r="R40" s="348"/>
      <c r="S40" s="305"/>
      <c r="T40" s="305"/>
      <c r="U40" s="305"/>
      <c r="V40" s="305"/>
    </row>
    <row r="41" spans="1:22" ht="14.25" customHeight="1">
      <c r="B41" s="346"/>
      <c r="C41" s="347"/>
      <c r="D41" s="347"/>
      <c r="E41" s="347"/>
      <c r="F41" s="347"/>
      <c r="G41" s="347"/>
      <c r="H41" s="347"/>
      <c r="I41" s="347"/>
      <c r="J41" s="347"/>
      <c r="K41" s="347"/>
      <c r="L41" s="347"/>
      <c r="M41" s="347"/>
      <c r="N41" s="347"/>
      <c r="O41" s="347"/>
      <c r="P41" s="347"/>
      <c r="Q41" s="347"/>
      <c r="R41" s="348"/>
      <c r="S41" s="305"/>
      <c r="T41" s="305"/>
      <c r="U41" s="305"/>
      <c r="V41" s="305"/>
    </row>
    <row r="42" spans="1:22" ht="14.25" customHeight="1">
      <c r="B42" s="346"/>
      <c r="C42" s="347"/>
      <c r="D42" s="347"/>
      <c r="E42" s="347"/>
      <c r="F42" s="347"/>
      <c r="G42" s="347"/>
      <c r="H42" s="347"/>
      <c r="I42" s="347"/>
      <c r="J42" s="347"/>
      <c r="K42" s="347"/>
      <c r="L42" s="347"/>
      <c r="M42" s="347"/>
      <c r="N42" s="347"/>
      <c r="O42" s="347"/>
      <c r="P42" s="347"/>
      <c r="Q42" s="347"/>
      <c r="R42" s="348"/>
      <c r="S42" s="305"/>
      <c r="T42" s="305"/>
      <c r="U42" s="305"/>
      <c r="V42" s="305"/>
    </row>
    <row r="43" spans="1:22" ht="14.25" customHeight="1">
      <c r="B43" s="346"/>
      <c r="C43" s="347"/>
      <c r="D43" s="347"/>
      <c r="E43" s="347"/>
      <c r="F43" s="347"/>
      <c r="G43" s="347"/>
      <c r="H43" s="347"/>
      <c r="I43" s="347"/>
      <c r="J43" s="347"/>
      <c r="K43" s="347"/>
      <c r="L43" s="347"/>
      <c r="M43" s="347"/>
      <c r="N43" s="347"/>
      <c r="O43" s="347"/>
      <c r="P43" s="347"/>
      <c r="Q43" s="347"/>
      <c r="R43" s="348"/>
      <c r="S43" s="305"/>
      <c r="T43" s="305"/>
      <c r="U43" s="305"/>
      <c r="V43" s="305"/>
    </row>
    <row r="44" spans="1:22" ht="14.25" customHeight="1">
      <c r="B44" s="346"/>
      <c r="C44" s="347"/>
      <c r="D44" s="347"/>
      <c r="E44" s="347"/>
      <c r="F44" s="347"/>
      <c r="G44" s="347"/>
      <c r="H44" s="347"/>
      <c r="I44" s="347"/>
      <c r="J44" s="347"/>
      <c r="K44" s="347"/>
      <c r="L44" s="347"/>
      <c r="M44" s="347"/>
      <c r="N44" s="347"/>
      <c r="O44" s="347"/>
      <c r="P44" s="347"/>
      <c r="Q44" s="347"/>
      <c r="R44" s="348"/>
      <c r="S44" s="305"/>
      <c r="T44" s="305"/>
      <c r="U44" s="305"/>
      <c r="V44" s="305"/>
    </row>
    <row r="45" spans="1:22" ht="14.25" customHeight="1">
      <c r="B45" s="346"/>
      <c r="C45" s="347"/>
      <c r="D45" s="347"/>
      <c r="E45" s="347"/>
      <c r="F45" s="347"/>
      <c r="G45" s="347"/>
      <c r="H45" s="347"/>
      <c r="I45" s="347"/>
      <c r="J45" s="347"/>
      <c r="K45" s="347"/>
      <c r="L45" s="347"/>
      <c r="M45" s="347"/>
      <c r="N45" s="347"/>
      <c r="O45" s="347"/>
      <c r="P45" s="347"/>
      <c r="Q45" s="347"/>
      <c r="R45" s="348"/>
      <c r="S45" s="305"/>
      <c r="T45" s="305"/>
      <c r="U45" s="305"/>
      <c r="V45" s="305"/>
    </row>
    <row r="46" spans="1:22" ht="14.25" customHeight="1">
      <c r="B46" s="346"/>
      <c r="C46" s="347"/>
      <c r="D46" s="347"/>
      <c r="E46" s="347"/>
      <c r="F46" s="347"/>
      <c r="G46" s="347"/>
      <c r="H46" s="347"/>
      <c r="I46" s="347"/>
      <c r="J46" s="347"/>
      <c r="K46" s="347"/>
      <c r="L46" s="347"/>
      <c r="M46" s="347"/>
      <c r="N46" s="347"/>
      <c r="O46" s="347"/>
      <c r="P46" s="347"/>
      <c r="Q46" s="347"/>
      <c r="R46" s="348"/>
      <c r="S46" s="305"/>
      <c r="T46" s="305"/>
      <c r="U46" s="305"/>
      <c r="V46" s="305"/>
    </row>
    <row r="47" spans="1:22" ht="14.25" customHeight="1">
      <c r="B47" s="346"/>
      <c r="C47" s="347"/>
      <c r="D47" s="347"/>
      <c r="E47" s="347"/>
      <c r="F47" s="347"/>
      <c r="G47" s="347"/>
      <c r="H47" s="347"/>
      <c r="I47" s="347"/>
      <c r="J47" s="347"/>
      <c r="K47" s="347"/>
      <c r="L47" s="347"/>
      <c r="M47" s="347"/>
      <c r="N47" s="347"/>
      <c r="O47" s="347"/>
      <c r="P47" s="347"/>
      <c r="Q47" s="347"/>
      <c r="R47" s="348"/>
      <c r="S47" s="305"/>
      <c r="T47" s="305"/>
      <c r="U47" s="305"/>
      <c r="V47" s="305"/>
    </row>
    <row r="48" spans="1:22" ht="14.25" customHeight="1">
      <c r="B48" s="346"/>
      <c r="C48" s="347"/>
      <c r="D48" s="347"/>
      <c r="E48" s="347"/>
      <c r="F48" s="347"/>
      <c r="G48" s="347"/>
      <c r="H48" s="347"/>
      <c r="I48" s="347"/>
      <c r="J48" s="347"/>
      <c r="K48" s="347"/>
      <c r="L48" s="347"/>
      <c r="M48" s="347"/>
      <c r="N48" s="347"/>
      <c r="O48" s="347"/>
      <c r="P48" s="347"/>
      <c r="Q48" s="347"/>
      <c r="R48" s="348"/>
      <c r="S48" s="305"/>
      <c r="T48" s="305"/>
      <c r="U48" s="305"/>
      <c r="V48" s="305"/>
    </row>
    <row r="49" spans="2:22" ht="14.25" customHeight="1">
      <c r="B49" s="346"/>
      <c r="C49" s="347"/>
      <c r="D49" s="347"/>
      <c r="E49" s="347"/>
      <c r="F49" s="347"/>
      <c r="G49" s="347"/>
      <c r="H49" s="347"/>
      <c r="I49" s="347"/>
      <c r="J49" s="347"/>
      <c r="K49" s="347"/>
      <c r="L49" s="347"/>
      <c r="M49" s="347"/>
      <c r="N49" s="347"/>
      <c r="O49" s="347"/>
      <c r="P49" s="347"/>
      <c r="Q49" s="347"/>
      <c r="R49" s="348"/>
      <c r="S49" s="305"/>
      <c r="T49" s="305"/>
      <c r="U49" s="305"/>
      <c r="V49" s="305"/>
    </row>
    <row r="50" spans="2:22" ht="14.25" customHeight="1">
      <c r="B50" s="346"/>
      <c r="C50" s="347"/>
      <c r="D50" s="347"/>
      <c r="E50" s="347"/>
      <c r="F50" s="347"/>
      <c r="G50" s="347"/>
      <c r="H50" s="347"/>
      <c r="I50" s="347"/>
      <c r="J50" s="347"/>
      <c r="K50" s="347"/>
      <c r="L50" s="347"/>
      <c r="M50" s="347"/>
      <c r="N50" s="347"/>
      <c r="O50" s="347"/>
      <c r="P50" s="347"/>
      <c r="Q50" s="347"/>
      <c r="R50" s="348"/>
      <c r="S50" s="305"/>
      <c r="T50" s="305"/>
      <c r="U50" s="305"/>
      <c r="V50" s="305"/>
    </row>
    <row r="51" spans="2:22" ht="14.25" customHeight="1">
      <c r="B51" s="346"/>
      <c r="C51" s="347"/>
      <c r="D51" s="347"/>
      <c r="E51" s="347"/>
      <c r="F51" s="347"/>
      <c r="G51" s="347"/>
      <c r="H51" s="347"/>
      <c r="I51" s="347"/>
      <c r="J51" s="347"/>
      <c r="K51" s="347"/>
      <c r="L51" s="347"/>
      <c r="M51" s="347"/>
      <c r="N51" s="347"/>
      <c r="O51" s="347"/>
      <c r="P51" s="347"/>
      <c r="Q51" s="347"/>
      <c r="R51" s="348"/>
      <c r="S51" s="305"/>
      <c r="T51" s="305"/>
      <c r="U51" s="305"/>
      <c r="V51" s="305"/>
    </row>
    <row r="52" spans="2:22" ht="14.25" customHeight="1">
      <c r="B52" s="346"/>
      <c r="C52" s="347"/>
      <c r="D52" s="347"/>
      <c r="E52" s="347"/>
      <c r="F52" s="347"/>
      <c r="G52" s="347"/>
      <c r="H52" s="347"/>
      <c r="I52" s="347"/>
      <c r="J52" s="347"/>
      <c r="K52" s="347"/>
      <c r="L52" s="347"/>
      <c r="M52" s="347"/>
      <c r="N52" s="347"/>
      <c r="O52" s="347"/>
      <c r="P52" s="347"/>
      <c r="Q52" s="347"/>
      <c r="R52" s="348"/>
      <c r="S52" s="305"/>
      <c r="T52" s="305"/>
      <c r="U52" s="305"/>
      <c r="V52" s="305"/>
    </row>
    <row r="53" spans="2:22" ht="14.25" customHeight="1">
      <c r="B53" s="346"/>
      <c r="C53" s="347"/>
      <c r="D53" s="347"/>
      <c r="E53" s="347"/>
      <c r="F53" s="347"/>
      <c r="G53" s="347"/>
      <c r="H53" s="347"/>
      <c r="I53" s="347"/>
      <c r="J53" s="347"/>
      <c r="K53" s="347"/>
      <c r="L53" s="347"/>
      <c r="M53" s="347"/>
      <c r="N53" s="347"/>
      <c r="O53" s="347"/>
      <c r="P53" s="347"/>
      <c r="Q53" s="347"/>
      <c r="R53" s="348"/>
      <c r="S53" s="305"/>
      <c r="T53" s="305"/>
      <c r="U53" s="305"/>
      <c r="V53" s="305"/>
    </row>
    <row r="54" spans="2:22">
      <c r="B54" s="346"/>
      <c r="C54" s="347"/>
      <c r="D54" s="347"/>
      <c r="E54" s="347"/>
      <c r="F54" s="347"/>
      <c r="G54" s="347"/>
      <c r="H54" s="347"/>
      <c r="I54" s="347"/>
      <c r="J54" s="347"/>
      <c r="K54" s="347"/>
      <c r="L54" s="347"/>
      <c r="M54" s="347"/>
      <c r="N54" s="347"/>
      <c r="O54" s="347"/>
      <c r="P54" s="347"/>
      <c r="Q54" s="347"/>
      <c r="R54" s="348"/>
      <c r="S54" s="305"/>
      <c r="T54" s="305"/>
      <c r="U54" s="305"/>
      <c r="V54" s="305"/>
    </row>
    <row r="55" spans="2:22">
      <c r="B55" s="346"/>
      <c r="C55" s="347"/>
      <c r="D55" s="347"/>
      <c r="E55" s="347"/>
      <c r="F55" s="347"/>
      <c r="G55" s="347"/>
      <c r="H55" s="347"/>
      <c r="I55" s="347"/>
      <c r="J55" s="347"/>
      <c r="K55" s="347"/>
      <c r="L55" s="347"/>
      <c r="M55" s="347"/>
      <c r="N55" s="347"/>
      <c r="O55" s="347"/>
      <c r="P55" s="347"/>
      <c r="Q55" s="347"/>
      <c r="R55" s="348"/>
      <c r="S55" s="305"/>
      <c r="T55" s="305"/>
      <c r="U55" s="305"/>
      <c r="V55" s="305"/>
    </row>
    <row r="56" spans="2:22">
      <c r="B56" s="346"/>
      <c r="C56" s="347"/>
      <c r="D56" s="347"/>
      <c r="E56" s="347"/>
      <c r="F56" s="347"/>
      <c r="G56" s="347"/>
      <c r="H56" s="347"/>
      <c r="I56" s="347"/>
      <c r="J56" s="347"/>
      <c r="K56" s="347"/>
      <c r="L56" s="347"/>
      <c r="M56" s="347"/>
      <c r="N56" s="347"/>
      <c r="O56" s="347"/>
      <c r="P56" s="347"/>
      <c r="Q56" s="347"/>
      <c r="R56" s="348"/>
      <c r="S56" s="305"/>
      <c r="T56" s="305"/>
      <c r="U56" s="305"/>
      <c r="V56" s="305"/>
    </row>
    <row r="57" spans="2:22">
      <c r="B57" s="346"/>
      <c r="C57" s="347"/>
      <c r="D57" s="347"/>
      <c r="E57" s="347"/>
      <c r="F57" s="347"/>
      <c r="G57" s="347"/>
      <c r="H57" s="347"/>
      <c r="I57" s="347"/>
      <c r="J57" s="347"/>
      <c r="K57" s="347"/>
      <c r="L57" s="347"/>
      <c r="M57" s="347"/>
      <c r="N57" s="347"/>
      <c r="O57" s="347"/>
      <c r="P57" s="347"/>
      <c r="Q57" s="347"/>
      <c r="R57" s="348"/>
      <c r="S57" s="305"/>
      <c r="T57" s="305"/>
      <c r="U57" s="305"/>
      <c r="V57" s="305"/>
    </row>
    <row r="58" spans="2:22">
      <c r="B58" s="346"/>
      <c r="C58" s="347"/>
      <c r="D58" s="347"/>
      <c r="E58" s="347"/>
      <c r="F58" s="347"/>
      <c r="G58" s="347"/>
      <c r="H58" s="347"/>
      <c r="I58" s="347"/>
      <c r="J58" s="347"/>
      <c r="K58" s="347"/>
      <c r="L58" s="347"/>
      <c r="M58" s="347"/>
      <c r="N58" s="347"/>
      <c r="O58" s="347"/>
      <c r="P58" s="347"/>
      <c r="Q58" s="347"/>
      <c r="R58" s="348"/>
      <c r="S58" s="305"/>
      <c r="T58" s="305"/>
      <c r="U58" s="305"/>
      <c r="V58" s="305"/>
    </row>
    <row r="59" spans="2:22">
      <c r="B59" s="346"/>
      <c r="C59" s="347"/>
      <c r="D59" s="347"/>
      <c r="E59" s="347"/>
      <c r="F59" s="347"/>
      <c r="G59" s="347"/>
      <c r="H59" s="347"/>
      <c r="I59" s="347"/>
      <c r="J59" s="347"/>
      <c r="K59" s="347"/>
      <c r="L59" s="347"/>
      <c r="M59" s="347"/>
      <c r="N59" s="347"/>
      <c r="O59" s="347"/>
      <c r="P59" s="347"/>
      <c r="Q59" s="347"/>
      <c r="R59" s="348"/>
      <c r="S59" s="305"/>
      <c r="T59" s="305"/>
      <c r="U59" s="305"/>
      <c r="V59" s="305"/>
    </row>
    <row r="60" spans="2:22">
      <c r="B60" s="346"/>
      <c r="C60" s="347"/>
      <c r="D60" s="347"/>
      <c r="E60" s="347"/>
      <c r="F60" s="347"/>
      <c r="G60" s="347"/>
      <c r="H60" s="347"/>
      <c r="I60" s="347"/>
      <c r="J60" s="347"/>
      <c r="K60" s="347"/>
      <c r="L60" s="347"/>
      <c r="M60" s="347"/>
      <c r="N60" s="347"/>
      <c r="O60" s="347"/>
      <c r="P60" s="347"/>
      <c r="Q60" s="347"/>
      <c r="R60" s="348"/>
      <c r="S60" s="305"/>
      <c r="T60" s="305"/>
      <c r="U60" s="305"/>
      <c r="V60" s="305"/>
    </row>
    <row r="61" spans="2:22">
      <c r="B61" s="346"/>
      <c r="C61" s="347"/>
      <c r="D61" s="347"/>
      <c r="E61" s="347"/>
      <c r="F61" s="347"/>
      <c r="G61" s="347"/>
      <c r="H61" s="347"/>
      <c r="I61" s="347"/>
      <c r="J61" s="347"/>
      <c r="K61" s="347"/>
      <c r="L61" s="347"/>
      <c r="M61" s="347"/>
      <c r="N61" s="347"/>
      <c r="O61" s="347"/>
      <c r="P61" s="347"/>
      <c r="Q61" s="347"/>
      <c r="R61" s="348"/>
      <c r="S61" s="305"/>
      <c r="T61" s="305"/>
      <c r="U61" s="305"/>
      <c r="V61" s="305"/>
    </row>
    <row r="62" spans="2:22">
      <c r="B62" s="346"/>
      <c r="C62" s="347"/>
      <c r="D62" s="347"/>
      <c r="E62" s="347"/>
      <c r="F62" s="347"/>
      <c r="G62" s="347"/>
      <c r="H62" s="347"/>
      <c r="I62" s="347"/>
      <c r="J62" s="347"/>
      <c r="K62" s="347"/>
      <c r="L62" s="347"/>
      <c r="M62" s="347"/>
      <c r="N62" s="347"/>
      <c r="O62" s="347"/>
      <c r="P62" s="347"/>
      <c r="Q62" s="347"/>
      <c r="R62" s="348"/>
      <c r="S62" s="305"/>
      <c r="T62" s="305"/>
      <c r="U62" s="305"/>
      <c r="V62" s="305"/>
    </row>
    <row r="63" spans="2:22">
      <c r="B63" s="346"/>
      <c r="C63" s="347"/>
      <c r="D63" s="347"/>
      <c r="E63" s="347"/>
      <c r="F63" s="347"/>
      <c r="G63" s="347"/>
      <c r="H63" s="347"/>
      <c r="I63" s="347"/>
      <c r="J63" s="347"/>
      <c r="K63" s="347"/>
      <c r="L63" s="347"/>
      <c r="M63" s="347"/>
      <c r="N63" s="347"/>
      <c r="O63" s="347"/>
      <c r="P63" s="347"/>
      <c r="Q63" s="347"/>
      <c r="R63" s="348"/>
      <c r="S63" s="305"/>
      <c r="T63" s="305"/>
      <c r="U63" s="305"/>
      <c r="V63" s="305"/>
    </row>
    <row r="64" spans="2:22">
      <c r="B64" s="346"/>
      <c r="C64" s="347"/>
      <c r="D64" s="347"/>
      <c r="E64" s="347"/>
      <c r="F64" s="347"/>
      <c r="G64" s="347"/>
      <c r="H64" s="347"/>
      <c r="I64" s="347"/>
      <c r="J64" s="347"/>
      <c r="K64" s="347"/>
      <c r="L64" s="347"/>
      <c r="M64" s="347"/>
      <c r="N64" s="347"/>
      <c r="O64" s="347"/>
      <c r="P64" s="347"/>
      <c r="Q64" s="347"/>
      <c r="R64" s="348"/>
      <c r="S64" s="305"/>
      <c r="T64" s="305"/>
      <c r="U64" s="305"/>
      <c r="V64" s="305"/>
    </row>
    <row r="65" spans="2:22">
      <c r="B65" s="346"/>
      <c r="C65" s="347"/>
      <c r="D65" s="347"/>
      <c r="E65" s="347"/>
      <c r="F65" s="347"/>
      <c r="G65" s="347"/>
      <c r="H65" s="347"/>
      <c r="I65" s="347"/>
      <c r="J65" s="347"/>
      <c r="K65" s="347"/>
      <c r="L65" s="347"/>
      <c r="M65" s="347"/>
      <c r="N65" s="347"/>
      <c r="O65" s="347"/>
      <c r="P65" s="347"/>
      <c r="Q65" s="347"/>
      <c r="R65" s="348"/>
      <c r="S65" s="305"/>
      <c r="T65" s="305"/>
      <c r="U65" s="305"/>
      <c r="V65" s="305"/>
    </row>
    <row r="66" spans="2:22">
      <c r="B66" s="346"/>
      <c r="C66" s="347"/>
      <c r="D66" s="347"/>
      <c r="E66" s="347"/>
      <c r="F66" s="347"/>
      <c r="G66" s="347"/>
      <c r="H66" s="347"/>
      <c r="I66" s="347"/>
      <c r="J66" s="347"/>
      <c r="K66" s="347"/>
      <c r="L66" s="347"/>
      <c r="M66" s="347"/>
      <c r="N66" s="347"/>
      <c r="O66" s="347"/>
      <c r="P66" s="347"/>
      <c r="Q66" s="347"/>
      <c r="R66" s="348"/>
      <c r="S66" s="305"/>
      <c r="T66" s="305"/>
      <c r="U66" s="305"/>
      <c r="V66" s="305"/>
    </row>
    <row r="67" spans="2:22">
      <c r="B67" s="346"/>
      <c r="C67" s="347"/>
      <c r="D67" s="347"/>
      <c r="E67" s="347"/>
      <c r="F67" s="347"/>
      <c r="G67" s="347"/>
      <c r="H67" s="347"/>
      <c r="I67" s="347"/>
      <c r="J67" s="347"/>
      <c r="K67" s="347"/>
      <c r="L67" s="347"/>
      <c r="M67" s="347"/>
      <c r="N67" s="347"/>
      <c r="O67" s="347"/>
      <c r="P67" s="347"/>
      <c r="Q67" s="347"/>
      <c r="R67" s="348"/>
      <c r="S67" s="305"/>
      <c r="T67" s="305"/>
      <c r="U67" s="305"/>
      <c r="V67" s="305"/>
    </row>
    <row r="68" spans="2:22">
      <c r="B68" s="346"/>
      <c r="C68" s="347"/>
      <c r="D68" s="347"/>
      <c r="E68" s="347"/>
      <c r="F68" s="347"/>
      <c r="G68" s="347"/>
      <c r="H68" s="347"/>
      <c r="I68" s="347"/>
      <c r="J68" s="347"/>
      <c r="K68" s="347"/>
      <c r="L68" s="347"/>
      <c r="M68" s="347"/>
      <c r="N68" s="347"/>
      <c r="O68" s="347"/>
      <c r="P68" s="347"/>
      <c r="Q68" s="347"/>
      <c r="R68" s="348"/>
      <c r="S68" s="305"/>
      <c r="T68" s="305"/>
      <c r="U68" s="305"/>
      <c r="V68" s="305"/>
    </row>
    <row r="69" spans="2:22">
      <c r="B69" s="346"/>
      <c r="C69" s="347"/>
      <c r="D69" s="347"/>
      <c r="E69" s="347"/>
      <c r="F69" s="347"/>
      <c r="G69" s="347"/>
      <c r="H69" s="347"/>
      <c r="I69" s="347"/>
      <c r="J69" s="347"/>
      <c r="K69" s="347"/>
      <c r="L69" s="347"/>
      <c r="M69" s="347"/>
      <c r="N69" s="347"/>
      <c r="O69" s="347"/>
      <c r="P69" s="347"/>
      <c r="Q69" s="347"/>
      <c r="R69" s="348"/>
      <c r="S69" s="305"/>
      <c r="T69" s="305"/>
      <c r="U69" s="305"/>
      <c r="V69" s="305"/>
    </row>
    <row r="70" spans="2:22">
      <c r="B70" s="346"/>
      <c r="C70" s="347"/>
      <c r="D70" s="347"/>
      <c r="E70" s="347"/>
      <c r="F70" s="347"/>
      <c r="G70" s="347"/>
      <c r="H70" s="347"/>
      <c r="I70" s="347"/>
      <c r="J70" s="347"/>
      <c r="K70" s="347"/>
      <c r="L70" s="347"/>
      <c r="M70" s="347"/>
      <c r="N70" s="347"/>
      <c r="O70" s="347"/>
      <c r="P70" s="347"/>
      <c r="Q70" s="347"/>
      <c r="R70" s="348"/>
      <c r="S70" s="305"/>
      <c r="T70" s="305"/>
      <c r="U70" s="305"/>
      <c r="V70" s="305"/>
    </row>
    <row r="71" spans="2:22">
      <c r="B71" s="346"/>
      <c r="C71" s="347"/>
      <c r="D71" s="347"/>
      <c r="E71" s="347"/>
      <c r="F71" s="347"/>
      <c r="G71" s="347"/>
      <c r="H71" s="347"/>
      <c r="I71" s="347"/>
      <c r="J71" s="347"/>
      <c r="K71" s="347"/>
      <c r="L71" s="347"/>
      <c r="M71" s="347"/>
      <c r="N71" s="347"/>
      <c r="O71" s="347"/>
      <c r="P71" s="347"/>
      <c r="Q71" s="347"/>
      <c r="R71" s="348"/>
      <c r="S71" s="305"/>
      <c r="T71" s="305"/>
      <c r="U71" s="305"/>
      <c r="V71" s="305"/>
    </row>
    <row r="72" spans="2:22">
      <c r="B72" s="346"/>
      <c r="C72" s="347"/>
      <c r="D72" s="347"/>
      <c r="E72" s="347"/>
      <c r="F72" s="347"/>
      <c r="G72" s="347"/>
      <c r="H72" s="347"/>
      <c r="I72" s="347"/>
      <c r="J72" s="347"/>
      <c r="K72" s="347"/>
      <c r="L72" s="347"/>
      <c r="M72" s="347"/>
      <c r="N72" s="347"/>
      <c r="O72" s="347"/>
      <c r="P72" s="347"/>
      <c r="Q72" s="347"/>
      <c r="R72" s="348"/>
      <c r="S72" s="305"/>
      <c r="T72" s="305"/>
      <c r="U72" s="305"/>
      <c r="V72" s="305"/>
    </row>
    <row r="73" spans="2:22">
      <c r="B73" s="346"/>
      <c r="C73" s="347"/>
      <c r="D73" s="347"/>
      <c r="E73" s="347"/>
      <c r="F73" s="347"/>
      <c r="G73" s="347"/>
      <c r="H73" s="347"/>
      <c r="I73" s="347"/>
      <c r="J73" s="347"/>
      <c r="K73" s="347"/>
      <c r="L73" s="347"/>
      <c r="M73" s="347"/>
      <c r="N73" s="347"/>
      <c r="O73" s="347"/>
      <c r="P73" s="347"/>
      <c r="Q73" s="347"/>
      <c r="R73" s="348"/>
      <c r="S73" s="305"/>
      <c r="T73" s="305"/>
      <c r="U73" s="305"/>
      <c r="V73" s="305"/>
    </row>
    <row r="74" spans="2:22">
      <c r="B74" s="346"/>
      <c r="C74" s="347"/>
      <c r="D74" s="347"/>
      <c r="E74" s="347"/>
      <c r="F74" s="347"/>
      <c r="G74" s="347"/>
      <c r="H74" s="347"/>
      <c r="I74" s="347"/>
      <c r="J74" s="347"/>
      <c r="K74" s="347"/>
      <c r="L74" s="347"/>
      <c r="M74" s="347"/>
      <c r="N74" s="347"/>
      <c r="O74" s="347"/>
      <c r="P74" s="347"/>
      <c r="Q74" s="347"/>
      <c r="R74" s="348"/>
      <c r="S74" s="305"/>
      <c r="T74" s="305"/>
      <c r="U74" s="305"/>
      <c r="V74" s="305"/>
    </row>
    <row r="75" spans="2:22">
      <c r="B75" s="346"/>
      <c r="C75" s="347"/>
      <c r="D75" s="347"/>
      <c r="E75" s="347"/>
      <c r="F75" s="347"/>
      <c r="G75" s="347"/>
      <c r="H75" s="347"/>
      <c r="I75" s="347"/>
      <c r="J75" s="347"/>
      <c r="K75" s="347"/>
      <c r="L75" s="347"/>
      <c r="M75" s="347"/>
      <c r="N75" s="347"/>
      <c r="O75" s="347"/>
      <c r="P75" s="347"/>
      <c r="Q75" s="347"/>
      <c r="R75" s="348"/>
      <c r="S75" s="305"/>
      <c r="T75" s="305"/>
      <c r="U75" s="305"/>
      <c r="V75" s="305"/>
    </row>
    <row r="76" spans="2:22">
      <c r="B76" s="346"/>
      <c r="C76" s="347"/>
      <c r="D76" s="347"/>
      <c r="E76" s="347"/>
      <c r="F76" s="347"/>
      <c r="G76" s="347"/>
      <c r="H76" s="347"/>
      <c r="I76" s="347"/>
      <c r="J76" s="347"/>
      <c r="K76" s="347"/>
      <c r="L76" s="347"/>
      <c r="M76" s="347"/>
      <c r="N76" s="347"/>
      <c r="O76" s="347"/>
      <c r="P76" s="347"/>
      <c r="Q76" s="347"/>
      <c r="R76" s="348"/>
      <c r="S76" s="305"/>
      <c r="T76" s="305"/>
      <c r="U76" s="305"/>
      <c r="V76" s="305"/>
    </row>
    <row r="77" spans="2:22">
      <c r="B77" s="346"/>
      <c r="C77" s="347"/>
      <c r="D77" s="347"/>
      <c r="E77" s="347"/>
      <c r="F77" s="347"/>
      <c r="G77" s="347"/>
      <c r="H77" s="347"/>
      <c r="I77" s="347"/>
      <c r="J77" s="347"/>
      <c r="K77" s="347"/>
      <c r="L77" s="347"/>
      <c r="M77" s="347"/>
      <c r="N77" s="347"/>
      <c r="O77" s="347"/>
      <c r="P77" s="347"/>
      <c r="Q77" s="347"/>
      <c r="R77" s="348"/>
      <c r="S77" s="305"/>
      <c r="T77" s="305"/>
      <c r="U77" s="305"/>
      <c r="V77" s="305"/>
    </row>
    <row r="78" spans="2:22">
      <c r="B78" s="346"/>
      <c r="C78" s="347"/>
      <c r="D78" s="347"/>
      <c r="E78" s="347"/>
      <c r="F78" s="347"/>
      <c r="G78" s="347"/>
      <c r="H78" s="347"/>
      <c r="I78" s="347"/>
      <c r="J78" s="347"/>
      <c r="K78" s="347"/>
      <c r="L78" s="347"/>
      <c r="M78" s="347"/>
      <c r="N78" s="347"/>
      <c r="O78" s="347"/>
      <c r="P78" s="347"/>
      <c r="Q78" s="347"/>
      <c r="R78" s="348"/>
      <c r="S78" s="305"/>
      <c r="T78" s="305"/>
      <c r="U78" s="305"/>
      <c r="V78" s="305"/>
    </row>
    <row r="79" spans="2:22">
      <c r="B79" s="346"/>
      <c r="C79" s="347"/>
      <c r="D79" s="347"/>
      <c r="E79" s="347"/>
      <c r="F79" s="347"/>
      <c r="G79" s="347"/>
      <c r="H79" s="347"/>
      <c r="I79" s="347"/>
      <c r="J79" s="347"/>
      <c r="K79" s="347"/>
      <c r="L79" s="347"/>
      <c r="M79" s="347"/>
      <c r="N79" s="347"/>
      <c r="O79" s="347"/>
      <c r="P79" s="347"/>
      <c r="Q79" s="347"/>
      <c r="R79" s="348"/>
      <c r="S79" s="305"/>
      <c r="T79" s="305"/>
      <c r="U79" s="305"/>
      <c r="V79" s="305"/>
    </row>
    <row r="80" spans="2:22">
      <c r="B80" s="346"/>
      <c r="C80" s="347"/>
      <c r="D80" s="347"/>
      <c r="E80" s="347"/>
      <c r="F80" s="347"/>
      <c r="G80" s="347"/>
      <c r="H80" s="347"/>
      <c r="I80" s="347"/>
      <c r="J80" s="347"/>
      <c r="K80" s="347"/>
      <c r="L80" s="347"/>
      <c r="M80" s="347"/>
      <c r="N80" s="347"/>
      <c r="O80" s="347"/>
      <c r="P80" s="347"/>
      <c r="Q80" s="347"/>
      <c r="R80" s="348"/>
      <c r="S80" s="305"/>
      <c r="T80" s="305"/>
      <c r="U80" s="305"/>
      <c r="V80" s="305"/>
    </row>
    <row r="81" spans="1:22">
      <c r="B81" s="346"/>
      <c r="C81" s="347"/>
      <c r="D81" s="347"/>
      <c r="E81" s="347"/>
      <c r="F81" s="347"/>
      <c r="G81" s="347"/>
      <c r="H81" s="347"/>
      <c r="I81" s="347"/>
      <c r="J81" s="347"/>
      <c r="K81" s="347"/>
      <c r="L81" s="347"/>
      <c r="M81" s="347"/>
      <c r="N81" s="347"/>
      <c r="O81" s="347"/>
      <c r="P81" s="347"/>
      <c r="Q81" s="347"/>
      <c r="R81" s="348"/>
      <c r="S81" s="305"/>
      <c r="T81" s="305"/>
      <c r="U81" s="305"/>
      <c r="V81" s="305"/>
    </row>
    <row r="82" spans="1:22">
      <c r="B82" s="346"/>
      <c r="C82" s="347"/>
      <c r="D82" s="347"/>
      <c r="E82" s="347"/>
      <c r="F82" s="347"/>
      <c r="G82" s="347"/>
      <c r="H82" s="347"/>
      <c r="I82" s="347"/>
      <c r="J82" s="347"/>
      <c r="K82" s="347"/>
      <c r="L82" s="347"/>
      <c r="M82" s="347"/>
      <c r="N82" s="347"/>
      <c r="O82" s="347"/>
      <c r="P82" s="347"/>
      <c r="Q82" s="347"/>
      <c r="R82" s="348"/>
      <c r="S82" s="305"/>
      <c r="T82" s="305"/>
      <c r="U82" s="305"/>
      <c r="V82" s="305"/>
    </row>
    <row r="83" spans="1:22">
      <c r="B83" s="346"/>
      <c r="C83" s="347"/>
      <c r="D83" s="347"/>
      <c r="E83" s="347"/>
      <c r="F83" s="347"/>
      <c r="G83" s="347"/>
      <c r="H83" s="347"/>
      <c r="I83" s="347"/>
      <c r="J83" s="347"/>
      <c r="K83" s="347"/>
      <c r="L83" s="347"/>
      <c r="M83" s="347"/>
      <c r="N83" s="347"/>
      <c r="O83" s="347"/>
      <c r="P83" s="347"/>
      <c r="Q83" s="347"/>
      <c r="R83" s="348"/>
      <c r="S83" s="305"/>
      <c r="T83" s="305"/>
      <c r="U83" s="305"/>
      <c r="V83" s="305"/>
    </row>
    <row r="84" spans="1:22">
      <c r="B84" s="346"/>
      <c r="C84" s="347"/>
      <c r="D84" s="347"/>
      <c r="E84" s="347"/>
      <c r="F84" s="347"/>
      <c r="G84" s="347"/>
      <c r="H84" s="347"/>
      <c r="I84" s="347"/>
      <c r="J84" s="347"/>
      <c r="K84" s="347"/>
      <c r="L84" s="347"/>
      <c r="M84" s="347"/>
      <c r="N84" s="347"/>
      <c r="O84" s="347"/>
      <c r="P84" s="347"/>
      <c r="Q84" s="347"/>
      <c r="R84" s="348"/>
      <c r="S84" s="305"/>
      <c r="T84" s="305"/>
      <c r="U84" s="305"/>
      <c r="V84" s="305"/>
    </row>
    <row r="85" spans="1:22">
      <c r="B85" s="346"/>
      <c r="C85" s="347"/>
      <c r="D85" s="347"/>
      <c r="E85" s="347"/>
      <c r="F85" s="347"/>
      <c r="G85" s="347"/>
      <c r="H85" s="347"/>
      <c r="I85" s="347"/>
      <c r="J85" s="347"/>
      <c r="K85" s="347"/>
      <c r="L85" s="347"/>
      <c r="M85" s="347"/>
      <c r="N85" s="347"/>
      <c r="O85" s="347"/>
      <c r="P85" s="347"/>
      <c r="Q85" s="347"/>
      <c r="R85" s="348"/>
      <c r="S85" s="305"/>
      <c r="T85" s="305"/>
      <c r="U85" s="305"/>
      <c r="V85" s="305"/>
    </row>
    <row r="86" spans="1:22">
      <c r="B86" s="346"/>
      <c r="C86" s="347"/>
      <c r="D86" s="347"/>
      <c r="E86" s="347"/>
      <c r="F86" s="347"/>
      <c r="G86" s="347"/>
      <c r="H86" s="347"/>
      <c r="I86" s="347"/>
      <c r="J86" s="347"/>
      <c r="K86" s="347"/>
      <c r="L86" s="347"/>
      <c r="M86" s="347"/>
      <c r="N86" s="347"/>
      <c r="O86" s="347"/>
      <c r="P86" s="347"/>
      <c r="Q86" s="347"/>
      <c r="R86" s="348"/>
      <c r="S86" s="305"/>
      <c r="T86" s="305"/>
      <c r="U86" s="305"/>
      <c r="V86" s="305"/>
    </row>
    <row r="87" spans="1:22">
      <c r="B87" s="346"/>
      <c r="C87" s="347"/>
      <c r="D87" s="347"/>
      <c r="E87" s="347"/>
      <c r="F87" s="347"/>
      <c r="G87" s="347"/>
      <c r="H87" s="347"/>
      <c r="I87" s="347"/>
      <c r="J87" s="347"/>
      <c r="K87" s="347"/>
      <c r="L87" s="347"/>
      <c r="M87" s="347"/>
      <c r="N87" s="347"/>
      <c r="O87" s="347"/>
      <c r="P87" s="347"/>
      <c r="Q87" s="347"/>
      <c r="R87" s="348"/>
      <c r="S87" s="305"/>
      <c r="T87" s="305"/>
      <c r="U87" s="305"/>
      <c r="V87" s="305"/>
    </row>
    <row r="88" spans="1:22">
      <c r="B88" s="346"/>
      <c r="C88" s="347"/>
      <c r="D88" s="347"/>
      <c r="E88" s="347"/>
      <c r="F88" s="347"/>
      <c r="G88" s="347"/>
      <c r="H88" s="347"/>
      <c r="I88" s="347"/>
      <c r="J88" s="347"/>
      <c r="K88" s="347"/>
      <c r="L88" s="347"/>
      <c r="M88" s="347"/>
      <c r="N88" s="347"/>
      <c r="O88" s="347"/>
      <c r="P88" s="347"/>
      <c r="Q88" s="347"/>
      <c r="R88" s="348"/>
      <c r="S88" s="305"/>
      <c r="T88" s="305"/>
      <c r="U88" s="305"/>
      <c r="V88" s="305"/>
    </row>
    <row r="89" spans="1:22">
      <c r="B89" s="346"/>
      <c r="C89" s="347"/>
      <c r="D89" s="347"/>
      <c r="E89" s="347"/>
      <c r="F89" s="347"/>
      <c r="G89" s="347"/>
      <c r="H89" s="347"/>
      <c r="I89" s="347"/>
      <c r="J89" s="347"/>
      <c r="K89" s="347"/>
      <c r="L89" s="347"/>
      <c r="M89" s="347"/>
      <c r="N89" s="347"/>
      <c r="O89" s="347"/>
      <c r="P89" s="347"/>
      <c r="Q89" s="347"/>
      <c r="R89" s="348"/>
      <c r="S89" s="305"/>
      <c r="T89" s="305"/>
      <c r="U89" s="305"/>
      <c r="V89" s="305"/>
    </row>
    <row r="90" spans="1:22">
      <c r="B90" s="346"/>
      <c r="C90" s="347"/>
      <c r="D90" s="347"/>
      <c r="E90" s="347"/>
      <c r="F90" s="347"/>
      <c r="G90" s="347"/>
      <c r="H90" s="347"/>
      <c r="I90" s="347"/>
      <c r="J90" s="347"/>
      <c r="K90" s="347"/>
      <c r="L90" s="347"/>
      <c r="M90" s="347"/>
      <c r="N90" s="347"/>
      <c r="O90" s="347"/>
      <c r="P90" s="347"/>
      <c r="Q90" s="347"/>
      <c r="R90" s="348"/>
      <c r="S90" s="305"/>
      <c r="T90" s="305"/>
      <c r="U90" s="305"/>
      <c r="V90" s="305"/>
    </row>
    <row r="91" spans="1:22">
      <c r="B91" s="346"/>
      <c r="C91" s="347"/>
      <c r="D91" s="347"/>
      <c r="E91" s="347"/>
      <c r="F91" s="347"/>
      <c r="G91" s="347"/>
      <c r="H91" s="347"/>
      <c r="I91" s="347"/>
      <c r="J91" s="347"/>
      <c r="K91" s="347"/>
      <c r="L91" s="347"/>
      <c r="M91" s="347"/>
      <c r="N91" s="347"/>
      <c r="O91" s="347"/>
      <c r="P91" s="347"/>
      <c r="Q91" s="347"/>
      <c r="R91" s="348"/>
      <c r="S91" s="305"/>
      <c r="T91" s="305"/>
      <c r="U91" s="305"/>
      <c r="V91" s="305"/>
    </row>
    <row r="92" spans="1:22">
      <c r="B92" s="346"/>
      <c r="C92" s="347"/>
      <c r="D92" s="347"/>
      <c r="E92" s="347"/>
      <c r="F92" s="347"/>
      <c r="G92" s="347"/>
      <c r="H92" s="347"/>
      <c r="I92" s="347"/>
      <c r="J92" s="347"/>
      <c r="K92" s="347"/>
      <c r="L92" s="347"/>
      <c r="M92" s="347"/>
      <c r="N92" s="347"/>
      <c r="O92" s="347"/>
      <c r="P92" s="347"/>
      <c r="Q92" s="347"/>
      <c r="R92" s="348"/>
      <c r="S92" s="305"/>
      <c r="T92" s="305"/>
      <c r="U92" s="305"/>
      <c r="V92" s="305"/>
    </row>
    <row r="93" spans="1:22" ht="22.8">
      <c r="A93" s="307"/>
      <c r="B93" s="349"/>
      <c r="C93" s="350"/>
      <c r="D93" s="350"/>
      <c r="E93" s="350"/>
      <c r="F93" s="350"/>
      <c r="G93" s="350"/>
      <c r="H93" s="350"/>
      <c r="I93" s="350"/>
      <c r="J93" s="350"/>
      <c r="K93" s="350"/>
      <c r="L93" s="350"/>
      <c r="M93" s="350"/>
      <c r="N93" s="350"/>
      <c r="O93" s="350"/>
      <c r="P93" s="350"/>
      <c r="Q93" s="350"/>
      <c r="R93" s="351"/>
      <c r="S93" s="306"/>
      <c r="T93" s="305"/>
      <c r="U93" s="305"/>
      <c r="V93" s="305"/>
    </row>
    <row r="94" spans="1:22" ht="12" customHeight="1">
      <c r="A94" s="307"/>
      <c r="B94" s="308"/>
      <c r="C94" s="307"/>
      <c r="D94" s="307"/>
      <c r="E94" s="307"/>
      <c r="F94" s="307"/>
      <c r="G94" s="307"/>
      <c r="H94" s="307"/>
      <c r="I94" s="307"/>
      <c r="J94" s="307"/>
      <c r="K94" s="307"/>
      <c r="L94" s="307"/>
      <c r="M94" s="307"/>
      <c r="N94" s="307"/>
      <c r="O94" s="307"/>
      <c r="P94" s="307"/>
      <c r="Q94" s="307"/>
      <c r="R94" s="307"/>
      <c r="S94" s="306"/>
      <c r="T94" s="305"/>
      <c r="U94" s="305"/>
      <c r="V94" s="305"/>
    </row>
    <row r="95" spans="1:22" ht="14.25" customHeight="1">
      <c r="A95" s="307"/>
      <c r="B95" s="438" t="s">
        <v>85</v>
      </c>
      <c r="C95" s="333"/>
      <c r="D95" s="333"/>
      <c r="E95" s="333"/>
      <c r="F95" s="333"/>
      <c r="G95" s="333"/>
      <c r="H95" s="333"/>
      <c r="I95" s="333"/>
      <c r="J95" s="333"/>
      <c r="K95" s="333"/>
      <c r="L95" s="333"/>
      <c r="M95" s="333"/>
      <c r="N95" s="333"/>
      <c r="O95" s="333"/>
      <c r="P95" s="333"/>
      <c r="Q95" s="333"/>
      <c r="R95" s="334"/>
      <c r="S95" s="306"/>
      <c r="T95" s="305"/>
      <c r="U95" s="305"/>
      <c r="V95" s="305"/>
    </row>
    <row r="96" spans="1:22" ht="14.25" customHeight="1">
      <c r="A96" s="307"/>
      <c r="B96" s="320"/>
      <c r="C96" s="335"/>
      <c r="D96" s="335"/>
      <c r="E96" s="335"/>
      <c r="F96" s="335"/>
      <c r="G96" s="335"/>
      <c r="H96" s="335"/>
      <c r="I96" s="335"/>
      <c r="J96" s="335"/>
      <c r="K96" s="335"/>
      <c r="L96" s="335"/>
      <c r="M96" s="335"/>
      <c r="N96" s="335"/>
      <c r="O96" s="335"/>
      <c r="P96" s="335"/>
      <c r="Q96" s="335"/>
      <c r="R96" s="336"/>
      <c r="S96" s="306"/>
      <c r="T96" s="305"/>
      <c r="U96" s="305"/>
      <c r="V96" s="305"/>
    </row>
    <row r="97" spans="1:22" ht="14.25" customHeight="1">
      <c r="A97" s="307"/>
      <c r="B97" s="320"/>
      <c r="C97" s="335"/>
      <c r="D97" s="335"/>
      <c r="E97" s="335"/>
      <c r="F97" s="335"/>
      <c r="G97" s="335"/>
      <c r="H97" s="335"/>
      <c r="I97" s="335"/>
      <c r="J97" s="335"/>
      <c r="K97" s="335"/>
      <c r="L97" s="335"/>
      <c r="M97" s="335"/>
      <c r="N97" s="335"/>
      <c r="O97" s="335"/>
      <c r="P97" s="335"/>
      <c r="Q97" s="335"/>
      <c r="R97" s="336"/>
      <c r="S97" s="306"/>
      <c r="T97" s="305"/>
      <c r="U97" s="305"/>
      <c r="V97" s="305"/>
    </row>
    <row r="98" spans="1:22" ht="14.25" customHeight="1">
      <c r="A98" s="307"/>
      <c r="B98" s="320"/>
      <c r="C98" s="335"/>
      <c r="D98" s="335"/>
      <c r="E98" s="335"/>
      <c r="F98" s="335"/>
      <c r="G98" s="335"/>
      <c r="H98" s="335"/>
      <c r="I98" s="335"/>
      <c r="J98" s="335"/>
      <c r="K98" s="335"/>
      <c r="L98" s="335"/>
      <c r="M98" s="335"/>
      <c r="N98" s="335"/>
      <c r="O98" s="335"/>
      <c r="P98" s="335"/>
      <c r="Q98" s="335"/>
      <c r="R98" s="336"/>
      <c r="S98" s="306"/>
      <c r="T98" s="305"/>
      <c r="U98" s="305"/>
      <c r="V98" s="305"/>
    </row>
    <row r="99" spans="1:22" ht="14.25" customHeight="1">
      <c r="A99" s="307"/>
      <c r="B99" s="320"/>
      <c r="C99" s="335"/>
      <c r="D99" s="335"/>
      <c r="E99" s="335"/>
      <c r="F99" s="335"/>
      <c r="G99" s="335"/>
      <c r="H99" s="335"/>
      <c r="I99" s="335"/>
      <c r="J99" s="335"/>
      <c r="K99" s="335"/>
      <c r="L99" s="335"/>
      <c r="M99" s="335"/>
      <c r="N99" s="335"/>
      <c r="O99" s="335"/>
      <c r="P99" s="335"/>
      <c r="Q99" s="335"/>
      <c r="R99" s="336"/>
      <c r="S99" s="306"/>
      <c r="T99" s="305"/>
      <c r="U99" s="305"/>
      <c r="V99" s="305"/>
    </row>
    <row r="100" spans="1:22" ht="14.25" customHeight="1">
      <c r="A100" s="307"/>
      <c r="B100" s="320"/>
      <c r="C100" s="335"/>
      <c r="D100" s="335"/>
      <c r="E100" s="335"/>
      <c r="F100" s="335"/>
      <c r="G100" s="335"/>
      <c r="H100" s="335"/>
      <c r="I100" s="335"/>
      <c r="J100" s="335"/>
      <c r="K100" s="335"/>
      <c r="L100" s="335"/>
      <c r="M100" s="335"/>
      <c r="N100" s="335"/>
      <c r="O100" s="335"/>
      <c r="P100" s="335"/>
      <c r="Q100" s="335"/>
      <c r="R100" s="336"/>
      <c r="S100" s="306"/>
      <c r="T100" s="305"/>
      <c r="U100" s="305"/>
      <c r="V100" s="305"/>
    </row>
    <row r="101" spans="1:22" ht="14.25" customHeight="1">
      <c r="A101" s="307"/>
      <c r="B101" s="320"/>
      <c r="C101" s="335"/>
      <c r="D101" s="335"/>
      <c r="E101" s="335"/>
      <c r="F101" s="335"/>
      <c r="G101" s="335"/>
      <c r="H101" s="335"/>
      <c r="I101" s="335"/>
      <c r="J101" s="335"/>
      <c r="K101" s="335"/>
      <c r="L101" s="335"/>
      <c r="M101" s="335"/>
      <c r="N101" s="335"/>
      <c r="O101" s="335"/>
      <c r="P101" s="335"/>
      <c r="Q101" s="335"/>
      <c r="R101" s="336"/>
      <c r="S101" s="306"/>
      <c r="T101" s="305"/>
      <c r="U101" s="305"/>
      <c r="V101" s="305"/>
    </row>
    <row r="102" spans="1:22" ht="14.25" customHeight="1">
      <c r="A102" s="307"/>
      <c r="B102" s="337"/>
      <c r="C102" s="338"/>
      <c r="D102" s="338"/>
      <c r="E102" s="338"/>
      <c r="F102" s="338"/>
      <c r="G102" s="338"/>
      <c r="H102" s="338"/>
      <c r="I102" s="338"/>
      <c r="J102" s="338"/>
      <c r="K102" s="338"/>
      <c r="L102" s="338"/>
      <c r="M102" s="338"/>
      <c r="N102" s="338"/>
      <c r="O102" s="338"/>
      <c r="P102" s="338"/>
      <c r="Q102" s="338"/>
      <c r="R102" s="339"/>
      <c r="S102" s="306"/>
      <c r="T102" s="305"/>
      <c r="U102" s="305"/>
      <c r="V102" s="305"/>
    </row>
    <row r="103" spans="1:22" ht="14.25" customHeight="1">
      <c r="A103" s="307"/>
      <c r="B103" s="307"/>
      <c r="C103" s="307"/>
      <c r="D103" s="307"/>
      <c r="E103" s="307"/>
      <c r="F103" s="307"/>
      <c r="G103" s="307"/>
      <c r="H103" s="307"/>
      <c r="I103" s="307"/>
      <c r="J103" s="307"/>
      <c r="K103" s="307"/>
      <c r="L103" s="307"/>
      <c r="M103" s="307"/>
      <c r="N103" s="307"/>
      <c r="O103" s="307"/>
      <c r="P103" s="307"/>
      <c r="Q103" s="307"/>
      <c r="R103" s="307"/>
      <c r="S103" s="306"/>
      <c r="T103" s="305"/>
      <c r="U103" s="305"/>
      <c r="V103" s="305"/>
    </row>
    <row r="104" spans="1:22">
      <c r="S104" s="305"/>
      <c r="T104" s="305"/>
      <c r="U104" s="305"/>
      <c r="V104" s="305"/>
    </row>
  </sheetData>
  <mergeCells count="1">
    <mergeCell ref="A1:S1"/>
  </mergeCells>
  <printOptions horizontalCentered="1" verticalCentered="1"/>
  <pageMargins left="0.59055118110236227" right="0.59055118110236227" top="0.59055118110236227" bottom="0.59055118110236227" header="0.51181102362204722" footer="0.51181102362204722"/>
  <pageSetup paperSize="9" scale="43" orientation="portrait" r:id="rId1"/>
  <headerFooter alignWithMargins="0">
    <oddFooter>&amp;LPL14L012 CIS</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45"/>
  <sheetViews>
    <sheetView showGridLines="0" zoomScale="60" zoomScaleNormal="60" workbookViewId="0">
      <pane xSplit="6" ySplit="11" topLeftCell="M12" activePane="bottomRight" state="frozen"/>
      <selection activeCell="A3" sqref="A3"/>
      <selection pane="topRight" activeCell="A3" sqref="A3"/>
      <selection pane="bottomLeft" activeCell="A3" sqref="A3"/>
      <selection pane="bottomRight" activeCell="A3" sqref="A3"/>
    </sheetView>
  </sheetViews>
  <sheetFormatPr defaultRowHeight="13.2"/>
  <cols>
    <col min="1" max="1" width="1.88671875" customWidth="1"/>
    <col min="3" max="3" width="18.109375" bestFit="1" customWidth="1"/>
    <col min="4" max="4" width="0" hidden="1" customWidth="1"/>
    <col min="5" max="5" width="125.44140625" customWidth="1"/>
    <col min="6" max="7" width="21.6640625" customWidth="1"/>
    <col min="8" max="9" width="21.6640625" hidden="1" customWidth="1"/>
    <col min="10" max="14" width="21.6640625" customWidth="1"/>
    <col min="15" max="15" width="20.6640625" customWidth="1"/>
    <col min="16" max="17" width="20.6640625" hidden="1" customWidth="1"/>
    <col min="18" max="19" width="9" hidden="1" customWidth="1"/>
    <col min="20" max="20" width="3.109375" customWidth="1"/>
    <col min="21" max="21" width="19.1093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FD'!G150="","",'Input FD'!G150)</f>
        <v>TMS Inputs as at FD</v>
      </c>
      <c r="F2" s="510"/>
      <c r="G2" s="496"/>
      <c r="H2" s="496"/>
      <c r="I2" s="496"/>
      <c r="J2" s="496"/>
      <c r="K2" s="496"/>
      <c r="L2" s="496"/>
      <c r="M2" s="496"/>
      <c r="N2" s="496"/>
      <c r="O2" s="496"/>
      <c r="P2" s="496"/>
      <c r="Q2" s="496"/>
      <c r="R2" s="496"/>
      <c r="S2" s="496"/>
      <c r="T2" s="496"/>
      <c r="U2" s="498"/>
    </row>
    <row r="3" spans="1:27" ht="26.85" customHeight="1">
      <c r="A3" s="495"/>
      <c r="B3" s="496"/>
      <c r="C3" s="496"/>
      <c r="D3" s="496"/>
      <c r="E3" s="497" t="s">
        <v>746</v>
      </c>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127</v>
      </c>
      <c r="F5" s="511"/>
      <c r="G5" s="496"/>
      <c r="H5" s="496"/>
      <c r="I5" s="496"/>
      <c r="J5" s="496"/>
      <c r="K5" s="496"/>
      <c r="L5" s="496"/>
      <c r="M5" s="496"/>
      <c r="N5" s="502" t="s">
        <v>415</v>
      </c>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21"/>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4"/>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7"/>
      <c r="C11" s="8"/>
      <c r="D11" s="9" t="s">
        <v>26</v>
      </c>
      <c r="E11" s="10"/>
      <c r="F11" s="10"/>
      <c r="G11" s="40" t="s">
        <v>28</v>
      </c>
      <c r="H11" s="40" t="s">
        <v>29</v>
      </c>
      <c r="I11" s="40" t="s">
        <v>30</v>
      </c>
      <c r="J11" s="512" t="s">
        <v>31</v>
      </c>
      <c r="K11" s="512" t="s">
        <v>32</v>
      </c>
      <c r="L11" s="512" t="s">
        <v>33</v>
      </c>
      <c r="M11" s="512" t="s">
        <v>34</v>
      </c>
      <c r="N11" s="512" t="s">
        <v>35</v>
      </c>
      <c r="O11" s="512" t="s">
        <v>165</v>
      </c>
      <c r="P11" s="487"/>
      <c r="Q11" s="487"/>
      <c r="R11" s="487"/>
      <c r="S11" s="487"/>
      <c r="T11" s="513"/>
      <c r="U11" s="514" t="s">
        <v>59</v>
      </c>
      <c r="V11" s="30"/>
      <c r="W11" s="2"/>
      <c r="X11" s="2"/>
      <c r="Y11" s="11"/>
      <c r="Z11" s="12"/>
      <c r="AA11" s="12"/>
    </row>
    <row r="12" spans="1:27" ht="17.25" customHeight="1">
      <c r="A12" s="27"/>
      <c r="B12" s="19"/>
      <c r="C12" s="19"/>
      <c r="D12" s="19"/>
      <c r="E12" s="19"/>
      <c r="F12" s="19"/>
      <c r="G12" s="19"/>
      <c r="H12" s="19"/>
      <c r="I12" s="19"/>
      <c r="J12" s="65"/>
      <c r="K12" s="65"/>
      <c r="L12" s="65"/>
      <c r="M12" s="65"/>
      <c r="N12" s="65"/>
      <c r="O12" s="19"/>
      <c r="P12" s="19"/>
      <c r="Q12" s="19"/>
      <c r="R12" s="19"/>
      <c r="S12" s="19"/>
      <c r="T12" s="86"/>
      <c r="U12" s="26"/>
    </row>
    <row r="13" spans="1:27" s="42" customFormat="1" ht="17.25" customHeight="1">
      <c r="A13" s="53"/>
      <c r="B13" s="54"/>
      <c r="C13" s="64" t="str">
        <f>'Calc2 FD'!C149</f>
        <v>C00056_L012</v>
      </c>
      <c r="D13" s="54"/>
      <c r="E13" s="54" t="str">
        <f>'Calc2 FD'!E149</f>
        <v>Water: Ex post RCV adjustment</v>
      </c>
      <c r="F13" s="54"/>
      <c r="G13" s="55"/>
      <c r="H13" s="55"/>
      <c r="I13" s="55"/>
      <c r="J13" s="92"/>
      <c r="K13" s="92"/>
      <c r="L13" s="92"/>
      <c r="M13" s="92"/>
      <c r="N13" s="92"/>
      <c r="O13" s="93">
        <f>'Calc2 FD'!P149</f>
        <v>-150.94164013572868</v>
      </c>
      <c r="P13" s="54"/>
      <c r="Q13" s="54"/>
      <c r="R13" s="54"/>
      <c r="S13" s="54"/>
      <c r="T13" s="87"/>
      <c r="U13" s="295"/>
      <c r="W13" s="89"/>
      <c r="X13" s="89"/>
      <c r="Y13" s="89"/>
      <c r="Z13" s="89"/>
      <c r="AA13" s="89"/>
    </row>
    <row r="14" spans="1:27" s="42" customFormat="1" ht="17.25" customHeight="1">
      <c r="A14" s="53"/>
      <c r="B14" s="54"/>
      <c r="C14" s="64" t="str">
        <f>'Calc2 FD'!C153</f>
        <v>C00057_L012</v>
      </c>
      <c r="D14" s="54"/>
      <c r="E14" s="54" t="str">
        <f>'Calc2 FD'!E153</f>
        <v>Sewerage: Ex post RCV adjustment</v>
      </c>
      <c r="F14" s="54"/>
      <c r="G14" s="55"/>
      <c r="H14" s="55"/>
      <c r="I14" s="55"/>
      <c r="J14" s="92"/>
      <c r="K14" s="92"/>
      <c r="L14" s="92"/>
      <c r="M14" s="92"/>
      <c r="N14" s="92"/>
      <c r="O14" s="93">
        <f>'Calc2 FD'!P153</f>
        <v>-507.13387690120248</v>
      </c>
      <c r="P14" s="54"/>
      <c r="Q14" s="54"/>
      <c r="R14" s="54"/>
      <c r="S14" s="54"/>
      <c r="T14" s="87"/>
      <c r="U14" s="85"/>
      <c r="W14" s="89"/>
      <c r="X14" s="89"/>
      <c r="Y14" s="89"/>
      <c r="Z14" s="89"/>
      <c r="AA14" s="89"/>
    </row>
    <row r="15" spans="1:27" s="42" customFormat="1" ht="17.25" customHeight="1">
      <c r="A15" s="53"/>
      <c r="B15" s="54"/>
      <c r="C15" s="64"/>
      <c r="D15" s="54"/>
      <c r="E15" s="54"/>
      <c r="F15" s="54"/>
      <c r="G15" s="55"/>
      <c r="H15" s="55"/>
      <c r="I15" s="55"/>
      <c r="J15" s="92"/>
      <c r="K15" s="92"/>
      <c r="L15" s="92"/>
      <c r="M15" s="92"/>
      <c r="N15" s="92"/>
      <c r="O15" s="93"/>
      <c r="P15" s="54"/>
      <c r="Q15" s="54"/>
      <c r="R15" s="54"/>
      <c r="S15" s="54"/>
      <c r="T15" s="87"/>
      <c r="U15" s="85"/>
      <c r="W15" s="89"/>
      <c r="X15" s="89"/>
      <c r="Y15" s="89"/>
      <c r="Z15" s="89"/>
      <c r="AA15" s="89"/>
    </row>
    <row r="16" spans="1:27" s="42" customFormat="1" ht="17.25" customHeight="1">
      <c r="A16" s="53"/>
      <c r="B16" s="54"/>
      <c r="C16" s="64"/>
      <c r="D16" s="54"/>
      <c r="E16" s="54" t="str">
        <f>'Calc2 FD'!E193</f>
        <v>Water: Future value of ex post revenue adjustment of prior year annual adjustments</v>
      </c>
      <c r="F16" s="54"/>
      <c r="G16" s="55"/>
      <c r="H16" s="55"/>
      <c r="I16" s="55"/>
      <c r="J16" s="92"/>
      <c r="K16" s="92"/>
      <c r="L16" s="92"/>
      <c r="M16" s="92"/>
      <c r="N16" s="92"/>
      <c r="O16" s="93">
        <f>'Calc2 FD'!P193</f>
        <v>-12.839640200277294</v>
      </c>
      <c r="P16" s="54"/>
      <c r="Q16" s="54"/>
      <c r="R16" s="54"/>
      <c r="S16" s="54"/>
      <c r="T16" s="87"/>
      <c r="U16" s="85"/>
      <c r="W16" s="89"/>
      <c r="X16" s="89"/>
      <c r="Y16" s="89"/>
      <c r="Z16" s="89"/>
      <c r="AA16" s="89"/>
    </row>
    <row r="17" spans="1:27" s="42" customFormat="1" ht="17.25" customHeight="1">
      <c r="A17" s="53"/>
      <c r="B17" s="54"/>
      <c r="C17" s="64"/>
      <c r="D17" s="54"/>
      <c r="E17" s="54" t="str">
        <f>'Calc2 FD'!E194</f>
        <v>Sewerage: Future value of ex post revenue adjustment of prior year annual adjustments</v>
      </c>
      <c r="F17" s="54"/>
      <c r="G17" s="55"/>
      <c r="H17" s="55"/>
      <c r="I17" s="55"/>
      <c r="J17" s="92"/>
      <c r="K17" s="92"/>
      <c r="L17" s="92"/>
      <c r="M17" s="92"/>
      <c r="N17" s="92"/>
      <c r="O17" s="93">
        <f>'Calc2 FD'!P194</f>
        <v>-61.654848058913586</v>
      </c>
      <c r="P17" s="54"/>
      <c r="Q17" s="54"/>
      <c r="R17" s="54"/>
      <c r="S17" s="54"/>
      <c r="T17" s="87"/>
      <c r="U17" s="85"/>
      <c r="W17" s="89"/>
      <c r="X17" s="89"/>
      <c r="Y17" s="89"/>
      <c r="Z17" s="89"/>
      <c r="AA17" s="89"/>
    </row>
    <row r="18" spans="1:27" s="42" customFormat="1" ht="17.25" customHeight="1">
      <c r="A18" s="53"/>
      <c r="B18" s="54"/>
      <c r="C18" s="64"/>
      <c r="D18" s="54"/>
      <c r="E18" s="54"/>
      <c r="F18" s="54"/>
      <c r="G18" s="55"/>
      <c r="H18" s="55"/>
      <c r="I18" s="55"/>
      <c r="J18" s="92"/>
      <c r="K18" s="92"/>
      <c r="L18" s="92"/>
      <c r="M18" s="92"/>
      <c r="N18" s="92"/>
      <c r="O18" s="93"/>
      <c r="P18" s="54"/>
      <c r="Q18" s="54"/>
      <c r="R18" s="54"/>
      <c r="S18" s="54"/>
      <c r="T18" s="87"/>
      <c r="U18" s="529"/>
      <c r="W18" s="89"/>
      <c r="X18" s="89"/>
      <c r="Y18" s="89"/>
      <c r="Z18" s="89"/>
      <c r="AA18" s="89"/>
    </row>
    <row r="19" spans="1:27" s="42" customFormat="1" ht="17.25" customHeight="1">
      <c r="A19" s="53"/>
      <c r="B19" s="54"/>
      <c r="C19" s="64"/>
      <c r="D19" s="54"/>
      <c r="E19" s="54" t="str">
        <f>'Calc2 FD'!E196</f>
        <v>Water: Future value of ex post revenue adjustment of prior year annual adjustments (2012-13 prices)</v>
      </c>
      <c r="F19" s="54"/>
      <c r="G19" s="55"/>
      <c r="H19" s="55"/>
      <c r="I19" s="55"/>
      <c r="J19" s="92"/>
      <c r="K19" s="92"/>
      <c r="L19" s="92"/>
      <c r="M19" s="92"/>
      <c r="N19" s="92"/>
      <c r="O19" s="93">
        <f>'Calc2 FD'!P196</f>
        <v>-15.060711754238387</v>
      </c>
      <c r="P19" s="54"/>
      <c r="Q19" s="54"/>
      <c r="R19" s="54"/>
      <c r="S19" s="54"/>
      <c r="T19" s="87"/>
      <c r="U19" s="529"/>
      <c r="W19" s="89"/>
      <c r="X19" s="89"/>
      <c r="Y19" s="89"/>
      <c r="Z19" s="89"/>
      <c r="AA19" s="89"/>
    </row>
    <row r="20" spans="1:27" s="42" customFormat="1" ht="17.25" customHeight="1">
      <c r="A20" s="53"/>
      <c r="B20" s="54"/>
      <c r="C20" s="64"/>
      <c r="D20" s="54"/>
      <c r="E20" s="54" t="str">
        <f>'Calc2 FD'!E197</f>
        <v>Sewerage: Future value of ex post revenue adjustment of prior year annual adjustments (2012-13 prices)</v>
      </c>
      <c r="F20" s="54"/>
      <c r="G20" s="55"/>
      <c r="H20" s="55"/>
      <c r="I20" s="55"/>
      <c r="J20" s="92"/>
      <c r="K20" s="92"/>
      <c r="L20" s="92"/>
      <c r="M20" s="92"/>
      <c r="N20" s="92"/>
      <c r="O20" s="93">
        <f>'Calc2 FD'!P197</f>
        <v>-72.320242653420109</v>
      </c>
      <c r="P20" s="54"/>
      <c r="Q20" s="54"/>
      <c r="R20" s="54"/>
      <c r="S20" s="54"/>
      <c r="T20" s="87"/>
      <c r="U20" s="529"/>
      <c r="W20" s="89"/>
      <c r="X20" s="89"/>
      <c r="Y20" s="89"/>
      <c r="Z20" s="89"/>
      <c r="AA20" s="89"/>
    </row>
    <row r="21" spans="1:27" s="42" customFormat="1" ht="17.25" customHeight="1">
      <c r="A21" s="53"/>
      <c r="B21" s="54"/>
      <c r="C21" s="64"/>
      <c r="D21" s="54"/>
      <c r="E21" s="54"/>
      <c r="F21" s="54"/>
      <c r="G21" s="55"/>
      <c r="H21" s="55"/>
      <c r="I21" s="55"/>
      <c r="J21" s="92"/>
      <c r="K21" s="92"/>
      <c r="L21" s="92"/>
      <c r="M21" s="92"/>
      <c r="N21" s="92"/>
      <c r="O21" s="93"/>
      <c r="P21" s="54"/>
      <c r="Q21" s="54"/>
      <c r="R21" s="54"/>
      <c r="S21" s="54"/>
      <c r="T21" s="87"/>
      <c r="U21" s="85"/>
      <c r="W21" s="89"/>
      <c r="X21" s="89"/>
      <c r="Y21" s="89"/>
      <c r="Z21" s="89"/>
      <c r="AA21" s="89"/>
    </row>
    <row r="22" spans="1:27" s="42" customFormat="1" ht="17.25" customHeight="1">
      <c r="A22" s="56"/>
      <c r="B22" s="57"/>
      <c r="C22" s="57"/>
      <c r="D22" s="57"/>
      <c r="E22" s="57"/>
      <c r="F22" s="57"/>
      <c r="G22" s="57"/>
      <c r="H22" s="57"/>
      <c r="I22" s="57"/>
      <c r="J22" s="66"/>
      <c r="K22" s="66"/>
      <c r="L22" s="66"/>
      <c r="M22" s="66"/>
      <c r="N22" s="66"/>
      <c r="O22" s="57"/>
      <c r="P22" s="57"/>
      <c r="Q22" s="57"/>
      <c r="R22" s="57"/>
      <c r="S22" s="57"/>
      <c r="T22" s="88"/>
      <c r="U22" s="58"/>
    </row>
    <row r="23" spans="1:27" s="42" customFormat="1" ht="17.399999999999999">
      <c r="E23" s="94"/>
      <c r="F23" s="94"/>
    </row>
    <row r="24" spans="1:27" s="42" customFormat="1" ht="17.399999999999999"/>
    <row r="25" spans="1:27" s="42" customFormat="1" ht="17.399999999999999"/>
    <row r="26" spans="1:27" s="42" customFormat="1" ht="17.399999999999999"/>
    <row r="27" spans="1:27" s="42" customFormat="1" ht="17.399999999999999"/>
    <row r="28" spans="1:27" s="42" customFormat="1" ht="17.399999999999999"/>
    <row r="29" spans="1:27" s="42" customFormat="1" ht="17.399999999999999"/>
    <row r="30" spans="1:27" s="42" customFormat="1" ht="17.399999999999999"/>
    <row r="31" spans="1:27" s="42" customFormat="1" ht="17.399999999999999"/>
    <row r="32" spans="1:27" s="42" customFormat="1" ht="17.399999999999999"/>
    <row r="33" s="42" customFormat="1" ht="17.399999999999999"/>
    <row r="34" s="42" customFormat="1" ht="17.399999999999999"/>
    <row r="35" s="42" customFormat="1" ht="17.399999999999999"/>
    <row r="36" s="41" customFormat="1" ht="17.399999999999999"/>
    <row r="37" s="41" customFormat="1" ht="17.399999999999999"/>
    <row r="38" s="41" customFormat="1" ht="17.399999999999999"/>
    <row r="39" s="41" customFormat="1" ht="17.399999999999999"/>
    <row r="40" s="41" customFormat="1" ht="17.399999999999999"/>
    <row r="41" s="41" customFormat="1" ht="17.399999999999999"/>
    <row r="42" s="41" customFormat="1" ht="17.399999999999999"/>
    <row r="43" s="41" customFormat="1" ht="17.399999999999999"/>
    <row r="44" s="41" customFormat="1" ht="17.399999999999999"/>
    <row r="45" s="41" customFormat="1" ht="17.399999999999999"/>
  </sheetData>
  <pageMargins left="0.70866141732283472" right="0.70866141732283472" top="0.74803149606299213" bottom="0.74803149606299213" header="0.31496062992125984" footer="0.31496062992125984"/>
  <pageSetup paperSize="9" scale="38" fitToHeight="0" orientation="landscape" r:id="rId1"/>
  <headerFooter>
    <oddFooter>&amp;LPL14L012 CIS v3.5
Ofwat, February 2016</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B1"/>
  <sheetViews>
    <sheetView showGridLines="0" workbookViewId="0">
      <selection activeCell="A3" sqref="A3"/>
    </sheetView>
  </sheetViews>
  <sheetFormatPr defaultRowHeight="13.2"/>
  <sheetData>
    <row r="1" spans="1:2" ht="13.2" customHeight="1">
      <c r="A1" t="s">
        <v>741</v>
      </c>
      <c r="B1" s="699" t="s">
        <v>744</v>
      </c>
    </row>
  </sheetData>
  <pageMargins left="0.70866141732283472" right="0.70866141732283472" top="0.74803149606299213" bottom="0.74803149606299213" header="0.31496062992125984" footer="0.31496062992125984"/>
  <pageSetup paperSize="9" fitToHeight="0" orientation="landscape" r:id="rId1"/>
  <headerFooter>
    <oddFooter>&amp;LPL14L012 CIS v3.5
Ofwat, February 2016</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O90"/>
  <sheetViews>
    <sheetView zoomScale="80" zoomScaleNormal="80" workbookViewId="0">
      <pane ySplit="2" topLeftCell="A24" activePane="bottomLeft" state="frozen"/>
      <selection activeCell="A3" sqref="A3"/>
      <selection pane="bottomLeft" sqref="A1:XFD1048576"/>
    </sheetView>
  </sheetViews>
  <sheetFormatPr defaultRowHeight="13.2"/>
  <cols>
    <col min="1" max="1" width="4.6640625" customWidth="1"/>
    <col min="2" max="2" width="12.33203125" customWidth="1"/>
    <col min="3" max="3" width="39.6640625" customWidth="1"/>
    <col min="4" max="4" width="3.44140625" customWidth="1"/>
    <col min="5" max="5" width="28.21875" customWidth="1"/>
    <col min="6" max="15" width="7.6640625" customWidth="1"/>
  </cols>
  <sheetData>
    <row r="1" spans="1:15">
      <c r="C1" t="s">
        <v>780</v>
      </c>
    </row>
    <row r="2" spans="1:15">
      <c r="A2" t="s">
        <v>492</v>
      </c>
      <c r="B2" t="s">
        <v>493</v>
      </c>
      <c r="C2" t="s">
        <v>494</v>
      </c>
      <c r="D2" t="s">
        <v>495</v>
      </c>
      <c r="E2" t="s">
        <v>496</v>
      </c>
      <c r="F2" t="s">
        <v>28</v>
      </c>
      <c r="G2" t="s">
        <v>29</v>
      </c>
      <c r="H2" t="s">
        <v>30</v>
      </c>
      <c r="I2" t="s">
        <v>31</v>
      </c>
      <c r="J2" t="s">
        <v>32</v>
      </c>
      <c r="K2" t="s">
        <v>33</v>
      </c>
      <c r="L2" t="s">
        <v>34</v>
      </c>
      <c r="M2" t="s">
        <v>35</v>
      </c>
      <c r="N2" t="s">
        <v>59</v>
      </c>
      <c r="O2" t="s">
        <v>576</v>
      </c>
    </row>
    <row r="4" spans="1:15">
      <c r="A4" t="s">
        <v>822</v>
      </c>
      <c r="B4" t="s">
        <v>451</v>
      </c>
      <c r="C4" t="s">
        <v>177</v>
      </c>
      <c r="D4" t="s">
        <v>497</v>
      </c>
      <c r="E4" t="s">
        <v>742</v>
      </c>
      <c r="F4" s="566"/>
      <c r="G4" s="566"/>
      <c r="H4" s="566"/>
      <c r="I4" s="566">
        <v>103.470908642818</v>
      </c>
      <c r="J4" s="566">
        <v>132.99800637627399</v>
      </c>
      <c r="K4" s="566">
        <v>111.563416483532</v>
      </c>
      <c r="L4" s="566">
        <v>129.981643721457</v>
      </c>
      <c r="M4" s="566">
        <v>124.476495414871</v>
      </c>
      <c r="N4" s="566"/>
      <c r="O4" s="566"/>
    </row>
    <row r="5" spans="1:15">
      <c r="A5" t="s">
        <v>822</v>
      </c>
      <c r="B5" t="s">
        <v>452</v>
      </c>
      <c r="C5" t="s">
        <v>178</v>
      </c>
      <c r="D5" t="s">
        <v>497</v>
      </c>
      <c r="E5" t="s">
        <v>742</v>
      </c>
      <c r="F5" s="566"/>
      <c r="G5" s="566"/>
      <c r="H5" s="566"/>
      <c r="I5" s="566">
        <v>113.913414843349</v>
      </c>
      <c r="J5" s="566">
        <v>166.357511332</v>
      </c>
      <c r="K5" s="566">
        <v>140.887898901509</v>
      </c>
      <c r="L5" s="566">
        <v>118.387980577061</v>
      </c>
      <c r="M5" s="566">
        <v>84.269135592107304</v>
      </c>
      <c r="N5" s="566"/>
      <c r="O5" s="566"/>
    </row>
    <row r="6" spans="1:15">
      <c r="A6" t="s">
        <v>822</v>
      </c>
      <c r="B6" t="s">
        <v>453</v>
      </c>
      <c r="C6" t="s">
        <v>123</v>
      </c>
      <c r="D6" t="s">
        <v>497</v>
      </c>
      <c r="E6" t="s">
        <v>742</v>
      </c>
      <c r="F6" s="566"/>
      <c r="G6" s="566"/>
      <c r="H6" s="566"/>
      <c r="I6" s="566">
        <v>107.772134616793</v>
      </c>
      <c r="J6" s="566">
        <v>128.94885703399399</v>
      </c>
      <c r="K6" s="566">
        <v>39.916639210552901</v>
      </c>
      <c r="L6" s="566">
        <v>28.593380651569401</v>
      </c>
      <c r="M6" s="566">
        <v>15.432786951569399</v>
      </c>
      <c r="N6" s="566"/>
      <c r="O6" s="566"/>
    </row>
    <row r="7" spans="1:15">
      <c r="A7" t="s">
        <v>822</v>
      </c>
      <c r="B7" t="s">
        <v>454</v>
      </c>
      <c r="C7" t="s">
        <v>122</v>
      </c>
      <c r="D7" t="s">
        <v>497</v>
      </c>
      <c r="E7" t="s">
        <v>742</v>
      </c>
      <c r="F7" s="566"/>
      <c r="G7" s="566"/>
      <c r="H7" s="566"/>
      <c r="I7" s="566">
        <v>68.677982659469805</v>
      </c>
      <c r="J7" s="566">
        <v>79.775220134809601</v>
      </c>
      <c r="K7" s="566">
        <v>52.664264101835997</v>
      </c>
      <c r="L7" s="566">
        <v>42.8514853069493</v>
      </c>
      <c r="M7" s="566">
        <v>32.973380172967403</v>
      </c>
      <c r="N7" s="566"/>
      <c r="O7" s="566"/>
    </row>
    <row r="8" spans="1:15">
      <c r="A8" t="s">
        <v>822</v>
      </c>
      <c r="B8" t="s">
        <v>455</v>
      </c>
      <c r="C8" t="s">
        <v>190</v>
      </c>
      <c r="D8" t="s">
        <v>497</v>
      </c>
      <c r="E8" t="s">
        <v>742</v>
      </c>
      <c r="F8" s="566"/>
      <c r="G8" s="566"/>
      <c r="H8" s="566"/>
      <c r="I8" s="566">
        <v>5.7140000000000004</v>
      </c>
      <c r="J8" s="566">
        <v>7.7889999999999997</v>
      </c>
      <c r="K8" s="566">
        <v>8.3089999999999993</v>
      </c>
      <c r="L8" s="566">
        <v>9.66</v>
      </c>
      <c r="M8" s="566">
        <v>9.9890000000000008</v>
      </c>
      <c r="N8" s="566"/>
      <c r="O8" s="566"/>
    </row>
    <row r="9" spans="1:15">
      <c r="A9" t="s">
        <v>822</v>
      </c>
      <c r="B9" t="s">
        <v>456</v>
      </c>
      <c r="C9" t="s">
        <v>220</v>
      </c>
      <c r="D9" t="s">
        <v>497</v>
      </c>
      <c r="E9" t="s">
        <v>742</v>
      </c>
      <c r="F9" s="566"/>
      <c r="G9" s="566"/>
      <c r="H9" s="566"/>
      <c r="I9" s="566">
        <v>0</v>
      </c>
      <c r="J9" s="566">
        <v>0</v>
      </c>
      <c r="K9" s="566">
        <v>0</v>
      </c>
      <c r="L9" s="566">
        <v>0</v>
      </c>
      <c r="M9" s="566">
        <v>0</v>
      </c>
      <c r="N9" s="566"/>
      <c r="O9" s="566"/>
    </row>
    <row r="10" spans="1:15">
      <c r="A10" t="s">
        <v>822</v>
      </c>
      <c r="B10" t="s">
        <v>457</v>
      </c>
      <c r="C10" t="s">
        <v>221</v>
      </c>
      <c r="D10" t="s">
        <v>497</v>
      </c>
      <c r="E10" t="s">
        <v>742</v>
      </c>
      <c r="F10" s="566"/>
      <c r="G10" s="566"/>
      <c r="H10" s="566"/>
      <c r="I10" s="566">
        <v>0</v>
      </c>
      <c r="J10" s="566">
        <v>0</v>
      </c>
      <c r="K10" s="566">
        <v>0</v>
      </c>
      <c r="L10" s="566">
        <v>0</v>
      </c>
      <c r="M10" s="566">
        <v>0</v>
      </c>
      <c r="N10" s="566"/>
      <c r="O10" s="566"/>
    </row>
    <row r="11" spans="1:15">
      <c r="A11" t="s">
        <v>822</v>
      </c>
      <c r="B11" t="s">
        <v>458</v>
      </c>
      <c r="C11" t="s">
        <v>416</v>
      </c>
      <c r="D11" t="s">
        <v>497</v>
      </c>
      <c r="E11" t="s">
        <v>742</v>
      </c>
      <c r="F11" s="566"/>
      <c r="G11" s="566"/>
      <c r="H11" s="566"/>
      <c r="I11" s="566">
        <v>0</v>
      </c>
      <c r="J11" s="566">
        <v>0</v>
      </c>
      <c r="K11" s="566">
        <v>0</v>
      </c>
      <c r="L11" s="566">
        <v>0</v>
      </c>
      <c r="M11" s="566">
        <v>0</v>
      </c>
      <c r="N11" s="566"/>
      <c r="O11" s="566"/>
    </row>
    <row r="12" spans="1:15">
      <c r="A12" t="s">
        <v>822</v>
      </c>
      <c r="B12" t="s">
        <v>444</v>
      </c>
      <c r="C12" t="s">
        <v>179</v>
      </c>
      <c r="D12" t="s">
        <v>497</v>
      </c>
      <c r="E12" t="s">
        <v>742</v>
      </c>
      <c r="F12" s="566"/>
      <c r="G12" s="566"/>
      <c r="H12" s="566"/>
      <c r="I12" s="566">
        <v>42.720897600000001</v>
      </c>
      <c r="J12" s="566">
        <v>38.648853000000003</v>
      </c>
      <c r="K12" s="566">
        <v>45.982225700000001</v>
      </c>
      <c r="L12" s="566">
        <v>47.438052999999996</v>
      </c>
      <c r="M12" s="566">
        <v>47.2990274</v>
      </c>
      <c r="N12" s="566"/>
      <c r="O12" s="566"/>
    </row>
    <row r="13" spans="1:15">
      <c r="A13" t="s">
        <v>822</v>
      </c>
      <c r="B13" t="s">
        <v>445</v>
      </c>
      <c r="C13" t="s">
        <v>180</v>
      </c>
      <c r="D13" t="s">
        <v>497</v>
      </c>
      <c r="E13" t="s">
        <v>742</v>
      </c>
      <c r="F13" s="566"/>
      <c r="G13" s="566"/>
      <c r="H13" s="566"/>
      <c r="I13" s="566">
        <v>174.42350429999999</v>
      </c>
      <c r="J13" s="566">
        <v>249.0989931</v>
      </c>
      <c r="K13" s="566">
        <v>148.0181566</v>
      </c>
      <c r="L13" s="566">
        <v>158.6278312</v>
      </c>
      <c r="M13" s="566">
        <v>122.76039400000001</v>
      </c>
      <c r="N13" s="566"/>
      <c r="O13" s="566"/>
    </row>
    <row r="14" spans="1:15">
      <c r="A14" t="s">
        <v>822</v>
      </c>
      <c r="B14" t="s">
        <v>446</v>
      </c>
      <c r="C14" t="s">
        <v>124</v>
      </c>
      <c r="D14" t="s">
        <v>497</v>
      </c>
      <c r="E14" t="s">
        <v>742</v>
      </c>
      <c r="F14" s="566"/>
      <c r="G14" s="566"/>
      <c r="H14" s="566"/>
      <c r="I14" s="566">
        <v>63.993343000000003</v>
      </c>
      <c r="J14" s="566">
        <v>107.633421</v>
      </c>
      <c r="K14" s="566">
        <v>138.6957151</v>
      </c>
      <c r="L14" s="566">
        <v>121.4034858</v>
      </c>
      <c r="M14" s="566">
        <v>114.6391064</v>
      </c>
      <c r="N14" s="566"/>
      <c r="O14" s="566"/>
    </row>
    <row r="15" spans="1:15">
      <c r="A15" t="s">
        <v>822</v>
      </c>
      <c r="B15" t="s">
        <v>447</v>
      </c>
      <c r="C15" t="s">
        <v>125</v>
      </c>
      <c r="D15" t="s">
        <v>497</v>
      </c>
      <c r="E15" t="s">
        <v>742</v>
      </c>
      <c r="F15" s="566"/>
      <c r="G15" s="566"/>
      <c r="H15" s="566"/>
      <c r="I15" s="566">
        <v>286.69337969999998</v>
      </c>
      <c r="J15" s="566">
        <v>323.45532571049398</v>
      </c>
      <c r="K15" s="566">
        <v>274.44730395646098</v>
      </c>
      <c r="L15" s="566">
        <v>174.79395094065501</v>
      </c>
      <c r="M15" s="566">
        <v>122.67399018527</v>
      </c>
      <c r="N15" s="566"/>
      <c r="O15" s="566"/>
    </row>
    <row r="16" spans="1:15">
      <c r="A16" t="s">
        <v>822</v>
      </c>
      <c r="B16" t="s">
        <v>448</v>
      </c>
      <c r="C16" t="s">
        <v>191</v>
      </c>
      <c r="D16" t="s">
        <v>497</v>
      </c>
      <c r="E16" t="s">
        <v>742</v>
      </c>
      <c r="F16" s="566"/>
      <c r="G16" s="566"/>
      <c r="H16" s="566"/>
      <c r="I16" s="566">
        <v>9.1329999999999991</v>
      </c>
      <c r="J16" s="566">
        <v>12.135</v>
      </c>
      <c r="K16" s="566">
        <v>13.163</v>
      </c>
      <c r="L16" s="566">
        <v>15.06</v>
      </c>
      <c r="M16" s="566">
        <v>15.964</v>
      </c>
      <c r="N16" s="566"/>
      <c r="O16" s="566"/>
    </row>
    <row r="17" spans="1:15">
      <c r="A17" t="s">
        <v>822</v>
      </c>
      <c r="B17" t="s">
        <v>449</v>
      </c>
      <c r="C17" t="s">
        <v>222</v>
      </c>
      <c r="D17" t="s">
        <v>497</v>
      </c>
      <c r="E17" t="s">
        <v>742</v>
      </c>
      <c r="F17" s="566"/>
      <c r="G17" s="566"/>
      <c r="H17" s="566"/>
      <c r="I17" s="566">
        <v>124.684</v>
      </c>
      <c r="J17" s="566">
        <v>136.78299999999999</v>
      </c>
      <c r="K17" s="566">
        <v>99.774000000000001</v>
      </c>
      <c r="L17" s="566">
        <v>90.923000000000002</v>
      </c>
      <c r="M17" s="566">
        <v>74.247</v>
      </c>
      <c r="N17" s="566"/>
      <c r="O17" s="566"/>
    </row>
    <row r="18" spans="1:15">
      <c r="A18" t="s">
        <v>822</v>
      </c>
      <c r="B18" t="s">
        <v>450</v>
      </c>
      <c r="C18" t="s">
        <v>223</v>
      </c>
      <c r="D18" t="s">
        <v>497</v>
      </c>
      <c r="E18" t="s">
        <v>742</v>
      </c>
      <c r="F18" s="566"/>
      <c r="G18" s="566"/>
      <c r="H18" s="566"/>
      <c r="I18" s="566">
        <v>15.026999999999999</v>
      </c>
      <c r="J18" s="566">
        <v>16.484999999999999</v>
      </c>
      <c r="K18" s="566">
        <v>12.023999999999999</v>
      </c>
      <c r="L18" s="566">
        <v>10.958</v>
      </c>
      <c r="M18" s="566">
        <v>8.9480000000000004</v>
      </c>
      <c r="N18" s="566"/>
      <c r="O18" s="566"/>
    </row>
    <row r="19" spans="1:15">
      <c r="A19" t="s">
        <v>822</v>
      </c>
      <c r="B19" t="s">
        <v>443</v>
      </c>
      <c r="C19" t="s">
        <v>417</v>
      </c>
      <c r="D19" t="s">
        <v>497</v>
      </c>
      <c r="E19" t="s">
        <v>742</v>
      </c>
      <c r="F19" s="566"/>
      <c r="G19" s="566"/>
      <c r="H19" s="566"/>
      <c r="I19" s="566">
        <v>0</v>
      </c>
      <c r="J19" s="566">
        <v>0</v>
      </c>
      <c r="K19" s="566">
        <v>0</v>
      </c>
      <c r="L19" s="566">
        <v>0</v>
      </c>
      <c r="M19" s="566">
        <v>0</v>
      </c>
      <c r="N19" s="566"/>
      <c r="O19" s="566"/>
    </row>
    <row r="20" spans="1:15">
      <c r="A20" t="s">
        <v>822</v>
      </c>
      <c r="B20" t="s">
        <v>528</v>
      </c>
      <c r="C20" t="s">
        <v>511</v>
      </c>
      <c r="D20" t="s">
        <v>497</v>
      </c>
      <c r="E20" t="s">
        <v>742</v>
      </c>
      <c r="F20" s="566">
        <v>129.22800000000001</v>
      </c>
      <c r="G20" s="566">
        <v>68.825052688756102</v>
      </c>
      <c r="H20" s="566">
        <v>41.512999999999998</v>
      </c>
      <c r="I20" s="566">
        <v>87.234824625137904</v>
      </c>
      <c r="J20" s="566">
        <v>116.24143844602401</v>
      </c>
      <c r="K20" s="566">
        <v>100.113592207853</v>
      </c>
      <c r="L20" s="566">
        <v>118.78149153639799</v>
      </c>
      <c r="M20" s="566">
        <v>113.233114207279</v>
      </c>
      <c r="N20" s="566"/>
      <c r="O20" s="566"/>
    </row>
    <row r="21" spans="1:15">
      <c r="A21" t="s">
        <v>822</v>
      </c>
      <c r="B21" t="s">
        <v>529</v>
      </c>
      <c r="C21" t="s">
        <v>512</v>
      </c>
      <c r="D21" t="s">
        <v>497</v>
      </c>
      <c r="E21" t="s">
        <v>742</v>
      </c>
      <c r="F21" s="566">
        <v>89.679999999999893</v>
      </c>
      <c r="G21" s="566">
        <v>86.437733177417101</v>
      </c>
      <c r="H21" s="566">
        <v>124.527999999999</v>
      </c>
      <c r="I21" s="566">
        <v>99.545006652130994</v>
      </c>
      <c r="J21" s="566">
        <v>150.844562776717</v>
      </c>
      <c r="K21" s="566">
        <v>134.191808450297</v>
      </c>
      <c r="L21" s="566">
        <v>113.33852173593</v>
      </c>
      <c r="M21" s="566">
        <v>80.167266017515203</v>
      </c>
      <c r="N21" s="566"/>
      <c r="O21" s="566"/>
    </row>
    <row r="22" spans="1:15">
      <c r="A22" t="s">
        <v>822</v>
      </c>
      <c r="B22" t="s">
        <v>1</v>
      </c>
      <c r="C22" t="s">
        <v>513</v>
      </c>
      <c r="D22" t="s">
        <v>497</v>
      </c>
      <c r="E22" t="s">
        <v>742</v>
      </c>
      <c r="F22" s="566">
        <v>148.318228814664</v>
      </c>
      <c r="G22" s="566">
        <v>157.45694686508901</v>
      </c>
      <c r="H22" s="566">
        <v>209.48780798834599</v>
      </c>
      <c r="I22" s="566">
        <v>14.6630093946795</v>
      </c>
      <c r="J22" s="566">
        <v>28.3972202217724</v>
      </c>
      <c r="K22" s="566">
        <v>35.886578219887397</v>
      </c>
      <c r="L22" s="566">
        <v>24.7722318520544</v>
      </c>
      <c r="M22" s="566">
        <v>12.2079348953171</v>
      </c>
      <c r="N22" s="566"/>
      <c r="O22" s="566"/>
    </row>
    <row r="23" spans="1:15">
      <c r="A23" t="s">
        <v>822</v>
      </c>
      <c r="B23" t="s">
        <v>5</v>
      </c>
      <c r="C23" t="s">
        <v>514</v>
      </c>
      <c r="D23" t="s">
        <v>497</v>
      </c>
      <c r="E23" t="s">
        <v>742</v>
      </c>
      <c r="F23" s="566">
        <v>133.49027118533499</v>
      </c>
      <c r="G23" s="566">
        <v>190.04275795372001</v>
      </c>
      <c r="H23" s="566">
        <v>106.159192011653</v>
      </c>
      <c r="I23" s="566">
        <v>36.395993577846603</v>
      </c>
      <c r="J23" s="566">
        <v>50.356710850691897</v>
      </c>
      <c r="K23" s="566">
        <v>43.3124901487842</v>
      </c>
      <c r="L23" s="566">
        <v>37.075628137562802</v>
      </c>
      <c r="M23" s="566">
        <v>26.200056726643101</v>
      </c>
      <c r="N23" s="566"/>
      <c r="O23" s="566"/>
    </row>
    <row r="24" spans="1:15">
      <c r="A24" t="s">
        <v>822</v>
      </c>
      <c r="B24" t="s">
        <v>441</v>
      </c>
      <c r="C24" t="s">
        <v>224</v>
      </c>
      <c r="D24" t="s">
        <v>497</v>
      </c>
      <c r="E24" t="s">
        <v>742</v>
      </c>
      <c r="F24" s="566"/>
      <c r="G24" s="566"/>
      <c r="H24" s="566"/>
      <c r="I24" s="566">
        <v>0</v>
      </c>
      <c r="J24" s="566">
        <v>0</v>
      </c>
      <c r="K24" s="566">
        <v>0</v>
      </c>
      <c r="L24" s="566">
        <v>0</v>
      </c>
      <c r="M24" s="566">
        <v>0</v>
      </c>
      <c r="N24" s="566"/>
      <c r="O24" s="566"/>
    </row>
    <row r="25" spans="1:15">
      <c r="A25" t="s">
        <v>822</v>
      </c>
      <c r="B25" t="s">
        <v>442</v>
      </c>
      <c r="C25" t="s">
        <v>225</v>
      </c>
      <c r="D25" t="s">
        <v>497</v>
      </c>
      <c r="E25" t="s">
        <v>742</v>
      </c>
      <c r="F25" s="566"/>
      <c r="G25" s="566"/>
      <c r="H25" s="566"/>
      <c r="I25" s="566">
        <v>0</v>
      </c>
      <c r="J25" s="566">
        <v>0</v>
      </c>
      <c r="K25" s="566">
        <v>0</v>
      </c>
      <c r="L25" s="566">
        <v>0</v>
      </c>
      <c r="M25" s="566">
        <v>0</v>
      </c>
      <c r="N25" s="566"/>
      <c r="O25" s="566"/>
    </row>
    <row r="26" spans="1:15">
      <c r="A26" t="s">
        <v>822</v>
      </c>
      <c r="B26" t="s">
        <v>530</v>
      </c>
      <c r="C26" t="s">
        <v>515</v>
      </c>
      <c r="D26" t="s">
        <v>497</v>
      </c>
      <c r="E26" t="s">
        <v>742</v>
      </c>
      <c r="F26" s="566">
        <v>46.938000000000002</v>
      </c>
      <c r="G26" s="566">
        <v>36.938546015364302</v>
      </c>
      <c r="H26" s="566">
        <v>41.335999999999999</v>
      </c>
      <c r="I26" s="566">
        <v>38.865761372709599</v>
      </c>
      <c r="J26" s="566">
        <v>35.781513546488704</v>
      </c>
      <c r="K26" s="566">
        <v>43.532020009209504</v>
      </c>
      <c r="L26" s="566">
        <v>45.321577742291701</v>
      </c>
      <c r="M26" s="566">
        <v>44.6772327147224</v>
      </c>
      <c r="N26" s="566"/>
      <c r="O26" s="566"/>
    </row>
    <row r="27" spans="1:15">
      <c r="A27" t="s">
        <v>822</v>
      </c>
      <c r="B27" t="s">
        <v>531</v>
      </c>
      <c r="C27" t="s">
        <v>512</v>
      </c>
      <c r="D27" t="s">
        <v>497</v>
      </c>
      <c r="E27" t="s">
        <v>742</v>
      </c>
      <c r="F27" s="566">
        <v>189.768</v>
      </c>
      <c r="G27" s="566">
        <v>147.06511589076101</v>
      </c>
      <c r="H27" s="566">
        <v>64.978015096612395</v>
      </c>
      <c r="I27" s="566">
        <v>147.81277901553301</v>
      </c>
      <c r="J27" s="566">
        <v>221.861562203463</v>
      </c>
      <c r="K27" s="566">
        <v>130.194251699132</v>
      </c>
      <c r="L27" s="566">
        <v>143.986736667993</v>
      </c>
      <c r="M27" s="566">
        <v>110.83618408906401</v>
      </c>
      <c r="N27" s="566"/>
      <c r="O27" s="566"/>
    </row>
    <row r="28" spans="1:15">
      <c r="A28" t="s">
        <v>822</v>
      </c>
      <c r="B28" t="s">
        <v>6</v>
      </c>
      <c r="C28" t="s">
        <v>516</v>
      </c>
      <c r="D28" t="s">
        <v>497</v>
      </c>
      <c r="E28" t="s">
        <v>742</v>
      </c>
      <c r="F28" s="566">
        <v>107.752124567641</v>
      </c>
      <c r="G28" s="566">
        <v>97.189999187334905</v>
      </c>
      <c r="H28" s="566">
        <v>76.106720456721902</v>
      </c>
      <c r="I28" s="566">
        <v>56.530581629279297</v>
      </c>
      <c r="J28" s="566">
        <v>95.368745344233602</v>
      </c>
      <c r="K28" s="566">
        <v>100.421626739213</v>
      </c>
      <c r="L28" s="566">
        <v>83.751564155600406</v>
      </c>
      <c r="M28" s="566">
        <v>74.585730211598403</v>
      </c>
      <c r="N28" s="566"/>
      <c r="O28" s="566"/>
    </row>
    <row r="29" spans="1:15">
      <c r="A29" t="s">
        <v>822</v>
      </c>
      <c r="B29" t="s">
        <v>9</v>
      </c>
      <c r="C29" t="s">
        <v>517</v>
      </c>
      <c r="D29" t="s">
        <v>497</v>
      </c>
      <c r="E29" t="s">
        <v>742</v>
      </c>
      <c r="F29" s="566">
        <v>44.323875432358797</v>
      </c>
      <c r="G29" s="566">
        <v>66.398181304633695</v>
      </c>
      <c r="H29" s="566">
        <v>131.22327954327801</v>
      </c>
      <c r="I29" s="566">
        <v>271.55400562869698</v>
      </c>
      <c r="J29" s="566">
        <v>307.44605639175199</v>
      </c>
      <c r="K29" s="566">
        <v>261.40140772536898</v>
      </c>
      <c r="L29" s="566">
        <v>163.49351378198699</v>
      </c>
      <c r="M29" s="566">
        <v>114.792250671535</v>
      </c>
      <c r="N29" s="566"/>
      <c r="O29" s="566"/>
    </row>
    <row r="30" spans="1:15">
      <c r="A30" t="s">
        <v>822</v>
      </c>
      <c r="B30" t="s">
        <v>439</v>
      </c>
      <c r="C30" t="s">
        <v>226</v>
      </c>
      <c r="D30" t="s">
        <v>497</v>
      </c>
      <c r="E30" t="s">
        <v>742</v>
      </c>
      <c r="F30" s="566"/>
      <c r="G30" s="566"/>
      <c r="H30" s="566"/>
      <c r="I30" s="566">
        <v>124.684</v>
      </c>
      <c r="J30" s="566">
        <v>136.78299999999999</v>
      </c>
      <c r="K30" s="566">
        <v>99.774000000000001</v>
      </c>
      <c r="L30" s="566">
        <v>90.923000000000002</v>
      </c>
      <c r="M30" s="566">
        <v>74.247</v>
      </c>
      <c r="N30" s="566"/>
      <c r="O30" s="566"/>
    </row>
    <row r="31" spans="1:15">
      <c r="A31" t="s">
        <v>822</v>
      </c>
      <c r="B31" t="s">
        <v>440</v>
      </c>
      <c r="C31" t="s">
        <v>227</v>
      </c>
      <c r="D31" t="s">
        <v>497</v>
      </c>
      <c r="E31" t="s">
        <v>742</v>
      </c>
      <c r="F31" s="566"/>
      <c r="G31" s="566"/>
      <c r="H31" s="566"/>
      <c r="I31" s="566">
        <v>15.026999999999999</v>
      </c>
      <c r="J31" s="566">
        <v>16.484999999999999</v>
      </c>
      <c r="K31" s="566">
        <v>12.023999999999999</v>
      </c>
      <c r="L31" s="566">
        <v>10.958</v>
      </c>
      <c r="M31" s="566">
        <v>8.9480000000000004</v>
      </c>
      <c r="N31" s="566"/>
      <c r="O31" s="566"/>
    </row>
    <row r="32" spans="1:15">
      <c r="A32" t="s">
        <v>822</v>
      </c>
      <c r="B32" t="s">
        <v>68</v>
      </c>
      <c r="C32" t="s">
        <v>55</v>
      </c>
      <c r="D32" t="s">
        <v>518</v>
      </c>
      <c r="E32" t="s">
        <v>742</v>
      </c>
      <c r="F32" s="567">
        <v>125.26368929866101</v>
      </c>
      <c r="G32" s="567"/>
      <c r="H32" s="567"/>
      <c r="I32" s="567"/>
      <c r="J32" s="567"/>
      <c r="K32" s="567"/>
      <c r="L32" s="567"/>
      <c r="M32" s="567"/>
      <c r="N32" s="567"/>
      <c r="O32" s="567"/>
    </row>
    <row r="33" spans="1:15">
      <c r="A33" t="s">
        <v>822</v>
      </c>
      <c r="B33" t="s">
        <v>69</v>
      </c>
      <c r="C33" t="s">
        <v>55</v>
      </c>
      <c r="D33" t="s">
        <v>518</v>
      </c>
      <c r="E33" t="s">
        <v>742</v>
      </c>
      <c r="F33" s="567">
        <v>107.97441355193099</v>
      </c>
      <c r="G33" s="567"/>
      <c r="H33" s="567"/>
      <c r="I33" s="567"/>
      <c r="J33" s="567"/>
      <c r="K33" s="567"/>
      <c r="L33" s="567"/>
      <c r="M33" s="567"/>
      <c r="N33" s="567"/>
      <c r="O33" s="567"/>
    </row>
    <row r="34" spans="1:15">
      <c r="A34" t="s">
        <v>822</v>
      </c>
      <c r="B34" t="s">
        <v>210</v>
      </c>
      <c r="C34" t="s">
        <v>519</v>
      </c>
      <c r="D34" t="s">
        <v>497</v>
      </c>
      <c r="E34" t="s">
        <v>742</v>
      </c>
      <c r="F34" s="566"/>
      <c r="G34" s="566"/>
      <c r="H34" s="566"/>
      <c r="I34" s="566">
        <v>-6.4040346411921103</v>
      </c>
      <c r="J34" s="566">
        <v>-9.3120659362126101</v>
      </c>
      <c r="K34" s="566">
        <v>-8.4414031297668295</v>
      </c>
      <c r="L34" s="566">
        <v>-7.9153618865700501</v>
      </c>
      <c r="M34" s="566">
        <v>-6.2416587606791998</v>
      </c>
      <c r="N34" s="566"/>
      <c r="O34" s="566"/>
    </row>
    <row r="35" spans="1:15">
      <c r="A35" t="s">
        <v>822</v>
      </c>
      <c r="B35" t="s">
        <v>211</v>
      </c>
      <c r="C35" t="s">
        <v>520</v>
      </c>
      <c r="D35" t="s">
        <v>497</v>
      </c>
      <c r="E35" t="s">
        <v>742</v>
      </c>
      <c r="F35" s="566"/>
      <c r="G35" s="566"/>
      <c r="H35" s="566"/>
      <c r="I35" s="566">
        <v>-4.4345210389061096</v>
      </c>
      <c r="J35" s="566">
        <v>-5.5135632887299098</v>
      </c>
      <c r="K35" s="566">
        <v>-4.38623182711172</v>
      </c>
      <c r="L35" s="566">
        <v>-3.6482704817140701</v>
      </c>
      <c r="M35" s="566">
        <v>-2.90058545757877</v>
      </c>
      <c r="N35" s="566"/>
      <c r="O35" s="566"/>
    </row>
    <row r="36" spans="1:15">
      <c r="A36" t="s">
        <v>822</v>
      </c>
      <c r="B36" t="s">
        <v>66</v>
      </c>
      <c r="C36" t="s">
        <v>196</v>
      </c>
      <c r="D36" t="s">
        <v>497</v>
      </c>
      <c r="E36" t="s">
        <v>742</v>
      </c>
      <c r="F36" s="566">
        <v>3803.4898692981501</v>
      </c>
      <c r="G36" s="566">
        <v>3973.1766037398602</v>
      </c>
      <c r="H36" s="566">
        <v>4012.3913144817998</v>
      </c>
      <c r="I36" s="566">
        <v>3993.7173828238001</v>
      </c>
      <c r="J36" s="566">
        <v>4084.8071487515299</v>
      </c>
      <c r="K36" s="566">
        <v>4142.9266328273397</v>
      </c>
      <c r="L36" s="566">
        <v>4183.7220345626502</v>
      </c>
      <c r="M36" s="566">
        <v>4162.73248798022</v>
      </c>
      <c r="N36" s="566"/>
      <c r="O36" s="566"/>
    </row>
    <row r="37" spans="1:15">
      <c r="A37" t="s">
        <v>822</v>
      </c>
      <c r="B37" t="s">
        <v>67</v>
      </c>
      <c r="C37" t="s">
        <v>197</v>
      </c>
      <c r="D37" t="s">
        <v>497</v>
      </c>
      <c r="E37" t="s">
        <v>742</v>
      </c>
      <c r="F37" s="566">
        <v>3332.2887786358301</v>
      </c>
      <c r="G37" s="566">
        <v>3351.3521895608601</v>
      </c>
      <c r="H37" s="566">
        <v>3457.1462027174198</v>
      </c>
      <c r="I37" s="566">
        <v>3945.1437194370801</v>
      </c>
      <c r="J37" s="566">
        <v>4581.8359215168202</v>
      </c>
      <c r="K37" s="566">
        <v>4996.3623891277402</v>
      </c>
      <c r="L37" s="566">
        <v>5287.6489470873103</v>
      </c>
      <c r="M37" s="566">
        <v>5449.8897221546404</v>
      </c>
      <c r="N37" s="566"/>
      <c r="O37" s="566"/>
    </row>
    <row r="38" spans="1:15">
      <c r="A38" t="s">
        <v>822</v>
      </c>
      <c r="B38" t="s">
        <v>243</v>
      </c>
      <c r="C38" t="s">
        <v>521</v>
      </c>
      <c r="D38" t="s">
        <v>522</v>
      </c>
      <c r="E38" t="s">
        <v>742</v>
      </c>
      <c r="F38" s="568">
        <v>5.8099999999999999E-2</v>
      </c>
      <c r="G38" s="568">
        <v>5.0999999999999997E-2</v>
      </c>
      <c r="H38" s="568">
        <v>5.0999999999999997E-2</v>
      </c>
      <c r="I38" s="568">
        <v>5.0999999999999997E-2</v>
      </c>
      <c r="J38" s="568">
        <v>5.0999999999999997E-2</v>
      </c>
      <c r="K38" s="568">
        <v>5.0999999999999997E-2</v>
      </c>
      <c r="L38" s="568">
        <v>5.0999999999999997E-2</v>
      </c>
      <c r="M38" s="568">
        <v>5.0999999999999997E-2</v>
      </c>
      <c r="N38" s="568">
        <v>5.0999999999999997E-2</v>
      </c>
      <c r="O38" s="568"/>
    </row>
    <row r="39" spans="1:15">
      <c r="A39" t="s">
        <v>822</v>
      </c>
      <c r="B39" t="s">
        <v>533</v>
      </c>
      <c r="C39" t="s">
        <v>504</v>
      </c>
      <c r="D39" t="s">
        <v>499</v>
      </c>
      <c r="E39" t="s">
        <v>742</v>
      </c>
      <c r="F39" s="570"/>
      <c r="G39" s="570"/>
      <c r="H39" s="570"/>
      <c r="I39" s="570"/>
      <c r="J39" s="570"/>
      <c r="K39" s="570"/>
      <c r="L39" s="570"/>
      <c r="M39" s="570"/>
      <c r="N39" s="570">
        <v>6.2600000000000003E-2</v>
      </c>
      <c r="O39" s="570"/>
    </row>
    <row r="40" spans="1:15">
      <c r="A40" t="s">
        <v>822</v>
      </c>
      <c r="B40" t="s">
        <v>424</v>
      </c>
      <c r="C40" t="s">
        <v>8</v>
      </c>
      <c r="D40" t="s">
        <v>497</v>
      </c>
      <c r="E40" t="s">
        <v>742</v>
      </c>
      <c r="F40" s="566"/>
      <c r="G40" s="566"/>
      <c r="H40" s="566"/>
      <c r="I40" s="566">
        <v>96.815099539999807</v>
      </c>
      <c r="J40" s="566">
        <v>134.462651452888</v>
      </c>
      <c r="K40" s="566">
        <v>98.969987991157893</v>
      </c>
      <c r="L40" s="566">
        <v>82.615744604577699</v>
      </c>
      <c r="M40" s="566">
        <v>70.737905735782604</v>
      </c>
      <c r="N40" s="566"/>
      <c r="O40" s="566"/>
    </row>
    <row r="41" spans="1:15">
      <c r="A41" t="s">
        <v>822</v>
      </c>
      <c r="B41" t="s">
        <v>425</v>
      </c>
      <c r="C41" t="s">
        <v>65</v>
      </c>
      <c r="D41" t="s">
        <v>497</v>
      </c>
      <c r="E41" t="s">
        <v>742</v>
      </c>
      <c r="F41" s="566"/>
      <c r="G41" s="566"/>
      <c r="H41" s="566"/>
      <c r="I41" s="566">
        <v>118.926250458056</v>
      </c>
      <c r="J41" s="566">
        <v>148.972263063176</v>
      </c>
      <c r="K41" s="566">
        <v>134.19403100525699</v>
      </c>
      <c r="L41" s="566">
        <v>144.16200000000001</v>
      </c>
      <c r="M41" s="566">
        <v>168.11232031747701</v>
      </c>
      <c r="N41" s="566"/>
      <c r="O41" s="566"/>
    </row>
    <row r="42" spans="1:15">
      <c r="A42" t="s">
        <v>822</v>
      </c>
      <c r="B42" t="s">
        <v>426</v>
      </c>
      <c r="C42" t="s">
        <v>382</v>
      </c>
      <c r="D42" t="s">
        <v>497</v>
      </c>
      <c r="E42" t="s">
        <v>742</v>
      </c>
      <c r="F42" s="566"/>
      <c r="G42" s="566"/>
      <c r="H42" s="566"/>
      <c r="I42" s="566">
        <v>58.1921938764836</v>
      </c>
      <c r="J42" s="566">
        <v>4.5178750700620398</v>
      </c>
      <c r="K42" s="566">
        <v>10.7836148502164</v>
      </c>
      <c r="L42" s="566">
        <v>20.156810120057301</v>
      </c>
      <c r="M42" s="566">
        <v>15.364241293346801</v>
      </c>
      <c r="N42" s="566"/>
      <c r="O42" s="566"/>
    </row>
    <row r="43" spans="1:15">
      <c r="A43" t="s">
        <v>822</v>
      </c>
      <c r="B43" t="s">
        <v>427</v>
      </c>
      <c r="C43" t="s">
        <v>383</v>
      </c>
      <c r="D43" t="s">
        <v>497</v>
      </c>
      <c r="E43" t="s">
        <v>742</v>
      </c>
      <c r="F43" s="566"/>
      <c r="G43" s="566"/>
      <c r="H43" s="566"/>
      <c r="I43" s="566">
        <v>49.096900494649603</v>
      </c>
      <c r="J43" s="566">
        <v>44.771243533433399</v>
      </c>
      <c r="K43" s="566">
        <v>31.8749503571423</v>
      </c>
      <c r="L43" s="566">
        <v>56.188153274649501</v>
      </c>
      <c r="M43" s="566">
        <v>75.0906794392439</v>
      </c>
      <c r="N43" s="566"/>
      <c r="O43" s="566"/>
    </row>
    <row r="44" spans="1:15">
      <c r="A44" t="s">
        <v>822</v>
      </c>
      <c r="B44" t="s">
        <v>428</v>
      </c>
      <c r="C44" t="s">
        <v>230</v>
      </c>
      <c r="D44" t="s">
        <v>497</v>
      </c>
      <c r="E44" t="s">
        <v>742</v>
      </c>
      <c r="F44" s="566"/>
      <c r="G44" s="566"/>
      <c r="H44" s="566"/>
      <c r="I44" s="566">
        <v>0</v>
      </c>
      <c r="J44" s="566">
        <v>0</v>
      </c>
      <c r="K44" s="566">
        <v>0</v>
      </c>
      <c r="L44" s="566">
        <v>0</v>
      </c>
      <c r="M44" s="566">
        <v>0</v>
      </c>
      <c r="N44" s="566"/>
      <c r="O44" s="566"/>
    </row>
    <row r="45" spans="1:15">
      <c r="A45" t="s">
        <v>822</v>
      </c>
      <c r="B45" t="s">
        <v>429</v>
      </c>
      <c r="C45" t="s">
        <v>231</v>
      </c>
      <c r="D45" t="s">
        <v>497</v>
      </c>
      <c r="E45" t="s">
        <v>742</v>
      </c>
      <c r="F45" s="566"/>
      <c r="G45" s="566"/>
      <c r="H45" s="566"/>
      <c r="I45" s="566">
        <v>0</v>
      </c>
      <c r="J45" s="566">
        <v>0</v>
      </c>
      <c r="K45" s="566">
        <v>0</v>
      </c>
      <c r="L45" s="566">
        <v>0</v>
      </c>
      <c r="M45" s="566">
        <v>0</v>
      </c>
      <c r="N45" s="566"/>
      <c r="O45" s="566"/>
    </row>
    <row r="46" spans="1:15">
      <c r="A46" t="s">
        <v>822</v>
      </c>
      <c r="B46" t="s">
        <v>430</v>
      </c>
      <c r="C46" t="s">
        <v>2</v>
      </c>
      <c r="D46" t="s">
        <v>497</v>
      </c>
      <c r="E46" t="s">
        <v>742</v>
      </c>
      <c r="F46" s="566"/>
      <c r="G46" s="566"/>
      <c r="H46" s="566"/>
      <c r="I46" s="566">
        <v>27.506438960000001</v>
      </c>
      <c r="J46" s="566">
        <v>44.729525442174598</v>
      </c>
      <c r="K46" s="566">
        <v>73.259442582552794</v>
      </c>
      <c r="L46" s="566">
        <v>77.864000000000004</v>
      </c>
      <c r="M46" s="566">
        <v>80.561511905495195</v>
      </c>
      <c r="N46" s="566"/>
      <c r="O46" s="566"/>
    </row>
    <row r="47" spans="1:15">
      <c r="A47" t="s">
        <v>822</v>
      </c>
      <c r="B47" t="s">
        <v>431</v>
      </c>
      <c r="C47" t="s">
        <v>64</v>
      </c>
      <c r="D47" t="s">
        <v>497</v>
      </c>
      <c r="E47" t="s">
        <v>742</v>
      </c>
      <c r="F47" s="566"/>
      <c r="G47" s="566"/>
      <c r="H47" s="566"/>
      <c r="I47" s="566">
        <v>165.781731443567</v>
      </c>
      <c r="J47" s="566">
        <v>162.227301251574</v>
      </c>
      <c r="K47" s="566">
        <v>147.569304121703</v>
      </c>
      <c r="L47" s="566">
        <v>144.40199999999999</v>
      </c>
      <c r="M47" s="566">
        <v>185.43571142700901</v>
      </c>
      <c r="N47" s="566"/>
      <c r="O47" s="566"/>
    </row>
    <row r="48" spans="1:15">
      <c r="A48" t="s">
        <v>822</v>
      </c>
      <c r="B48" t="s">
        <v>432</v>
      </c>
      <c r="C48" t="s">
        <v>384</v>
      </c>
      <c r="D48" t="s">
        <v>497</v>
      </c>
      <c r="E48" t="s">
        <v>742</v>
      </c>
      <c r="F48" s="566"/>
      <c r="G48" s="566"/>
      <c r="H48" s="566"/>
      <c r="I48" s="566">
        <v>22.2444760850546</v>
      </c>
      <c r="J48" s="566">
        <v>11.841580921866299</v>
      </c>
      <c r="K48" s="566">
        <v>31.181226785186599</v>
      </c>
      <c r="L48" s="566">
        <v>28.227</v>
      </c>
      <c r="M48" s="566">
        <v>59.564818739683801</v>
      </c>
      <c r="N48" s="566"/>
      <c r="O48" s="566"/>
    </row>
    <row r="49" spans="1:15">
      <c r="A49" t="s">
        <v>822</v>
      </c>
      <c r="B49" t="s">
        <v>433</v>
      </c>
      <c r="C49" t="s">
        <v>385</v>
      </c>
      <c r="D49" t="s">
        <v>497</v>
      </c>
      <c r="E49" t="s">
        <v>742</v>
      </c>
      <c r="F49" s="566"/>
      <c r="G49" s="566"/>
      <c r="H49" s="566"/>
      <c r="I49" s="566">
        <v>229.095530552192</v>
      </c>
      <c r="J49" s="566">
        <v>354.85647342482201</v>
      </c>
      <c r="K49" s="566">
        <v>231.10204017638301</v>
      </c>
      <c r="L49" s="566">
        <v>232.36700642477899</v>
      </c>
      <c r="M49" s="566">
        <v>143.94850298482299</v>
      </c>
      <c r="N49" s="566"/>
      <c r="O49" s="566"/>
    </row>
    <row r="50" spans="1:15">
      <c r="A50" t="s">
        <v>822</v>
      </c>
      <c r="B50" t="s">
        <v>434</v>
      </c>
      <c r="C50" t="s">
        <v>232</v>
      </c>
      <c r="D50" t="s">
        <v>497</v>
      </c>
      <c r="E50" t="s">
        <v>742</v>
      </c>
      <c r="F50" s="566"/>
      <c r="G50" s="566"/>
      <c r="H50" s="566"/>
      <c r="I50" s="566">
        <v>85.954035340000004</v>
      </c>
      <c r="J50" s="566">
        <v>68.658195062111503</v>
      </c>
      <c r="K50" s="566">
        <v>78.392323694568304</v>
      </c>
      <c r="L50" s="566">
        <v>105.12503617</v>
      </c>
      <c r="M50" s="566">
        <v>93.955209134460006</v>
      </c>
      <c r="N50" s="566"/>
      <c r="O50" s="566"/>
    </row>
    <row r="51" spans="1:15">
      <c r="A51" t="s">
        <v>822</v>
      </c>
      <c r="B51" t="s">
        <v>435</v>
      </c>
      <c r="C51" t="s">
        <v>233</v>
      </c>
      <c r="D51" t="s">
        <v>497</v>
      </c>
      <c r="E51" t="s">
        <v>742</v>
      </c>
      <c r="F51" s="566"/>
      <c r="G51" s="566"/>
      <c r="H51" s="566"/>
      <c r="I51" s="566">
        <v>30.074629819999998</v>
      </c>
      <c r="J51" s="566">
        <v>24.0229538678885</v>
      </c>
      <c r="K51" s="566">
        <v>16.651715565431701</v>
      </c>
      <c r="L51" s="566">
        <v>22.38297558</v>
      </c>
      <c r="M51" s="566">
        <v>19.957507985540001</v>
      </c>
      <c r="N51" s="566"/>
      <c r="O51" s="566"/>
    </row>
    <row r="52" spans="1:15">
      <c r="A52" t="s">
        <v>822</v>
      </c>
      <c r="B52" t="s">
        <v>420</v>
      </c>
      <c r="C52" t="s">
        <v>202</v>
      </c>
      <c r="D52" t="s">
        <v>497</v>
      </c>
      <c r="E52" t="s">
        <v>742</v>
      </c>
      <c r="F52" s="566"/>
      <c r="G52" s="566"/>
      <c r="H52" s="566"/>
      <c r="I52" s="566"/>
      <c r="J52" s="566"/>
      <c r="K52" s="566"/>
      <c r="L52" s="566"/>
      <c r="M52" s="566"/>
      <c r="N52" s="566"/>
      <c r="O52" s="566"/>
    </row>
    <row r="53" spans="1:15">
      <c r="A53" t="s">
        <v>822</v>
      </c>
      <c r="B53" t="s">
        <v>422</v>
      </c>
      <c r="C53" t="s">
        <v>203</v>
      </c>
      <c r="D53" t="s">
        <v>497</v>
      </c>
      <c r="E53" t="s">
        <v>742</v>
      </c>
      <c r="F53" s="566"/>
      <c r="G53" s="566"/>
      <c r="H53" s="566"/>
      <c r="I53" s="566"/>
      <c r="J53" s="566"/>
      <c r="K53" s="566"/>
      <c r="L53" s="566"/>
      <c r="M53" s="566"/>
      <c r="N53" s="566"/>
      <c r="O53" s="566"/>
    </row>
    <row r="54" spans="1:15">
      <c r="A54" t="s">
        <v>822</v>
      </c>
      <c r="B54" t="s">
        <v>476</v>
      </c>
      <c r="C54" t="s">
        <v>251</v>
      </c>
      <c r="D54" t="s">
        <v>497</v>
      </c>
      <c r="E54" t="s">
        <v>742</v>
      </c>
      <c r="F54" s="566"/>
      <c r="G54" s="566"/>
      <c r="H54" s="566">
        <v>0</v>
      </c>
      <c r="I54" s="566">
        <v>0</v>
      </c>
      <c r="J54" s="566">
        <v>0</v>
      </c>
      <c r="K54" s="566">
        <v>0</v>
      </c>
      <c r="L54" s="566">
        <v>0</v>
      </c>
      <c r="M54" s="566">
        <v>0</v>
      </c>
      <c r="N54" s="566"/>
      <c r="O54" s="566"/>
    </row>
    <row r="55" spans="1:15">
      <c r="A55" t="s">
        <v>822</v>
      </c>
      <c r="B55" t="s">
        <v>477</v>
      </c>
      <c r="C55" t="s">
        <v>252</v>
      </c>
      <c r="D55" t="s">
        <v>497</v>
      </c>
      <c r="E55" t="s">
        <v>742</v>
      </c>
      <c r="F55" s="566"/>
      <c r="G55" s="566"/>
      <c r="H55" s="566">
        <v>0</v>
      </c>
      <c r="I55" s="566">
        <v>0</v>
      </c>
      <c r="J55" s="566">
        <v>0</v>
      </c>
      <c r="K55" s="566">
        <v>0</v>
      </c>
      <c r="L55" s="566">
        <v>0</v>
      </c>
      <c r="M55" s="566">
        <v>0</v>
      </c>
      <c r="N55" s="566"/>
      <c r="O55" s="566"/>
    </row>
    <row r="56" spans="1:15">
      <c r="A56" t="s">
        <v>822</v>
      </c>
      <c r="B56" t="s">
        <v>478</v>
      </c>
      <c r="C56" t="s">
        <v>200</v>
      </c>
      <c r="D56" t="s">
        <v>497</v>
      </c>
      <c r="E56" t="s">
        <v>742</v>
      </c>
      <c r="F56" s="566"/>
      <c r="G56" s="566"/>
      <c r="H56" s="566">
        <v>0</v>
      </c>
      <c r="I56" s="566">
        <v>-1.63480322336759</v>
      </c>
      <c r="J56" s="566">
        <v>-2.49664163081039</v>
      </c>
      <c r="K56" s="566">
        <v>-1.33179340600143</v>
      </c>
      <c r="L56" s="566">
        <v>0</v>
      </c>
      <c r="M56" s="566">
        <v>-1.64356954998305</v>
      </c>
      <c r="N56" s="566"/>
      <c r="O56" s="566"/>
    </row>
    <row r="57" spans="1:15">
      <c r="A57" t="s">
        <v>822</v>
      </c>
      <c r="B57" t="s">
        <v>421</v>
      </c>
      <c r="C57" t="s">
        <v>204</v>
      </c>
      <c r="D57" t="s">
        <v>497</v>
      </c>
      <c r="E57" t="s">
        <v>742</v>
      </c>
      <c r="F57" s="566"/>
      <c r="G57" s="566"/>
      <c r="H57" s="566"/>
      <c r="I57" s="566"/>
      <c r="J57" s="566"/>
      <c r="K57" s="566"/>
      <c r="L57" s="566"/>
      <c r="M57" s="566"/>
      <c r="N57" s="566"/>
      <c r="O57" s="566"/>
    </row>
    <row r="58" spans="1:15">
      <c r="A58" t="s">
        <v>822</v>
      </c>
      <c r="B58" t="s">
        <v>423</v>
      </c>
      <c r="C58" t="s">
        <v>205</v>
      </c>
      <c r="D58" t="s">
        <v>497</v>
      </c>
      <c r="E58" t="s">
        <v>742</v>
      </c>
      <c r="F58" s="566"/>
      <c r="G58" s="566"/>
      <c r="H58" s="566"/>
      <c r="I58" s="566"/>
      <c r="J58" s="566"/>
      <c r="K58" s="566"/>
      <c r="L58" s="566"/>
      <c r="M58" s="566"/>
      <c r="N58" s="566"/>
      <c r="O58" s="566"/>
    </row>
    <row r="59" spans="1:15">
      <c r="A59" t="s">
        <v>822</v>
      </c>
      <c r="B59" t="s">
        <v>479</v>
      </c>
      <c r="C59" t="s">
        <v>253</v>
      </c>
      <c r="D59" t="s">
        <v>497</v>
      </c>
      <c r="E59" t="s">
        <v>742</v>
      </c>
      <c r="F59" s="566"/>
      <c r="G59" s="566"/>
      <c r="H59" s="566">
        <v>0</v>
      </c>
      <c r="I59" s="566">
        <v>-17.156358278341699</v>
      </c>
      <c r="J59" s="566">
        <v>-26.582998571509499</v>
      </c>
      <c r="K59" s="566">
        <v>-28.3931551164079</v>
      </c>
      <c r="L59" s="566">
        <v>-3.0895359311430202</v>
      </c>
      <c r="M59" s="566">
        <v>-50.507862365210002</v>
      </c>
      <c r="N59" s="566"/>
      <c r="O59" s="566"/>
    </row>
    <row r="60" spans="1:15">
      <c r="A60" t="s">
        <v>822</v>
      </c>
      <c r="B60" t="s">
        <v>480</v>
      </c>
      <c r="C60" t="s">
        <v>254</v>
      </c>
      <c r="D60" t="s">
        <v>497</v>
      </c>
      <c r="E60" t="s">
        <v>742</v>
      </c>
      <c r="F60" s="566"/>
      <c r="G60" s="566"/>
      <c r="H60" s="566">
        <v>0</v>
      </c>
      <c r="I60" s="566">
        <v>-17.156358278341699</v>
      </c>
      <c r="J60" s="566">
        <v>-26.683323202252598</v>
      </c>
      <c r="K60" s="566">
        <v>-28.819971940258799</v>
      </c>
      <c r="L60" s="566">
        <v>-13.3758874236997</v>
      </c>
      <c r="M60" s="566">
        <v>-63.756487231163199</v>
      </c>
      <c r="N60" s="566"/>
      <c r="O60" s="566"/>
    </row>
    <row r="61" spans="1:15">
      <c r="A61" t="s">
        <v>822</v>
      </c>
      <c r="B61" t="s">
        <v>481</v>
      </c>
      <c r="C61" t="s">
        <v>201</v>
      </c>
      <c r="D61" t="s">
        <v>497</v>
      </c>
      <c r="E61" t="s">
        <v>742</v>
      </c>
      <c r="F61" s="566"/>
      <c r="G61" s="566"/>
      <c r="H61" s="566">
        <v>0</v>
      </c>
      <c r="I61" s="566">
        <v>0</v>
      </c>
      <c r="J61" s="566">
        <v>0</v>
      </c>
      <c r="K61" s="566">
        <v>0</v>
      </c>
      <c r="L61" s="566">
        <v>0</v>
      </c>
      <c r="M61" s="566">
        <v>-2.1997454555106501</v>
      </c>
      <c r="N61" s="566"/>
      <c r="O61" s="566"/>
    </row>
    <row r="62" spans="1:15">
      <c r="A62" t="s">
        <v>822</v>
      </c>
      <c r="B62" t="s">
        <v>532</v>
      </c>
      <c r="C62" t="s">
        <v>91</v>
      </c>
      <c r="D62" t="s">
        <v>56</v>
      </c>
      <c r="E62" t="s">
        <v>742</v>
      </c>
      <c r="F62" s="569">
        <v>208.59166666666701</v>
      </c>
      <c r="G62" s="569">
        <v>214.78333333333299</v>
      </c>
      <c r="H62" s="569">
        <v>215.76666666666699</v>
      </c>
      <c r="I62" s="569">
        <v>226.47499999999999</v>
      </c>
      <c r="J62" s="569">
        <v>237.34166666666701</v>
      </c>
      <c r="K62" s="569">
        <v>244.67500000000001</v>
      </c>
      <c r="L62" s="569">
        <v>251.73333333333301</v>
      </c>
      <c r="M62" s="569">
        <v>256.66666666666703</v>
      </c>
      <c r="N62" s="569"/>
      <c r="O62" s="569"/>
    </row>
    <row r="63" spans="1:15">
      <c r="A63" t="s">
        <v>822</v>
      </c>
      <c r="B63" t="s">
        <v>438</v>
      </c>
      <c r="C63" t="s">
        <v>92</v>
      </c>
      <c r="D63" t="s">
        <v>499</v>
      </c>
      <c r="E63" t="s">
        <v>742</v>
      </c>
      <c r="F63" s="570"/>
      <c r="G63" s="570"/>
      <c r="H63" s="570"/>
      <c r="I63" s="570"/>
      <c r="J63" s="570"/>
      <c r="K63" s="570"/>
      <c r="L63" s="570"/>
      <c r="M63" s="570"/>
      <c r="N63" s="570"/>
      <c r="O63" s="570"/>
    </row>
    <row r="64" spans="1:15">
      <c r="A64" t="s">
        <v>822</v>
      </c>
      <c r="B64" t="s">
        <v>436</v>
      </c>
      <c r="C64" t="s">
        <v>437</v>
      </c>
      <c r="D64" t="s">
        <v>56</v>
      </c>
      <c r="E64" t="s">
        <v>742</v>
      </c>
      <c r="F64" s="569">
        <v>111.3</v>
      </c>
      <c r="G64" s="569">
        <v>113.97499999999999</v>
      </c>
      <c r="H64" s="569">
        <v>110.47499999999999</v>
      </c>
      <c r="I64" s="569">
        <v>107.375</v>
      </c>
      <c r="J64" s="569">
        <v>109.95</v>
      </c>
      <c r="K64" s="569">
        <v>113.45</v>
      </c>
      <c r="L64" s="569">
        <v>118.375</v>
      </c>
      <c r="M64" s="569">
        <v>121.825</v>
      </c>
      <c r="N64" s="569"/>
      <c r="O64" s="569"/>
    </row>
    <row r="65" spans="1:15">
      <c r="A65" t="s">
        <v>822</v>
      </c>
      <c r="B65" t="s">
        <v>534</v>
      </c>
      <c r="C65" t="s">
        <v>559</v>
      </c>
      <c r="D65" t="s">
        <v>522</v>
      </c>
      <c r="E65" t="s">
        <v>742</v>
      </c>
      <c r="F65" s="568"/>
      <c r="G65" s="568"/>
      <c r="H65" s="568"/>
      <c r="I65" s="568"/>
      <c r="J65" s="568"/>
      <c r="K65" s="568"/>
      <c r="L65" s="568"/>
      <c r="M65" s="568"/>
      <c r="N65" s="568"/>
      <c r="O65" s="568"/>
    </row>
    <row r="66" spans="1:15">
      <c r="A66" t="s">
        <v>822</v>
      </c>
      <c r="B66" t="s">
        <v>89</v>
      </c>
      <c r="C66" t="s">
        <v>91</v>
      </c>
      <c r="D66" t="s">
        <v>518</v>
      </c>
      <c r="E66" t="s">
        <v>742</v>
      </c>
      <c r="F66" s="569">
        <v>208.59166666666599</v>
      </c>
      <c r="G66" s="569">
        <v>214.78333333333299</v>
      </c>
      <c r="H66" s="569">
        <v>212.98333333333301</v>
      </c>
      <c r="I66" s="569">
        <v>217.23333333333301</v>
      </c>
      <c r="J66" s="569">
        <v>223.74350000000001</v>
      </c>
      <c r="K66" s="569">
        <v>229.78457449999999</v>
      </c>
      <c r="L66" s="569">
        <v>235.52918886249901</v>
      </c>
      <c r="M66" s="569">
        <v>241.41741858406201</v>
      </c>
      <c r="N66" s="569"/>
      <c r="O66" s="569"/>
    </row>
    <row r="67" spans="1:15">
      <c r="A67" t="s">
        <v>822</v>
      </c>
      <c r="B67" t="s">
        <v>93</v>
      </c>
      <c r="C67" t="s">
        <v>523</v>
      </c>
      <c r="D67" t="s">
        <v>518</v>
      </c>
      <c r="E67" t="s">
        <v>742</v>
      </c>
      <c r="F67" s="569">
        <v>111.3</v>
      </c>
      <c r="G67" s="569"/>
      <c r="H67" s="569"/>
      <c r="I67" s="569"/>
      <c r="J67" s="569"/>
      <c r="K67" s="569"/>
      <c r="L67" s="569"/>
      <c r="M67" s="569"/>
      <c r="N67" s="569"/>
      <c r="O67" s="569"/>
    </row>
    <row r="68" spans="1:15">
      <c r="A68" t="s">
        <v>822</v>
      </c>
      <c r="B68" t="s">
        <v>367</v>
      </c>
      <c r="C68" t="s">
        <v>524</v>
      </c>
      <c r="D68" t="s">
        <v>522</v>
      </c>
      <c r="E68" t="s">
        <v>742</v>
      </c>
      <c r="F68" s="568"/>
      <c r="G68" s="568">
        <v>-1.53846153846153E-2</v>
      </c>
      <c r="H68" s="568">
        <v>-8.3862499999998192E-3</v>
      </c>
      <c r="I68" s="568">
        <v>2.49999999999997E-2</v>
      </c>
      <c r="J68" s="568">
        <v>4.4999999999999901E-2</v>
      </c>
      <c r="K68" s="568">
        <v>3.7000000000000102E-2</v>
      </c>
      <c r="L68" s="568">
        <v>2.9999999999999801E-2</v>
      </c>
      <c r="M68" s="568">
        <v>0.03</v>
      </c>
      <c r="N68" s="568"/>
      <c r="O68" s="568"/>
    </row>
    <row r="69" spans="1:15">
      <c r="A69" t="s">
        <v>822</v>
      </c>
      <c r="B69" t="s">
        <v>96</v>
      </c>
      <c r="C69" t="s">
        <v>525</v>
      </c>
      <c r="D69" t="s">
        <v>518</v>
      </c>
      <c r="E69" t="s">
        <v>742</v>
      </c>
      <c r="F69" s="569">
        <v>208.59166666666701</v>
      </c>
      <c r="G69" s="569"/>
      <c r="H69" s="569"/>
      <c r="I69" s="569"/>
      <c r="J69" s="569"/>
      <c r="K69" s="569"/>
      <c r="L69" s="569"/>
      <c r="M69" s="569"/>
      <c r="N69" s="569"/>
      <c r="O69" s="569"/>
    </row>
    <row r="70" spans="1:15">
      <c r="A70" t="s">
        <v>822</v>
      </c>
      <c r="B70" t="s">
        <v>97</v>
      </c>
      <c r="C70" t="s">
        <v>526</v>
      </c>
      <c r="D70" t="s">
        <v>518</v>
      </c>
      <c r="E70" t="s">
        <v>742</v>
      </c>
      <c r="F70" s="569">
        <v>111.3</v>
      </c>
      <c r="G70" s="569"/>
      <c r="H70" s="569"/>
      <c r="I70" s="569"/>
      <c r="J70" s="569"/>
      <c r="K70" s="569"/>
      <c r="L70" s="569"/>
      <c r="M70" s="569"/>
      <c r="N70" s="569"/>
      <c r="O70" s="569"/>
    </row>
    <row r="71" spans="1:15">
      <c r="A71" t="s">
        <v>822</v>
      </c>
      <c r="B71" t="s">
        <v>459</v>
      </c>
      <c r="C71" t="s">
        <v>39</v>
      </c>
      <c r="D71" t="s">
        <v>56</v>
      </c>
      <c r="E71" t="s">
        <v>742</v>
      </c>
      <c r="F71" s="567"/>
      <c r="G71" s="567"/>
      <c r="H71" s="567"/>
      <c r="I71" s="567"/>
      <c r="J71" s="567"/>
      <c r="K71" s="567"/>
      <c r="L71" s="567"/>
      <c r="M71" s="567"/>
      <c r="N71" s="567">
        <v>-7.4999999999999997E-3</v>
      </c>
      <c r="O71" s="567"/>
    </row>
    <row r="72" spans="1:15">
      <c r="A72" t="s">
        <v>822</v>
      </c>
      <c r="B72" t="s">
        <v>460</v>
      </c>
      <c r="C72" t="s">
        <v>40</v>
      </c>
      <c r="D72" t="s">
        <v>56</v>
      </c>
      <c r="E72" t="s">
        <v>742</v>
      </c>
      <c r="F72" s="567"/>
      <c r="G72" s="567"/>
      <c r="H72" s="567"/>
      <c r="I72" s="567"/>
      <c r="J72" s="567"/>
      <c r="K72" s="567"/>
      <c r="L72" s="567"/>
      <c r="M72" s="567"/>
      <c r="N72" s="567">
        <v>1.05</v>
      </c>
      <c r="O72" s="567"/>
    </row>
    <row r="73" spans="1:15">
      <c r="A73" t="s">
        <v>822</v>
      </c>
      <c r="B73" t="s">
        <v>461</v>
      </c>
      <c r="C73" t="s">
        <v>41</v>
      </c>
      <c r="D73" t="s">
        <v>56</v>
      </c>
      <c r="E73" t="s">
        <v>742</v>
      </c>
      <c r="F73" s="567"/>
      <c r="G73" s="567"/>
      <c r="H73" s="567"/>
      <c r="I73" s="567"/>
      <c r="J73" s="567"/>
      <c r="K73" s="567"/>
      <c r="L73" s="567"/>
      <c r="M73" s="567"/>
      <c r="N73" s="567">
        <v>0.25</v>
      </c>
      <c r="O73" s="567"/>
    </row>
    <row r="74" spans="1:15">
      <c r="A74" t="s">
        <v>822</v>
      </c>
      <c r="B74" t="s">
        <v>462</v>
      </c>
      <c r="C74" t="s">
        <v>42</v>
      </c>
      <c r="D74" t="s">
        <v>56</v>
      </c>
      <c r="E74" t="s">
        <v>742</v>
      </c>
      <c r="F74" s="567"/>
      <c r="G74" s="567"/>
      <c r="H74" s="567"/>
      <c r="I74" s="567"/>
      <c r="J74" s="567"/>
      <c r="K74" s="567"/>
      <c r="L74" s="567"/>
      <c r="M74" s="567"/>
      <c r="N74" s="567">
        <v>75</v>
      </c>
      <c r="O74" s="567"/>
    </row>
    <row r="75" spans="1:15">
      <c r="A75" t="s">
        <v>822</v>
      </c>
      <c r="B75" t="s">
        <v>463</v>
      </c>
      <c r="C75" t="s">
        <v>43</v>
      </c>
      <c r="D75" t="s">
        <v>56</v>
      </c>
      <c r="E75" t="s">
        <v>742</v>
      </c>
      <c r="F75" s="567"/>
      <c r="G75" s="567"/>
      <c r="H75" s="567"/>
      <c r="I75" s="567"/>
      <c r="J75" s="567"/>
      <c r="K75" s="567"/>
      <c r="L75" s="567"/>
      <c r="M75" s="567"/>
      <c r="N75" s="567">
        <v>-1.8749999999999999E-3</v>
      </c>
      <c r="O75" s="567"/>
    </row>
    <row r="76" spans="1:15">
      <c r="A76" t="s">
        <v>822</v>
      </c>
      <c r="B76" t="s">
        <v>464</v>
      </c>
      <c r="C76" t="s">
        <v>44</v>
      </c>
      <c r="D76" t="s">
        <v>56</v>
      </c>
      <c r="E76" t="s">
        <v>742</v>
      </c>
      <c r="F76" s="567"/>
      <c r="G76" s="567"/>
      <c r="H76" s="567"/>
      <c r="I76" s="567"/>
      <c r="J76" s="567"/>
      <c r="K76" s="567"/>
      <c r="L76" s="567"/>
      <c r="M76" s="567"/>
      <c r="N76" s="567">
        <v>0.28749999999999998</v>
      </c>
      <c r="O76" s="567"/>
    </row>
    <row r="77" spans="1:15">
      <c r="A77" t="s">
        <v>822</v>
      </c>
      <c r="B77" t="s">
        <v>465</v>
      </c>
      <c r="C77" t="s">
        <v>45</v>
      </c>
      <c r="D77" t="s">
        <v>56</v>
      </c>
      <c r="E77" t="s">
        <v>742</v>
      </c>
      <c r="F77" s="567"/>
      <c r="G77" s="567"/>
      <c r="H77" s="567"/>
      <c r="I77" s="567"/>
      <c r="J77" s="567"/>
      <c r="K77" s="567"/>
      <c r="L77" s="567"/>
      <c r="M77" s="567"/>
      <c r="N77" s="567">
        <v>-10</v>
      </c>
      <c r="O77" s="567"/>
    </row>
    <row r="78" spans="1:15">
      <c r="A78" t="s">
        <v>822</v>
      </c>
      <c r="B78" t="s">
        <v>466</v>
      </c>
      <c r="C78" t="s">
        <v>39</v>
      </c>
      <c r="D78" t="s">
        <v>56</v>
      </c>
      <c r="E78" t="s">
        <v>742</v>
      </c>
      <c r="F78" s="567"/>
      <c r="G78" s="567"/>
      <c r="H78" s="567"/>
      <c r="I78" s="567"/>
      <c r="J78" s="567"/>
      <c r="K78" s="567"/>
      <c r="L78" s="567"/>
      <c r="M78" s="567"/>
      <c r="N78" s="567">
        <v>-5.0000000000000001E-3</v>
      </c>
      <c r="O78" s="567"/>
    </row>
    <row r="79" spans="1:15">
      <c r="A79" t="s">
        <v>822</v>
      </c>
      <c r="B79" t="s">
        <v>467</v>
      </c>
      <c r="C79" t="s">
        <v>40</v>
      </c>
      <c r="D79" t="s">
        <v>56</v>
      </c>
      <c r="E79" t="s">
        <v>742</v>
      </c>
      <c r="F79" s="567"/>
      <c r="G79" s="567"/>
      <c r="H79" s="567"/>
      <c r="I79" s="567"/>
      <c r="J79" s="567"/>
      <c r="K79" s="567"/>
      <c r="L79" s="567"/>
      <c r="M79" s="567"/>
      <c r="N79" s="567">
        <v>0.8</v>
      </c>
      <c r="O79" s="567"/>
    </row>
    <row r="80" spans="1:15">
      <c r="A80" t="s">
        <v>822</v>
      </c>
      <c r="B80" t="s">
        <v>468</v>
      </c>
      <c r="C80" t="s">
        <v>41</v>
      </c>
      <c r="D80" t="s">
        <v>56</v>
      </c>
      <c r="E80" t="s">
        <v>742</v>
      </c>
      <c r="F80" s="567"/>
      <c r="G80" s="567"/>
      <c r="H80" s="567"/>
      <c r="I80" s="567"/>
      <c r="J80" s="567"/>
      <c r="K80" s="567"/>
      <c r="L80" s="567"/>
      <c r="M80" s="567"/>
      <c r="N80" s="567">
        <v>0.25</v>
      </c>
      <c r="O80" s="567"/>
    </row>
    <row r="81" spans="1:15">
      <c r="A81" t="s">
        <v>822</v>
      </c>
      <c r="B81" t="s">
        <v>469</v>
      </c>
      <c r="C81" t="s">
        <v>42</v>
      </c>
      <c r="D81" t="s">
        <v>56</v>
      </c>
      <c r="E81" t="s">
        <v>742</v>
      </c>
      <c r="F81" s="567"/>
      <c r="G81" s="567"/>
      <c r="H81" s="567"/>
      <c r="I81" s="567"/>
      <c r="J81" s="567"/>
      <c r="K81" s="567"/>
      <c r="L81" s="567"/>
      <c r="M81" s="567"/>
      <c r="N81" s="567">
        <v>75</v>
      </c>
      <c r="O81" s="567"/>
    </row>
    <row r="82" spans="1:15">
      <c r="A82" t="s">
        <v>822</v>
      </c>
      <c r="B82" t="s">
        <v>470</v>
      </c>
      <c r="C82" t="s">
        <v>43</v>
      </c>
      <c r="D82" t="s">
        <v>56</v>
      </c>
      <c r="E82" t="s">
        <v>742</v>
      </c>
      <c r="F82" s="567"/>
      <c r="G82" s="567"/>
      <c r="H82" s="567"/>
      <c r="I82" s="567"/>
      <c r="J82" s="567"/>
      <c r="K82" s="567"/>
      <c r="L82" s="567"/>
      <c r="M82" s="567"/>
      <c r="N82" s="567">
        <v>-1.25E-3</v>
      </c>
      <c r="O82" s="567"/>
    </row>
    <row r="83" spans="1:15">
      <c r="A83" t="s">
        <v>822</v>
      </c>
      <c r="B83" t="s">
        <v>471</v>
      </c>
      <c r="C83" t="s">
        <v>44</v>
      </c>
      <c r="D83" t="s">
        <v>56</v>
      </c>
      <c r="E83" t="s">
        <v>742</v>
      </c>
      <c r="F83" s="567"/>
      <c r="G83" s="567"/>
      <c r="H83" s="567"/>
      <c r="I83" s="567"/>
      <c r="J83" s="567"/>
      <c r="K83" s="567"/>
      <c r="L83" s="567"/>
      <c r="M83" s="567"/>
      <c r="N83" s="567">
        <v>0.17499999999999999</v>
      </c>
      <c r="O83" s="567"/>
    </row>
    <row r="84" spans="1:15">
      <c r="A84" t="s">
        <v>822</v>
      </c>
      <c r="B84" t="s">
        <v>472</v>
      </c>
      <c r="C84" t="s">
        <v>45</v>
      </c>
      <c r="D84" t="s">
        <v>56</v>
      </c>
      <c r="E84" t="s">
        <v>742</v>
      </c>
      <c r="F84" s="567"/>
      <c r="G84" s="567"/>
      <c r="H84" s="567"/>
      <c r="I84" s="567"/>
      <c r="J84" s="567"/>
      <c r="K84" s="567"/>
      <c r="L84" s="567"/>
      <c r="M84" s="567"/>
      <c r="N84" s="567">
        <v>-5</v>
      </c>
      <c r="O84" s="567"/>
    </row>
    <row r="85" spans="1:15">
      <c r="A85" t="s">
        <v>822</v>
      </c>
      <c r="B85" t="s">
        <v>473</v>
      </c>
      <c r="C85" t="s">
        <v>46</v>
      </c>
      <c r="D85" t="s">
        <v>56</v>
      </c>
      <c r="E85" t="s">
        <v>742</v>
      </c>
      <c r="F85" s="567"/>
      <c r="G85" s="567"/>
      <c r="H85" s="567"/>
      <c r="I85" s="567"/>
      <c r="J85" s="567"/>
      <c r="K85" s="567"/>
      <c r="L85" s="567"/>
      <c r="M85" s="567"/>
      <c r="N85" s="567">
        <v>0.05</v>
      </c>
      <c r="O85" s="567"/>
    </row>
    <row r="86" spans="1:15">
      <c r="A86" t="s">
        <v>822</v>
      </c>
      <c r="B86" t="s">
        <v>474</v>
      </c>
      <c r="C86" t="s">
        <v>50</v>
      </c>
      <c r="D86" t="s">
        <v>55</v>
      </c>
      <c r="E86" t="s">
        <v>742</v>
      </c>
      <c r="F86" s="567"/>
      <c r="G86" s="567"/>
      <c r="H86" s="567"/>
      <c r="I86" s="567"/>
      <c r="J86" s="567"/>
      <c r="K86" s="567"/>
      <c r="L86" s="567"/>
      <c r="M86" s="567"/>
      <c r="N86" s="567">
        <v>100</v>
      </c>
      <c r="O86" s="567"/>
    </row>
    <row r="87" spans="1:15">
      <c r="A87" t="s">
        <v>822</v>
      </c>
      <c r="B87" t="s">
        <v>475</v>
      </c>
      <c r="C87" t="s">
        <v>47</v>
      </c>
      <c r="D87" t="s">
        <v>55</v>
      </c>
      <c r="E87" t="s">
        <v>742</v>
      </c>
      <c r="F87" s="567"/>
      <c r="G87" s="567"/>
      <c r="H87" s="567"/>
      <c r="I87" s="567"/>
      <c r="J87" s="567"/>
      <c r="K87" s="567"/>
      <c r="L87" s="567"/>
      <c r="M87" s="567"/>
      <c r="N87" s="567">
        <v>130</v>
      </c>
      <c r="O87" s="567"/>
    </row>
    <row r="88" spans="1:15">
      <c r="A88" t="s">
        <v>822</v>
      </c>
      <c r="B88" t="s">
        <v>166</v>
      </c>
      <c r="C88" t="s">
        <v>270</v>
      </c>
      <c r="D88" t="s">
        <v>56</v>
      </c>
      <c r="E88" t="s">
        <v>742</v>
      </c>
      <c r="F88" s="567"/>
      <c r="G88" s="567"/>
      <c r="H88" s="567"/>
      <c r="I88" s="567"/>
      <c r="J88" s="567"/>
      <c r="K88" s="567"/>
      <c r="L88" s="567"/>
      <c r="M88" s="567"/>
      <c r="N88" s="567">
        <v>2</v>
      </c>
      <c r="O88" s="567"/>
    </row>
    <row r="89" spans="1:15">
      <c r="A89" t="s">
        <v>822</v>
      </c>
      <c r="B89" t="s">
        <v>167</v>
      </c>
      <c r="C89" t="s">
        <v>527</v>
      </c>
      <c r="D89" t="s">
        <v>518</v>
      </c>
      <c r="E89" t="s">
        <v>742</v>
      </c>
      <c r="F89" s="567"/>
      <c r="G89" s="567"/>
      <c r="H89" s="567"/>
      <c r="I89" s="567"/>
      <c r="J89" s="567"/>
      <c r="K89" s="567"/>
      <c r="L89" s="567"/>
      <c r="M89" s="567"/>
      <c r="N89" s="567">
        <v>0</v>
      </c>
      <c r="O89" s="567"/>
    </row>
    <row r="90" spans="1:15">
      <c r="A90" t="s">
        <v>822</v>
      </c>
      <c r="B90" t="s">
        <v>577</v>
      </c>
      <c r="C90" t="s">
        <v>575</v>
      </c>
      <c r="D90" t="s">
        <v>522</v>
      </c>
      <c r="E90" t="s">
        <v>742</v>
      </c>
      <c r="F90" s="568"/>
      <c r="G90" s="568"/>
      <c r="H90" s="568"/>
      <c r="I90" s="568"/>
      <c r="J90" s="568"/>
      <c r="K90" s="568"/>
      <c r="L90" s="568"/>
      <c r="M90" s="568"/>
      <c r="N90" s="568"/>
      <c r="O90" s="568">
        <v>3.5999999999999997E-2</v>
      </c>
    </row>
  </sheetData>
  <pageMargins left="0.70866141732283472" right="0.70866141732283472" top="0.74803149606299213" bottom="0.74803149606299213" header="0.31496062992125984" footer="0.31496062992125984"/>
  <pageSetup paperSize="9" scale="61" fitToHeight="0" orientation="landscape" r:id="rId1"/>
  <headerFooter>
    <oddHeader>&amp;L&amp;A</oddHeader>
    <oddFooter>&amp;LPL14L012 CIS v3.5
Ofwat, February 2016</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R200"/>
  <sheetViews>
    <sheetView showGridLines="0" zoomScale="80" zoomScaleNormal="80" workbookViewId="0">
      <pane xSplit="6" ySplit="4" topLeftCell="G118" activePane="bottomRight" state="frozen"/>
      <selection activeCell="A3" sqref="A3"/>
      <selection pane="topRight" activeCell="A3" sqref="A3"/>
      <selection pane="bottomLeft" activeCell="A3" sqref="A3"/>
      <selection pane="bottomRight" activeCell="G150" sqref="G150"/>
    </sheetView>
  </sheetViews>
  <sheetFormatPr defaultColWidth="9.109375" defaultRowHeight="13.2"/>
  <cols>
    <col min="1" max="1" width="0.44140625" style="23" customWidth="1"/>
    <col min="2" max="2" width="7.6640625" style="23" customWidth="1"/>
    <col min="3" max="3" width="29.88671875" style="35" customWidth="1"/>
    <col min="4" max="4" width="10" style="23" customWidth="1"/>
    <col min="5" max="5" width="76.5546875" style="24" bestFit="1" customWidth="1"/>
    <col min="6" max="6" width="5.44140625" style="23" customWidth="1"/>
    <col min="7" max="14" width="14.5546875" style="23" customWidth="1"/>
    <col min="15" max="15" width="9.44140625" style="23" customWidth="1"/>
    <col min="16" max="16" width="16.88671875" style="23" customWidth="1"/>
    <col min="17" max="17" width="4.44140625" style="23" customWidth="1"/>
    <col min="18" max="18" width="10.5546875" style="97" customWidth="1"/>
    <col min="19" max="16384" width="9.109375" style="25"/>
  </cols>
  <sheetData>
    <row r="1" spans="1:18" ht="37.5" customHeight="1">
      <c r="A1" s="433"/>
      <c r="B1" s="458"/>
      <c r="C1" s="459"/>
      <c r="D1" s="465" t="s">
        <v>23</v>
      </c>
      <c r="E1" s="460" t="s">
        <v>773</v>
      </c>
      <c r="F1" s="461"/>
      <c r="G1" s="461"/>
      <c r="H1" s="461"/>
      <c r="I1" s="461"/>
      <c r="J1" s="461"/>
      <c r="K1" s="461"/>
      <c r="L1" s="461"/>
      <c r="M1" s="461"/>
      <c r="N1" s="462"/>
      <c r="O1" s="463"/>
      <c r="P1" s="463"/>
      <c r="Q1" s="463"/>
      <c r="R1" s="464"/>
    </row>
    <row r="2" spans="1:18" s="138" customFormat="1" ht="18" customHeight="1">
      <c r="A2" s="386"/>
      <c r="B2" s="242"/>
      <c r="C2" s="243"/>
      <c r="D2" s="244" t="s">
        <v>26</v>
      </c>
      <c r="E2" s="556"/>
      <c r="F2" s="245"/>
      <c r="G2" s="245" t="s">
        <v>28</v>
      </c>
      <c r="H2" s="245" t="s">
        <v>29</v>
      </c>
      <c r="I2" s="245" t="s">
        <v>30</v>
      </c>
      <c r="J2" s="246" t="s">
        <v>31</v>
      </c>
      <c r="K2" s="246" t="s">
        <v>32</v>
      </c>
      <c r="L2" s="246" t="s">
        <v>33</v>
      </c>
      <c r="M2" s="246" t="s">
        <v>34</v>
      </c>
      <c r="N2" s="385" t="s">
        <v>35</v>
      </c>
      <c r="O2" s="245" t="s">
        <v>59</v>
      </c>
      <c r="P2" s="245"/>
      <c r="Q2" s="245"/>
      <c r="R2" s="247"/>
    </row>
    <row r="3" spans="1:18" s="138" customFormat="1" ht="17.399999999999999">
      <c r="A3" s="386"/>
      <c r="B3" s="248"/>
      <c r="C3" s="249"/>
      <c r="D3" s="250"/>
      <c r="E3" s="251"/>
      <c r="F3" s="252"/>
      <c r="G3" s="252"/>
      <c r="H3" s="252"/>
      <c r="I3" s="252"/>
      <c r="J3" s="253"/>
      <c r="K3" s="253"/>
      <c r="L3" s="253"/>
      <c r="M3" s="253"/>
      <c r="N3" s="387"/>
      <c r="O3" s="252"/>
      <c r="P3" s="252"/>
      <c r="Q3" s="252"/>
      <c r="R3" s="254"/>
    </row>
    <row r="4" spans="1:18" s="138" customFormat="1">
      <c r="A4" s="388"/>
      <c r="B4" s="389"/>
      <c r="C4" s="256" t="s">
        <v>36</v>
      </c>
      <c r="D4" s="389"/>
      <c r="E4" s="390" t="s">
        <v>37</v>
      </c>
      <c r="F4" s="389"/>
      <c r="G4" s="389">
        <v>2007</v>
      </c>
      <c r="H4" s="389">
        <v>2008</v>
      </c>
      <c r="I4" s="389">
        <v>2009</v>
      </c>
      <c r="J4" s="391">
        <v>2010</v>
      </c>
      <c r="K4" s="391">
        <v>2011</v>
      </c>
      <c r="L4" s="391">
        <v>2012</v>
      </c>
      <c r="M4" s="391">
        <v>2013</v>
      </c>
      <c r="N4" s="392">
        <v>2014</v>
      </c>
      <c r="O4" s="255"/>
      <c r="P4" s="255"/>
      <c r="Q4" s="255"/>
      <c r="R4" s="257"/>
    </row>
    <row r="5" spans="1:18" s="138" customFormat="1">
      <c r="A5" s="388"/>
      <c r="B5" s="389"/>
      <c r="C5" s="256"/>
      <c r="D5" s="389"/>
      <c r="E5" s="390"/>
      <c r="F5" s="389"/>
      <c r="G5" s="389"/>
      <c r="H5" s="389"/>
      <c r="I5" s="389"/>
      <c r="J5" s="391"/>
      <c r="K5" s="391"/>
      <c r="L5" s="391"/>
      <c r="M5" s="391"/>
      <c r="N5" s="392"/>
      <c r="O5" s="255"/>
      <c r="P5" s="255"/>
      <c r="Q5" s="255"/>
      <c r="R5" s="257"/>
    </row>
    <row r="6" spans="1:18">
      <c r="A6" s="429"/>
      <c r="B6" s="440"/>
      <c r="C6" s="450"/>
      <c r="D6" s="466" t="s">
        <v>38</v>
      </c>
      <c r="E6" s="448" t="s">
        <v>169</v>
      </c>
      <c r="F6" s="440"/>
      <c r="G6" s="440"/>
      <c r="H6" s="440"/>
      <c r="I6" s="440"/>
      <c r="J6" s="440"/>
      <c r="K6" s="440"/>
      <c r="L6" s="440"/>
      <c r="M6" s="440"/>
      <c r="N6" s="446"/>
      <c r="O6" s="449"/>
      <c r="P6" s="449"/>
      <c r="Q6" s="449"/>
      <c r="R6" s="451"/>
    </row>
    <row r="7" spans="1:18">
      <c r="A7" s="430"/>
      <c r="B7" s="31"/>
      <c r="C7" s="32"/>
      <c r="D7" s="33"/>
      <c r="E7" s="34"/>
      <c r="F7" s="31"/>
      <c r="G7" s="31"/>
      <c r="H7" s="31"/>
      <c r="I7" s="31"/>
      <c r="J7" s="67"/>
      <c r="K7" s="67"/>
      <c r="L7" s="67"/>
      <c r="M7" s="67"/>
      <c r="N7" s="393"/>
      <c r="O7" s="91"/>
      <c r="P7" s="91"/>
      <c r="Q7" s="91"/>
      <c r="R7" s="95"/>
    </row>
    <row r="8" spans="1:18" s="22" customFormat="1">
      <c r="A8" s="431"/>
      <c r="B8" s="452"/>
      <c r="C8" s="453"/>
      <c r="D8" s="467" t="s">
        <v>38</v>
      </c>
      <c r="E8" s="454" t="s">
        <v>112</v>
      </c>
      <c r="F8" s="440"/>
      <c r="G8" s="440"/>
      <c r="H8" s="440"/>
      <c r="I8" s="440"/>
      <c r="J8" s="440"/>
      <c r="K8" s="440"/>
      <c r="L8" s="440"/>
      <c r="M8" s="440"/>
      <c r="N8" s="455"/>
      <c r="O8" s="456"/>
      <c r="P8" s="456"/>
      <c r="Q8" s="456"/>
      <c r="R8" s="457"/>
    </row>
    <row r="9" spans="1:18" s="138" customFormat="1">
      <c r="A9" s="432"/>
      <c r="B9" s="213"/>
      <c r="C9" s="214"/>
      <c r="D9" s="213"/>
      <c r="E9" s="215"/>
      <c r="F9" s="217"/>
      <c r="G9" s="217"/>
      <c r="H9" s="217"/>
      <c r="I9" s="217"/>
      <c r="J9" s="218"/>
      <c r="K9" s="218"/>
      <c r="L9" s="218"/>
      <c r="M9" s="218"/>
      <c r="N9" s="394"/>
      <c r="O9" s="217"/>
      <c r="P9" s="217"/>
      <c r="Q9" s="217"/>
      <c r="R9" s="219"/>
    </row>
    <row r="10" spans="1:18" s="138" customFormat="1">
      <c r="A10" s="432"/>
      <c r="B10" s="213"/>
      <c r="C10" s="154" t="s">
        <v>451</v>
      </c>
      <c r="D10" s="153" t="s">
        <v>57</v>
      </c>
      <c r="E10" s="216" t="s">
        <v>177</v>
      </c>
      <c r="F10" s="217"/>
      <c r="G10" s="220"/>
      <c r="H10" s="220"/>
      <c r="I10" s="220"/>
      <c r="J10" s="221">
        <f>INDEX('F_Inputs BYR'!$B$4:$N$90,MATCH($C10,'F_Inputs BYR'!$B$4:$B$90,0),MATCH(J$2,'F_Inputs BYR'!$B$2:$N$2,0))</f>
        <v>103.470908642818</v>
      </c>
      <c r="K10" s="221">
        <f>INDEX('F_Inputs BYR'!$B$4:$N$90,MATCH($C10,'F_Inputs BYR'!$B$4:$B$90,0),MATCH(K$2,'F_Inputs BYR'!$B$2:$N$2,0))</f>
        <v>132.99800637627399</v>
      </c>
      <c r="L10" s="221">
        <f>INDEX('F_Inputs BYR'!$B$4:$N$90,MATCH($C10,'F_Inputs BYR'!$B$4:$B$90,0),MATCH(L$2,'F_Inputs BYR'!$B$2:$N$2,0))</f>
        <v>111.563416483532</v>
      </c>
      <c r="M10" s="221">
        <f>INDEX('F_Inputs BYR'!$B$4:$N$90,MATCH($C10,'F_Inputs BYR'!$B$4:$B$90,0),MATCH(M$2,'F_Inputs BYR'!$B$2:$N$2,0))</f>
        <v>129.981643721457</v>
      </c>
      <c r="N10" s="395">
        <f>INDEX('F_Inputs BYR'!$B$4:$N$90,MATCH($C10,'F_Inputs BYR'!$B$4:$B$90,0),MATCH(N$2,'F_Inputs BYR'!$B$2:$N$2,0))</f>
        <v>124.476495414871</v>
      </c>
      <c r="O10" s="217"/>
      <c r="P10" s="217"/>
      <c r="Q10" s="217"/>
      <c r="R10" s="222" t="s">
        <v>242</v>
      </c>
    </row>
    <row r="11" spans="1:18" s="138" customFormat="1">
      <c r="A11" s="432"/>
      <c r="B11" s="213"/>
      <c r="C11" s="154" t="s">
        <v>452</v>
      </c>
      <c r="D11" s="153" t="s">
        <v>57</v>
      </c>
      <c r="E11" s="216" t="s">
        <v>178</v>
      </c>
      <c r="F11" s="217"/>
      <c r="G11" s="220"/>
      <c r="H11" s="220"/>
      <c r="I11" s="220"/>
      <c r="J11" s="221">
        <f>INDEX('F_Inputs BYR'!$B$4:$N$90,MATCH($C11,'F_Inputs BYR'!$B$4:$B$90,0),MATCH(J$2,'F_Inputs BYR'!$B$2:$N$2,0))</f>
        <v>113.913414843349</v>
      </c>
      <c r="K11" s="221">
        <f>INDEX('F_Inputs BYR'!$B$4:$N$90,MATCH($C11,'F_Inputs BYR'!$B$4:$B$90,0),MATCH(K$2,'F_Inputs BYR'!$B$2:$N$2,0))</f>
        <v>166.357511332</v>
      </c>
      <c r="L11" s="221">
        <f>INDEX('F_Inputs BYR'!$B$4:$N$90,MATCH($C11,'F_Inputs BYR'!$B$4:$B$90,0),MATCH(L$2,'F_Inputs BYR'!$B$2:$N$2,0))</f>
        <v>140.887898901509</v>
      </c>
      <c r="M11" s="221">
        <f>INDEX('F_Inputs BYR'!$B$4:$N$90,MATCH($C11,'F_Inputs BYR'!$B$4:$B$90,0),MATCH(M$2,'F_Inputs BYR'!$B$2:$N$2,0))</f>
        <v>118.387980577061</v>
      </c>
      <c r="N11" s="395">
        <f>INDEX('F_Inputs BYR'!$B$4:$N$90,MATCH($C11,'F_Inputs BYR'!$B$4:$B$90,0),MATCH(N$2,'F_Inputs BYR'!$B$2:$N$2,0))</f>
        <v>84.269135592107304</v>
      </c>
      <c r="O11" s="217"/>
      <c r="P11" s="217"/>
      <c r="Q11" s="217"/>
      <c r="R11" s="222" t="s">
        <v>242</v>
      </c>
    </row>
    <row r="12" spans="1:18" s="138" customFormat="1">
      <c r="A12" s="432"/>
      <c r="B12" s="213"/>
      <c r="C12" s="154" t="s">
        <v>453</v>
      </c>
      <c r="D12" s="153" t="s">
        <v>57</v>
      </c>
      <c r="E12" s="216" t="s">
        <v>123</v>
      </c>
      <c r="F12" s="217"/>
      <c r="G12" s="223"/>
      <c r="H12" s="223"/>
      <c r="I12" s="223"/>
      <c r="J12" s="221">
        <f>INDEX('F_Inputs BYR'!$B$4:$N$90,MATCH($C12,'F_Inputs BYR'!$B$4:$B$90,0),MATCH(J$2,'F_Inputs BYR'!$B$2:$N$2,0))</f>
        <v>107.772134616793</v>
      </c>
      <c r="K12" s="221">
        <f>INDEX('F_Inputs BYR'!$B$4:$N$90,MATCH($C12,'F_Inputs BYR'!$B$4:$B$90,0),MATCH(K$2,'F_Inputs BYR'!$B$2:$N$2,0))</f>
        <v>128.94885703399399</v>
      </c>
      <c r="L12" s="221">
        <f>INDEX('F_Inputs BYR'!$B$4:$N$90,MATCH($C12,'F_Inputs BYR'!$B$4:$B$90,0),MATCH(L$2,'F_Inputs BYR'!$B$2:$N$2,0))</f>
        <v>39.916639210552901</v>
      </c>
      <c r="M12" s="221">
        <f>INDEX('F_Inputs BYR'!$B$4:$N$90,MATCH($C12,'F_Inputs BYR'!$B$4:$B$90,0),MATCH(M$2,'F_Inputs BYR'!$B$2:$N$2,0))</f>
        <v>28.593380651569401</v>
      </c>
      <c r="N12" s="395">
        <f>INDEX('F_Inputs BYR'!$B$4:$N$90,MATCH($C12,'F_Inputs BYR'!$B$4:$B$90,0),MATCH(N$2,'F_Inputs BYR'!$B$2:$N$2,0))</f>
        <v>15.432786951569399</v>
      </c>
      <c r="O12" s="217"/>
      <c r="P12" s="217"/>
      <c r="Q12" s="217"/>
      <c r="R12" s="222" t="s">
        <v>242</v>
      </c>
    </row>
    <row r="13" spans="1:18" s="138" customFormat="1">
      <c r="A13" s="432"/>
      <c r="B13" s="213"/>
      <c r="C13" s="154" t="s">
        <v>454</v>
      </c>
      <c r="D13" s="153" t="s">
        <v>57</v>
      </c>
      <c r="E13" s="216" t="s">
        <v>122</v>
      </c>
      <c r="F13" s="217"/>
      <c r="G13" s="223"/>
      <c r="H13" s="223"/>
      <c r="I13" s="223"/>
      <c r="J13" s="221">
        <f>INDEX('F_Inputs BYR'!$B$4:$N$90,MATCH($C13,'F_Inputs BYR'!$B$4:$B$90,0),MATCH(J$2,'F_Inputs BYR'!$B$2:$N$2,0))</f>
        <v>68.677982659469805</v>
      </c>
      <c r="K13" s="221">
        <f>INDEX('F_Inputs BYR'!$B$4:$N$90,MATCH($C13,'F_Inputs BYR'!$B$4:$B$90,0),MATCH(K$2,'F_Inputs BYR'!$B$2:$N$2,0))</f>
        <v>79.775220134809601</v>
      </c>
      <c r="L13" s="221">
        <f>INDEX('F_Inputs BYR'!$B$4:$N$90,MATCH($C13,'F_Inputs BYR'!$B$4:$B$90,0),MATCH(L$2,'F_Inputs BYR'!$B$2:$N$2,0))</f>
        <v>52.664264101835997</v>
      </c>
      <c r="M13" s="221">
        <f>INDEX('F_Inputs BYR'!$B$4:$N$90,MATCH($C13,'F_Inputs BYR'!$B$4:$B$90,0),MATCH(M$2,'F_Inputs BYR'!$B$2:$N$2,0))</f>
        <v>42.8514853069493</v>
      </c>
      <c r="N13" s="395">
        <f>INDEX('F_Inputs BYR'!$B$4:$N$90,MATCH($C13,'F_Inputs BYR'!$B$4:$B$90,0),MATCH(N$2,'F_Inputs BYR'!$B$2:$N$2,0))</f>
        <v>32.973380172967403</v>
      </c>
      <c r="O13" s="217"/>
      <c r="P13" s="217"/>
      <c r="Q13" s="217"/>
      <c r="R13" s="222" t="s">
        <v>242</v>
      </c>
    </row>
    <row r="14" spans="1:18" s="138" customFormat="1">
      <c r="A14" s="432"/>
      <c r="B14" s="213"/>
      <c r="C14" s="154" t="s">
        <v>455</v>
      </c>
      <c r="D14" s="153" t="s">
        <v>57</v>
      </c>
      <c r="E14" s="216" t="s">
        <v>190</v>
      </c>
      <c r="F14" s="217"/>
      <c r="G14" s="223"/>
      <c r="H14" s="223"/>
      <c r="I14" s="223"/>
      <c r="J14" s="221">
        <f>INDEX('F_Inputs BYR'!$B$4:$N$90,MATCH($C14,'F_Inputs BYR'!$B$4:$B$90,0),MATCH(J$2,'F_Inputs BYR'!$B$2:$N$2,0))</f>
        <v>5.7140000000000004</v>
      </c>
      <c r="K14" s="221">
        <f>INDEX('F_Inputs BYR'!$B$4:$N$90,MATCH($C14,'F_Inputs BYR'!$B$4:$B$90,0),MATCH(K$2,'F_Inputs BYR'!$B$2:$N$2,0))</f>
        <v>7.7889999999999997</v>
      </c>
      <c r="L14" s="221">
        <f>INDEX('F_Inputs BYR'!$B$4:$N$90,MATCH($C14,'F_Inputs BYR'!$B$4:$B$90,0),MATCH(L$2,'F_Inputs BYR'!$B$2:$N$2,0))</f>
        <v>8.3089999999999993</v>
      </c>
      <c r="M14" s="221">
        <f>INDEX('F_Inputs BYR'!$B$4:$N$90,MATCH($C14,'F_Inputs BYR'!$B$4:$B$90,0),MATCH(M$2,'F_Inputs BYR'!$B$2:$N$2,0))</f>
        <v>9.66</v>
      </c>
      <c r="N14" s="395">
        <f>INDEX('F_Inputs BYR'!$B$4:$N$90,MATCH($C14,'F_Inputs BYR'!$B$4:$B$90,0),MATCH(N$2,'F_Inputs BYR'!$B$2:$N$2,0))</f>
        <v>9.9890000000000008</v>
      </c>
      <c r="O14" s="217"/>
      <c r="P14" s="217"/>
      <c r="Q14" s="217"/>
      <c r="R14" s="222" t="s">
        <v>242</v>
      </c>
    </row>
    <row r="15" spans="1:18" s="138" customFormat="1">
      <c r="A15" s="432"/>
      <c r="B15" s="213"/>
      <c r="C15" s="154" t="s">
        <v>456</v>
      </c>
      <c r="D15" s="153" t="s">
        <v>57</v>
      </c>
      <c r="E15" s="216" t="s">
        <v>220</v>
      </c>
      <c r="F15" s="217"/>
      <c r="G15" s="223"/>
      <c r="H15" s="223"/>
      <c r="I15" s="223"/>
      <c r="J15" s="221">
        <f>INDEX('F_Inputs BYR'!$B$4:$N$90,MATCH($C15,'F_Inputs BYR'!$B$4:$B$90,0),MATCH(J$2,'F_Inputs BYR'!$B$2:$N$2,0))</f>
        <v>0</v>
      </c>
      <c r="K15" s="221">
        <f>INDEX('F_Inputs BYR'!$B$4:$N$90,MATCH($C15,'F_Inputs BYR'!$B$4:$B$90,0),MATCH(K$2,'F_Inputs BYR'!$B$2:$N$2,0))</f>
        <v>0</v>
      </c>
      <c r="L15" s="221">
        <f>INDEX('F_Inputs BYR'!$B$4:$N$90,MATCH($C15,'F_Inputs BYR'!$B$4:$B$90,0),MATCH(L$2,'F_Inputs BYR'!$B$2:$N$2,0))</f>
        <v>0</v>
      </c>
      <c r="M15" s="221">
        <f>INDEX('F_Inputs BYR'!$B$4:$N$90,MATCH($C15,'F_Inputs BYR'!$B$4:$B$90,0),MATCH(M$2,'F_Inputs BYR'!$B$2:$N$2,0))</f>
        <v>0</v>
      </c>
      <c r="N15" s="395">
        <f>INDEX('F_Inputs BYR'!$B$4:$N$90,MATCH($C15,'F_Inputs BYR'!$B$4:$B$90,0),MATCH(N$2,'F_Inputs BYR'!$B$2:$N$2,0))</f>
        <v>0</v>
      </c>
      <c r="O15" s="217"/>
      <c r="P15" s="217"/>
      <c r="Q15" s="217"/>
      <c r="R15" s="222" t="s">
        <v>242</v>
      </c>
    </row>
    <row r="16" spans="1:18" s="138" customFormat="1">
      <c r="A16" s="432"/>
      <c r="B16" s="213"/>
      <c r="C16" s="154" t="s">
        <v>457</v>
      </c>
      <c r="D16" s="153" t="s">
        <v>57</v>
      </c>
      <c r="E16" s="216" t="s">
        <v>221</v>
      </c>
      <c r="F16" s="217"/>
      <c r="G16" s="223"/>
      <c r="H16" s="223"/>
      <c r="I16" s="223"/>
      <c r="J16" s="221">
        <f>INDEX('F_Inputs BYR'!$B$4:$N$90,MATCH($C16,'F_Inputs BYR'!$B$4:$B$90,0),MATCH(J$2,'F_Inputs BYR'!$B$2:$N$2,0))</f>
        <v>0</v>
      </c>
      <c r="K16" s="221">
        <f>INDEX('F_Inputs BYR'!$B$4:$N$90,MATCH($C16,'F_Inputs BYR'!$B$4:$B$90,0),MATCH(K$2,'F_Inputs BYR'!$B$2:$N$2,0))</f>
        <v>0</v>
      </c>
      <c r="L16" s="221">
        <f>INDEX('F_Inputs BYR'!$B$4:$N$90,MATCH($C16,'F_Inputs BYR'!$B$4:$B$90,0),MATCH(L$2,'F_Inputs BYR'!$B$2:$N$2,0))</f>
        <v>0</v>
      </c>
      <c r="M16" s="221">
        <f>INDEX('F_Inputs BYR'!$B$4:$N$90,MATCH($C16,'F_Inputs BYR'!$B$4:$B$90,0),MATCH(M$2,'F_Inputs BYR'!$B$2:$N$2,0))</f>
        <v>0</v>
      </c>
      <c r="N16" s="395">
        <f>INDEX('F_Inputs BYR'!$B$4:$N$90,MATCH($C16,'F_Inputs BYR'!$B$4:$B$90,0),MATCH(N$2,'F_Inputs BYR'!$B$2:$N$2,0))</f>
        <v>0</v>
      </c>
      <c r="O16" s="217"/>
      <c r="P16" s="217"/>
      <c r="Q16" s="217"/>
      <c r="R16" s="222" t="s">
        <v>242</v>
      </c>
    </row>
    <row r="17" spans="1:18" s="138" customFormat="1">
      <c r="A17" s="432"/>
      <c r="B17" s="213"/>
      <c r="C17" s="154" t="s">
        <v>458</v>
      </c>
      <c r="D17" s="153" t="s">
        <v>57</v>
      </c>
      <c r="E17" s="216" t="s">
        <v>416</v>
      </c>
      <c r="F17" s="217"/>
      <c r="G17" s="223"/>
      <c r="H17" s="223"/>
      <c r="I17" s="223"/>
      <c r="J17" s="221">
        <f>INDEX('F_Inputs BYR'!$B$4:$N$90,MATCH($C17,'F_Inputs BYR'!$B$4:$B$90,0),MATCH(J$2,'F_Inputs BYR'!$B$2:$N$2,0))</f>
        <v>0</v>
      </c>
      <c r="K17" s="221">
        <f>INDEX('F_Inputs BYR'!$B$4:$N$90,MATCH($C17,'F_Inputs BYR'!$B$4:$B$90,0),MATCH(K$2,'F_Inputs BYR'!$B$2:$N$2,0))</f>
        <v>0</v>
      </c>
      <c r="L17" s="221">
        <f>INDEX('F_Inputs BYR'!$B$4:$N$90,MATCH($C17,'F_Inputs BYR'!$B$4:$B$90,0),MATCH(L$2,'F_Inputs BYR'!$B$2:$N$2,0))</f>
        <v>0</v>
      </c>
      <c r="M17" s="221">
        <f>INDEX('F_Inputs BYR'!$B$4:$N$90,MATCH($C17,'F_Inputs BYR'!$B$4:$B$90,0),MATCH(M$2,'F_Inputs BYR'!$B$2:$N$2,0))</f>
        <v>0</v>
      </c>
      <c r="N17" s="395">
        <f>INDEX('F_Inputs BYR'!$B$4:$N$90,MATCH($C17,'F_Inputs BYR'!$B$4:$B$90,0),MATCH(N$2,'F_Inputs BYR'!$B$2:$N$2,0))</f>
        <v>0</v>
      </c>
      <c r="O17" s="217"/>
      <c r="P17" s="217"/>
      <c r="Q17" s="217"/>
      <c r="R17" s="222" t="s">
        <v>242</v>
      </c>
    </row>
    <row r="18" spans="1:18" s="138" customFormat="1">
      <c r="A18" s="432"/>
      <c r="B18" s="213"/>
      <c r="C18" s="154"/>
      <c r="D18" s="217"/>
      <c r="E18" s="216"/>
      <c r="F18" s="217"/>
      <c r="G18" s="217"/>
      <c r="H18" s="217"/>
      <c r="I18" s="217"/>
      <c r="J18" s="218"/>
      <c r="K18" s="218"/>
      <c r="L18" s="218"/>
      <c r="M18" s="218"/>
      <c r="N18" s="394"/>
      <c r="O18" s="217"/>
      <c r="P18" s="217"/>
      <c r="Q18" s="217"/>
      <c r="R18" s="219"/>
    </row>
    <row r="19" spans="1:18" s="138" customFormat="1">
      <c r="A19" s="432"/>
      <c r="B19" s="213"/>
      <c r="C19" s="154" t="s">
        <v>444</v>
      </c>
      <c r="D19" s="153" t="s">
        <v>57</v>
      </c>
      <c r="E19" s="216" t="s">
        <v>179</v>
      </c>
      <c r="F19" s="217"/>
      <c r="G19" s="220"/>
      <c r="H19" s="220"/>
      <c r="I19" s="220"/>
      <c r="J19" s="221">
        <f>INDEX('F_Inputs BYR'!$B$4:$N$90,MATCH($C19,'F_Inputs BYR'!$B$4:$B$90,0),MATCH(J$2,'F_Inputs BYR'!$B$2:$N$2,0))</f>
        <v>42.720897600000001</v>
      </c>
      <c r="K19" s="221">
        <f>INDEX('F_Inputs BYR'!$B$4:$N$90,MATCH($C19,'F_Inputs BYR'!$B$4:$B$90,0),MATCH(K$2,'F_Inputs BYR'!$B$2:$N$2,0))</f>
        <v>38.648853000000003</v>
      </c>
      <c r="L19" s="221">
        <f>INDEX('F_Inputs BYR'!$B$4:$N$90,MATCH($C19,'F_Inputs BYR'!$B$4:$B$90,0),MATCH(L$2,'F_Inputs BYR'!$B$2:$N$2,0))</f>
        <v>45.982225700000001</v>
      </c>
      <c r="M19" s="221">
        <f>INDEX('F_Inputs BYR'!$B$4:$N$90,MATCH($C19,'F_Inputs BYR'!$B$4:$B$90,0),MATCH(M$2,'F_Inputs BYR'!$B$2:$N$2,0))</f>
        <v>47.438052999999996</v>
      </c>
      <c r="N19" s="395">
        <f>INDEX('F_Inputs BYR'!$B$4:$N$90,MATCH($C19,'F_Inputs BYR'!$B$4:$B$90,0),MATCH(N$2,'F_Inputs BYR'!$B$2:$N$2,0))</f>
        <v>47.2990274</v>
      </c>
      <c r="O19" s="217"/>
      <c r="P19" s="217"/>
      <c r="Q19" s="217"/>
      <c r="R19" s="222" t="s">
        <v>242</v>
      </c>
    </row>
    <row r="20" spans="1:18" s="138" customFormat="1">
      <c r="A20" s="432"/>
      <c r="B20" s="213"/>
      <c r="C20" s="154" t="s">
        <v>445</v>
      </c>
      <c r="D20" s="153" t="s">
        <v>57</v>
      </c>
      <c r="E20" s="216" t="s">
        <v>180</v>
      </c>
      <c r="F20" s="217"/>
      <c r="G20" s="220"/>
      <c r="H20" s="220"/>
      <c r="I20" s="220"/>
      <c r="J20" s="221">
        <f>INDEX('F_Inputs BYR'!$B$4:$N$90,MATCH($C20,'F_Inputs BYR'!$B$4:$B$90,0),MATCH(J$2,'F_Inputs BYR'!$B$2:$N$2,0))</f>
        <v>174.42350429999999</v>
      </c>
      <c r="K20" s="221">
        <f>INDEX('F_Inputs BYR'!$B$4:$N$90,MATCH($C20,'F_Inputs BYR'!$B$4:$B$90,0),MATCH(K$2,'F_Inputs BYR'!$B$2:$N$2,0))</f>
        <v>249.0989931</v>
      </c>
      <c r="L20" s="221">
        <f>INDEX('F_Inputs BYR'!$B$4:$N$90,MATCH($C20,'F_Inputs BYR'!$B$4:$B$90,0),MATCH(L$2,'F_Inputs BYR'!$B$2:$N$2,0))</f>
        <v>148.0181566</v>
      </c>
      <c r="M20" s="221">
        <f>INDEX('F_Inputs BYR'!$B$4:$N$90,MATCH($C20,'F_Inputs BYR'!$B$4:$B$90,0),MATCH(M$2,'F_Inputs BYR'!$B$2:$N$2,0))</f>
        <v>158.6278312</v>
      </c>
      <c r="N20" s="395">
        <f>INDEX('F_Inputs BYR'!$B$4:$N$90,MATCH($C20,'F_Inputs BYR'!$B$4:$B$90,0),MATCH(N$2,'F_Inputs BYR'!$B$2:$N$2,0))</f>
        <v>122.76039400000001</v>
      </c>
      <c r="O20" s="217"/>
      <c r="P20" s="217"/>
      <c r="Q20" s="217"/>
      <c r="R20" s="222" t="s">
        <v>242</v>
      </c>
    </row>
    <row r="21" spans="1:18" s="138" customFormat="1">
      <c r="A21" s="432"/>
      <c r="B21" s="213"/>
      <c r="C21" s="154" t="s">
        <v>446</v>
      </c>
      <c r="D21" s="153" t="s">
        <v>57</v>
      </c>
      <c r="E21" s="216" t="s">
        <v>124</v>
      </c>
      <c r="F21" s="217"/>
      <c r="G21" s="223"/>
      <c r="H21" s="223"/>
      <c r="I21" s="223"/>
      <c r="J21" s="221">
        <f>INDEX('F_Inputs BYR'!$B$4:$N$90,MATCH($C21,'F_Inputs BYR'!$B$4:$B$90,0),MATCH(J$2,'F_Inputs BYR'!$B$2:$N$2,0))</f>
        <v>63.993343000000003</v>
      </c>
      <c r="K21" s="221">
        <f>INDEX('F_Inputs BYR'!$B$4:$N$90,MATCH($C21,'F_Inputs BYR'!$B$4:$B$90,0),MATCH(K$2,'F_Inputs BYR'!$B$2:$N$2,0))</f>
        <v>107.633421</v>
      </c>
      <c r="L21" s="221">
        <f>INDEX('F_Inputs BYR'!$B$4:$N$90,MATCH($C21,'F_Inputs BYR'!$B$4:$B$90,0),MATCH(L$2,'F_Inputs BYR'!$B$2:$N$2,0))</f>
        <v>138.6957151</v>
      </c>
      <c r="M21" s="221">
        <f>INDEX('F_Inputs BYR'!$B$4:$N$90,MATCH($C21,'F_Inputs BYR'!$B$4:$B$90,0),MATCH(M$2,'F_Inputs BYR'!$B$2:$N$2,0))</f>
        <v>121.4034858</v>
      </c>
      <c r="N21" s="395">
        <f>INDEX('F_Inputs BYR'!$B$4:$N$90,MATCH($C21,'F_Inputs BYR'!$B$4:$B$90,0),MATCH(N$2,'F_Inputs BYR'!$B$2:$N$2,0))</f>
        <v>114.6391064</v>
      </c>
      <c r="O21" s="217"/>
      <c r="P21" s="217"/>
      <c r="Q21" s="217"/>
      <c r="R21" s="222" t="s">
        <v>242</v>
      </c>
    </row>
    <row r="22" spans="1:18" s="138" customFormat="1">
      <c r="A22" s="432"/>
      <c r="B22" s="213"/>
      <c r="C22" s="154" t="s">
        <v>447</v>
      </c>
      <c r="D22" s="153" t="s">
        <v>57</v>
      </c>
      <c r="E22" s="216" t="s">
        <v>125</v>
      </c>
      <c r="F22" s="217"/>
      <c r="G22" s="223"/>
      <c r="H22" s="223"/>
      <c r="I22" s="223"/>
      <c r="J22" s="221">
        <f>INDEX('F_Inputs BYR'!$B$4:$N$90,MATCH($C22,'F_Inputs BYR'!$B$4:$B$90,0),MATCH(J$2,'F_Inputs BYR'!$B$2:$N$2,0))</f>
        <v>286.69337969999998</v>
      </c>
      <c r="K22" s="221">
        <f>INDEX('F_Inputs BYR'!$B$4:$N$90,MATCH($C22,'F_Inputs BYR'!$B$4:$B$90,0),MATCH(K$2,'F_Inputs BYR'!$B$2:$N$2,0))</f>
        <v>323.45532571049398</v>
      </c>
      <c r="L22" s="221">
        <f>INDEX('F_Inputs BYR'!$B$4:$N$90,MATCH($C22,'F_Inputs BYR'!$B$4:$B$90,0),MATCH(L$2,'F_Inputs BYR'!$B$2:$N$2,0))</f>
        <v>274.44730395646098</v>
      </c>
      <c r="M22" s="221">
        <f>INDEX('F_Inputs BYR'!$B$4:$N$90,MATCH($C22,'F_Inputs BYR'!$B$4:$B$90,0),MATCH(M$2,'F_Inputs BYR'!$B$2:$N$2,0))</f>
        <v>174.79395094065501</v>
      </c>
      <c r="N22" s="395">
        <f>INDEX('F_Inputs BYR'!$B$4:$N$90,MATCH($C22,'F_Inputs BYR'!$B$4:$B$90,0),MATCH(N$2,'F_Inputs BYR'!$B$2:$N$2,0))</f>
        <v>122.67399018527</v>
      </c>
      <c r="O22" s="220"/>
      <c r="P22" s="217"/>
      <c r="Q22" s="217"/>
      <c r="R22" s="222" t="s">
        <v>242</v>
      </c>
    </row>
    <row r="23" spans="1:18" s="138" customFormat="1">
      <c r="A23" s="432"/>
      <c r="B23" s="213"/>
      <c r="C23" s="154" t="s">
        <v>448</v>
      </c>
      <c r="D23" s="153" t="s">
        <v>57</v>
      </c>
      <c r="E23" s="216" t="s">
        <v>191</v>
      </c>
      <c r="F23" s="217"/>
      <c r="G23" s="220"/>
      <c r="H23" s="220"/>
      <c r="I23" s="220"/>
      <c r="J23" s="221">
        <f>INDEX('F_Inputs BYR'!$B$4:$N$90,MATCH($C23,'F_Inputs BYR'!$B$4:$B$90,0),MATCH(J$2,'F_Inputs BYR'!$B$2:$N$2,0))</f>
        <v>9.1329999999999991</v>
      </c>
      <c r="K23" s="221">
        <f>INDEX('F_Inputs BYR'!$B$4:$N$90,MATCH($C23,'F_Inputs BYR'!$B$4:$B$90,0),MATCH(K$2,'F_Inputs BYR'!$B$2:$N$2,0))</f>
        <v>12.135</v>
      </c>
      <c r="L23" s="221">
        <f>INDEX('F_Inputs BYR'!$B$4:$N$90,MATCH($C23,'F_Inputs BYR'!$B$4:$B$90,0),MATCH(L$2,'F_Inputs BYR'!$B$2:$N$2,0))</f>
        <v>13.163</v>
      </c>
      <c r="M23" s="221">
        <f>INDEX('F_Inputs BYR'!$B$4:$N$90,MATCH($C23,'F_Inputs BYR'!$B$4:$B$90,0),MATCH(M$2,'F_Inputs BYR'!$B$2:$N$2,0))</f>
        <v>15.06</v>
      </c>
      <c r="N23" s="395">
        <f>INDEX('F_Inputs BYR'!$B$4:$N$90,MATCH($C23,'F_Inputs BYR'!$B$4:$B$90,0),MATCH(N$2,'F_Inputs BYR'!$B$2:$N$2,0))</f>
        <v>15.964</v>
      </c>
      <c r="O23" s="217"/>
      <c r="P23" s="217"/>
      <c r="Q23" s="217"/>
      <c r="R23" s="222" t="s">
        <v>242</v>
      </c>
    </row>
    <row r="24" spans="1:18" s="138" customFormat="1">
      <c r="A24" s="432"/>
      <c r="B24" s="213"/>
      <c r="C24" s="154" t="s">
        <v>449</v>
      </c>
      <c r="D24" s="153" t="s">
        <v>57</v>
      </c>
      <c r="E24" s="216" t="s">
        <v>222</v>
      </c>
      <c r="F24" s="217"/>
      <c r="G24" s="223"/>
      <c r="H24" s="223"/>
      <c r="I24" s="223"/>
      <c r="J24" s="221">
        <f>INDEX('F_Inputs BYR'!$B$4:$N$90,MATCH($C24,'F_Inputs BYR'!$B$4:$B$90,0),MATCH(J$2,'F_Inputs BYR'!$B$2:$N$2,0))</f>
        <v>124.684</v>
      </c>
      <c r="K24" s="221">
        <f>INDEX('F_Inputs BYR'!$B$4:$N$90,MATCH($C24,'F_Inputs BYR'!$B$4:$B$90,0),MATCH(K$2,'F_Inputs BYR'!$B$2:$N$2,0))</f>
        <v>136.78299999999999</v>
      </c>
      <c r="L24" s="221">
        <f>INDEX('F_Inputs BYR'!$B$4:$N$90,MATCH($C24,'F_Inputs BYR'!$B$4:$B$90,0),MATCH(L$2,'F_Inputs BYR'!$B$2:$N$2,0))</f>
        <v>99.774000000000001</v>
      </c>
      <c r="M24" s="221">
        <f>INDEX('F_Inputs BYR'!$B$4:$N$90,MATCH($C24,'F_Inputs BYR'!$B$4:$B$90,0),MATCH(M$2,'F_Inputs BYR'!$B$2:$N$2,0))</f>
        <v>90.923000000000002</v>
      </c>
      <c r="N24" s="395">
        <f>INDEX('F_Inputs BYR'!$B$4:$N$90,MATCH($C24,'F_Inputs BYR'!$B$4:$B$90,0),MATCH(N$2,'F_Inputs BYR'!$B$2:$N$2,0))</f>
        <v>74.247</v>
      </c>
      <c r="O24" s="217"/>
      <c r="P24" s="217"/>
      <c r="Q24" s="217"/>
      <c r="R24" s="222" t="s">
        <v>242</v>
      </c>
    </row>
    <row r="25" spans="1:18" s="138" customFormat="1">
      <c r="A25" s="432"/>
      <c r="B25" s="213"/>
      <c r="C25" s="154" t="s">
        <v>450</v>
      </c>
      <c r="D25" s="153" t="s">
        <v>57</v>
      </c>
      <c r="E25" s="216" t="s">
        <v>223</v>
      </c>
      <c r="F25" s="217"/>
      <c r="G25" s="223"/>
      <c r="H25" s="223"/>
      <c r="I25" s="223"/>
      <c r="J25" s="221">
        <f>INDEX('F_Inputs BYR'!$B$4:$N$90,MATCH($C25,'F_Inputs BYR'!$B$4:$B$90,0),MATCH(J$2,'F_Inputs BYR'!$B$2:$N$2,0))</f>
        <v>15.026999999999999</v>
      </c>
      <c r="K25" s="221">
        <f>INDEX('F_Inputs BYR'!$B$4:$N$90,MATCH($C25,'F_Inputs BYR'!$B$4:$B$90,0),MATCH(K$2,'F_Inputs BYR'!$B$2:$N$2,0))</f>
        <v>16.484999999999999</v>
      </c>
      <c r="L25" s="221">
        <f>INDEX('F_Inputs BYR'!$B$4:$N$90,MATCH($C25,'F_Inputs BYR'!$B$4:$B$90,0),MATCH(L$2,'F_Inputs BYR'!$B$2:$N$2,0))</f>
        <v>12.023999999999999</v>
      </c>
      <c r="M25" s="221">
        <f>INDEX('F_Inputs BYR'!$B$4:$N$90,MATCH($C25,'F_Inputs BYR'!$B$4:$B$90,0),MATCH(M$2,'F_Inputs BYR'!$B$2:$N$2,0))</f>
        <v>10.958</v>
      </c>
      <c r="N25" s="395">
        <f>INDEX('F_Inputs BYR'!$B$4:$N$90,MATCH($C25,'F_Inputs BYR'!$B$4:$B$90,0),MATCH(N$2,'F_Inputs BYR'!$B$2:$N$2,0))</f>
        <v>8.9480000000000004</v>
      </c>
      <c r="O25" s="217"/>
      <c r="P25" s="217"/>
      <c r="Q25" s="217"/>
      <c r="R25" s="222" t="s">
        <v>242</v>
      </c>
    </row>
    <row r="26" spans="1:18" s="138" customFormat="1">
      <c r="A26" s="432"/>
      <c r="B26" s="213"/>
      <c r="C26" s="154" t="s">
        <v>443</v>
      </c>
      <c r="D26" s="153" t="s">
        <v>57</v>
      </c>
      <c r="E26" s="216" t="s">
        <v>417</v>
      </c>
      <c r="F26" s="217"/>
      <c r="G26" s="223"/>
      <c r="H26" s="223"/>
      <c r="I26" s="223"/>
      <c r="J26" s="221">
        <f>INDEX('F_Inputs BYR'!$B$4:$N$90,MATCH($C26,'F_Inputs BYR'!$B$4:$B$90,0),MATCH(J$2,'F_Inputs BYR'!$B$2:$N$2,0))</f>
        <v>0</v>
      </c>
      <c r="K26" s="221">
        <f>INDEX('F_Inputs BYR'!$B$4:$N$90,MATCH($C26,'F_Inputs BYR'!$B$4:$B$90,0),MATCH(K$2,'F_Inputs BYR'!$B$2:$N$2,0))</f>
        <v>0</v>
      </c>
      <c r="L26" s="221">
        <f>INDEX('F_Inputs BYR'!$B$4:$N$90,MATCH($C26,'F_Inputs BYR'!$B$4:$B$90,0),MATCH(L$2,'F_Inputs BYR'!$B$2:$N$2,0))</f>
        <v>0</v>
      </c>
      <c r="M26" s="221">
        <f>INDEX('F_Inputs BYR'!$B$4:$N$90,MATCH($C26,'F_Inputs BYR'!$B$4:$B$90,0),MATCH(M$2,'F_Inputs BYR'!$B$2:$N$2,0))</f>
        <v>0</v>
      </c>
      <c r="N26" s="395">
        <f>INDEX('F_Inputs BYR'!$B$4:$N$90,MATCH($C26,'F_Inputs BYR'!$B$4:$B$90,0),MATCH(N$2,'F_Inputs BYR'!$B$2:$N$2,0))</f>
        <v>0</v>
      </c>
      <c r="O26" s="217"/>
      <c r="P26" s="217"/>
      <c r="Q26" s="217"/>
      <c r="R26" s="222" t="s">
        <v>242</v>
      </c>
    </row>
    <row r="27" spans="1:18" s="138" customFormat="1">
      <c r="A27" s="432"/>
      <c r="B27" s="213"/>
      <c r="C27" s="154"/>
      <c r="D27" s="217"/>
      <c r="E27" s="216"/>
      <c r="F27" s="217"/>
      <c r="G27" s="220"/>
      <c r="H27" s="217"/>
      <c r="I27" s="217"/>
      <c r="J27" s="218"/>
      <c r="K27" s="218"/>
      <c r="L27" s="218"/>
      <c r="M27" s="218"/>
      <c r="N27" s="394"/>
      <c r="O27" s="217"/>
      <c r="P27" s="217"/>
      <c r="Q27" s="217"/>
      <c r="R27" s="219"/>
    </row>
    <row r="28" spans="1:18">
      <c r="A28" s="429"/>
      <c r="B28" s="440"/>
      <c r="C28" s="468"/>
      <c r="D28" s="466"/>
      <c r="E28" s="443" t="s">
        <v>162</v>
      </c>
      <c r="F28" s="440"/>
      <c r="G28" s="440"/>
      <c r="H28" s="440"/>
      <c r="I28" s="440"/>
      <c r="J28" s="440"/>
      <c r="K28" s="440"/>
      <c r="L28" s="440"/>
      <c r="M28" s="440"/>
      <c r="N28" s="446"/>
      <c r="O28" s="449"/>
      <c r="P28" s="449"/>
      <c r="Q28" s="449"/>
      <c r="R28" s="451"/>
    </row>
    <row r="29" spans="1:18" s="138" customFormat="1">
      <c r="A29" s="432"/>
      <c r="B29" s="213"/>
      <c r="C29" s="214"/>
      <c r="D29" s="213"/>
      <c r="E29" s="215"/>
      <c r="F29" s="213"/>
      <c r="G29" s="213"/>
      <c r="H29" s="213"/>
      <c r="I29" s="213"/>
      <c r="J29" s="224"/>
      <c r="K29" s="224"/>
      <c r="L29" s="224"/>
      <c r="M29" s="224"/>
      <c r="N29" s="396"/>
      <c r="O29" s="213"/>
      <c r="P29" s="213"/>
      <c r="Q29" s="213"/>
      <c r="R29" s="225"/>
    </row>
    <row r="30" spans="1:18" s="138" customFormat="1">
      <c r="A30" s="397"/>
      <c r="B30" s="153"/>
      <c r="C30" s="154" t="s">
        <v>528</v>
      </c>
      <c r="D30" s="153" t="s">
        <v>57</v>
      </c>
      <c r="E30" s="154" t="s">
        <v>8</v>
      </c>
      <c r="F30" s="223"/>
      <c r="G30" s="223"/>
      <c r="H30" s="223"/>
      <c r="I30" s="223"/>
      <c r="J30" s="221">
        <f>INDEX('F_Inputs BYR'!$B$4:$N$90,MATCH($C30,'F_Inputs BYR'!$B$4:$B$90,0),MATCH(J$2,'F_Inputs BYR'!$B$2:$N$2,0))</f>
        <v>87.234824625137904</v>
      </c>
      <c r="K30" s="221">
        <f>INDEX('F_Inputs BYR'!$B$4:$N$90,MATCH($C30,'F_Inputs BYR'!$B$4:$B$90,0),MATCH(K$2,'F_Inputs BYR'!$B$2:$N$2,0))</f>
        <v>116.24143844602401</v>
      </c>
      <c r="L30" s="221">
        <f>INDEX('F_Inputs BYR'!$B$4:$N$90,MATCH($C30,'F_Inputs BYR'!$B$4:$B$90,0),MATCH(L$2,'F_Inputs BYR'!$B$2:$N$2,0))</f>
        <v>100.113592207853</v>
      </c>
      <c r="M30" s="221">
        <f>INDEX('F_Inputs BYR'!$B$4:$N$90,MATCH($C30,'F_Inputs BYR'!$B$4:$B$90,0),MATCH(M$2,'F_Inputs BYR'!$B$2:$N$2,0))</f>
        <v>118.78149153639799</v>
      </c>
      <c r="N30" s="395">
        <f>INDEX('F_Inputs BYR'!$B$4:$N$90,MATCH($C30,'F_Inputs BYR'!$B$4:$B$90,0),MATCH(N$2,'F_Inputs BYR'!$B$2:$N$2,0))</f>
        <v>113.233114207279</v>
      </c>
      <c r="O30" s="223"/>
      <c r="P30" s="223"/>
      <c r="Q30" s="223"/>
      <c r="R30" s="222" t="s">
        <v>242</v>
      </c>
    </row>
    <row r="31" spans="1:18" s="138" customFormat="1">
      <c r="A31" s="397"/>
      <c r="B31" s="153"/>
      <c r="C31" s="154" t="s">
        <v>529</v>
      </c>
      <c r="D31" s="153" t="s">
        <v>57</v>
      </c>
      <c r="E31" s="154" t="s">
        <v>65</v>
      </c>
      <c r="F31" s="223"/>
      <c r="G31" s="223"/>
      <c r="H31" s="223"/>
      <c r="I31" s="223"/>
      <c r="J31" s="221">
        <f>INDEX('F_Inputs BYR'!$B$4:$N$90,MATCH($C31,'F_Inputs BYR'!$B$4:$B$90,0),MATCH(J$2,'F_Inputs BYR'!$B$2:$N$2,0))</f>
        <v>99.545006652130994</v>
      </c>
      <c r="K31" s="221">
        <f>INDEX('F_Inputs BYR'!$B$4:$N$90,MATCH($C31,'F_Inputs BYR'!$B$4:$B$90,0),MATCH(K$2,'F_Inputs BYR'!$B$2:$N$2,0))</f>
        <v>150.844562776717</v>
      </c>
      <c r="L31" s="221">
        <f>INDEX('F_Inputs BYR'!$B$4:$N$90,MATCH($C31,'F_Inputs BYR'!$B$4:$B$90,0),MATCH(L$2,'F_Inputs BYR'!$B$2:$N$2,0))</f>
        <v>134.191808450297</v>
      </c>
      <c r="M31" s="221">
        <f>INDEX('F_Inputs BYR'!$B$4:$N$90,MATCH($C31,'F_Inputs BYR'!$B$4:$B$90,0),MATCH(M$2,'F_Inputs BYR'!$B$2:$N$2,0))</f>
        <v>113.33852173593</v>
      </c>
      <c r="N31" s="395">
        <f>INDEX('F_Inputs BYR'!$B$4:$N$90,MATCH($C31,'F_Inputs BYR'!$B$4:$B$90,0),MATCH(N$2,'F_Inputs BYR'!$B$2:$N$2,0))</f>
        <v>80.167266017515203</v>
      </c>
      <c r="O31" s="223"/>
      <c r="P31" s="223"/>
      <c r="Q31" s="223"/>
      <c r="R31" s="222" t="s">
        <v>242</v>
      </c>
    </row>
    <row r="32" spans="1:18" s="138" customFormat="1">
      <c r="A32" s="397"/>
      <c r="B32" s="153"/>
      <c r="C32" s="154" t="s">
        <v>1</v>
      </c>
      <c r="D32" s="153" t="s">
        <v>57</v>
      </c>
      <c r="E32" s="154" t="s">
        <v>0</v>
      </c>
      <c r="F32" s="398"/>
      <c r="G32" s="223"/>
      <c r="H32" s="223"/>
      <c r="I32" s="223"/>
      <c r="J32" s="221">
        <f>INDEX('F_Inputs BYR'!$B$4:$N$90,MATCH($C32,'F_Inputs BYR'!$B$4:$B$90,0),MATCH(J$2,'F_Inputs BYR'!$B$2:$N$2,0))</f>
        <v>14.6630093946795</v>
      </c>
      <c r="K32" s="221">
        <f>INDEX('F_Inputs BYR'!$B$4:$N$90,MATCH($C32,'F_Inputs BYR'!$B$4:$B$90,0),MATCH(K$2,'F_Inputs BYR'!$B$2:$N$2,0))</f>
        <v>28.3972202217724</v>
      </c>
      <c r="L32" s="221">
        <f>INDEX('F_Inputs BYR'!$B$4:$N$90,MATCH($C32,'F_Inputs BYR'!$B$4:$B$90,0),MATCH(L$2,'F_Inputs BYR'!$B$2:$N$2,0))</f>
        <v>35.886578219887397</v>
      </c>
      <c r="M32" s="221">
        <f>INDEX('F_Inputs BYR'!$B$4:$N$90,MATCH($C32,'F_Inputs BYR'!$B$4:$B$90,0),MATCH(M$2,'F_Inputs BYR'!$B$2:$N$2,0))</f>
        <v>24.7722318520544</v>
      </c>
      <c r="N32" s="395">
        <f>INDEX('F_Inputs BYR'!$B$4:$N$90,MATCH($C32,'F_Inputs BYR'!$B$4:$B$90,0),MATCH(N$2,'F_Inputs BYR'!$B$2:$N$2,0))</f>
        <v>12.2079348953171</v>
      </c>
      <c r="O32" s="223"/>
      <c r="P32" s="223"/>
      <c r="Q32" s="223"/>
      <c r="R32" s="222" t="s">
        <v>242</v>
      </c>
    </row>
    <row r="33" spans="1:18" s="138" customFormat="1">
      <c r="A33" s="397"/>
      <c r="B33" s="153"/>
      <c r="C33" s="154" t="s">
        <v>5</v>
      </c>
      <c r="D33" s="153" t="s">
        <v>57</v>
      </c>
      <c r="E33" s="154" t="s">
        <v>7</v>
      </c>
      <c r="F33" s="398"/>
      <c r="G33" s="223"/>
      <c r="H33" s="223"/>
      <c r="I33" s="223"/>
      <c r="J33" s="221">
        <f>INDEX('F_Inputs BYR'!$B$4:$N$90,MATCH($C33,'F_Inputs BYR'!$B$4:$B$90,0),MATCH(J$2,'F_Inputs BYR'!$B$2:$N$2,0))</f>
        <v>36.395993577846603</v>
      </c>
      <c r="K33" s="221">
        <f>INDEX('F_Inputs BYR'!$B$4:$N$90,MATCH($C33,'F_Inputs BYR'!$B$4:$B$90,0),MATCH(K$2,'F_Inputs BYR'!$B$2:$N$2,0))</f>
        <v>50.356710850691897</v>
      </c>
      <c r="L33" s="221">
        <f>INDEX('F_Inputs BYR'!$B$4:$N$90,MATCH($C33,'F_Inputs BYR'!$B$4:$B$90,0),MATCH(L$2,'F_Inputs BYR'!$B$2:$N$2,0))</f>
        <v>43.3124901487842</v>
      </c>
      <c r="M33" s="221">
        <f>INDEX('F_Inputs BYR'!$B$4:$N$90,MATCH($C33,'F_Inputs BYR'!$B$4:$B$90,0),MATCH(M$2,'F_Inputs BYR'!$B$2:$N$2,0))</f>
        <v>37.075628137562802</v>
      </c>
      <c r="N33" s="395">
        <f>INDEX('F_Inputs BYR'!$B$4:$N$90,MATCH($C33,'F_Inputs BYR'!$B$4:$B$90,0),MATCH(N$2,'F_Inputs BYR'!$B$2:$N$2,0))</f>
        <v>26.200056726643101</v>
      </c>
      <c r="O33" s="223"/>
      <c r="P33" s="223"/>
      <c r="Q33" s="223"/>
      <c r="R33" s="222" t="s">
        <v>242</v>
      </c>
    </row>
    <row r="34" spans="1:18" s="138" customFormat="1">
      <c r="A34" s="432"/>
      <c r="B34" s="213"/>
      <c r="C34" s="154" t="s">
        <v>441</v>
      </c>
      <c r="D34" s="153" t="s">
        <v>57</v>
      </c>
      <c r="E34" s="216" t="s">
        <v>224</v>
      </c>
      <c r="F34" s="217"/>
      <c r="G34" s="223"/>
      <c r="H34" s="223"/>
      <c r="I34" s="223"/>
      <c r="J34" s="221">
        <f>INDEX('F_Inputs BYR'!$B$4:$N$90,MATCH($C34,'F_Inputs BYR'!$B$4:$B$90,0),MATCH(J$2,'F_Inputs BYR'!$B$2:$N$2,0))</f>
        <v>0</v>
      </c>
      <c r="K34" s="221">
        <f>INDEX('F_Inputs BYR'!$B$4:$N$90,MATCH($C34,'F_Inputs BYR'!$B$4:$B$90,0),MATCH(K$2,'F_Inputs BYR'!$B$2:$N$2,0))</f>
        <v>0</v>
      </c>
      <c r="L34" s="221">
        <f>INDEX('F_Inputs BYR'!$B$4:$N$90,MATCH($C34,'F_Inputs BYR'!$B$4:$B$90,0),MATCH(L$2,'F_Inputs BYR'!$B$2:$N$2,0))</f>
        <v>0</v>
      </c>
      <c r="M34" s="221">
        <f>INDEX('F_Inputs BYR'!$B$4:$N$90,MATCH($C34,'F_Inputs BYR'!$B$4:$B$90,0),MATCH(M$2,'F_Inputs BYR'!$B$2:$N$2,0))</f>
        <v>0</v>
      </c>
      <c r="N34" s="395">
        <f>INDEX('F_Inputs BYR'!$B$4:$N$90,MATCH($C34,'F_Inputs BYR'!$B$4:$B$90,0),MATCH(N$2,'F_Inputs BYR'!$B$2:$N$2,0))</f>
        <v>0</v>
      </c>
      <c r="O34" s="217"/>
      <c r="P34" s="217"/>
      <c r="Q34" s="217"/>
      <c r="R34" s="222" t="s">
        <v>242</v>
      </c>
    </row>
    <row r="35" spans="1:18" s="138" customFormat="1">
      <c r="A35" s="432"/>
      <c r="B35" s="213"/>
      <c r="C35" s="154" t="s">
        <v>442</v>
      </c>
      <c r="D35" s="153" t="s">
        <v>57</v>
      </c>
      <c r="E35" s="216" t="s">
        <v>225</v>
      </c>
      <c r="F35" s="217"/>
      <c r="G35" s="223"/>
      <c r="H35" s="223"/>
      <c r="I35" s="223"/>
      <c r="J35" s="221">
        <f>INDEX('F_Inputs BYR'!$B$4:$N$90,MATCH($C35,'F_Inputs BYR'!$B$4:$B$90,0),MATCH(J$2,'F_Inputs BYR'!$B$2:$N$2,0))</f>
        <v>0</v>
      </c>
      <c r="K35" s="221">
        <f>INDEX('F_Inputs BYR'!$B$4:$N$90,MATCH($C35,'F_Inputs BYR'!$B$4:$B$90,0),MATCH(K$2,'F_Inputs BYR'!$B$2:$N$2,0))</f>
        <v>0</v>
      </c>
      <c r="L35" s="221">
        <f>INDEX('F_Inputs BYR'!$B$4:$N$90,MATCH($C35,'F_Inputs BYR'!$B$4:$B$90,0),MATCH(L$2,'F_Inputs BYR'!$B$2:$N$2,0))</f>
        <v>0</v>
      </c>
      <c r="M35" s="221">
        <f>INDEX('F_Inputs BYR'!$B$4:$N$90,MATCH($C35,'F_Inputs BYR'!$B$4:$B$90,0),MATCH(M$2,'F_Inputs BYR'!$B$2:$N$2,0))</f>
        <v>0</v>
      </c>
      <c r="N35" s="395">
        <f>INDEX('F_Inputs BYR'!$B$4:$N$90,MATCH($C35,'F_Inputs BYR'!$B$4:$B$90,0),MATCH(N$2,'F_Inputs BYR'!$B$2:$N$2,0))</f>
        <v>0</v>
      </c>
      <c r="O35" s="217"/>
      <c r="P35" s="217"/>
      <c r="Q35" s="217"/>
      <c r="R35" s="222" t="s">
        <v>242</v>
      </c>
    </row>
    <row r="36" spans="1:18" s="138" customFormat="1">
      <c r="A36" s="432"/>
      <c r="B36" s="213"/>
      <c r="C36" s="154"/>
      <c r="D36" s="153"/>
      <c r="E36" s="216"/>
      <c r="F36" s="217"/>
      <c r="G36" s="223"/>
      <c r="H36" s="223"/>
      <c r="I36" s="223"/>
      <c r="J36" s="156"/>
      <c r="K36" s="156"/>
      <c r="L36" s="156"/>
      <c r="M36" s="156"/>
      <c r="N36" s="365"/>
      <c r="O36" s="217"/>
      <c r="P36" s="217"/>
      <c r="Q36" s="217"/>
      <c r="R36" s="222"/>
    </row>
    <row r="37" spans="1:18" s="138" customFormat="1">
      <c r="A37" s="432"/>
      <c r="B37" s="213"/>
      <c r="C37" s="154" t="s">
        <v>530</v>
      </c>
      <c r="D37" s="153" t="s">
        <v>57</v>
      </c>
      <c r="E37" s="216" t="s">
        <v>2</v>
      </c>
      <c r="F37" s="217"/>
      <c r="G37" s="223"/>
      <c r="H37" s="223"/>
      <c r="I37" s="223"/>
      <c r="J37" s="221">
        <f>INDEX('F_Inputs BYR'!$B$4:$N$90,MATCH($C37,'F_Inputs BYR'!$B$4:$B$90,0),MATCH(J$2,'F_Inputs BYR'!$B$2:$N$2,0))</f>
        <v>38.865761372709599</v>
      </c>
      <c r="K37" s="221">
        <f>INDEX('F_Inputs BYR'!$B$4:$N$90,MATCH($C37,'F_Inputs BYR'!$B$4:$B$90,0),MATCH(K$2,'F_Inputs BYR'!$B$2:$N$2,0))</f>
        <v>35.781513546488704</v>
      </c>
      <c r="L37" s="221">
        <f>INDEX('F_Inputs BYR'!$B$4:$N$90,MATCH($C37,'F_Inputs BYR'!$B$4:$B$90,0),MATCH(L$2,'F_Inputs BYR'!$B$2:$N$2,0))</f>
        <v>43.532020009209504</v>
      </c>
      <c r="M37" s="221">
        <f>INDEX('F_Inputs BYR'!$B$4:$N$90,MATCH($C37,'F_Inputs BYR'!$B$4:$B$90,0),MATCH(M$2,'F_Inputs BYR'!$B$2:$N$2,0))</f>
        <v>45.321577742291701</v>
      </c>
      <c r="N37" s="395">
        <f>INDEX('F_Inputs BYR'!$B$4:$N$90,MATCH($C37,'F_Inputs BYR'!$B$4:$B$90,0),MATCH(N$2,'F_Inputs BYR'!$B$2:$N$2,0))</f>
        <v>44.6772327147224</v>
      </c>
      <c r="O37" s="217"/>
      <c r="P37" s="217"/>
      <c r="Q37" s="217"/>
      <c r="R37" s="222" t="s">
        <v>242</v>
      </c>
    </row>
    <row r="38" spans="1:18" s="138" customFormat="1">
      <c r="A38" s="432"/>
      <c r="B38" s="213"/>
      <c r="C38" s="154" t="s">
        <v>531</v>
      </c>
      <c r="D38" s="153" t="s">
        <v>57</v>
      </c>
      <c r="E38" s="216" t="s">
        <v>64</v>
      </c>
      <c r="F38" s="217"/>
      <c r="G38" s="223"/>
      <c r="H38" s="223"/>
      <c r="I38" s="223"/>
      <c r="J38" s="221">
        <f>INDEX('F_Inputs BYR'!$B$4:$N$90,MATCH($C38,'F_Inputs BYR'!$B$4:$B$90,0),MATCH(J$2,'F_Inputs BYR'!$B$2:$N$2,0))</f>
        <v>147.81277901553301</v>
      </c>
      <c r="K38" s="221">
        <f>INDEX('F_Inputs BYR'!$B$4:$N$90,MATCH($C38,'F_Inputs BYR'!$B$4:$B$90,0),MATCH(K$2,'F_Inputs BYR'!$B$2:$N$2,0))</f>
        <v>221.861562203463</v>
      </c>
      <c r="L38" s="221">
        <f>INDEX('F_Inputs BYR'!$B$4:$N$90,MATCH($C38,'F_Inputs BYR'!$B$4:$B$90,0),MATCH(L$2,'F_Inputs BYR'!$B$2:$N$2,0))</f>
        <v>130.194251699132</v>
      </c>
      <c r="M38" s="221">
        <f>INDEX('F_Inputs BYR'!$B$4:$N$90,MATCH($C38,'F_Inputs BYR'!$B$4:$B$90,0),MATCH(M$2,'F_Inputs BYR'!$B$2:$N$2,0))</f>
        <v>143.986736667993</v>
      </c>
      <c r="N38" s="395">
        <f>INDEX('F_Inputs BYR'!$B$4:$N$90,MATCH($C38,'F_Inputs BYR'!$B$4:$B$90,0),MATCH(N$2,'F_Inputs BYR'!$B$2:$N$2,0))</f>
        <v>110.83618408906401</v>
      </c>
      <c r="O38" s="217"/>
      <c r="P38" s="217"/>
      <c r="Q38" s="217"/>
      <c r="R38" s="222" t="s">
        <v>242</v>
      </c>
    </row>
    <row r="39" spans="1:18" s="138" customFormat="1">
      <c r="A39" s="432"/>
      <c r="B39" s="213"/>
      <c r="C39" s="154" t="s">
        <v>6</v>
      </c>
      <c r="D39" s="153" t="s">
        <v>57</v>
      </c>
      <c r="E39" s="216" t="s">
        <v>3</v>
      </c>
      <c r="F39" s="217"/>
      <c r="G39" s="223"/>
      <c r="H39" s="223"/>
      <c r="I39" s="223"/>
      <c r="J39" s="221">
        <f>INDEX('F_Inputs BYR'!$B$4:$N$90,MATCH($C39,'F_Inputs BYR'!$B$4:$B$90,0),MATCH(J$2,'F_Inputs BYR'!$B$2:$N$2,0))</f>
        <v>56.530581629279297</v>
      </c>
      <c r="K39" s="221">
        <f>INDEX('F_Inputs BYR'!$B$4:$N$90,MATCH($C39,'F_Inputs BYR'!$B$4:$B$90,0),MATCH(K$2,'F_Inputs BYR'!$B$2:$N$2,0))</f>
        <v>95.368745344233602</v>
      </c>
      <c r="L39" s="221">
        <f>INDEX('F_Inputs BYR'!$B$4:$N$90,MATCH($C39,'F_Inputs BYR'!$B$4:$B$90,0),MATCH(L$2,'F_Inputs BYR'!$B$2:$N$2,0))</f>
        <v>100.421626739213</v>
      </c>
      <c r="M39" s="221">
        <f>INDEX('F_Inputs BYR'!$B$4:$N$90,MATCH($C39,'F_Inputs BYR'!$B$4:$B$90,0),MATCH(M$2,'F_Inputs BYR'!$B$2:$N$2,0))</f>
        <v>83.751564155600406</v>
      </c>
      <c r="N39" s="395">
        <f>INDEX('F_Inputs BYR'!$B$4:$N$90,MATCH($C39,'F_Inputs BYR'!$B$4:$B$90,0),MATCH(N$2,'F_Inputs BYR'!$B$2:$N$2,0))</f>
        <v>74.585730211598403</v>
      </c>
      <c r="O39" s="217"/>
      <c r="P39" s="217"/>
      <c r="Q39" s="217"/>
      <c r="R39" s="222" t="s">
        <v>242</v>
      </c>
    </row>
    <row r="40" spans="1:18" s="138" customFormat="1">
      <c r="A40" s="432"/>
      <c r="B40" s="213"/>
      <c r="C40" s="154" t="s">
        <v>9</v>
      </c>
      <c r="D40" s="153" t="s">
        <v>57</v>
      </c>
      <c r="E40" s="216" t="s">
        <v>4</v>
      </c>
      <c r="F40" s="217"/>
      <c r="G40" s="223"/>
      <c r="H40" s="223"/>
      <c r="I40" s="223"/>
      <c r="J40" s="221">
        <f>INDEX('F_Inputs BYR'!$B$4:$N$90,MATCH($C40,'F_Inputs BYR'!$B$4:$B$90,0),MATCH(J$2,'F_Inputs BYR'!$B$2:$N$2,0))</f>
        <v>271.55400562869698</v>
      </c>
      <c r="K40" s="221">
        <f>INDEX('F_Inputs BYR'!$B$4:$N$90,MATCH($C40,'F_Inputs BYR'!$B$4:$B$90,0),MATCH(K$2,'F_Inputs BYR'!$B$2:$N$2,0))</f>
        <v>307.44605639175199</v>
      </c>
      <c r="L40" s="221">
        <f>INDEX('F_Inputs BYR'!$B$4:$N$90,MATCH($C40,'F_Inputs BYR'!$B$4:$B$90,0),MATCH(L$2,'F_Inputs BYR'!$B$2:$N$2,0))</f>
        <v>261.40140772536898</v>
      </c>
      <c r="M40" s="221">
        <f>INDEX('F_Inputs BYR'!$B$4:$N$90,MATCH($C40,'F_Inputs BYR'!$B$4:$B$90,0),MATCH(M$2,'F_Inputs BYR'!$B$2:$N$2,0))</f>
        <v>163.49351378198699</v>
      </c>
      <c r="N40" s="395">
        <f>INDEX('F_Inputs BYR'!$B$4:$N$90,MATCH($C40,'F_Inputs BYR'!$B$4:$B$90,0),MATCH(N$2,'F_Inputs BYR'!$B$2:$N$2,0))</f>
        <v>114.792250671535</v>
      </c>
      <c r="O40" s="217"/>
      <c r="P40" s="217"/>
      <c r="Q40" s="217"/>
      <c r="R40" s="222" t="s">
        <v>242</v>
      </c>
    </row>
    <row r="41" spans="1:18" s="138" customFormat="1">
      <c r="A41" s="432"/>
      <c r="B41" s="213"/>
      <c r="C41" s="154" t="s">
        <v>439</v>
      </c>
      <c r="D41" s="153" t="s">
        <v>57</v>
      </c>
      <c r="E41" s="216" t="s">
        <v>226</v>
      </c>
      <c r="F41" s="217"/>
      <c r="G41" s="223"/>
      <c r="H41" s="223"/>
      <c r="I41" s="223"/>
      <c r="J41" s="221">
        <f>INDEX('F_Inputs BYR'!$B$4:$N$90,MATCH($C41,'F_Inputs BYR'!$B$4:$B$90,0),MATCH(J$2,'F_Inputs BYR'!$B$2:$N$2,0))</f>
        <v>124.684</v>
      </c>
      <c r="K41" s="221">
        <f>INDEX('F_Inputs BYR'!$B$4:$N$90,MATCH($C41,'F_Inputs BYR'!$B$4:$B$90,0),MATCH(K$2,'F_Inputs BYR'!$B$2:$N$2,0))</f>
        <v>136.78299999999999</v>
      </c>
      <c r="L41" s="221">
        <f>INDEX('F_Inputs BYR'!$B$4:$N$90,MATCH($C41,'F_Inputs BYR'!$B$4:$B$90,0),MATCH(L$2,'F_Inputs BYR'!$B$2:$N$2,0))</f>
        <v>99.774000000000001</v>
      </c>
      <c r="M41" s="221">
        <f>INDEX('F_Inputs BYR'!$B$4:$N$90,MATCH($C41,'F_Inputs BYR'!$B$4:$B$90,0),MATCH(M$2,'F_Inputs BYR'!$B$2:$N$2,0))</f>
        <v>90.923000000000002</v>
      </c>
      <c r="N41" s="395">
        <f>INDEX('F_Inputs BYR'!$B$4:$N$90,MATCH($C41,'F_Inputs BYR'!$B$4:$B$90,0),MATCH(N$2,'F_Inputs BYR'!$B$2:$N$2,0))</f>
        <v>74.247</v>
      </c>
      <c r="O41" s="217"/>
      <c r="P41" s="217"/>
      <c r="Q41" s="217"/>
      <c r="R41" s="222" t="s">
        <v>242</v>
      </c>
    </row>
    <row r="42" spans="1:18" s="138" customFormat="1">
      <c r="A42" s="432"/>
      <c r="B42" s="213"/>
      <c r="C42" s="154" t="s">
        <v>440</v>
      </c>
      <c r="D42" s="153" t="s">
        <v>57</v>
      </c>
      <c r="E42" s="216" t="s">
        <v>227</v>
      </c>
      <c r="F42" s="217"/>
      <c r="G42" s="223"/>
      <c r="H42" s="223"/>
      <c r="I42" s="223"/>
      <c r="J42" s="221">
        <f>INDEX('F_Inputs BYR'!$B$4:$N$90,MATCH($C42,'F_Inputs BYR'!$B$4:$B$90,0),MATCH(J$2,'F_Inputs BYR'!$B$2:$N$2,0))</f>
        <v>15.026999999999999</v>
      </c>
      <c r="K42" s="221">
        <f>INDEX('F_Inputs BYR'!$B$4:$N$90,MATCH($C42,'F_Inputs BYR'!$B$4:$B$90,0),MATCH(K$2,'F_Inputs BYR'!$B$2:$N$2,0))</f>
        <v>16.484999999999999</v>
      </c>
      <c r="L42" s="221">
        <f>INDEX('F_Inputs BYR'!$B$4:$N$90,MATCH($C42,'F_Inputs BYR'!$B$4:$B$90,0),MATCH(L$2,'F_Inputs BYR'!$B$2:$N$2,0))</f>
        <v>12.023999999999999</v>
      </c>
      <c r="M42" s="221">
        <f>INDEX('F_Inputs BYR'!$B$4:$N$90,MATCH($C42,'F_Inputs BYR'!$B$4:$B$90,0),MATCH(M$2,'F_Inputs BYR'!$B$2:$N$2,0))</f>
        <v>10.958</v>
      </c>
      <c r="N42" s="395">
        <f>INDEX('F_Inputs BYR'!$B$4:$N$90,MATCH($C42,'F_Inputs BYR'!$B$4:$B$90,0),MATCH(N$2,'F_Inputs BYR'!$B$2:$N$2,0))</f>
        <v>8.9480000000000004</v>
      </c>
      <c r="O42" s="217"/>
      <c r="P42" s="217"/>
      <c r="Q42" s="217"/>
      <c r="R42" s="222" t="s">
        <v>242</v>
      </c>
    </row>
    <row r="43" spans="1:18" s="138" customFormat="1">
      <c r="A43" s="397"/>
      <c r="B43" s="153"/>
      <c r="C43" s="154"/>
      <c r="D43" s="153"/>
      <c r="E43" s="154"/>
      <c r="F43" s="153"/>
      <c r="G43" s="227"/>
      <c r="H43" s="227"/>
      <c r="I43" s="227"/>
      <c r="J43" s="228"/>
      <c r="K43" s="229"/>
      <c r="L43" s="229"/>
      <c r="M43" s="229"/>
      <c r="N43" s="399"/>
      <c r="O43" s="230"/>
      <c r="P43" s="230"/>
      <c r="Q43" s="230"/>
      <c r="R43" s="222"/>
    </row>
    <row r="44" spans="1:18">
      <c r="A44" s="429"/>
      <c r="B44" s="440"/>
      <c r="C44" s="441"/>
      <c r="D44" s="466" t="s">
        <v>38</v>
      </c>
      <c r="E44" s="443" t="s">
        <v>263</v>
      </c>
      <c r="F44" s="440"/>
      <c r="G44" s="440"/>
      <c r="H44" s="440"/>
      <c r="I44" s="440"/>
      <c r="J44" s="440"/>
      <c r="K44" s="440"/>
      <c r="L44" s="440"/>
      <c r="M44" s="440"/>
      <c r="N44" s="446"/>
      <c r="O44" s="440"/>
      <c r="P44" s="440"/>
      <c r="Q44" s="440"/>
      <c r="R44" s="447"/>
    </row>
    <row r="45" spans="1:18" s="138" customFormat="1">
      <c r="A45" s="432"/>
      <c r="B45" s="213"/>
      <c r="C45" s="231"/>
      <c r="D45" s="213"/>
      <c r="E45" s="215"/>
      <c r="F45" s="213"/>
      <c r="G45" s="213"/>
      <c r="H45" s="213"/>
      <c r="I45" s="213"/>
      <c r="J45" s="224"/>
      <c r="K45" s="224"/>
      <c r="L45" s="224"/>
      <c r="M45" s="224"/>
      <c r="N45" s="396"/>
      <c r="O45" s="213"/>
      <c r="P45" s="213"/>
      <c r="Q45" s="213"/>
      <c r="R45" s="225"/>
    </row>
    <row r="46" spans="1:18" s="138" customFormat="1">
      <c r="A46" s="400"/>
      <c r="B46" s="402"/>
      <c r="C46" s="401" t="s">
        <v>68</v>
      </c>
      <c r="D46" s="402" t="s">
        <v>55</v>
      </c>
      <c r="E46" s="154" t="s">
        <v>175</v>
      </c>
      <c r="F46" s="402"/>
      <c r="H46" s="402"/>
      <c r="I46" s="402"/>
      <c r="J46" s="403"/>
      <c r="K46" s="403"/>
      <c r="L46" s="403"/>
      <c r="M46" s="403"/>
      <c r="N46" s="404"/>
      <c r="O46" s="561">
        <f>INDEX('F_Inputs BYR'!$B$4:$N$90,MATCH($C46,'F_Inputs BYR'!$B$4:$B$90,0),MATCH(O$2,'F_Inputs BYR'!$B$2:$N$2,0))</f>
        <v>0</v>
      </c>
      <c r="P46" s="232"/>
      <c r="Q46" s="232"/>
      <c r="R46" s="234" t="s">
        <v>75</v>
      </c>
    </row>
    <row r="47" spans="1:18" s="138" customFormat="1">
      <c r="A47" s="400"/>
      <c r="B47" s="402"/>
      <c r="C47" s="401" t="s">
        <v>69</v>
      </c>
      <c r="D47" s="402" t="s">
        <v>55</v>
      </c>
      <c r="E47" s="154" t="s">
        <v>176</v>
      </c>
      <c r="F47" s="402"/>
      <c r="H47" s="402"/>
      <c r="I47" s="402"/>
      <c r="J47" s="403"/>
      <c r="K47" s="403"/>
      <c r="L47" s="403"/>
      <c r="M47" s="403"/>
      <c r="N47" s="404"/>
      <c r="O47" s="561">
        <f>INDEX('F_Inputs BYR'!$B$4:$N$90,MATCH($C47,'F_Inputs BYR'!$B$4:$B$90,0),MATCH(O$2,'F_Inputs BYR'!$B$2:$N$2,0))</f>
        <v>0</v>
      </c>
      <c r="P47" s="232"/>
      <c r="Q47" s="232"/>
      <c r="R47" s="234" t="s">
        <v>75</v>
      </c>
    </row>
    <row r="48" spans="1:18" s="138" customFormat="1">
      <c r="A48" s="400"/>
      <c r="B48" s="402"/>
      <c r="C48" s="401"/>
      <c r="D48" s="402"/>
      <c r="E48" s="154"/>
      <c r="F48" s="402"/>
      <c r="G48" s="235"/>
      <c r="H48" s="402"/>
      <c r="I48" s="402"/>
      <c r="J48" s="403"/>
      <c r="K48" s="403"/>
      <c r="L48" s="403"/>
      <c r="M48" s="403"/>
      <c r="N48" s="404"/>
      <c r="O48" s="232"/>
      <c r="P48" s="232"/>
      <c r="Q48" s="232"/>
      <c r="R48" s="234"/>
    </row>
    <row r="49" spans="1:18" s="138" customFormat="1">
      <c r="A49" s="432"/>
      <c r="B49" s="213"/>
      <c r="C49" s="154" t="s">
        <v>210</v>
      </c>
      <c r="D49" s="153" t="s">
        <v>57</v>
      </c>
      <c r="E49" s="216" t="s">
        <v>418</v>
      </c>
      <c r="F49" s="217"/>
      <c r="G49" s="223"/>
      <c r="H49" s="223"/>
      <c r="I49" s="223"/>
      <c r="J49" s="221">
        <f>IF(INDEX('F_Inputs BYR'!$B$4:$N$90,MATCH($C49,'F_Inputs BYR'!$B$4:$B$90,0),MATCH(J$2,'F_Inputs BYR'!$B$2:$N$2,0))="","",INDEX('F_Inputs BYR'!$B$4:$N$90,MATCH($C49,'F_Inputs BYR'!$B$4:$B$90,0),MATCH(J$2,'F_Inputs BYR'!$B$2:$N$2,0)))</f>
        <v>-6.4040346411921103</v>
      </c>
      <c r="K49" s="221">
        <f>IF(INDEX('F_Inputs BYR'!$B$4:$N$90,MATCH($C49,'F_Inputs BYR'!$B$4:$B$90,0),MATCH(K$2,'F_Inputs BYR'!$B$2:$N$2,0))="","",INDEX('F_Inputs BYR'!$B$4:$N$90,MATCH($C49,'F_Inputs BYR'!$B$4:$B$90,0),MATCH(K$2,'F_Inputs BYR'!$B$2:$N$2,0)))</f>
        <v>-9.3120659362126101</v>
      </c>
      <c r="L49" s="221">
        <f>IF(INDEX('F_Inputs BYR'!$B$4:$N$90,MATCH($C49,'F_Inputs BYR'!$B$4:$B$90,0),MATCH(L$2,'F_Inputs BYR'!$B$2:$N$2,0))="","",INDEX('F_Inputs BYR'!$B$4:$N$90,MATCH($C49,'F_Inputs BYR'!$B$4:$B$90,0),MATCH(L$2,'F_Inputs BYR'!$B$2:$N$2,0)))</f>
        <v>-8.4414031297668295</v>
      </c>
      <c r="M49" s="221">
        <f>IF(INDEX('F_Inputs BYR'!$B$4:$N$90,MATCH($C49,'F_Inputs BYR'!$B$4:$B$90,0),MATCH(M$2,'F_Inputs BYR'!$B$2:$N$2,0))="","",INDEX('F_Inputs BYR'!$B$4:$N$90,MATCH($C49,'F_Inputs BYR'!$B$4:$B$90,0),MATCH(M$2,'F_Inputs BYR'!$B$2:$N$2,0)))</f>
        <v>-7.9153618865700501</v>
      </c>
      <c r="N49" s="395">
        <f>IF(INDEX('F_Inputs BYR'!$B$4:$N$90,MATCH($C49,'F_Inputs BYR'!$B$4:$B$90,0),MATCH(N$2,'F_Inputs BYR'!$B$2:$N$2,0))="","",INDEX('F_Inputs BYR'!$B$4:$N$90,MATCH($C49,'F_Inputs BYR'!$B$4:$B$90,0),MATCH(N$2,'F_Inputs BYR'!$B$2:$N$2,0)))</f>
        <v>-6.2416587606791998</v>
      </c>
      <c r="O49" s="217"/>
      <c r="P49" s="217"/>
      <c r="Q49" s="217"/>
      <c r="R49" s="222" t="s">
        <v>242</v>
      </c>
    </row>
    <row r="50" spans="1:18" s="138" customFormat="1">
      <c r="A50" s="432"/>
      <c r="B50" s="213"/>
      <c r="C50" s="154" t="s">
        <v>211</v>
      </c>
      <c r="D50" s="153" t="s">
        <v>57</v>
      </c>
      <c r="E50" s="216" t="s">
        <v>419</v>
      </c>
      <c r="F50" s="217"/>
      <c r="G50" s="223"/>
      <c r="H50" s="223"/>
      <c r="I50" s="223"/>
      <c r="J50" s="221">
        <f>IF(INDEX('F_Inputs BYR'!$B$4:$N$90,MATCH($C50,'F_Inputs BYR'!$B$4:$B$90,0),MATCH(J$2,'F_Inputs BYR'!$B$2:$N$2,0))="","",INDEX('F_Inputs BYR'!$B$4:$N$90,MATCH($C50,'F_Inputs BYR'!$B$4:$B$90,0),MATCH(J$2,'F_Inputs BYR'!$B$2:$N$2,0)))</f>
        <v>-4.4345210389061096</v>
      </c>
      <c r="K50" s="221">
        <f>IF(INDEX('F_Inputs BYR'!$B$4:$N$90,MATCH($C50,'F_Inputs BYR'!$B$4:$B$90,0),MATCH(K$2,'F_Inputs BYR'!$B$2:$N$2,0))="","",INDEX('F_Inputs BYR'!$B$4:$N$90,MATCH($C50,'F_Inputs BYR'!$B$4:$B$90,0),MATCH(K$2,'F_Inputs BYR'!$B$2:$N$2,0)))</f>
        <v>-5.5135632887299098</v>
      </c>
      <c r="L50" s="221">
        <f>IF(INDEX('F_Inputs BYR'!$B$4:$N$90,MATCH($C50,'F_Inputs BYR'!$B$4:$B$90,0),MATCH(L$2,'F_Inputs BYR'!$B$2:$N$2,0))="","",INDEX('F_Inputs BYR'!$B$4:$N$90,MATCH($C50,'F_Inputs BYR'!$B$4:$B$90,0),MATCH(L$2,'F_Inputs BYR'!$B$2:$N$2,0)))</f>
        <v>-4.38623182711172</v>
      </c>
      <c r="M50" s="221">
        <f>IF(INDEX('F_Inputs BYR'!$B$4:$N$90,MATCH($C50,'F_Inputs BYR'!$B$4:$B$90,0),MATCH(M$2,'F_Inputs BYR'!$B$2:$N$2,0))="","",INDEX('F_Inputs BYR'!$B$4:$N$90,MATCH($C50,'F_Inputs BYR'!$B$4:$B$90,0),MATCH(M$2,'F_Inputs BYR'!$B$2:$N$2,0)))</f>
        <v>-3.6482704817140701</v>
      </c>
      <c r="N50" s="395">
        <f>IF(INDEX('F_Inputs BYR'!$B$4:$N$90,MATCH($C50,'F_Inputs BYR'!$B$4:$B$90,0),MATCH(N$2,'F_Inputs BYR'!$B$2:$N$2,0))="","",INDEX('F_Inputs BYR'!$B$4:$N$90,MATCH($C50,'F_Inputs BYR'!$B$4:$B$90,0),MATCH(N$2,'F_Inputs BYR'!$B$2:$N$2,0)))</f>
        <v>-2.90058545757877</v>
      </c>
      <c r="O50" s="217"/>
      <c r="P50" s="217"/>
      <c r="Q50" s="217"/>
      <c r="R50" s="222" t="s">
        <v>242</v>
      </c>
    </row>
    <row r="51" spans="1:18" s="138" customFormat="1">
      <c r="A51" s="400"/>
      <c r="B51" s="402"/>
      <c r="C51" s="401"/>
      <c r="D51" s="402"/>
      <c r="E51" s="401"/>
      <c r="F51" s="402"/>
      <c r="G51" s="402"/>
      <c r="H51" s="402"/>
      <c r="I51" s="402"/>
      <c r="J51" s="403"/>
      <c r="K51" s="403"/>
      <c r="L51" s="403"/>
      <c r="M51" s="403"/>
      <c r="N51" s="404"/>
      <c r="O51" s="232"/>
      <c r="P51" s="232"/>
      <c r="Q51" s="232"/>
      <c r="R51" s="234"/>
    </row>
    <row r="52" spans="1:18">
      <c r="A52" s="429"/>
      <c r="B52" s="440"/>
      <c r="C52" s="441"/>
      <c r="D52" s="466" t="s">
        <v>38</v>
      </c>
      <c r="E52" s="443" t="s">
        <v>194</v>
      </c>
      <c r="F52" s="440"/>
      <c r="G52" s="440"/>
      <c r="H52" s="440"/>
      <c r="I52" s="440"/>
      <c r="J52" s="440"/>
      <c r="K52" s="440"/>
      <c r="L52" s="440"/>
      <c r="M52" s="440"/>
      <c r="N52" s="446"/>
      <c r="O52" s="440"/>
      <c r="P52" s="440"/>
      <c r="Q52" s="440"/>
      <c r="R52" s="447"/>
    </row>
    <row r="53" spans="1:18" s="138" customFormat="1">
      <c r="A53" s="432"/>
      <c r="B53" s="213"/>
      <c r="C53" s="231"/>
      <c r="D53" s="213"/>
      <c r="E53" s="215"/>
      <c r="F53" s="213"/>
      <c r="G53" s="213"/>
      <c r="H53" s="213"/>
      <c r="I53" s="213"/>
      <c r="J53" s="224"/>
      <c r="K53" s="224"/>
      <c r="L53" s="224"/>
      <c r="M53" s="224"/>
      <c r="N53" s="396"/>
      <c r="O53" s="213"/>
      <c r="P53" s="213"/>
      <c r="Q53" s="213"/>
      <c r="R53" s="225"/>
    </row>
    <row r="54" spans="1:18" s="138" customFormat="1">
      <c r="A54" s="400"/>
      <c r="B54" s="402"/>
      <c r="C54" s="401" t="s">
        <v>66</v>
      </c>
      <c r="D54" s="402" t="s">
        <v>57</v>
      </c>
      <c r="E54" s="154" t="s">
        <v>196</v>
      </c>
      <c r="F54" s="402"/>
      <c r="G54" s="402"/>
      <c r="H54" s="402"/>
      <c r="I54" s="221">
        <f>INDEX('F_Inputs BYR'!$B$4:$N$90,MATCH($C54,'F_Inputs BYR'!$B$4:$B$90,0),MATCH(I$2,'F_Inputs BYR'!$B$2:$N$2,0))</f>
        <v>4012.3913144817998</v>
      </c>
      <c r="J54" s="221">
        <f>INDEX('F_Inputs BYR'!$B$4:$N$90,MATCH($C54,'F_Inputs BYR'!$B$4:$B$90,0),MATCH(J$2,'F_Inputs BYR'!$B$2:$N$2,0))</f>
        <v>3993.7173828238001</v>
      </c>
      <c r="K54" s="221">
        <f>INDEX('F_Inputs BYR'!$B$4:$N$90,MATCH($C54,'F_Inputs BYR'!$B$4:$B$90,0),MATCH(K$2,'F_Inputs BYR'!$B$2:$N$2,0))</f>
        <v>4084.8071487515299</v>
      </c>
      <c r="L54" s="221">
        <f>INDEX('F_Inputs BYR'!$B$4:$N$90,MATCH($C54,'F_Inputs BYR'!$B$4:$B$90,0),MATCH(L$2,'F_Inputs BYR'!$B$2:$N$2,0))</f>
        <v>4142.9266328273397</v>
      </c>
      <c r="M54" s="221">
        <f>INDEX('F_Inputs BYR'!$B$4:$N$90,MATCH($C54,'F_Inputs BYR'!$B$4:$B$90,0),MATCH(M$2,'F_Inputs BYR'!$B$2:$N$2,0))</f>
        <v>4183.7220345626502</v>
      </c>
      <c r="N54" s="395">
        <f>INDEX('F_Inputs BYR'!$B$4:$N$90,MATCH($C54,'F_Inputs BYR'!$B$4:$B$90,0),MATCH(N$2,'F_Inputs BYR'!$B$2:$N$2,0))</f>
        <v>4162.73248798022</v>
      </c>
      <c r="O54" s="232"/>
      <c r="P54" s="232"/>
      <c r="Q54" s="232"/>
      <c r="R54" s="234" t="s">
        <v>242</v>
      </c>
    </row>
    <row r="55" spans="1:18" s="138" customFormat="1">
      <c r="A55" s="400"/>
      <c r="B55" s="402"/>
      <c r="C55" s="154" t="s">
        <v>67</v>
      </c>
      <c r="D55" s="153" t="s">
        <v>57</v>
      </c>
      <c r="E55" s="154" t="s">
        <v>197</v>
      </c>
      <c r="F55" s="153"/>
      <c r="G55" s="153"/>
      <c r="H55" s="153"/>
      <c r="I55" s="221">
        <f>INDEX('F_Inputs BYR'!$B$4:$N$90,MATCH($C55,'F_Inputs BYR'!$B$4:$B$90,0),MATCH(I$2,'F_Inputs BYR'!$B$2:$N$2,0))</f>
        <v>3457.1462027174198</v>
      </c>
      <c r="J55" s="221">
        <f>INDEX('F_Inputs BYR'!$B$4:$N$90,MATCH($C55,'F_Inputs BYR'!$B$4:$B$90,0),MATCH(J$2,'F_Inputs BYR'!$B$2:$N$2,0))</f>
        <v>3945.1437194370801</v>
      </c>
      <c r="K55" s="221">
        <f>INDEX('F_Inputs BYR'!$B$4:$N$90,MATCH($C55,'F_Inputs BYR'!$B$4:$B$90,0),MATCH(K$2,'F_Inputs BYR'!$B$2:$N$2,0))</f>
        <v>4581.8359215168202</v>
      </c>
      <c r="L55" s="221">
        <f>INDEX('F_Inputs BYR'!$B$4:$N$90,MATCH($C55,'F_Inputs BYR'!$B$4:$B$90,0),MATCH(L$2,'F_Inputs BYR'!$B$2:$N$2,0))</f>
        <v>4996.3623891277402</v>
      </c>
      <c r="M55" s="221">
        <f>INDEX('F_Inputs BYR'!$B$4:$N$90,MATCH($C55,'F_Inputs BYR'!$B$4:$B$90,0),MATCH(M$2,'F_Inputs BYR'!$B$2:$N$2,0))</f>
        <v>5287.6489470873103</v>
      </c>
      <c r="N55" s="395">
        <f>INDEX('F_Inputs BYR'!$B$4:$N$90,MATCH($C55,'F_Inputs BYR'!$B$4:$B$90,0),MATCH(N$2,'F_Inputs BYR'!$B$2:$N$2,0))</f>
        <v>5449.8897221546404</v>
      </c>
      <c r="O55" s="232"/>
      <c r="P55" s="232"/>
      <c r="Q55" s="232"/>
      <c r="R55" s="234" t="s">
        <v>242</v>
      </c>
    </row>
    <row r="56" spans="1:18" s="138" customFormat="1">
      <c r="A56" s="400"/>
      <c r="B56" s="402"/>
      <c r="C56" s="154"/>
      <c r="D56" s="153"/>
      <c r="E56" s="154"/>
      <c r="F56" s="153"/>
      <c r="G56" s="153"/>
      <c r="H56" s="153"/>
      <c r="I56" s="235"/>
      <c r="J56" s="403"/>
      <c r="K56" s="403"/>
      <c r="L56" s="403"/>
      <c r="M56" s="403"/>
      <c r="N56" s="404"/>
      <c r="O56" s="232"/>
      <c r="P56" s="232"/>
      <c r="Q56" s="232"/>
      <c r="R56" s="234"/>
    </row>
    <row r="57" spans="1:18">
      <c r="A57" s="429"/>
      <c r="B57" s="440"/>
      <c r="C57" s="441"/>
      <c r="D57" s="466" t="s">
        <v>38</v>
      </c>
      <c r="E57" s="443" t="s">
        <v>195</v>
      </c>
      <c r="F57" s="440"/>
      <c r="G57" s="440"/>
      <c r="H57" s="440"/>
      <c r="I57" s="440"/>
      <c r="J57" s="440"/>
      <c r="K57" s="440"/>
      <c r="L57" s="440"/>
      <c r="M57" s="440"/>
      <c r="N57" s="446"/>
      <c r="O57" s="440"/>
      <c r="P57" s="440"/>
      <c r="Q57" s="440"/>
      <c r="R57" s="447"/>
    </row>
    <row r="58" spans="1:18" s="138" customFormat="1">
      <c r="A58" s="400"/>
      <c r="B58" s="402"/>
      <c r="C58" s="401"/>
      <c r="D58" s="402"/>
      <c r="E58" s="401"/>
      <c r="F58" s="402"/>
      <c r="G58" s="402"/>
      <c r="H58" s="402"/>
      <c r="I58" s="402"/>
      <c r="J58" s="403"/>
      <c r="K58" s="403"/>
      <c r="L58" s="403"/>
      <c r="M58" s="403"/>
      <c r="N58" s="404"/>
      <c r="O58" s="232"/>
      <c r="P58" s="232"/>
      <c r="Q58" s="232"/>
      <c r="R58" s="234"/>
    </row>
    <row r="59" spans="1:18" s="138" customFormat="1">
      <c r="A59" s="400"/>
      <c r="B59" s="402"/>
      <c r="C59" s="401" t="s">
        <v>243</v>
      </c>
      <c r="D59" s="402" t="s">
        <v>58</v>
      </c>
      <c r="E59" s="154" t="s">
        <v>359</v>
      </c>
      <c r="F59" s="402"/>
      <c r="H59" s="402"/>
      <c r="I59" s="402"/>
      <c r="J59" s="403"/>
      <c r="K59" s="403"/>
      <c r="L59" s="403"/>
      <c r="M59" s="403"/>
      <c r="N59" s="404"/>
      <c r="O59" s="562">
        <f>INDEX('F_Inputs BYR'!$B$4:$N$90,MATCH($C59,'F_Inputs BYR'!$B$4:$B$90,0),MATCH(O$2,'F_Inputs BYR'!$B$2:$N$2,0))</f>
        <v>5.0999999999999997E-2</v>
      </c>
      <c r="P59" s="232"/>
      <c r="Q59" s="232"/>
      <c r="R59" s="234" t="s">
        <v>75</v>
      </c>
    </row>
    <row r="60" spans="1:18" s="138" customFormat="1">
      <c r="A60" s="400"/>
      <c r="B60" s="402"/>
      <c r="C60" s="154" t="s">
        <v>533</v>
      </c>
      <c r="D60" s="402" t="s">
        <v>58</v>
      </c>
      <c r="E60" s="154" t="s">
        <v>504</v>
      </c>
      <c r="F60" s="402"/>
      <c r="H60" s="402"/>
      <c r="I60" s="402"/>
      <c r="J60" s="403"/>
      <c r="K60" s="403"/>
      <c r="L60" s="403"/>
      <c r="M60" s="403"/>
      <c r="N60" s="404"/>
      <c r="O60" s="562">
        <f>INDEX('F_Inputs BYR'!$B$4:$N$90,MATCH($C60,'F_Inputs BYR'!$B$4:$B$90,0),MATCH(O$2,'F_Inputs BYR'!$B$2:$N$2,0))</f>
        <v>6.2600000000000003E-2</v>
      </c>
      <c r="P60" s="232"/>
      <c r="Q60" s="232"/>
      <c r="R60" s="234" t="s">
        <v>75</v>
      </c>
    </row>
    <row r="61" spans="1:18" s="138" customFormat="1">
      <c r="A61" s="400"/>
      <c r="B61" s="402"/>
      <c r="C61" s="401"/>
      <c r="D61" s="402"/>
      <c r="E61" s="401"/>
      <c r="F61" s="402"/>
      <c r="G61" s="402"/>
      <c r="H61" s="402"/>
      <c r="I61" s="402"/>
      <c r="J61" s="403"/>
      <c r="K61" s="403"/>
      <c r="L61" s="403"/>
      <c r="M61" s="403"/>
      <c r="N61" s="404"/>
      <c r="O61" s="232"/>
      <c r="P61" s="232"/>
      <c r="Q61" s="232"/>
      <c r="R61" s="234"/>
    </row>
    <row r="62" spans="1:18" s="138" customFormat="1">
      <c r="A62" s="400"/>
      <c r="B62" s="402"/>
      <c r="C62" s="401"/>
      <c r="D62" s="402"/>
      <c r="E62" s="401"/>
      <c r="F62" s="402"/>
      <c r="G62" s="402"/>
      <c r="H62" s="402"/>
      <c r="I62" s="402"/>
      <c r="J62" s="405"/>
      <c r="K62" s="403"/>
      <c r="L62" s="403"/>
      <c r="M62" s="403"/>
      <c r="N62" s="404"/>
      <c r="O62" s="232"/>
      <c r="P62" s="232"/>
      <c r="Q62" s="232"/>
      <c r="R62" s="234"/>
    </row>
    <row r="63" spans="1:18">
      <c r="A63" s="429"/>
      <c r="B63" s="440"/>
      <c r="C63" s="450"/>
      <c r="D63" s="466"/>
      <c r="E63" s="443" t="s">
        <v>126</v>
      </c>
      <c r="F63" s="440"/>
      <c r="G63" s="440"/>
      <c r="H63" s="440"/>
      <c r="I63" s="440"/>
      <c r="J63" s="440"/>
      <c r="K63" s="440"/>
      <c r="L63" s="440"/>
      <c r="M63" s="440"/>
      <c r="N63" s="446"/>
      <c r="O63" s="440"/>
      <c r="P63" s="440"/>
      <c r="Q63" s="440"/>
      <c r="R63" s="447"/>
    </row>
    <row r="64" spans="1:18" s="138" customFormat="1">
      <c r="A64" s="432"/>
      <c r="B64" s="213"/>
      <c r="C64" s="231"/>
      <c r="D64" s="213"/>
      <c r="E64" s="215"/>
      <c r="F64" s="220"/>
      <c r="G64" s="220"/>
      <c r="H64" s="220"/>
      <c r="I64" s="220"/>
      <c r="J64" s="236"/>
      <c r="K64" s="236"/>
      <c r="L64" s="236"/>
      <c r="M64" s="236"/>
      <c r="N64" s="406"/>
      <c r="O64" s="237"/>
      <c r="P64" s="238"/>
      <c r="Q64" s="213"/>
      <c r="R64" s="225"/>
    </row>
    <row r="65" spans="1:18" s="138" customFormat="1">
      <c r="A65" s="432"/>
      <c r="B65" s="213"/>
      <c r="C65" s="154" t="s">
        <v>424</v>
      </c>
      <c r="D65" s="153" t="s">
        <v>57</v>
      </c>
      <c r="E65" s="216" t="s">
        <v>8</v>
      </c>
      <c r="F65" s="217"/>
      <c r="G65" s="223"/>
      <c r="H65" s="223"/>
      <c r="I65" s="223"/>
      <c r="J65" s="221">
        <f>INDEX('F_Inputs BYR'!$B$4:$N$90,MATCH($C65,'F_Inputs BYR'!$B$4:$B$90,0),MATCH(J$2,'F_Inputs BYR'!$B$2:$N$2,0))</f>
        <v>96.815099539999807</v>
      </c>
      <c r="K65" s="221">
        <f>INDEX('F_Inputs BYR'!$B$4:$N$90,MATCH($C65,'F_Inputs BYR'!$B$4:$B$90,0),MATCH(K$2,'F_Inputs BYR'!$B$2:$N$2,0))</f>
        <v>134.462651452888</v>
      </c>
      <c r="L65" s="221">
        <f>INDEX('F_Inputs BYR'!$B$4:$N$90,MATCH($C65,'F_Inputs BYR'!$B$4:$B$90,0),MATCH(L$2,'F_Inputs BYR'!$B$2:$N$2,0))</f>
        <v>98.969987991157893</v>
      </c>
      <c r="M65" s="221">
        <f>INDEX('F_Inputs BYR'!$B$4:$N$90,MATCH($C65,'F_Inputs BYR'!$B$4:$B$90,0),MATCH(M$2,'F_Inputs BYR'!$B$2:$N$2,0))</f>
        <v>82.615744604577699</v>
      </c>
      <c r="N65" s="395">
        <f>INDEX('F_Inputs BYR'!$B$4:$N$90,MATCH($C65,'F_Inputs BYR'!$B$4:$B$90,0),MATCH(N$2,'F_Inputs BYR'!$B$2:$N$2,0))</f>
        <v>70.737905735782604</v>
      </c>
      <c r="O65" s="217"/>
      <c r="P65" s="217"/>
      <c r="Q65" s="217"/>
      <c r="R65" s="222" t="s">
        <v>87</v>
      </c>
    </row>
    <row r="66" spans="1:18" s="138" customFormat="1">
      <c r="A66" s="432"/>
      <c r="B66" s="213"/>
      <c r="C66" s="154" t="s">
        <v>425</v>
      </c>
      <c r="D66" s="153" t="s">
        <v>57</v>
      </c>
      <c r="E66" s="216" t="s">
        <v>65</v>
      </c>
      <c r="F66" s="217"/>
      <c r="G66" s="223"/>
      <c r="H66" s="223"/>
      <c r="I66" s="223"/>
      <c r="J66" s="221">
        <f>INDEX('F_Inputs BYR'!$B$4:$N$90,MATCH($C66,'F_Inputs BYR'!$B$4:$B$90,0),MATCH(J$2,'F_Inputs BYR'!$B$2:$N$2,0))</f>
        <v>118.926250458056</v>
      </c>
      <c r="K66" s="221">
        <f>INDEX('F_Inputs BYR'!$B$4:$N$90,MATCH($C66,'F_Inputs BYR'!$B$4:$B$90,0),MATCH(K$2,'F_Inputs BYR'!$B$2:$N$2,0))</f>
        <v>148.972263063176</v>
      </c>
      <c r="L66" s="221">
        <f>INDEX('F_Inputs BYR'!$B$4:$N$90,MATCH($C66,'F_Inputs BYR'!$B$4:$B$90,0),MATCH(L$2,'F_Inputs BYR'!$B$2:$N$2,0))</f>
        <v>134.19403100525699</v>
      </c>
      <c r="M66" s="221">
        <f>INDEX('F_Inputs BYR'!$B$4:$N$90,MATCH($C66,'F_Inputs BYR'!$B$4:$B$90,0),MATCH(M$2,'F_Inputs BYR'!$B$2:$N$2,0))</f>
        <v>144.16200000000001</v>
      </c>
      <c r="N66" s="395">
        <f>INDEX('F_Inputs BYR'!$B$4:$N$90,MATCH($C66,'F_Inputs BYR'!$B$4:$B$90,0),MATCH(N$2,'F_Inputs BYR'!$B$2:$N$2,0))</f>
        <v>168.11232031747701</v>
      </c>
      <c r="O66" s="217"/>
      <c r="P66" s="217"/>
      <c r="Q66" s="217"/>
      <c r="R66" s="222" t="s">
        <v>87</v>
      </c>
    </row>
    <row r="67" spans="1:18" s="138" customFormat="1">
      <c r="A67" s="432"/>
      <c r="B67" s="213"/>
      <c r="C67" s="154" t="s">
        <v>426</v>
      </c>
      <c r="D67" s="153" t="s">
        <v>57</v>
      </c>
      <c r="E67" s="216" t="s">
        <v>382</v>
      </c>
      <c r="F67" s="217"/>
      <c r="G67" s="223"/>
      <c r="H67" s="223"/>
      <c r="I67" s="223"/>
      <c r="J67" s="221">
        <f>INDEX('F_Inputs BYR'!$B$4:$N$90,MATCH($C67,'F_Inputs BYR'!$B$4:$B$90,0),MATCH(J$2,'F_Inputs BYR'!$B$2:$N$2,0))</f>
        <v>58.1921938764836</v>
      </c>
      <c r="K67" s="221">
        <f>INDEX('F_Inputs BYR'!$B$4:$N$90,MATCH($C67,'F_Inputs BYR'!$B$4:$B$90,0),MATCH(K$2,'F_Inputs BYR'!$B$2:$N$2,0))</f>
        <v>4.5178750700620398</v>
      </c>
      <c r="L67" s="221">
        <f>INDEX('F_Inputs BYR'!$B$4:$N$90,MATCH($C67,'F_Inputs BYR'!$B$4:$B$90,0),MATCH(L$2,'F_Inputs BYR'!$B$2:$N$2,0))</f>
        <v>10.7836148502164</v>
      </c>
      <c r="M67" s="221">
        <f>INDEX('F_Inputs BYR'!$B$4:$N$90,MATCH($C67,'F_Inputs BYR'!$B$4:$B$90,0),MATCH(M$2,'F_Inputs BYR'!$B$2:$N$2,0))</f>
        <v>20.156810120057301</v>
      </c>
      <c r="N67" s="395">
        <f>INDEX('F_Inputs BYR'!$B$4:$N$90,MATCH($C67,'F_Inputs BYR'!$B$4:$B$90,0),MATCH(N$2,'F_Inputs BYR'!$B$2:$N$2,0))</f>
        <v>15.364241293346801</v>
      </c>
      <c r="O67" s="217"/>
      <c r="P67" s="217"/>
      <c r="Q67" s="217"/>
      <c r="R67" s="222" t="s">
        <v>87</v>
      </c>
    </row>
    <row r="68" spans="1:18" s="138" customFormat="1">
      <c r="A68" s="432"/>
      <c r="B68" s="213"/>
      <c r="C68" s="154" t="s">
        <v>427</v>
      </c>
      <c r="D68" s="153" t="s">
        <v>57</v>
      </c>
      <c r="E68" s="216" t="s">
        <v>383</v>
      </c>
      <c r="F68" s="217"/>
      <c r="G68" s="223"/>
      <c r="H68" s="223"/>
      <c r="I68" s="223"/>
      <c r="J68" s="221">
        <f>INDEX('F_Inputs BYR'!$B$4:$N$90,MATCH($C68,'F_Inputs BYR'!$B$4:$B$90,0),MATCH(J$2,'F_Inputs BYR'!$B$2:$N$2,0))</f>
        <v>49.096900494649603</v>
      </c>
      <c r="K68" s="221">
        <f>INDEX('F_Inputs BYR'!$B$4:$N$90,MATCH($C68,'F_Inputs BYR'!$B$4:$B$90,0),MATCH(K$2,'F_Inputs BYR'!$B$2:$N$2,0))</f>
        <v>44.771243533433399</v>
      </c>
      <c r="L68" s="221">
        <f>INDEX('F_Inputs BYR'!$B$4:$N$90,MATCH($C68,'F_Inputs BYR'!$B$4:$B$90,0),MATCH(L$2,'F_Inputs BYR'!$B$2:$N$2,0))</f>
        <v>31.8749503571423</v>
      </c>
      <c r="M68" s="221">
        <f>INDEX('F_Inputs BYR'!$B$4:$N$90,MATCH($C68,'F_Inputs BYR'!$B$4:$B$90,0),MATCH(M$2,'F_Inputs BYR'!$B$2:$N$2,0))</f>
        <v>56.188153274649501</v>
      </c>
      <c r="N68" s="395">
        <f>INDEX('F_Inputs BYR'!$B$4:$N$90,MATCH($C68,'F_Inputs BYR'!$B$4:$B$90,0),MATCH(N$2,'F_Inputs BYR'!$B$2:$N$2,0))</f>
        <v>75.0906794392439</v>
      </c>
      <c r="O68" s="217"/>
      <c r="P68" s="217"/>
      <c r="Q68" s="217"/>
      <c r="R68" s="222" t="s">
        <v>87</v>
      </c>
    </row>
    <row r="69" spans="1:18" s="138" customFormat="1">
      <c r="A69" s="432"/>
      <c r="B69" s="213"/>
      <c r="C69" s="154" t="s">
        <v>428</v>
      </c>
      <c r="D69" s="153" t="s">
        <v>57</v>
      </c>
      <c r="E69" s="216" t="s">
        <v>230</v>
      </c>
      <c r="F69" s="217"/>
      <c r="G69" s="223"/>
      <c r="H69" s="223"/>
      <c r="I69" s="223"/>
      <c r="J69" s="221">
        <f>INDEX('F_Inputs BYR'!$B$4:$N$90,MATCH($C69,'F_Inputs BYR'!$B$4:$B$90,0),MATCH(J$2,'F_Inputs BYR'!$B$2:$N$2,0))</f>
        <v>0</v>
      </c>
      <c r="K69" s="221">
        <f>INDEX('F_Inputs BYR'!$B$4:$N$90,MATCH($C69,'F_Inputs BYR'!$B$4:$B$90,0),MATCH(K$2,'F_Inputs BYR'!$B$2:$N$2,0))</f>
        <v>0</v>
      </c>
      <c r="L69" s="221">
        <f>INDEX('F_Inputs BYR'!$B$4:$N$90,MATCH($C69,'F_Inputs BYR'!$B$4:$B$90,0),MATCH(L$2,'F_Inputs BYR'!$B$2:$N$2,0))</f>
        <v>0</v>
      </c>
      <c r="M69" s="221">
        <f>INDEX('F_Inputs BYR'!$B$4:$N$90,MATCH($C69,'F_Inputs BYR'!$B$4:$B$90,0),MATCH(M$2,'F_Inputs BYR'!$B$2:$N$2,0))</f>
        <v>0</v>
      </c>
      <c r="N69" s="395">
        <f>INDEX('F_Inputs BYR'!$B$4:$N$90,MATCH($C69,'F_Inputs BYR'!$B$4:$B$90,0),MATCH(N$2,'F_Inputs BYR'!$B$2:$N$2,0))</f>
        <v>0</v>
      </c>
      <c r="O69" s="217"/>
      <c r="P69" s="217"/>
      <c r="Q69" s="217"/>
      <c r="R69" s="222" t="s">
        <v>87</v>
      </c>
    </row>
    <row r="70" spans="1:18" s="138" customFormat="1">
      <c r="A70" s="432"/>
      <c r="B70" s="213"/>
      <c r="C70" s="154" t="s">
        <v>429</v>
      </c>
      <c r="D70" s="153" t="s">
        <v>57</v>
      </c>
      <c r="E70" s="216" t="s">
        <v>231</v>
      </c>
      <c r="F70" s="217"/>
      <c r="G70" s="223"/>
      <c r="H70" s="223"/>
      <c r="I70" s="223"/>
      <c r="J70" s="221">
        <f>INDEX('F_Inputs BYR'!$B$4:$N$90,MATCH($C70,'F_Inputs BYR'!$B$4:$B$90,0),MATCH(J$2,'F_Inputs BYR'!$B$2:$N$2,0))</f>
        <v>0</v>
      </c>
      <c r="K70" s="221">
        <f>INDEX('F_Inputs BYR'!$B$4:$N$90,MATCH($C70,'F_Inputs BYR'!$B$4:$B$90,0),MATCH(K$2,'F_Inputs BYR'!$B$2:$N$2,0))</f>
        <v>0</v>
      </c>
      <c r="L70" s="221">
        <f>INDEX('F_Inputs BYR'!$B$4:$N$90,MATCH($C70,'F_Inputs BYR'!$B$4:$B$90,0),MATCH(L$2,'F_Inputs BYR'!$B$2:$N$2,0))</f>
        <v>0</v>
      </c>
      <c r="M70" s="221">
        <f>INDEX('F_Inputs BYR'!$B$4:$N$90,MATCH($C70,'F_Inputs BYR'!$B$4:$B$90,0),MATCH(M$2,'F_Inputs BYR'!$B$2:$N$2,0))</f>
        <v>0</v>
      </c>
      <c r="N70" s="395">
        <f>INDEX('F_Inputs BYR'!$B$4:$N$90,MATCH($C70,'F_Inputs BYR'!$B$4:$B$90,0),MATCH(N$2,'F_Inputs BYR'!$B$2:$N$2,0))</f>
        <v>0</v>
      </c>
      <c r="O70" s="217"/>
      <c r="P70" s="217"/>
      <c r="Q70" s="217"/>
      <c r="R70" s="222" t="s">
        <v>87</v>
      </c>
    </row>
    <row r="71" spans="1:18" s="138" customFormat="1">
      <c r="A71" s="102"/>
      <c r="B71" s="104"/>
      <c r="C71" s="153"/>
      <c r="D71" s="153"/>
      <c r="E71" s="154"/>
      <c r="F71" s="131"/>
      <c r="G71" s="131"/>
      <c r="H71" s="131"/>
      <c r="I71" s="131"/>
      <c r="J71" s="159"/>
      <c r="K71" s="159"/>
      <c r="L71" s="159"/>
      <c r="M71" s="159"/>
      <c r="N71" s="362"/>
      <c r="O71" s="217"/>
      <c r="P71" s="37"/>
      <c r="Q71" s="37"/>
      <c r="R71" s="239"/>
    </row>
    <row r="72" spans="1:18" s="138" customFormat="1">
      <c r="A72" s="432"/>
      <c r="B72" s="213"/>
      <c r="C72" s="154" t="s">
        <v>430</v>
      </c>
      <c r="D72" s="153" t="s">
        <v>57</v>
      </c>
      <c r="E72" s="216" t="s">
        <v>2</v>
      </c>
      <c r="F72" s="217"/>
      <c r="G72" s="223"/>
      <c r="H72" s="223"/>
      <c r="I72" s="223"/>
      <c r="J72" s="221">
        <f>INDEX('F_Inputs BYR'!$B$4:$N$90,MATCH($C72,'F_Inputs BYR'!$B$4:$B$90,0),MATCH(J$2,'F_Inputs BYR'!$B$2:$N$2,0))</f>
        <v>27.506438960000001</v>
      </c>
      <c r="K72" s="221">
        <f>INDEX('F_Inputs BYR'!$B$4:$N$90,MATCH($C72,'F_Inputs BYR'!$B$4:$B$90,0),MATCH(K$2,'F_Inputs BYR'!$B$2:$N$2,0))</f>
        <v>44.729525442174598</v>
      </c>
      <c r="L72" s="221">
        <f>INDEX('F_Inputs BYR'!$B$4:$N$90,MATCH($C72,'F_Inputs BYR'!$B$4:$B$90,0),MATCH(L$2,'F_Inputs BYR'!$B$2:$N$2,0))</f>
        <v>73.259442582552794</v>
      </c>
      <c r="M72" s="221">
        <f>INDEX('F_Inputs BYR'!$B$4:$N$90,MATCH($C72,'F_Inputs BYR'!$B$4:$B$90,0),MATCH(M$2,'F_Inputs BYR'!$B$2:$N$2,0))</f>
        <v>77.864000000000004</v>
      </c>
      <c r="N72" s="395">
        <f>INDEX('F_Inputs BYR'!$B$4:$N$90,MATCH($C72,'F_Inputs BYR'!$B$4:$B$90,0),MATCH(N$2,'F_Inputs BYR'!$B$2:$N$2,0))</f>
        <v>80.561511905495195</v>
      </c>
      <c r="O72" s="217"/>
      <c r="P72" s="217"/>
      <c r="Q72" s="217"/>
      <c r="R72" s="222" t="s">
        <v>87</v>
      </c>
    </row>
    <row r="73" spans="1:18" s="138" customFormat="1">
      <c r="A73" s="432"/>
      <c r="B73" s="213"/>
      <c r="C73" s="154" t="s">
        <v>431</v>
      </c>
      <c r="D73" s="153" t="s">
        <v>57</v>
      </c>
      <c r="E73" s="216" t="s">
        <v>64</v>
      </c>
      <c r="F73" s="217"/>
      <c r="G73" s="223"/>
      <c r="H73" s="223"/>
      <c r="I73" s="223"/>
      <c r="J73" s="221">
        <f>INDEX('F_Inputs BYR'!$B$4:$N$90,MATCH($C73,'F_Inputs BYR'!$B$4:$B$90,0),MATCH(J$2,'F_Inputs BYR'!$B$2:$N$2,0))</f>
        <v>165.781731443567</v>
      </c>
      <c r="K73" s="221">
        <f>INDEX('F_Inputs BYR'!$B$4:$N$90,MATCH($C73,'F_Inputs BYR'!$B$4:$B$90,0),MATCH(K$2,'F_Inputs BYR'!$B$2:$N$2,0))</f>
        <v>162.227301251574</v>
      </c>
      <c r="L73" s="221">
        <f>INDEX('F_Inputs BYR'!$B$4:$N$90,MATCH($C73,'F_Inputs BYR'!$B$4:$B$90,0),MATCH(L$2,'F_Inputs BYR'!$B$2:$N$2,0))</f>
        <v>147.569304121703</v>
      </c>
      <c r="M73" s="221">
        <f>INDEX('F_Inputs BYR'!$B$4:$N$90,MATCH($C73,'F_Inputs BYR'!$B$4:$B$90,0),MATCH(M$2,'F_Inputs BYR'!$B$2:$N$2,0))</f>
        <v>144.40199999999999</v>
      </c>
      <c r="N73" s="395">
        <f>INDEX('F_Inputs BYR'!$B$4:$N$90,MATCH($C73,'F_Inputs BYR'!$B$4:$B$90,0),MATCH(N$2,'F_Inputs BYR'!$B$2:$N$2,0))</f>
        <v>185.43571142700901</v>
      </c>
      <c r="O73" s="217"/>
      <c r="P73" s="217"/>
      <c r="Q73" s="217"/>
      <c r="R73" s="222" t="s">
        <v>87</v>
      </c>
    </row>
    <row r="74" spans="1:18" s="138" customFormat="1">
      <c r="A74" s="432"/>
      <c r="B74" s="213"/>
      <c r="C74" s="154" t="s">
        <v>432</v>
      </c>
      <c r="D74" s="153" t="s">
        <v>57</v>
      </c>
      <c r="E74" s="216" t="s">
        <v>384</v>
      </c>
      <c r="F74" s="217"/>
      <c r="G74" s="223"/>
      <c r="H74" s="223"/>
      <c r="I74" s="223"/>
      <c r="J74" s="221">
        <f>INDEX('F_Inputs BYR'!$B$4:$N$90,MATCH($C74,'F_Inputs BYR'!$B$4:$B$90,0),MATCH(J$2,'F_Inputs BYR'!$B$2:$N$2,0))</f>
        <v>22.2444760850546</v>
      </c>
      <c r="K74" s="221">
        <f>INDEX('F_Inputs BYR'!$B$4:$N$90,MATCH($C74,'F_Inputs BYR'!$B$4:$B$90,0),MATCH(K$2,'F_Inputs BYR'!$B$2:$N$2,0))</f>
        <v>11.841580921866299</v>
      </c>
      <c r="L74" s="221">
        <f>INDEX('F_Inputs BYR'!$B$4:$N$90,MATCH($C74,'F_Inputs BYR'!$B$4:$B$90,0),MATCH(L$2,'F_Inputs BYR'!$B$2:$N$2,0))</f>
        <v>31.181226785186599</v>
      </c>
      <c r="M74" s="221">
        <f>INDEX('F_Inputs BYR'!$B$4:$N$90,MATCH($C74,'F_Inputs BYR'!$B$4:$B$90,0),MATCH(M$2,'F_Inputs BYR'!$B$2:$N$2,0))</f>
        <v>28.227</v>
      </c>
      <c r="N74" s="395">
        <f>INDEX('F_Inputs BYR'!$B$4:$N$90,MATCH($C74,'F_Inputs BYR'!$B$4:$B$90,0),MATCH(N$2,'F_Inputs BYR'!$B$2:$N$2,0))</f>
        <v>59.564818739683801</v>
      </c>
      <c r="O74" s="217"/>
      <c r="P74" s="217"/>
      <c r="Q74" s="217"/>
      <c r="R74" s="222" t="s">
        <v>87</v>
      </c>
    </row>
    <row r="75" spans="1:18" s="138" customFormat="1">
      <c r="A75" s="432"/>
      <c r="B75" s="213"/>
      <c r="C75" s="154" t="s">
        <v>433</v>
      </c>
      <c r="D75" s="153" t="s">
        <v>57</v>
      </c>
      <c r="E75" s="216" t="s">
        <v>385</v>
      </c>
      <c r="F75" s="217"/>
      <c r="G75" s="223"/>
      <c r="H75" s="223"/>
      <c r="I75" s="223"/>
      <c r="J75" s="221">
        <f>INDEX('F_Inputs BYR'!$B$4:$N$90,MATCH($C75,'F_Inputs BYR'!$B$4:$B$90,0),MATCH(J$2,'F_Inputs BYR'!$B$2:$N$2,0))</f>
        <v>229.095530552192</v>
      </c>
      <c r="K75" s="221">
        <f>INDEX('F_Inputs BYR'!$B$4:$N$90,MATCH($C75,'F_Inputs BYR'!$B$4:$B$90,0),MATCH(K$2,'F_Inputs BYR'!$B$2:$N$2,0))</f>
        <v>354.85647342482201</v>
      </c>
      <c r="L75" s="221">
        <f>INDEX('F_Inputs BYR'!$B$4:$N$90,MATCH($C75,'F_Inputs BYR'!$B$4:$B$90,0),MATCH(L$2,'F_Inputs BYR'!$B$2:$N$2,0))</f>
        <v>231.10204017638301</v>
      </c>
      <c r="M75" s="221">
        <f>INDEX('F_Inputs BYR'!$B$4:$N$90,MATCH($C75,'F_Inputs BYR'!$B$4:$B$90,0),MATCH(M$2,'F_Inputs BYR'!$B$2:$N$2,0))</f>
        <v>232.36700642477899</v>
      </c>
      <c r="N75" s="395">
        <f>INDEX('F_Inputs BYR'!$B$4:$N$90,MATCH($C75,'F_Inputs BYR'!$B$4:$B$90,0),MATCH(N$2,'F_Inputs BYR'!$B$2:$N$2,0))</f>
        <v>143.94850298482299</v>
      </c>
      <c r="O75" s="217"/>
      <c r="P75" s="217"/>
      <c r="Q75" s="217"/>
      <c r="R75" s="222" t="s">
        <v>87</v>
      </c>
    </row>
    <row r="76" spans="1:18" s="138" customFormat="1">
      <c r="A76" s="432"/>
      <c r="B76" s="213"/>
      <c r="C76" s="154" t="s">
        <v>434</v>
      </c>
      <c r="D76" s="153" t="s">
        <v>57</v>
      </c>
      <c r="E76" s="216" t="s">
        <v>232</v>
      </c>
      <c r="F76" s="217"/>
      <c r="G76" s="223"/>
      <c r="H76" s="223"/>
      <c r="I76" s="223"/>
      <c r="J76" s="221">
        <f>INDEX('F_Inputs BYR'!$B$4:$N$90,MATCH($C76,'F_Inputs BYR'!$B$4:$B$90,0),MATCH(J$2,'F_Inputs BYR'!$B$2:$N$2,0))</f>
        <v>85.954035340000004</v>
      </c>
      <c r="K76" s="221">
        <f>INDEX('F_Inputs BYR'!$B$4:$N$90,MATCH($C76,'F_Inputs BYR'!$B$4:$B$90,0),MATCH(K$2,'F_Inputs BYR'!$B$2:$N$2,0))</f>
        <v>68.658195062111503</v>
      </c>
      <c r="L76" s="221">
        <f>INDEX('F_Inputs BYR'!$B$4:$N$90,MATCH($C76,'F_Inputs BYR'!$B$4:$B$90,0),MATCH(L$2,'F_Inputs BYR'!$B$2:$N$2,0))</f>
        <v>78.392323694568304</v>
      </c>
      <c r="M76" s="221">
        <f>INDEX('F_Inputs BYR'!$B$4:$N$90,MATCH($C76,'F_Inputs BYR'!$B$4:$B$90,0),MATCH(M$2,'F_Inputs BYR'!$B$2:$N$2,0))</f>
        <v>105.12503617</v>
      </c>
      <c r="N76" s="395">
        <f>INDEX('F_Inputs BYR'!$B$4:$N$90,MATCH($C76,'F_Inputs BYR'!$B$4:$B$90,0),MATCH(N$2,'F_Inputs BYR'!$B$2:$N$2,0))</f>
        <v>93.955209134460006</v>
      </c>
      <c r="O76" s="217"/>
      <c r="P76" s="217"/>
      <c r="Q76" s="217"/>
      <c r="R76" s="222" t="s">
        <v>87</v>
      </c>
    </row>
    <row r="77" spans="1:18" s="138" customFormat="1">
      <c r="A77" s="432"/>
      <c r="B77" s="213"/>
      <c r="C77" s="154" t="s">
        <v>435</v>
      </c>
      <c r="D77" s="153" t="s">
        <v>57</v>
      </c>
      <c r="E77" s="216" t="s">
        <v>233</v>
      </c>
      <c r="F77" s="217"/>
      <c r="G77" s="223"/>
      <c r="H77" s="223"/>
      <c r="I77" s="223"/>
      <c r="J77" s="221">
        <f>INDEX('F_Inputs BYR'!$B$4:$N$90,MATCH($C77,'F_Inputs BYR'!$B$4:$B$90,0),MATCH(J$2,'F_Inputs BYR'!$B$2:$N$2,0))</f>
        <v>30.074629819999998</v>
      </c>
      <c r="K77" s="221">
        <f>INDEX('F_Inputs BYR'!$B$4:$N$90,MATCH($C77,'F_Inputs BYR'!$B$4:$B$90,0),MATCH(K$2,'F_Inputs BYR'!$B$2:$N$2,0))</f>
        <v>24.0229538678885</v>
      </c>
      <c r="L77" s="221">
        <f>INDEX('F_Inputs BYR'!$B$4:$N$90,MATCH($C77,'F_Inputs BYR'!$B$4:$B$90,0),MATCH(L$2,'F_Inputs BYR'!$B$2:$N$2,0))</f>
        <v>16.651715565431701</v>
      </c>
      <c r="M77" s="221">
        <f>INDEX('F_Inputs BYR'!$B$4:$N$90,MATCH($C77,'F_Inputs BYR'!$B$4:$B$90,0),MATCH(M$2,'F_Inputs BYR'!$B$2:$N$2,0))</f>
        <v>22.38297558</v>
      </c>
      <c r="N77" s="395">
        <f>INDEX('F_Inputs BYR'!$B$4:$N$90,MATCH($C77,'F_Inputs BYR'!$B$4:$B$90,0),MATCH(N$2,'F_Inputs BYR'!$B$2:$N$2,0))</f>
        <v>19.957507985540001</v>
      </c>
      <c r="O77" s="217"/>
      <c r="P77" s="217"/>
      <c r="Q77" s="217"/>
      <c r="R77" s="222" t="s">
        <v>87</v>
      </c>
    </row>
    <row r="78" spans="1:18" s="138" customFormat="1">
      <c r="A78" s="102"/>
      <c r="B78" s="131"/>
      <c r="C78" s="132"/>
      <c r="D78" s="153"/>
      <c r="E78" s="154"/>
      <c r="F78" s="226"/>
      <c r="G78" s="226"/>
      <c r="H78" s="226"/>
      <c r="I78" s="226"/>
      <c r="J78" s="159"/>
      <c r="K78" s="159"/>
      <c r="L78" s="159"/>
      <c r="M78" s="159"/>
      <c r="N78" s="362"/>
      <c r="O78" s="37"/>
      <c r="P78" s="37"/>
      <c r="Q78" s="37"/>
      <c r="R78" s="239"/>
    </row>
    <row r="79" spans="1:18" s="138" customFormat="1">
      <c r="A79" s="400"/>
      <c r="B79" s="402"/>
      <c r="C79" s="401"/>
      <c r="D79" s="402"/>
      <c r="E79" s="401"/>
      <c r="F79" s="402"/>
      <c r="G79" s="402"/>
      <c r="H79" s="402"/>
      <c r="I79" s="402"/>
      <c r="J79" s="405"/>
      <c r="K79" s="405"/>
      <c r="L79" s="405"/>
      <c r="M79" s="405"/>
      <c r="N79" s="407"/>
      <c r="O79" s="232"/>
      <c r="P79" s="232"/>
      <c r="Q79" s="232"/>
      <c r="R79" s="234"/>
    </row>
    <row r="80" spans="1:18">
      <c r="A80" s="429"/>
      <c r="B80" s="440"/>
      <c r="C80" s="441"/>
      <c r="D80" s="442"/>
      <c r="E80" s="448" t="s">
        <v>267</v>
      </c>
      <c r="F80" s="440"/>
      <c r="G80" s="440"/>
      <c r="H80" s="440"/>
      <c r="I80" s="440"/>
      <c r="J80" s="440"/>
      <c r="K80" s="440"/>
      <c r="L80" s="440"/>
      <c r="M80" s="440"/>
      <c r="N80" s="446"/>
      <c r="O80" s="449"/>
      <c r="P80" s="449"/>
      <c r="Q80" s="440"/>
      <c r="R80" s="447"/>
    </row>
    <row r="81" spans="1:18" s="138" customFormat="1">
      <c r="A81" s="400"/>
      <c r="B81" s="402"/>
      <c r="C81" s="401"/>
      <c r="D81" s="402"/>
      <c r="E81" s="401"/>
      <c r="F81" s="402"/>
      <c r="G81" s="402"/>
      <c r="H81" s="402"/>
      <c r="I81" s="402"/>
      <c r="J81" s="405"/>
      <c r="K81" s="405"/>
      <c r="L81" s="405"/>
      <c r="M81" s="405"/>
      <c r="N81" s="407"/>
      <c r="O81" s="232"/>
      <c r="P81" s="232"/>
      <c r="Q81" s="232"/>
      <c r="R81" s="234"/>
    </row>
    <row r="82" spans="1:18" s="138" customFormat="1">
      <c r="A82" s="400"/>
      <c r="B82" s="402"/>
      <c r="C82" s="154" t="s">
        <v>420</v>
      </c>
      <c r="D82" s="153" t="s">
        <v>57</v>
      </c>
      <c r="E82" s="154" t="s">
        <v>202</v>
      </c>
      <c r="F82" s="402"/>
      <c r="G82" s="402"/>
      <c r="H82" s="402"/>
      <c r="I82" s="153"/>
      <c r="J82" s="221">
        <f>INDEX('F_Inputs BYR'!$B$4:$N$90,MATCH($C82,'F_Inputs BYR'!$B$4:$B$90,0),MATCH(J$2,'F_Inputs BYR'!$B$2:$N$2,0))</f>
        <v>0</v>
      </c>
      <c r="K82" s="221">
        <f>INDEX('F_Inputs BYR'!$B$4:$N$90,MATCH($C82,'F_Inputs BYR'!$B$4:$B$90,0),MATCH(K$2,'F_Inputs BYR'!$B$2:$N$2,0))</f>
        <v>0</v>
      </c>
      <c r="L82" s="221">
        <f>INDEX('F_Inputs BYR'!$B$4:$N$90,MATCH($C82,'F_Inputs BYR'!$B$4:$B$90,0),MATCH(L$2,'F_Inputs BYR'!$B$2:$N$2,0))</f>
        <v>0</v>
      </c>
      <c r="M82" s="221">
        <f>INDEX('F_Inputs BYR'!$B$4:$N$90,MATCH($C82,'F_Inputs BYR'!$B$4:$B$90,0),MATCH(M$2,'F_Inputs BYR'!$B$2:$N$2,0))</f>
        <v>0</v>
      </c>
      <c r="N82" s="395">
        <f>INDEX('F_Inputs BYR'!$B$4:$N$90,MATCH($C82,'F_Inputs BYR'!$B$4:$B$90,0),MATCH(N$2,'F_Inputs BYR'!$B$2:$N$2,0))</f>
        <v>0</v>
      </c>
      <c r="O82" s="232"/>
      <c r="P82" s="232"/>
      <c r="Q82" s="232"/>
      <c r="R82" s="137" t="s">
        <v>242</v>
      </c>
    </row>
    <row r="83" spans="1:18" s="138" customFormat="1">
      <c r="A83" s="400"/>
      <c r="B83" s="402"/>
      <c r="C83" s="154" t="s">
        <v>422</v>
      </c>
      <c r="D83" s="153" t="s">
        <v>57</v>
      </c>
      <c r="E83" s="154" t="s">
        <v>203</v>
      </c>
      <c r="F83" s="402"/>
      <c r="G83" s="402"/>
      <c r="H83" s="402"/>
      <c r="I83" s="153"/>
      <c r="J83" s="221">
        <f>INDEX('F_Inputs BYR'!$B$4:$N$90,MATCH($C83,'F_Inputs BYR'!$B$4:$B$90,0),MATCH(J$2,'F_Inputs BYR'!$B$2:$N$2,0))</f>
        <v>0</v>
      </c>
      <c r="K83" s="221">
        <f>INDEX('F_Inputs BYR'!$B$4:$N$90,MATCH($C83,'F_Inputs BYR'!$B$4:$B$90,0),MATCH(K$2,'F_Inputs BYR'!$B$2:$N$2,0))</f>
        <v>0</v>
      </c>
      <c r="L83" s="221">
        <f>INDEX('F_Inputs BYR'!$B$4:$N$90,MATCH($C83,'F_Inputs BYR'!$B$4:$B$90,0),MATCH(L$2,'F_Inputs BYR'!$B$2:$N$2,0))</f>
        <v>0</v>
      </c>
      <c r="M83" s="221">
        <f>INDEX('F_Inputs BYR'!$B$4:$N$90,MATCH($C83,'F_Inputs BYR'!$B$4:$B$90,0),MATCH(M$2,'F_Inputs BYR'!$B$2:$N$2,0))</f>
        <v>0</v>
      </c>
      <c r="N83" s="395">
        <f>INDEX('F_Inputs BYR'!$B$4:$N$90,MATCH($C83,'F_Inputs BYR'!$B$4:$B$90,0),MATCH(N$2,'F_Inputs BYR'!$B$2:$N$2,0))</f>
        <v>0</v>
      </c>
      <c r="O83" s="232"/>
      <c r="P83" s="232"/>
      <c r="Q83" s="232"/>
      <c r="R83" s="137" t="s">
        <v>242</v>
      </c>
    </row>
    <row r="84" spans="1:18" s="138" customFormat="1">
      <c r="A84" s="400"/>
      <c r="B84" s="402"/>
      <c r="C84" s="154"/>
      <c r="D84" s="153"/>
      <c r="E84" s="154"/>
      <c r="F84" s="402"/>
      <c r="G84" s="402"/>
      <c r="H84" s="402"/>
      <c r="I84" s="153"/>
      <c r="J84" s="405"/>
      <c r="K84" s="405"/>
      <c r="L84" s="405"/>
      <c r="M84" s="405"/>
      <c r="N84" s="407"/>
      <c r="O84" s="232"/>
      <c r="P84" s="232"/>
      <c r="Q84" s="232"/>
      <c r="R84" s="234"/>
    </row>
    <row r="85" spans="1:18" s="138" customFormat="1">
      <c r="A85" s="400"/>
      <c r="B85" s="402"/>
      <c r="C85" s="154" t="s">
        <v>476</v>
      </c>
      <c r="D85" s="153" t="s">
        <v>57</v>
      </c>
      <c r="E85" s="154" t="s">
        <v>251</v>
      </c>
      <c r="F85" s="402"/>
      <c r="G85" s="402"/>
      <c r="H85" s="402"/>
      <c r="I85" s="205"/>
      <c r="J85" s="221">
        <f>INDEX('F_Inputs BYR'!$B$4:$N$90,MATCH($C85,'F_Inputs BYR'!$B$4:$B$90,0),MATCH(J$2,'F_Inputs BYR'!$B$2:$N$2,0))</f>
        <v>0</v>
      </c>
      <c r="K85" s="221">
        <f>INDEX('F_Inputs BYR'!$B$4:$N$90,MATCH($C85,'F_Inputs BYR'!$B$4:$B$90,0),MATCH(K$2,'F_Inputs BYR'!$B$2:$N$2,0))</f>
        <v>0</v>
      </c>
      <c r="L85" s="221">
        <f>INDEX('F_Inputs BYR'!$B$4:$N$90,MATCH($C85,'F_Inputs BYR'!$B$4:$B$90,0),MATCH(L$2,'F_Inputs BYR'!$B$2:$N$2,0))</f>
        <v>0</v>
      </c>
      <c r="M85" s="221">
        <f>INDEX('F_Inputs BYR'!$B$4:$N$90,MATCH($C85,'F_Inputs BYR'!$B$4:$B$90,0),MATCH(M$2,'F_Inputs BYR'!$B$2:$N$2,0))</f>
        <v>0</v>
      </c>
      <c r="N85" s="395">
        <f>INDEX('F_Inputs BYR'!$B$4:$N$90,MATCH($C85,'F_Inputs BYR'!$B$4:$B$90,0),MATCH(N$2,'F_Inputs BYR'!$B$2:$N$2,0))</f>
        <v>0</v>
      </c>
      <c r="O85" s="232"/>
      <c r="P85" s="232"/>
      <c r="Q85" s="232"/>
      <c r="R85" s="137" t="s">
        <v>242</v>
      </c>
    </row>
    <row r="86" spans="1:18" s="138" customFormat="1">
      <c r="A86" s="400"/>
      <c r="B86" s="402"/>
      <c r="C86" s="154" t="s">
        <v>477</v>
      </c>
      <c r="D86" s="153" t="s">
        <v>57</v>
      </c>
      <c r="E86" s="154" t="s">
        <v>252</v>
      </c>
      <c r="F86" s="402"/>
      <c r="G86" s="402"/>
      <c r="H86" s="402"/>
      <c r="I86" s="205"/>
      <c r="J86" s="221">
        <f>INDEX('F_Inputs BYR'!$B$4:$N$90,MATCH($C86,'F_Inputs BYR'!$B$4:$B$90,0),MATCH(J$2,'F_Inputs BYR'!$B$2:$N$2,0))</f>
        <v>0</v>
      </c>
      <c r="K86" s="221">
        <f>INDEX('F_Inputs BYR'!$B$4:$N$90,MATCH($C86,'F_Inputs BYR'!$B$4:$B$90,0),MATCH(K$2,'F_Inputs BYR'!$B$2:$N$2,0))</f>
        <v>0</v>
      </c>
      <c r="L86" s="221">
        <f>INDEX('F_Inputs BYR'!$B$4:$N$90,MATCH($C86,'F_Inputs BYR'!$B$4:$B$90,0),MATCH(L$2,'F_Inputs BYR'!$B$2:$N$2,0))</f>
        <v>0</v>
      </c>
      <c r="M86" s="221">
        <f>INDEX('F_Inputs BYR'!$B$4:$N$90,MATCH($C86,'F_Inputs BYR'!$B$4:$B$90,0),MATCH(M$2,'F_Inputs BYR'!$B$2:$N$2,0))</f>
        <v>0</v>
      </c>
      <c r="N86" s="395">
        <f>INDEX('F_Inputs BYR'!$B$4:$N$90,MATCH($C86,'F_Inputs BYR'!$B$4:$B$90,0),MATCH(N$2,'F_Inputs BYR'!$B$2:$N$2,0))</f>
        <v>0</v>
      </c>
      <c r="O86" s="232"/>
      <c r="P86" s="232"/>
      <c r="Q86" s="232"/>
      <c r="R86" s="137" t="s">
        <v>242</v>
      </c>
    </row>
    <row r="87" spans="1:18" s="138" customFormat="1">
      <c r="A87" s="400"/>
      <c r="B87" s="402"/>
      <c r="C87" s="154"/>
      <c r="D87" s="153"/>
      <c r="E87" s="154"/>
      <c r="F87" s="402"/>
      <c r="G87" s="402"/>
      <c r="H87" s="402"/>
      <c r="I87" s="205"/>
      <c r="J87" s="405"/>
      <c r="K87" s="405"/>
      <c r="L87" s="405"/>
      <c r="M87" s="405"/>
      <c r="N87" s="407"/>
      <c r="O87" s="232"/>
      <c r="P87" s="232"/>
      <c r="Q87" s="232"/>
      <c r="R87" s="137"/>
    </row>
    <row r="88" spans="1:18" s="138" customFormat="1">
      <c r="A88" s="400"/>
      <c r="B88" s="402"/>
      <c r="C88" s="154" t="s">
        <v>478</v>
      </c>
      <c r="D88" s="153" t="s">
        <v>57</v>
      </c>
      <c r="E88" s="154" t="s">
        <v>200</v>
      </c>
      <c r="F88" s="402"/>
      <c r="G88" s="402"/>
      <c r="H88" s="402"/>
      <c r="I88" s="398"/>
      <c r="J88" s="221">
        <f>INDEX('F_Inputs BYR'!$B$4:$N$90,MATCH($C88,'F_Inputs BYR'!$B$4:$B$90,0),MATCH(J$2,'F_Inputs BYR'!$B$2:$N$2,0))</f>
        <v>-1.63480322336759</v>
      </c>
      <c r="K88" s="221">
        <f>INDEX('F_Inputs BYR'!$B$4:$N$90,MATCH($C88,'F_Inputs BYR'!$B$4:$B$90,0),MATCH(K$2,'F_Inputs BYR'!$B$2:$N$2,0))</f>
        <v>-2.49664163081039</v>
      </c>
      <c r="L88" s="221">
        <f>INDEX('F_Inputs BYR'!$B$4:$N$90,MATCH($C88,'F_Inputs BYR'!$B$4:$B$90,0),MATCH(L$2,'F_Inputs BYR'!$B$2:$N$2,0))</f>
        <v>-1.33179340600143</v>
      </c>
      <c r="M88" s="221">
        <f>INDEX('F_Inputs BYR'!$B$4:$N$90,MATCH($C88,'F_Inputs BYR'!$B$4:$B$90,0),MATCH(M$2,'F_Inputs BYR'!$B$2:$N$2,0))</f>
        <v>0</v>
      </c>
      <c r="N88" s="395">
        <f>INDEX('F_Inputs BYR'!$B$4:$N$90,MATCH($C88,'F_Inputs BYR'!$B$4:$B$90,0),MATCH(N$2,'F_Inputs BYR'!$B$2:$N$2,0))</f>
        <v>-1.64356954998305</v>
      </c>
      <c r="O88" s="232"/>
      <c r="P88" s="232"/>
      <c r="Q88" s="232"/>
      <c r="R88" s="137" t="s">
        <v>242</v>
      </c>
    </row>
    <row r="89" spans="1:18" s="138" customFormat="1">
      <c r="A89" s="400"/>
      <c r="B89" s="402"/>
      <c r="C89" s="154"/>
      <c r="D89" s="153"/>
      <c r="E89" s="154"/>
      <c r="F89" s="402"/>
      <c r="G89" s="402"/>
      <c r="H89" s="402"/>
      <c r="I89" s="398"/>
      <c r="J89" s="405"/>
      <c r="K89" s="405"/>
      <c r="L89" s="405"/>
      <c r="M89" s="405"/>
      <c r="N89" s="407"/>
      <c r="O89" s="232"/>
      <c r="P89" s="232"/>
      <c r="Q89" s="232"/>
      <c r="R89" s="137"/>
    </row>
    <row r="90" spans="1:18" s="138" customFormat="1">
      <c r="A90" s="400"/>
      <c r="B90" s="402"/>
      <c r="C90" s="154" t="s">
        <v>421</v>
      </c>
      <c r="D90" s="153" t="s">
        <v>57</v>
      </c>
      <c r="E90" s="154" t="s">
        <v>204</v>
      </c>
      <c r="F90" s="402"/>
      <c r="G90" s="402"/>
      <c r="H90" s="402"/>
      <c r="I90" s="153"/>
      <c r="J90" s="221">
        <f>INDEX('F_Inputs BYR'!$B$4:$N$90,MATCH($C90,'F_Inputs BYR'!$B$4:$B$90,0),MATCH(J$2,'F_Inputs BYR'!$B$2:$N$2,0))</f>
        <v>0</v>
      </c>
      <c r="K90" s="221">
        <f>INDEX('F_Inputs BYR'!$B$4:$N$90,MATCH($C90,'F_Inputs BYR'!$B$4:$B$90,0),MATCH(K$2,'F_Inputs BYR'!$B$2:$N$2,0))</f>
        <v>0</v>
      </c>
      <c r="L90" s="221">
        <f>INDEX('F_Inputs BYR'!$B$4:$N$90,MATCH($C90,'F_Inputs BYR'!$B$4:$B$90,0),MATCH(L$2,'F_Inputs BYR'!$B$2:$N$2,0))</f>
        <v>0</v>
      </c>
      <c r="M90" s="221">
        <f>INDEX('F_Inputs BYR'!$B$4:$N$90,MATCH($C90,'F_Inputs BYR'!$B$4:$B$90,0),MATCH(M$2,'F_Inputs BYR'!$B$2:$N$2,0))</f>
        <v>0</v>
      </c>
      <c r="N90" s="395">
        <f>INDEX('F_Inputs BYR'!$B$4:$N$90,MATCH($C90,'F_Inputs BYR'!$B$4:$B$90,0),MATCH(N$2,'F_Inputs BYR'!$B$2:$N$2,0))</f>
        <v>0</v>
      </c>
      <c r="O90" s="232"/>
      <c r="P90" s="232"/>
      <c r="Q90" s="232"/>
      <c r="R90" s="137" t="s">
        <v>242</v>
      </c>
    </row>
    <row r="91" spans="1:18" s="138" customFormat="1">
      <c r="A91" s="400"/>
      <c r="B91" s="402"/>
      <c r="C91" s="154" t="s">
        <v>423</v>
      </c>
      <c r="D91" s="153" t="s">
        <v>57</v>
      </c>
      <c r="E91" s="154" t="s">
        <v>205</v>
      </c>
      <c r="F91" s="402"/>
      <c r="G91" s="402"/>
      <c r="H91" s="402"/>
      <c r="I91" s="153"/>
      <c r="J91" s="221">
        <f>INDEX('F_Inputs BYR'!$B$4:$N$90,MATCH($C91,'F_Inputs BYR'!$B$4:$B$90,0),MATCH(J$2,'F_Inputs BYR'!$B$2:$N$2,0))</f>
        <v>0</v>
      </c>
      <c r="K91" s="221">
        <f>INDEX('F_Inputs BYR'!$B$4:$N$90,MATCH($C91,'F_Inputs BYR'!$B$4:$B$90,0),MATCH(K$2,'F_Inputs BYR'!$B$2:$N$2,0))</f>
        <v>0</v>
      </c>
      <c r="L91" s="221">
        <f>INDEX('F_Inputs BYR'!$B$4:$N$90,MATCH($C91,'F_Inputs BYR'!$B$4:$B$90,0),MATCH(L$2,'F_Inputs BYR'!$B$2:$N$2,0))</f>
        <v>0</v>
      </c>
      <c r="M91" s="221">
        <f>INDEX('F_Inputs BYR'!$B$4:$N$90,MATCH($C91,'F_Inputs BYR'!$B$4:$B$90,0),MATCH(M$2,'F_Inputs BYR'!$B$2:$N$2,0))</f>
        <v>0</v>
      </c>
      <c r="N91" s="395">
        <f>INDEX('F_Inputs BYR'!$B$4:$N$90,MATCH($C91,'F_Inputs BYR'!$B$4:$B$90,0),MATCH(N$2,'F_Inputs BYR'!$B$2:$N$2,0))</f>
        <v>0</v>
      </c>
      <c r="O91" s="232"/>
      <c r="P91" s="232"/>
      <c r="Q91" s="232"/>
      <c r="R91" s="137" t="s">
        <v>242</v>
      </c>
    </row>
    <row r="92" spans="1:18" s="138" customFormat="1">
      <c r="A92" s="400"/>
      <c r="B92" s="402"/>
      <c r="C92" s="154"/>
      <c r="D92" s="153"/>
      <c r="E92" s="154"/>
      <c r="F92" s="402"/>
      <c r="G92" s="402"/>
      <c r="H92" s="402"/>
      <c r="I92" s="153"/>
      <c r="J92" s="405"/>
      <c r="K92" s="405"/>
      <c r="L92" s="405"/>
      <c r="M92" s="405"/>
      <c r="N92" s="407"/>
      <c r="O92" s="232"/>
      <c r="P92" s="232"/>
      <c r="Q92" s="232"/>
      <c r="R92" s="137"/>
    </row>
    <row r="93" spans="1:18" s="138" customFormat="1">
      <c r="A93" s="400"/>
      <c r="B93" s="402"/>
      <c r="C93" s="154" t="s">
        <v>479</v>
      </c>
      <c r="D93" s="153" t="s">
        <v>57</v>
      </c>
      <c r="E93" s="154" t="s">
        <v>253</v>
      </c>
      <c r="F93" s="402"/>
      <c r="G93" s="402"/>
      <c r="H93" s="402"/>
      <c r="I93" s="205"/>
      <c r="J93" s="221">
        <f>INDEX('F_Inputs BYR'!$B$4:$N$90,MATCH($C93,'F_Inputs BYR'!$B$4:$B$90,0),MATCH(J$2,'F_Inputs BYR'!$B$2:$N$2,0))</f>
        <v>-17.156358278341699</v>
      </c>
      <c r="K93" s="221">
        <f>INDEX('F_Inputs BYR'!$B$4:$N$90,MATCH($C93,'F_Inputs BYR'!$B$4:$B$90,0),MATCH(K$2,'F_Inputs BYR'!$B$2:$N$2,0))</f>
        <v>-26.582998571509499</v>
      </c>
      <c r="L93" s="221">
        <f>INDEX('F_Inputs BYR'!$B$4:$N$90,MATCH($C93,'F_Inputs BYR'!$B$4:$B$90,0),MATCH(L$2,'F_Inputs BYR'!$B$2:$N$2,0))</f>
        <v>-28.3931551164079</v>
      </c>
      <c r="M93" s="221">
        <f>INDEX('F_Inputs BYR'!$B$4:$N$90,MATCH($C93,'F_Inputs BYR'!$B$4:$B$90,0),MATCH(M$2,'F_Inputs BYR'!$B$2:$N$2,0))</f>
        <v>-3.0895359311430202</v>
      </c>
      <c r="N93" s="395">
        <f>INDEX('F_Inputs BYR'!$B$4:$N$90,MATCH($C93,'F_Inputs BYR'!$B$4:$B$90,0),MATCH(N$2,'F_Inputs BYR'!$B$2:$N$2,0))</f>
        <v>-50.507862365210002</v>
      </c>
      <c r="O93" s="232"/>
      <c r="P93" s="232"/>
      <c r="Q93" s="232"/>
      <c r="R93" s="137" t="s">
        <v>242</v>
      </c>
    </row>
    <row r="94" spans="1:18" s="138" customFormat="1">
      <c r="A94" s="400"/>
      <c r="B94" s="402"/>
      <c r="C94" s="154" t="s">
        <v>480</v>
      </c>
      <c r="D94" s="153" t="s">
        <v>57</v>
      </c>
      <c r="E94" s="154" t="s">
        <v>254</v>
      </c>
      <c r="F94" s="402"/>
      <c r="G94" s="402"/>
      <c r="H94" s="402"/>
      <c r="I94" s="205"/>
      <c r="J94" s="221">
        <f>INDEX('F_Inputs BYR'!$B$4:$N$90,MATCH($C94,'F_Inputs BYR'!$B$4:$B$90,0),MATCH(J$2,'F_Inputs BYR'!$B$2:$N$2,0))</f>
        <v>-17.156358278341699</v>
      </c>
      <c r="K94" s="221">
        <f>INDEX('F_Inputs BYR'!$B$4:$N$90,MATCH($C94,'F_Inputs BYR'!$B$4:$B$90,0),MATCH(K$2,'F_Inputs BYR'!$B$2:$N$2,0))</f>
        <v>-26.683323202252598</v>
      </c>
      <c r="L94" s="221">
        <f>INDEX('F_Inputs BYR'!$B$4:$N$90,MATCH($C94,'F_Inputs BYR'!$B$4:$B$90,0),MATCH(L$2,'F_Inputs BYR'!$B$2:$N$2,0))</f>
        <v>-28.819971940258799</v>
      </c>
      <c r="M94" s="221">
        <f>INDEX('F_Inputs BYR'!$B$4:$N$90,MATCH($C94,'F_Inputs BYR'!$B$4:$B$90,0),MATCH(M$2,'F_Inputs BYR'!$B$2:$N$2,0))</f>
        <v>-13.3758874236997</v>
      </c>
      <c r="N94" s="395">
        <f>INDEX('F_Inputs BYR'!$B$4:$N$90,MATCH($C94,'F_Inputs BYR'!$B$4:$B$90,0),MATCH(N$2,'F_Inputs BYR'!$B$2:$N$2,0))</f>
        <v>-63.756487231163199</v>
      </c>
      <c r="O94" s="232"/>
      <c r="P94" s="232"/>
      <c r="Q94" s="232"/>
      <c r="R94" s="137" t="s">
        <v>242</v>
      </c>
    </row>
    <row r="95" spans="1:18" s="138" customFormat="1">
      <c r="A95" s="400"/>
      <c r="B95" s="402"/>
      <c r="C95" s="154"/>
      <c r="D95" s="153"/>
      <c r="E95" s="154"/>
      <c r="F95" s="402"/>
      <c r="G95" s="402"/>
      <c r="H95" s="402"/>
      <c r="I95" s="205"/>
      <c r="J95" s="405"/>
      <c r="K95" s="405"/>
      <c r="L95" s="405"/>
      <c r="M95" s="405"/>
      <c r="N95" s="407"/>
      <c r="O95" s="232"/>
      <c r="P95" s="232"/>
      <c r="Q95" s="232"/>
      <c r="R95" s="137"/>
    </row>
    <row r="96" spans="1:18" s="138" customFormat="1">
      <c r="A96" s="400"/>
      <c r="B96" s="402"/>
      <c r="C96" s="154" t="s">
        <v>481</v>
      </c>
      <c r="D96" s="153" t="s">
        <v>57</v>
      </c>
      <c r="E96" s="154" t="s">
        <v>201</v>
      </c>
      <c r="F96" s="402"/>
      <c r="G96" s="402"/>
      <c r="H96" s="402"/>
      <c r="I96" s="398"/>
      <c r="J96" s="221">
        <f>INDEX('F_Inputs BYR'!$B$4:$N$90,MATCH($C96,'F_Inputs BYR'!$B$4:$B$90,0),MATCH(J$2,'F_Inputs BYR'!$B$2:$N$2,0))</f>
        <v>0</v>
      </c>
      <c r="K96" s="221">
        <f>INDEX('F_Inputs BYR'!$B$4:$N$90,MATCH($C96,'F_Inputs BYR'!$B$4:$B$90,0),MATCH(K$2,'F_Inputs BYR'!$B$2:$N$2,0))</f>
        <v>0</v>
      </c>
      <c r="L96" s="221">
        <f>INDEX('F_Inputs BYR'!$B$4:$N$90,MATCH($C96,'F_Inputs BYR'!$B$4:$B$90,0),MATCH(L$2,'F_Inputs BYR'!$B$2:$N$2,0))</f>
        <v>0</v>
      </c>
      <c r="M96" s="221">
        <f>INDEX('F_Inputs BYR'!$B$4:$N$90,MATCH($C96,'F_Inputs BYR'!$B$4:$B$90,0),MATCH(M$2,'F_Inputs BYR'!$B$2:$N$2,0))</f>
        <v>0</v>
      </c>
      <c r="N96" s="395">
        <f>INDEX('F_Inputs BYR'!$B$4:$N$90,MATCH($C96,'F_Inputs BYR'!$B$4:$B$90,0),MATCH(N$2,'F_Inputs BYR'!$B$2:$N$2,0))</f>
        <v>-2.1997454555106501</v>
      </c>
      <c r="O96" s="232"/>
      <c r="P96" s="232"/>
      <c r="Q96" s="232"/>
      <c r="R96" s="137" t="s">
        <v>242</v>
      </c>
    </row>
    <row r="97" spans="1:18" s="138" customFormat="1">
      <c r="A97" s="400"/>
      <c r="B97" s="402"/>
      <c r="C97" s="401"/>
      <c r="D97" s="402"/>
      <c r="E97" s="401"/>
      <c r="F97" s="402"/>
      <c r="G97" s="402"/>
      <c r="H97" s="402"/>
      <c r="I97" s="153"/>
      <c r="J97" s="405"/>
      <c r="K97" s="405"/>
      <c r="L97" s="405"/>
      <c r="M97" s="405"/>
      <c r="N97" s="407"/>
      <c r="O97" s="232"/>
      <c r="P97" s="232"/>
      <c r="Q97" s="232"/>
      <c r="R97" s="137"/>
    </row>
    <row r="98" spans="1:18" s="138" customFormat="1">
      <c r="A98" s="400"/>
      <c r="B98" s="402"/>
      <c r="C98" s="401"/>
      <c r="D98" s="402"/>
      <c r="E98" s="401"/>
      <c r="F98" s="402"/>
      <c r="G98" s="402"/>
      <c r="H98" s="402"/>
      <c r="I98" s="408"/>
      <c r="J98" s="405"/>
      <c r="K98" s="405"/>
      <c r="L98" s="405"/>
      <c r="M98" s="405"/>
      <c r="N98" s="407"/>
      <c r="O98" s="232"/>
      <c r="P98" s="232"/>
      <c r="Q98" s="232"/>
      <c r="R98" s="234"/>
    </row>
    <row r="99" spans="1:18">
      <c r="A99" s="429"/>
      <c r="B99" s="440"/>
      <c r="C99" s="441"/>
      <c r="D99" s="466" t="s">
        <v>38</v>
      </c>
      <c r="E99" s="443" t="s">
        <v>170</v>
      </c>
      <c r="F99" s="440"/>
      <c r="G99" s="440"/>
      <c r="H99" s="440"/>
      <c r="I99" s="440"/>
      <c r="J99" s="440"/>
      <c r="K99" s="440"/>
      <c r="L99" s="440"/>
      <c r="M99" s="440"/>
      <c r="N99" s="446"/>
      <c r="O99" s="440"/>
      <c r="P99" s="440"/>
      <c r="Q99" s="440"/>
      <c r="R99" s="447"/>
    </row>
    <row r="100" spans="1:18">
      <c r="A100" s="409"/>
      <c r="B100" s="411"/>
      <c r="C100" s="410"/>
      <c r="D100" s="411"/>
      <c r="E100" s="410"/>
      <c r="F100" s="411"/>
      <c r="G100" s="411"/>
      <c r="H100" s="411"/>
      <c r="I100" s="411"/>
      <c r="J100" s="412"/>
      <c r="K100" s="412"/>
      <c r="L100" s="412"/>
      <c r="M100" s="412"/>
      <c r="N100" s="413"/>
    </row>
    <row r="101" spans="1:18">
      <c r="A101" s="429"/>
      <c r="B101" s="440"/>
      <c r="C101" s="441"/>
      <c r="D101" s="466" t="s">
        <v>38</v>
      </c>
      <c r="E101" s="443" t="s">
        <v>171</v>
      </c>
      <c r="F101" s="440"/>
      <c r="G101" s="440"/>
      <c r="H101" s="440"/>
      <c r="I101" s="440"/>
      <c r="J101" s="440"/>
      <c r="K101" s="440"/>
      <c r="L101" s="440"/>
      <c r="M101" s="440"/>
      <c r="N101" s="446"/>
      <c r="O101" s="440"/>
      <c r="P101" s="440"/>
      <c r="Q101" s="440"/>
      <c r="R101" s="447"/>
    </row>
    <row r="102" spans="1:18" s="138" customFormat="1">
      <c r="A102" s="397"/>
      <c r="B102" s="153"/>
      <c r="C102" s="401"/>
      <c r="D102" s="402"/>
      <c r="E102" s="401"/>
      <c r="F102" s="153"/>
      <c r="G102" s="408"/>
      <c r="H102" s="408"/>
      <c r="I102" s="408"/>
      <c r="J102" s="405"/>
      <c r="K102" s="403"/>
      <c r="L102" s="403"/>
      <c r="M102" s="403"/>
      <c r="N102" s="404"/>
      <c r="O102" s="232"/>
      <c r="P102" s="232"/>
      <c r="Q102" s="232"/>
      <c r="R102" s="234"/>
    </row>
    <row r="103" spans="1:18" s="138" customFormat="1">
      <c r="A103" s="397"/>
      <c r="B103" s="153"/>
      <c r="C103" s="154" t="s">
        <v>532</v>
      </c>
      <c r="D103" s="153" t="s">
        <v>90</v>
      </c>
      <c r="E103" s="154" t="s">
        <v>91</v>
      </c>
      <c r="F103" s="414"/>
      <c r="G103" s="563">
        <f>INDEX('F_Inputs BYR'!$B$4:$N$90,MATCH($C103,'F_Inputs BYR'!$B$4:$B$90,0),MATCH(G$2,'F_Inputs BYR'!$B$2:$N$2,0))</f>
        <v>208.59166666666701</v>
      </c>
      <c r="H103" s="563">
        <f>INDEX('F_Inputs BYR'!$B$4:$N$90,MATCH($C103,'F_Inputs BYR'!$B$4:$B$90,0),MATCH(H$2,'F_Inputs BYR'!$B$2:$N$2,0))</f>
        <v>214.78333333333299</v>
      </c>
      <c r="I103" s="563">
        <f>INDEX('F_Inputs BYR'!$B$4:$N$90,MATCH($C103,'F_Inputs BYR'!$B$4:$B$90,0),MATCH(I$2,'F_Inputs BYR'!$B$2:$N$2,0))</f>
        <v>215.76666666666699</v>
      </c>
      <c r="J103" s="564">
        <f>INDEX('F_Inputs BYR'!$B$4:$N$90,MATCH($C103,'F_Inputs BYR'!$B$4:$B$90,0),MATCH(J$2,'F_Inputs BYR'!$B$2:$N$2,0))</f>
        <v>226.47499999999999</v>
      </c>
      <c r="K103" s="564">
        <f>INDEX('F_Inputs BYR'!$B$4:$N$90,MATCH($C103,'F_Inputs BYR'!$B$4:$B$90,0),MATCH(K$2,'F_Inputs BYR'!$B$2:$N$2,0))</f>
        <v>237.34166666666701</v>
      </c>
      <c r="L103" s="564">
        <f>INDEX('F_Inputs BYR'!$B$4:$N$90,MATCH($C103,'F_Inputs BYR'!$B$4:$B$90,0),MATCH(L$2,'F_Inputs BYR'!$B$2:$N$2,0))</f>
        <v>244.67500000000001</v>
      </c>
      <c r="M103" s="564">
        <f>INDEX('F_Inputs BYR'!$B$4:$N$90,MATCH($C103,'F_Inputs BYR'!$B$4:$B$90,0),MATCH(M$2,'F_Inputs BYR'!$B$2:$N$2,0))</f>
        <v>251.73333333333301</v>
      </c>
      <c r="N103" s="565">
        <f>INDEX('F_Inputs BYR'!$B$4:$N$90,MATCH($C103,'F_Inputs BYR'!$B$4:$B$90,0),MATCH(N$2,'F_Inputs BYR'!$B$2:$N$2,0))</f>
        <v>256.66666666666703</v>
      </c>
      <c r="O103" s="232"/>
      <c r="P103" s="232"/>
      <c r="Q103" s="232"/>
      <c r="R103" s="234" t="s">
        <v>75</v>
      </c>
    </row>
    <row r="104" spans="1:18" s="138" customFormat="1">
      <c r="A104" s="397"/>
      <c r="B104" s="153"/>
      <c r="C104" s="139" t="s">
        <v>438</v>
      </c>
      <c r="D104" s="415" t="s">
        <v>58</v>
      </c>
      <c r="E104" s="139" t="s">
        <v>92</v>
      </c>
      <c r="F104" s="153"/>
      <c r="G104" s="355">
        <f>INDEX('F_Inputs BYR'!$B$4:$N$90,MATCH($C104,'F_Inputs BYR'!$B$4:$B$90,0),MATCH(G$2,'F_Inputs BYR'!$B$2:$N$2,0))</f>
        <v>0</v>
      </c>
      <c r="H104" s="355">
        <f>INDEX('F_Inputs BYR'!$B$4:$N$90,MATCH($C104,'F_Inputs BYR'!$B$4:$B$90,0),MATCH(H$2,'F_Inputs BYR'!$B$2:$N$2,0))</f>
        <v>0</v>
      </c>
      <c r="I104" s="355">
        <f>INDEX('F_Inputs BYR'!$B$4:$N$90,MATCH($C104,'F_Inputs BYR'!$B$4:$B$90,0),MATCH(I$2,'F_Inputs BYR'!$B$2:$N$2,0))</f>
        <v>0</v>
      </c>
      <c r="J104" s="355">
        <f>INDEX('F_Inputs BYR'!$B$4:$N$90,MATCH($C104,'F_Inputs BYR'!$B$4:$B$90,0),MATCH(J$2,'F_Inputs BYR'!$B$2:$N$2,0))</f>
        <v>0</v>
      </c>
      <c r="K104" s="355">
        <f>INDEX('F_Inputs BYR'!$B$4:$N$90,MATCH($C104,'F_Inputs BYR'!$B$4:$B$90,0),MATCH(K$2,'F_Inputs BYR'!$B$2:$N$2,0))</f>
        <v>0</v>
      </c>
      <c r="L104" s="355">
        <f>INDEX('F_Inputs BYR'!$B$4:$N$90,MATCH($C104,'F_Inputs BYR'!$B$4:$B$90,0),MATCH(L$2,'F_Inputs BYR'!$B$2:$N$2,0))</f>
        <v>0</v>
      </c>
      <c r="M104" s="355">
        <f>INDEX('F_Inputs BYR'!$B$4:$N$90,MATCH($C104,'F_Inputs BYR'!$B$4:$B$90,0),MATCH(M$2,'F_Inputs BYR'!$B$2:$N$2,0))</f>
        <v>0</v>
      </c>
      <c r="N104" s="416">
        <f>INDEX('F_Inputs BYR'!$B$4:$N$90,MATCH($C104,'F_Inputs BYR'!$B$4:$B$90,0),MATCH(N$2,'F_Inputs BYR'!$B$2:$N$2,0))</f>
        <v>0</v>
      </c>
      <c r="P104" s="143"/>
      <c r="Q104" s="143"/>
      <c r="R104" s="137" t="s">
        <v>75</v>
      </c>
    </row>
    <row r="105" spans="1:18" s="138" customFormat="1">
      <c r="A105" s="397"/>
      <c r="B105" s="153"/>
      <c r="C105" s="139"/>
      <c r="D105" s="415"/>
      <c r="E105" s="139"/>
      <c r="F105" s="153"/>
      <c r="G105" s="417"/>
      <c r="H105" s="417"/>
      <c r="I105" s="417"/>
      <c r="J105" s="405"/>
      <c r="K105" s="403"/>
      <c r="L105" s="403"/>
      <c r="M105" s="403"/>
      <c r="N105" s="404"/>
      <c r="P105" s="143"/>
      <c r="Q105" s="143"/>
      <c r="R105" s="137"/>
    </row>
    <row r="106" spans="1:18" s="138" customFormat="1">
      <c r="A106" s="397"/>
      <c r="B106" s="153"/>
      <c r="C106" s="139" t="s">
        <v>436</v>
      </c>
      <c r="D106" s="415" t="s">
        <v>90</v>
      </c>
      <c r="E106" s="139" t="s">
        <v>437</v>
      </c>
      <c r="F106" s="414"/>
      <c r="G106" s="563">
        <f>INDEX('F_Inputs BYR'!$B$4:$N$90,MATCH($C106,'F_Inputs BYR'!$B$4:$B$90,0),MATCH(G$2,'F_Inputs BYR'!$B$2:$N$2,0))</f>
        <v>111.3</v>
      </c>
      <c r="H106" s="563">
        <f>INDEX('F_Inputs BYR'!$B$4:$N$90,MATCH($C106,'F_Inputs BYR'!$B$4:$B$90,0),MATCH(H$2,'F_Inputs BYR'!$B$2:$N$2,0))</f>
        <v>113.97499999999999</v>
      </c>
      <c r="I106" s="563">
        <f>INDEX('F_Inputs BYR'!$B$4:$N$90,MATCH($C106,'F_Inputs BYR'!$B$4:$B$90,0),MATCH(I$2,'F_Inputs BYR'!$B$2:$N$2,0))</f>
        <v>110.47499999999999</v>
      </c>
      <c r="J106" s="564">
        <f>INDEX('F_Inputs BYR'!$B$4:$N$90,MATCH($C106,'F_Inputs BYR'!$B$4:$B$90,0),MATCH(J$2,'F_Inputs BYR'!$B$2:$N$2,0))</f>
        <v>107.375</v>
      </c>
      <c r="K106" s="564">
        <f>INDEX('F_Inputs BYR'!$B$4:$N$90,MATCH($C106,'F_Inputs BYR'!$B$4:$B$90,0),MATCH(K$2,'F_Inputs BYR'!$B$2:$N$2,0))</f>
        <v>109.95</v>
      </c>
      <c r="L106" s="564">
        <f>INDEX('F_Inputs BYR'!$B$4:$N$90,MATCH($C106,'F_Inputs BYR'!$B$4:$B$90,0),MATCH(L$2,'F_Inputs BYR'!$B$2:$N$2,0))</f>
        <v>113.45</v>
      </c>
      <c r="M106" s="564">
        <f>INDEX('F_Inputs BYR'!$B$4:$N$90,MATCH($C106,'F_Inputs BYR'!$B$4:$B$90,0),MATCH(M$2,'F_Inputs BYR'!$B$2:$N$2,0))</f>
        <v>118.375</v>
      </c>
      <c r="N106" s="565">
        <f>INDEX('F_Inputs BYR'!$B$4:$N$90,MATCH($C106,'F_Inputs BYR'!$B$4:$B$90,0),MATCH(N$2,'F_Inputs BYR'!$B$2:$N$2,0))</f>
        <v>121.825</v>
      </c>
      <c r="P106" s="143"/>
      <c r="Q106" s="143"/>
      <c r="R106" s="137" t="s">
        <v>75</v>
      </c>
    </row>
    <row r="107" spans="1:18" s="138" customFormat="1">
      <c r="A107" s="397"/>
      <c r="B107" s="153"/>
      <c r="C107" s="139" t="s">
        <v>534</v>
      </c>
      <c r="D107" s="415" t="s">
        <v>58</v>
      </c>
      <c r="E107" s="154" t="s">
        <v>368</v>
      </c>
      <c r="F107" s="153"/>
      <c r="G107" s="355">
        <f>INDEX('F_Inputs BYR'!$B$4:$N$90,MATCH($C107,'F_Inputs BYR'!$B$4:$B$90,0),MATCH(G$2,'F_Inputs BYR'!$B$2:$N$2,0))</f>
        <v>0</v>
      </c>
      <c r="H107" s="355">
        <f>INDEX('F_Inputs BYR'!$B$4:$N$90,MATCH($C107,'F_Inputs BYR'!$B$4:$B$90,0),MATCH(H$2,'F_Inputs BYR'!$B$2:$N$2,0))</f>
        <v>0</v>
      </c>
      <c r="I107" s="355">
        <f>INDEX('F_Inputs BYR'!$B$4:$N$90,MATCH($C107,'F_Inputs BYR'!$B$4:$B$90,0),MATCH(I$2,'F_Inputs BYR'!$B$2:$N$2,0))</f>
        <v>0</v>
      </c>
      <c r="J107" s="355">
        <f>INDEX('F_Inputs BYR'!$B$4:$N$90,MATCH($C107,'F_Inputs BYR'!$B$4:$B$90,0),MATCH(J$2,'F_Inputs BYR'!$B$2:$N$2,0))</f>
        <v>0</v>
      </c>
      <c r="K107" s="355">
        <f>INDEX('F_Inputs BYR'!$B$4:$N$90,MATCH($C107,'F_Inputs BYR'!$B$4:$B$90,0),MATCH(K$2,'F_Inputs BYR'!$B$2:$N$2,0))</f>
        <v>0</v>
      </c>
      <c r="L107" s="355">
        <f>INDEX('F_Inputs BYR'!$B$4:$N$90,MATCH($C107,'F_Inputs BYR'!$B$4:$B$90,0),MATCH(L$2,'F_Inputs BYR'!$B$2:$N$2,0))</f>
        <v>0</v>
      </c>
      <c r="M107" s="355">
        <f>INDEX('F_Inputs BYR'!$B$4:$N$90,MATCH($C107,'F_Inputs BYR'!$B$4:$B$90,0),MATCH(M$2,'F_Inputs BYR'!$B$2:$N$2,0))</f>
        <v>0</v>
      </c>
      <c r="N107" s="416">
        <f>INDEX('F_Inputs BYR'!$B$4:$N$90,MATCH($C107,'F_Inputs BYR'!$B$4:$B$90,0),MATCH(N$2,'F_Inputs BYR'!$B$2:$N$2,0))</f>
        <v>0</v>
      </c>
      <c r="O107" s="143"/>
      <c r="P107" s="143"/>
      <c r="Q107" s="143"/>
      <c r="R107" s="137" t="s">
        <v>75</v>
      </c>
    </row>
    <row r="108" spans="1:18" s="138" customFormat="1">
      <c r="A108" s="397"/>
      <c r="B108" s="153"/>
      <c r="C108" s="154"/>
      <c r="D108" s="153"/>
      <c r="E108" s="154"/>
      <c r="F108" s="153"/>
      <c r="G108" s="153"/>
      <c r="H108" s="153"/>
      <c r="I108" s="153"/>
      <c r="J108" s="403"/>
      <c r="K108" s="403"/>
      <c r="L108" s="403"/>
      <c r="M108" s="403"/>
      <c r="N108" s="404"/>
      <c r="R108" s="137"/>
    </row>
    <row r="109" spans="1:18">
      <c r="A109" s="429"/>
      <c r="B109" s="440"/>
      <c r="C109" s="441"/>
      <c r="D109" s="466" t="s">
        <v>38</v>
      </c>
      <c r="E109" s="443" t="s">
        <v>172</v>
      </c>
      <c r="F109" s="444"/>
      <c r="G109" s="440"/>
      <c r="H109" s="440"/>
      <c r="I109" s="440"/>
      <c r="J109" s="440"/>
      <c r="K109" s="440"/>
      <c r="L109" s="440"/>
      <c r="M109" s="440"/>
      <c r="N109" s="446"/>
      <c r="O109" s="440"/>
      <c r="P109" s="440"/>
      <c r="Q109" s="440"/>
      <c r="R109" s="447"/>
    </row>
    <row r="110" spans="1:18" s="138" customFormat="1">
      <c r="A110" s="400"/>
      <c r="B110" s="402"/>
      <c r="C110" s="154"/>
      <c r="D110" s="153"/>
      <c r="E110" s="154"/>
      <c r="F110" s="153"/>
      <c r="G110" s="402"/>
      <c r="H110" s="402"/>
      <c r="I110" s="402"/>
      <c r="J110" s="403"/>
      <c r="K110" s="403"/>
      <c r="L110" s="403"/>
      <c r="M110" s="403"/>
      <c r="N110" s="404"/>
      <c r="O110" s="232"/>
      <c r="P110" s="232"/>
      <c r="Q110" s="232"/>
      <c r="R110" s="234"/>
    </row>
    <row r="111" spans="1:18" s="138" customFormat="1">
      <c r="A111" s="397"/>
      <c r="B111" s="153"/>
      <c r="C111" s="154" t="s">
        <v>89</v>
      </c>
      <c r="D111" s="153" t="s">
        <v>90</v>
      </c>
      <c r="E111" s="154" t="s">
        <v>388</v>
      </c>
      <c r="F111" s="414"/>
      <c r="G111" s="563">
        <f>INDEX('F_Inputs BYR'!$B$4:$N$90,MATCH($C111,'F_Inputs BYR'!$B$4:$B$90,0),MATCH(G$2,'F_Inputs BYR'!$B$2:$N$2,0))</f>
        <v>208.59166666666599</v>
      </c>
      <c r="H111" s="563">
        <f>INDEX('F_Inputs BYR'!$B$4:$N$90,MATCH($C111,'F_Inputs BYR'!$B$4:$B$90,0),MATCH(H$2,'F_Inputs BYR'!$B$2:$N$2,0))</f>
        <v>214.78333333333299</v>
      </c>
      <c r="I111" s="563">
        <f>INDEX('F_Inputs BYR'!$B$4:$N$90,MATCH($C111,'F_Inputs BYR'!$B$4:$B$90,0),MATCH(I$2,'F_Inputs BYR'!$B$2:$N$2,0))</f>
        <v>212.98333333333301</v>
      </c>
      <c r="J111" s="564">
        <f>INDEX('F_Inputs BYR'!$B$4:$N$90,MATCH($C111,'F_Inputs BYR'!$B$4:$B$90,0),MATCH(J$2,'F_Inputs BYR'!$B$2:$N$2,0))</f>
        <v>217.23333333333301</v>
      </c>
      <c r="K111" s="564">
        <f>INDEX('F_Inputs BYR'!$B$4:$N$90,MATCH($C111,'F_Inputs BYR'!$B$4:$B$90,0),MATCH(K$2,'F_Inputs BYR'!$B$2:$N$2,0))</f>
        <v>223.74350000000001</v>
      </c>
      <c r="L111" s="564">
        <f>INDEX('F_Inputs BYR'!$B$4:$N$90,MATCH($C111,'F_Inputs BYR'!$B$4:$B$90,0),MATCH(L$2,'F_Inputs BYR'!$B$2:$N$2,0))</f>
        <v>229.78457449999999</v>
      </c>
      <c r="M111" s="564">
        <f>INDEX('F_Inputs BYR'!$B$4:$N$90,MATCH($C111,'F_Inputs BYR'!$B$4:$B$90,0),MATCH(M$2,'F_Inputs BYR'!$B$2:$N$2,0))</f>
        <v>235.52918886249901</v>
      </c>
      <c r="N111" s="565">
        <f>INDEX('F_Inputs BYR'!$B$4:$N$90,MATCH($C111,'F_Inputs BYR'!$B$4:$B$90,0),MATCH(N$2,'F_Inputs BYR'!$B$2:$N$2,0))</f>
        <v>241.41741858406201</v>
      </c>
      <c r="R111" s="137" t="s">
        <v>75</v>
      </c>
    </row>
    <row r="112" spans="1:18" s="138" customFormat="1">
      <c r="A112" s="397"/>
      <c r="B112" s="153"/>
      <c r="C112" s="154"/>
      <c r="D112" s="153"/>
      <c r="E112" s="154"/>
      <c r="F112" s="414"/>
      <c r="G112" s="402"/>
      <c r="H112" s="402"/>
      <c r="I112" s="402"/>
      <c r="J112" s="403"/>
      <c r="K112" s="403"/>
      <c r="L112" s="403"/>
      <c r="M112" s="403"/>
      <c r="N112" s="404"/>
      <c r="R112" s="137"/>
    </row>
    <row r="113" spans="1:18" s="138" customFormat="1">
      <c r="A113" s="397"/>
      <c r="B113" s="153"/>
      <c r="C113" s="154" t="s">
        <v>93</v>
      </c>
      <c r="D113" s="153" t="s">
        <v>90</v>
      </c>
      <c r="E113" s="154" t="s">
        <v>392</v>
      </c>
      <c r="F113" s="414"/>
      <c r="G113" s="563">
        <f>INDEX('F_Inputs BYR'!$B$4:$N$90,MATCH($C113,'F_Inputs BYR'!$B$4:$B$90,0),MATCH(G$2,'F_Inputs BYR'!$B$2:$N$2,0))</f>
        <v>111.3</v>
      </c>
      <c r="H113" s="563">
        <f>INDEX('F_Inputs BYR'!$B$4:$N$90,MATCH($C113,'F_Inputs BYR'!$B$4:$B$90,0),MATCH(H$2,'F_Inputs BYR'!$B$2:$N$2,0))</f>
        <v>0</v>
      </c>
      <c r="I113" s="563">
        <f>INDEX('F_Inputs BYR'!$B$4:$N$90,MATCH($C113,'F_Inputs BYR'!$B$4:$B$90,0),MATCH(I$2,'F_Inputs BYR'!$B$2:$N$2,0))</f>
        <v>0</v>
      </c>
      <c r="J113" s="564">
        <f>INDEX('F_Inputs BYR'!$B$4:$N$90,MATCH($C113,'F_Inputs BYR'!$B$4:$B$90,0),MATCH(J$2,'F_Inputs BYR'!$B$2:$N$2,0))</f>
        <v>0</v>
      </c>
      <c r="K113" s="564">
        <f>INDEX('F_Inputs BYR'!$B$4:$N$90,MATCH($C113,'F_Inputs BYR'!$B$4:$B$90,0),MATCH(K$2,'F_Inputs BYR'!$B$2:$N$2,0))</f>
        <v>0</v>
      </c>
      <c r="L113" s="564">
        <f>INDEX('F_Inputs BYR'!$B$4:$N$90,MATCH($C113,'F_Inputs BYR'!$B$4:$B$90,0),MATCH(L$2,'F_Inputs BYR'!$B$2:$N$2,0))</f>
        <v>0</v>
      </c>
      <c r="M113" s="564">
        <f>INDEX('F_Inputs BYR'!$B$4:$N$90,MATCH($C113,'F_Inputs BYR'!$B$4:$B$90,0),MATCH(M$2,'F_Inputs BYR'!$B$2:$N$2,0))</f>
        <v>0</v>
      </c>
      <c r="N113" s="565">
        <f>INDEX('F_Inputs BYR'!$B$4:$N$90,MATCH($C113,'F_Inputs BYR'!$B$4:$B$90,0),MATCH(N$2,'F_Inputs BYR'!$B$2:$N$2,0))</f>
        <v>0</v>
      </c>
      <c r="R113" s="137" t="s">
        <v>75</v>
      </c>
    </row>
    <row r="114" spans="1:18" s="138" customFormat="1">
      <c r="A114" s="397"/>
      <c r="B114" s="153"/>
      <c r="C114" s="154" t="s">
        <v>367</v>
      </c>
      <c r="D114" s="153" t="s">
        <v>58</v>
      </c>
      <c r="E114" s="154" t="s">
        <v>389</v>
      </c>
      <c r="F114" s="414"/>
      <c r="G114" s="355">
        <f>INDEX('F_Inputs BYR'!$B$4:$N$90,MATCH($C114,'F_Inputs BYR'!$B$4:$B$90,0),MATCH(G$2,'F_Inputs BYR'!$B$2:$N$2,0))</f>
        <v>0</v>
      </c>
      <c r="H114" s="355">
        <f>INDEX('F_Inputs BYR'!$B$4:$N$90,MATCH($C114,'F_Inputs BYR'!$B$4:$B$90,0),MATCH(H$2,'F_Inputs BYR'!$B$2:$N$2,0))</f>
        <v>-1.53846153846153E-2</v>
      </c>
      <c r="I114" s="355">
        <f>INDEX('F_Inputs BYR'!$B$4:$N$90,MATCH($C114,'F_Inputs BYR'!$B$4:$B$90,0),MATCH(I$2,'F_Inputs BYR'!$B$2:$N$2,0))</f>
        <v>-8.3862499999998192E-3</v>
      </c>
      <c r="J114" s="355">
        <f>INDEX('F_Inputs BYR'!$B$4:$N$90,MATCH($C114,'F_Inputs BYR'!$B$4:$B$90,0),MATCH(J$2,'F_Inputs BYR'!$B$2:$N$2,0))</f>
        <v>2.49999999999997E-2</v>
      </c>
      <c r="K114" s="355">
        <f>INDEX('F_Inputs BYR'!$B$4:$N$90,MATCH($C114,'F_Inputs BYR'!$B$4:$B$90,0),MATCH(K$2,'F_Inputs BYR'!$B$2:$N$2,0))</f>
        <v>4.4999999999999901E-2</v>
      </c>
      <c r="L114" s="355">
        <f>INDEX('F_Inputs BYR'!$B$4:$N$90,MATCH($C114,'F_Inputs BYR'!$B$4:$B$90,0),MATCH(L$2,'F_Inputs BYR'!$B$2:$N$2,0))</f>
        <v>3.7000000000000102E-2</v>
      </c>
      <c r="M114" s="355">
        <f>INDEX('F_Inputs BYR'!$B$4:$N$90,MATCH($C114,'F_Inputs BYR'!$B$4:$B$90,0),MATCH(M$2,'F_Inputs BYR'!$B$2:$N$2,0))</f>
        <v>2.9999999999999801E-2</v>
      </c>
      <c r="N114" s="416">
        <f>INDEX('F_Inputs BYR'!$B$4:$N$90,MATCH($C114,'F_Inputs BYR'!$B$4:$B$90,0),MATCH(N$2,'F_Inputs BYR'!$B$2:$N$2,0))</f>
        <v>0.03</v>
      </c>
      <c r="R114" s="137"/>
    </row>
    <row r="115" spans="1:18" s="138" customFormat="1">
      <c r="A115" s="397"/>
      <c r="B115" s="153"/>
      <c r="C115" s="154"/>
      <c r="D115" s="153"/>
      <c r="E115" s="154"/>
      <c r="F115" s="414"/>
      <c r="G115" s="402"/>
      <c r="H115" s="402"/>
      <c r="I115" s="402"/>
      <c r="J115" s="403"/>
      <c r="K115" s="403"/>
      <c r="L115" s="403"/>
      <c r="M115" s="403"/>
      <c r="N115" s="404"/>
      <c r="R115" s="137"/>
    </row>
    <row r="116" spans="1:18" s="138" customFormat="1">
      <c r="A116" s="397"/>
      <c r="B116" s="153"/>
      <c r="C116" s="154" t="s">
        <v>96</v>
      </c>
      <c r="D116" s="153" t="s">
        <v>90</v>
      </c>
      <c r="E116" s="154" t="s">
        <v>365</v>
      </c>
      <c r="F116" s="153"/>
      <c r="G116" s="563">
        <f>INDEX('F_Inputs BYR'!$B$4:$N$90,MATCH($C116,'F_Inputs BYR'!$B$4:$B$90,0),MATCH(G$2,'F_Inputs BYR'!$B$2:$N$2,0))</f>
        <v>208.59166666666701</v>
      </c>
      <c r="H116" s="414"/>
      <c r="I116" s="414"/>
      <c r="J116" s="418"/>
      <c r="K116" s="418"/>
      <c r="L116" s="418"/>
      <c r="M116" s="418"/>
      <c r="N116" s="419"/>
      <c r="R116" s="137" t="s">
        <v>75</v>
      </c>
    </row>
    <row r="117" spans="1:18" s="138" customFormat="1">
      <c r="A117" s="397"/>
      <c r="B117" s="153"/>
      <c r="C117" s="154" t="s">
        <v>97</v>
      </c>
      <c r="D117" s="153" t="s">
        <v>90</v>
      </c>
      <c r="E117" s="154" t="s">
        <v>366</v>
      </c>
      <c r="F117" s="153"/>
      <c r="G117" s="563">
        <f>INDEX('F_Inputs BYR'!$B$4:$N$90,MATCH($C117,'F_Inputs BYR'!$B$4:$B$90,0),MATCH(G$2,'F_Inputs BYR'!$B$2:$N$2,0))</f>
        <v>111.3</v>
      </c>
      <c r="H117" s="414"/>
      <c r="I117" s="414"/>
      <c r="J117" s="418"/>
      <c r="K117" s="418"/>
      <c r="L117" s="418"/>
      <c r="M117" s="418"/>
      <c r="N117" s="419"/>
      <c r="R117" s="137" t="s">
        <v>75</v>
      </c>
    </row>
    <row r="118" spans="1:18" s="138" customFormat="1">
      <c r="A118" s="397"/>
      <c r="B118" s="153"/>
      <c r="C118" s="420"/>
      <c r="D118" s="153"/>
      <c r="E118" s="154"/>
      <c r="F118" s="153"/>
      <c r="G118" s="153"/>
      <c r="H118" s="153"/>
      <c r="I118" s="153"/>
      <c r="J118" s="403"/>
      <c r="K118" s="403"/>
      <c r="L118" s="403"/>
      <c r="M118" s="403"/>
      <c r="N118" s="404"/>
      <c r="O118" s="232"/>
      <c r="P118" s="232"/>
      <c r="Q118" s="232"/>
      <c r="R118" s="234"/>
    </row>
    <row r="119" spans="1:18" s="138" customFormat="1">
      <c r="A119" s="400"/>
      <c r="B119" s="402"/>
      <c r="C119" s="154"/>
      <c r="D119" s="153"/>
      <c r="E119" s="154"/>
      <c r="F119" s="153"/>
      <c r="G119" s="153"/>
      <c r="H119" s="153"/>
      <c r="I119" s="153"/>
      <c r="J119" s="403"/>
      <c r="K119" s="403"/>
      <c r="L119" s="403"/>
      <c r="M119" s="403"/>
      <c r="N119" s="404"/>
      <c r="O119" s="232"/>
      <c r="P119" s="232"/>
      <c r="Q119" s="232"/>
      <c r="R119" s="234"/>
    </row>
    <row r="120" spans="1:18">
      <c r="A120" s="429"/>
      <c r="B120" s="440"/>
      <c r="C120" s="441"/>
      <c r="D120" s="466" t="s">
        <v>38</v>
      </c>
      <c r="E120" s="443" t="s">
        <v>173</v>
      </c>
      <c r="F120" s="440"/>
      <c r="G120" s="440"/>
      <c r="H120" s="440"/>
      <c r="I120" s="440"/>
      <c r="J120" s="440"/>
      <c r="K120" s="440"/>
      <c r="L120" s="440"/>
      <c r="M120" s="440"/>
      <c r="N120" s="446"/>
      <c r="O120" s="440"/>
      <c r="P120" s="440"/>
      <c r="Q120" s="440"/>
      <c r="R120" s="447"/>
    </row>
    <row r="121" spans="1:18">
      <c r="A121" s="430"/>
      <c r="B121" s="31"/>
      <c r="C121" s="36"/>
      <c r="D121" s="33"/>
      <c r="E121" s="34"/>
      <c r="F121" s="31"/>
      <c r="G121" s="31"/>
      <c r="H121" s="31"/>
      <c r="I121" s="31"/>
      <c r="J121" s="67"/>
      <c r="K121" s="67"/>
      <c r="L121" s="67"/>
      <c r="M121" s="67"/>
      <c r="N121" s="393"/>
      <c r="O121" s="31"/>
      <c r="P121" s="31"/>
      <c r="Q121" s="31"/>
      <c r="R121" s="96"/>
    </row>
    <row r="122" spans="1:18">
      <c r="A122" s="429"/>
      <c r="B122" s="440"/>
      <c r="C122" s="441"/>
      <c r="D122" s="466" t="s">
        <v>38</v>
      </c>
      <c r="E122" s="443" t="s">
        <v>269</v>
      </c>
      <c r="F122" s="440"/>
      <c r="G122" s="440"/>
      <c r="H122" s="440"/>
      <c r="I122" s="440"/>
      <c r="J122" s="440"/>
      <c r="K122" s="440"/>
      <c r="L122" s="440"/>
      <c r="M122" s="440"/>
      <c r="N122" s="446"/>
      <c r="O122" s="440"/>
      <c r="P122" s="440"/>
      <c r="Q122" s="440"/>
      <c r="R122" s="447"/>
    </row>
    <row r="123" spans="1:18" s="138" customFormat="1">
      <c r="A123" s="432"/>
      <c r="B123" s="213"/>
      <c r="C123" s="231"/>
      <c r="D123" s="213"/>
      <c r="E123" s="215"/>
      <c r="F123" s="213"/>
      <c r="G123" s="213"/>
      <c r="H123" s="213"/>
      <c r="I123" s="213"/>
      <c r="J123" s="224"/>
      <c r="K123" s="224"/>
      <c r="L123" s="224"/>
      <c r="M123" s="224"/>
      <c r="N123" s="396"/>
      <c r="O123" s="213"/>
      <c r="P123" s="213"/>
      <c r="Q123" s="213"/>
      <c r="R123" s="225"/>
    </row>
    <row r="124" spans="1:18" s="138" customFormat="1">
      <c r="A124" s="400"/>
      <c r="B124" s="402"/>
      <c r="C124" s="401"/>
      <c r="D124" s="402"/>
      <c r="E124" s="421" t="s">
        <v>48</v>
      </c>
      <c r="F124" s="402"/>
      <c r="G124" s="402"/>
      <c r="H124" s="402"/>
      <c r="I124" s="402"/>
      <c r="J124" s="403"/>
      <c r="K124" s="403"/>
      <c r="L124" s="403"/>
      <c r="M124" s="403"/>
      <c r="N124" s="404"/>
      <c r="O124" s="232"/>
      <c r="P124" s="232"/>
      <c r="Q124" s="232"/>
      <c r="R124" s="234"/>
    </row>
    <row r="125" spans="1:18" s="138" customFormat="1">
      <c r="A125" s="400"/>
      <c r="B125" s="402"/>
      <c r="C125" s="401" t="s">
        <v>459</v>
      </c>
      <c r="D125" s="402" t="s">
        <v>56</v>
      </c>
      <c r="E125" s="401" t="s">
        <v>39</v>
      </c>
      <c r="F125" s="402"/>
      <c r="H125" s="402"/>
      <c r="I125" s="402"/>
      <c r="J125" s="403"/>
      <c r="K125" s="403"/>
      <c r="L125" s="403"/>
      <c r="M125" s="403"/>
      <c r="N125" s="404"/>
      <c r="O125" s="557">
        <f>INDEX('F_Inputs BYR'!$B$4:$N$90,MATCH($C125,'F_Inputs BYR'!$B$4:$B$90,0),MATCH(O$2,'F_Inputs BYR'!$B$2:$N$2,0))</f>
        <v>-7.4999999999999997E-3</v>
      </c>
      <c r="P125" s="232"/>
      <c r="Q125" s="232"/>
      <c r="R125" s="234" t="s">
        <v>75</v>
      </c>
    </row>
    <row r="126" spans="1:18" s="138" customFormat="1">
      <c r="A126" s="400"/>
      <c r="B126" s="402"/>
      <c r="C126" s="401" t="s">
        <v>460</v>
      </c>
      <c r="D126" s="402" t="s">
        <v>56</v>
      </c>
      <c r="E126" s="401" t="s">
        <v>40</v>
      </c>
      <c r="F126" s="402"/>
      <c r="H126" s="402"/>
      <c r="I126" s="402"/>
      <c r="J126" s="403"/>
      <c r="K126" s="403"/>
      <c r="L126" s="403"/>
      <c r="M126" s="403"/>
      <c r="N126" s="404"/>
      <c r="O126" s="558">
        <f>INDEX('F_Inputs BYR'!$B$4:$N$90,MATCH($C126,'F_Inputs BYR'!$B$4:$B$90,0),MATCH(O$2,'F_Inputs BYR'!$B$2:$N$2,0))</f>
        <v>1.05</v>
      </c>
      <c r="P126" s="232"/>
      <c r="Q126" s="232"/>
      <c r="R126" s="234" t="s">
        <v>75</v>
      </c>
    </row>
    <row r="127" spans="1:18" s="138" customFormat="1">
      <c r="A127" s="400"/>
      <c r="B127" s="402"/>
      <c r="C127" s="401" t="s">
        <v>461</v>
      </c>
      <c r="D127" s="402" t="s">
        <v>56</v>
      </c>
      <c r="E127" s="401" t="s">
        <v>41</v>
      </c>
      <c r="F127" s="402"/>
      <c r="H127" s="402"/>
      <c r="I127" s="402"/>
      <c r="J127" s="403"/>
      <c r="K127" s="403"/>
      <c r="L127" s="403"/>
      <c r="M127" s="403"/>
      <c r="N127" s="404"/>
      <c r="O127" s="558">
        <f>INDEX('F_Inputs BYR'!$B$4:$N$90,MATCH($C127,'F_Inputs BYR'!$B$4:$B$90,0),MATCH(O$2,'F_Inputs BYR'!$B$2:$N$2,0))</f>
        <v>0.25</v>
      </c>
      <c r="P127" s="232"/>
      <c r="Q127" s="232"/>
      <c r="R127" s="234" t="s">
        <v>75</v>
      </c>
    </row>
    <row r="128" spans="1:18" s="138" customFormat="1">
      <c r="A128" s="400"/>
      <c r="B128" s="402"/>
      <c r="C128" s="401" t="s">
        <v>462</v>
      </c>
      <c r="D128" s="402" t="s">
        <v>56</v>
      </c>
      <c r="E128" s="401" t="s">
        <v>42</v>
      </c>
      <c r="F128" s="402"/>
      <c r="H128" s="402"/>
      <c r="I128" s="402"/>
      <c r="J128" s="403"/>
      <c r="K128" s="403"/>
      <c r="L128" s="403"/>
      <c r="M128" s="403"/>
      <c r="N128" s="404"/>
      <c r="O128" s="558">
        <f>INDEX('F_Inputs BYR'!$B$4:$N$90,MATCH($C128,'F_Inputs BYR'!$B$4:$B$90,0),MATCH(O$2,'F_Inputs BYR'!$B$2:$N$2,0))</f>
        <v>75</v>
      </c>
      <c r="P128" s="232"/>
      <c r="Q128" s="232"/>
      <c r="R128" s="234" t="s">
        <v>75</v>
      </c>
    </row>
    <row r="129" spans="1:18" s="138" customFormat="1">
      <c r="A129" s="400"/>
      <c r="B129" s="402"/>
      <c r="C129" s="401" t="s">
        <v>463</v>
      </c>
      <c r="D129" s="402" t="s">
        <v>56</v>
      </c>
      <c r="E129" s="401" t="s">
        <v>43</v>
      </c>
      <c r="F129" s="402"/>
      <c r="H129" s="402"/>
      <c r="I129" s="402"/>
      <c r="J129" s="403"/>
      <c r="K129" s="403"/>
      <c r="L129" s="403"/>
      <c r="M129" s="403"/>
      <c r="N129" s="404"/>
      <c r="O129" s="559">
        <f>INDEX('F_Inputs BYR'!$B$4:$N$90,MATCH($C129,'F_Inputs BYR'!$B$4:$B$90,0),MATCH(O$2,'F_Inputs BYR'!$B$2:$N$2,0))</f>
        <v>-1.8749999999999999E-3</v>
      </c>
      <c r="P129" s="232"/>
      <c r="Q129" s="232"/>
      <c r="R129" s="234" t="s">
        <v>75</v>
      </c>
    </row>
    <row r="130" spans="1:18" s="138" customFormat="1">
      <c r="A130" s="400"/>
      <c r="B130" s="402"/>
      <c r="C130" s="401" t="s">
        <v>464</v>
      </c>
      <c r="D130" s="402" t="s">
        <v>56</v>
      </c>
      <c r="E130" s="401" t="s">
        <v>44</v>
      </c>
      <c r="F130" s="402"/>
      <c r="H130" s="402"/>
      <c r="I130" s="402"/>
      <c r="J130" s="403"/>
      <c r="K130" s="403"/>
      <c r="L130" s="403"/>
      <c r="M130" s="403"/>
      <c r="N130" s="404"/>
      <c r="O130" s="557">
        <f>INDEX('F_Inputs BYR'!$B$4:$N$90,MATCH($C130,'F_Inputs BYR'!$B$4:$B$90,0),MATCH(O$2,'F_Inputs BYR'!$B$2:$N$2,0))</f>
        <v>0.28749999999999998</v>
      </c>
      <c r="P130" s="232"/>
      <c r="Q130" s="232"/>
      <c r="R130" s="234" t="s">
        <v>75</v>
      </c>
    </row>
    <row r="131" spans="1:18" s="138" customFormat="1">
      <c r="A131" s="400"/>
      <c r="B131" s="402"/>
      <c r="C131" s="401" t="s">
        <v>465</v>
      </c>
      <c r="D131" s="402" t="s">
        <v>56</v>
      </c>
      <c r="E131" s="401" t="s">
        <v>45</v>
      </c>
      <c r="F131" s="402"/>
      <c r="H131" s="402"/>
      <c r="I131" s="402"/>
      <c r="J131" s="403"/>
      <c r="K131" s="403"/>
      <c r="L131" s="403"/>
      <c r="M131" s="403"/>
      <c r="N131" s="404"/>
      <c r="O131" s="558">
        <f>INDEX('F_Inputs BYR'!$B$4:$N$90,MATCH($C131,'F_Inputs BYR'!$B$4:$B$90,0),MATCH(O$2,'F_Inputs BYR'!$B$2:$N$2,0))</f>
        <v>-10</v>
      </c>
      <c r="P131" s="232"/>
      <c r="Q131" s="232"/>
      <c r="R131" s="234" t="s">
        <v>75</v>
      </c>
    </row>
    <row r="132" spans="1:18" s="138" customFormat="1">
      <c r="A132" s="400"/>
      <c r="B132" s="402"/>
      <c r="C132" s="401"/>
      <c r="D132" s="402"/>
      <c r="E132" s="401"/>
      <c r="F132" s="402"/>
      <c r="H132" s="402"/>
      <c r="I132" s="402"/>
      <c r="J132" s="403"/>
      <c r="K132" s="403"/>
      <c r="L132" s="403"/>
      <c r="M132" s="403"/>
      <c r="N132" s="404"/>
      <c r="O132" s="422"/>
      <c r="P132" s="232"/>
      <c r="Q132" s="232"/>
      <c r="R132" s="234"/>
    </row>
    <row r="133" spans="1:18" s="138" customFormat="1">
      <c r="A133" s="400"/>
      <c r="B133" s="402"/>
      <c r="C133" s="401"/>
      <c r="D133" s="402"/>
      <c r="E133" s="421" t="s">
        <v>49</v>
      </c>
      <c r="F133" s="402"/>
      <c r="H133" s="402"/>
      <c r="I133" s="402"/>
      <c r="J133" s="403"/>
      <c r="K133" s="403"/>
      <c r="L133" s="403"/>
      <c r="M133" s="403"/>
      <c r="N133" s="404"/>
      <c r="O133" s="422"/>
      <c r="P133" s="232"/>
      <c r="Q133" s="232"/>
      <c r="R133" s="234"/>
    </row>
    <row r="134" spans="1:18" s="138" customFormat="1">
      <c r="A134" s="400"/>
      <c r="B134" s="402"/>
      <c r="C134" s="401" t="s">
        <v>466</v>
      </c>
      <c r="D134" s="402" t="s">
        <v>56</v>
      </c>
      <c r="E134" s="401" t="s">
        <v>39</v>
      </c>
      <c r="F134" s="402"/>
      <c r="H134" s="402"/>
      <c r="I134" s="402"/>
      <c r="J134" s="403"/>
      <c r="K134" s="403"/>
      <c r="L134" s="403"/>
      <c r="M134" s="403"/>
      <c r="N134" s="404"/>
      <c r="O134" s="557">
        <f>INDEX('F_Inputs BYR'!$B$4:$N$90,MATCH($C134,'F_Inputs BYR'!$B$4:$B$90,0),MATCH(O$2,'F_Inputs BYR'!$B$2:$N$2,0))</f>
        <v>-5.0000000000000001E-3</v>
      </c>
      <c r="P134" s="232"/>
      <c r="Q134" s="232"/>
      <c r="R134" s="234" t="s">
        <v>75</v>
      </c>
    </row>
    <row r="135" spans="1:18" s="138" customFormat="1">
      <c r="A135" s="400"/>
      <c r="B135" s="402"/>
      <c r="C135" s="401" t="s">
        <v>467</v>
      </c>
      <c r="D135" s="402" t="s">
        <v>56</v>
      </c>
      <c r="E135" s="401" t="s">
        <v>40</v>
      </c>
      <c r="F135" s="402"/>
      <c r="H135" s="402"/>
      <c r="I135" s="402"/>
      <c r="J135" s="403"/>
      <c r="K135" s="403"/>
      <c r="L135" s="403"/>
      <c r="M135" s="403"/>
      <c r="N135" s="404"/>
      <c r="O135" s="558">
        <f>INDEX('F_Inputs BYR'!$B$4:$N$90,MATCH($C135,'F_Inputs BYR'!$B$4:$B$90,0),MATCH(O$2,'F_Inputs BYR'!$B$2:$N$2,0))</f>
        <v>0.8</v>
      </c>
      <c r="P135" s="232"/>
      <c r="Q135" s="232"/>
      <c r="R135" s="234" t="s">
        <v>75</v>
      </c>
    </row>
    <row r="136" spans="1:18" s="138" customFormat="1">
      <c r="A136" s="400"/>
      <c r="B136" s="402"/>
      <c r="C136" s="401" t="s">
        <v>468</v>
      </c>
      <c r="D136" s="402" t="s">
        <v>56</v>
      </c>
      <c r="E136" s="401" t="s">
        <v>41</v>
      </c>
      <c r="F136" s="402"/>
      <c r="H136" s="402"/>
      <c r="I136" s="402"/>
      <c r="J136" s="403"/>
      <c r="K136" s="403"/>
      <c r="L136" s="403"/>
      <c r="M136" s="403"/>
      <c r="N136" s="404"/>
      <c r="O136" s="558">
        <f>INDEX('F_Inputs BYR'!$B$4:$N$90,MATCH($C136,'F_Inputs BYR'!$B$4:$B$90,0),MATCH(O$2,'F_Inputs BYR'!$B$2:$N$2,0))</f>
        <v>0.25</v>
      </c>
      <c r="P136" s="232"/>
      <c r="Q136" s="232"/>
      <c r="R136" s="234" t="s">
        <v>75</v>
      </c>
    </row>
    <row r="137" spans="1:18" s="138" customFormat="1">
      <c r="A137" s="400"/>
      <c r="B137" s="402"/>
      <c r="C137" s="401" t="s">
        <v>469</v>
      </c>
      <c r="D137" s="402" t="s">
        <v>56</v>
      </c>
      <c r="E137" s="401" t="s">
        <v>42</v>
      </c>
      <c r="F137" s="402"/>
      <c r="H137" s="402"/>
      <c r="I137" s="402"/>
      <c r="J137" s="403"/>
      <c r="K137" s="403"/>
      <c r="L137" s="403"/>
      <c r="M137" s="403"/>
      <c r="N137" s="404"/>
      <c r="O137" s="558">
        <f>INDEX('F_Inputs BYR'!$B$4:$N$90,MATCH($C137,'F_Inputs BYR'!$B$4:$B$90,0),MATCH(O$2,'F_Inputs BYR'!$B$2:$N$2,0))</f>
        <v>75</v>
      </c>
      <c r="P137" s="232"/>
      <c r="Q137" s="232"/>
      <c r="R137" s="234" t="s">
        <v>75</v>
      </c>
    </row>
    <row r="138" spans="1:18" s="138" customFormat="1">
      <c r="A138" s="400"/>
      <c r="B138" s="402"/>
      <c r="C138" s="401" t="s">
        <v>470</v>
      </c>
      <c r="D138" s="402" t="s">
        <v>56</v>
      </c>
      <c r="E138" s="401" t="s">
        <v>43</v>
      </c>
      <c r="F138" s="402"/>
      <c r="H138" s="402"/>
      <c r="I138" s="402"/>
      <c r="J138" s="403"/>
      <c r="K138" s="403"/>
      <c r="L138" s="403"/>
      <c r="M138" s="403"/>
      <c r="N138" s="404"/>
      <c r="O138" s="559">
        <f>INDEX('F_Inputs BYR'!$B$4:$N$90,MATCH($C138,'F_Inputs BYR'!$B$4:$B$90,0),MATCH(O$2,'F_Inputs BYR'!$B$2:$N$2,0))</f>
        <v>-1.25E-3</v>
      </c>
      <c r="P138" s="232"/>
      <c r="Q138" s="232"/>
      <c r="R138" s="234" t="s">
        <v>75</v>
      </c>
    </row>
    <row r="139" spans="1:18" s="138" customFormat="1">
      <c r="A139" s="400"/>
      <c r="B139" s="402"/>
      <c r="C139" s="401" t="s">
        <v>471</v>
      </c>
      <c r="D139" s="402" t="s">
        <v>56</v>
      </c>
      <c r="E139" s="401" t="s">
        <v>44</v>
      </c>
      <c r="F139" s="402"/>
      <c r="H139" s="402"/>
      <c r="I139" s="402"/>
      <c r="J139" s="403"/>
      <c r="K139" s="403"/>
      <c r="L139" s="403"/>
      <c r="M139" s="403"/>
      <c r="N139" s="404"/>
      <c r="O139" s="557">
        <f>INDEX('F_Inputs BYR'!$B$4:$N$90,MATCH($C139,'F_Inputs BYR'!$B$4:$B$90,0),MATCH(O$2,'F_Inputs BYR'!$B$2:$N$2,0))</f>
        <v>0.17499999999999999</v>
      </c>
      <c r="P139" s="232"/>
      <c r="Q139" s="232"/>
      <c r="R139" s="234" t="s">
        <v>75</v>
      </c>
    </row>
    <row r="140" spans="1:18" s="138" customFormat="1">
      <c r="A140" s="400"/>
      <c r="B140" s="402"/>
      <c r="C140" s="401" t="s">
        <v>472</v>
      </c>
      <c r="D140" s="402" t="s">
        <v>56</v>
      </c>
      <c r="E140" s="401" t="s">
        <v>45</v>
      </c>
      <c r="F140" s="402"/>
      <c r="H140" s="402"/>
      <c r="I140" s="402"/>
      <c r="J140" s="403"/>
      <c r="K140" s="403"/>
      <c r="L140" s="403"/>
      <c r="M140" s="403"/>
      <c r="N140" s="404"/>
      <c r="O140" s="558">
        <f>INDEX('F_Inputs BYR'!$B$4:$N$90,MATCH($C140,'F_Inputs BYR'!$B$4:$B$90,0),MATCH(O$2,'F_Inputs BYR'!$B$2:$N$2,0))</f>
        <v>-5</v>
      </c>
      <c r="P140" s="232"/>
      <c r="Q140" s="232"/>
      <c r="R140" s="234" t="s">
        <v>75</v>
      </c>
    </row>
    <row r="141" spans="1:18" s="138" customFormat="1">
      <c r="A141" s="400"/>
      <c r="B141" s="402"/>
      <c r="C141" s="401"/>
      <c r="D141" s="402"/>
      <c r="E141" s="401"/>
      <c r="F141" s="402"/>
      <c r="H141" s="402"/>
      <c r="I141" s="402"/>
      <c r="J141" s="403"/>
      <c r="K141" s="403"/>
      <c r="L141" s="403"/>
      <c r="M141" s="403"/>
      <c r="N141" s="404"/>
      <c r="O141" s="422"/>
      <c r="P141" s="232"/>
      <c r="Q141" s="232"/>
      <c r="R141" s="234"/>
    </row>
    <row r="142" spans="1:18" s="138" customFormat="1">
      <c r="A142" s="400"/>
      <c r="B142" s="402"/>
      <c r="C142" s="401"/>
      <c r="D142" s="402"/>
      <c r="E142" s="421" t="s">
        <v>54</v>
      </c>
      <c r="F142" s="402"/>
      <c r="H142" s="402"/>
      <c r="I142" s="402"/>
      <c r="J142" s="403"/>
      <c r="K142" s="403"/>
      <c r="L142" s="403"/>
      <c r="M142" s="403"/>
      <c r="N142" s="404"/>
      <c r="O142" s="422"/>
      <c r="P142" s="232"/>
      <c r="Q142" s="232"/>
      <c r="R142" s="234"/>
    </row>
    <row r="143" spans="1:18" s="138" customFormat="1">
      <c r="A143" s="400"/>
      <c r="B143" s="402"/>
      <c r="C143" s="401" t="s">
        <v>473</v>
      </c>
      <c r="D143" s="402" t="s">
        <v>56</v>
      </c>
      <c r="E143" s="401" t="s">
        <v>46</v>
      </c>
      <c r="F143" s="402"/>
      <c r="H143" s="402"/>
      <c r="I143" s="402"/>
      <c r="J143" s="403"/>
      <c r="K143" s="403"/>
      <c r="L143" s="403"/>
      <c r="M143" s="403"/>
      <c r="N143" s="404"/>
      <c r="O143" s="558">
        <f>INDEX('F_Inputs BYR'!$B$4:$N$90,MATCH($C143,'F_Inputs BYR'!$B$4:$B$90,0),MATCH(O$2,'F_Inputs BYR'!$B$2:$N$2,0))</f>
        <v>0.05</v>
      </c>
      <c r="P143" s="232"/>
      <c r="Q143" s="232"/>
      <c r="R143" s="234" t="s">
        <v>75</v>
      </c>
    </row>
    <row r="144" spans="1:18" s="138" customFormat="1">
      <c r="A144" s="400"/>
      <c r="B144" s="402"/>
      <c r="C144" s="401"/>
      <c r="D144" s="402"/>
      <c r="E144" s="401"/>
      <c r="F144" s="402"/>
      <c r="H144" s="402"/>
      <c r="I144" s="402"/>
      <c r="J144" s="403"/>
      <c r="K144" s="403"/>
      <c r="L144" s="403"/>
      <c r="M144" s="403"/>
      <c r="N144" s="404"/>
      <c r="O144" s="422"/>
      <c r="P144" s="232"/>
      <c r="Q144" s="232"/>
      <c r="R144" s="234"/>
    </row>
    <row r="145" spans="1:18" s="138" customFormat="1">
      <c r="A145" s="400"/>
      <c r="B145" s="402"/>
      <c r="C145" s="401" t="s">
        <v>474</v>
      </c>
      <c r="D145" s="402" t="s">
        <v>55</v>
      </c>
      <c r="E145" s="154" t="s">
        <v>50</v>
      </c>
      <c r="F145" s="402"/>
      <c r="H145" s="402"/>
      <c r="I145" s="402"/>
      <c r="J145" s="403"/>
      <c r="K145" s="403"/>
      <c r="L145" s="403"/>
      <c r="M145" s="403"/>
      <c r="N145" s="404"/>
      <c r="O145" s="560">
        <f>INDEX('F_Inputs BYR'!$B$4:$N$90,MATCH($C145,'F_Inputs BYR'!$B$4:$B$90,0),MATCH(O$2,'F_Inputs BYR'!$B$2:$N$2,0))</f>
        <v>100</v>
      </c>
      <c r="P145" s="232"/>
      <c r="Q145" s="232"/>
      <c r="R145" s="234" t="s">
        <v>75</v>
      </c>
    </row>
    <row r="146" spans="1:18" s="138" customFormat="1">
      <c r="A146" s="400"/>
      <c r="B146" s="402"/>
      <c r="C146" s="401" t="s">
        <v>475</v>
      </c>
      <c r="D146" s="402" t="s">
        <v>55</v>
      </c>
      <c r="E146" s="401" t="s">
        <v>47</v>
      </c>
      <c r="F146" s="402"/>
      <c r="H146" s="402"/>
      <c r="I146" s="402"/>
      <c r="J146" s="403"/>
      <c r="K146" s="403"/>
      <c r="L146" s="403"/>
      <c r="M146" s="403"/>
      <c r="N146" s="404"/>
      <c r="O146" s="560">
        <f>INDEX('F_Inputs BYR'!$B$4:$N$90,MATCH($C146,'F_Inputs BYR'!$B$4:$B$90,0),MATCH(O$2,'F_Inputs BYR'!$B$2:$N$2,0))</f>
        <v>130</v>
      </c>
      <c r="P146" s="232"/>
      <c r="Q146" s="232"/>
      <c r="R146" s="234" t="s">
        <v>75</v>
      </c>
    </row>
    <row r="147" spans="1:18" s="138" customFormat="1">
      <c r="A147" s="400"/>
      <c r="B147" s="402"/>
      <c r="C147" s="401"/>
      <c r="D147" s="402"/>
      <c r="E147" s="401"/>
      <c r="F147" s="402"/>
      <c r="G147" s="422"/>
      <c r="H147" s="402"/>
      <c r="I147" s="402"/>
      <c r="J147" s="403"/>
      <c r="K147" s="403"/>
      <c r="L147" s="403"/>
      <c r="M147" s="403"/>
      <c r="N147" s="404"/>
      <c r="O147" s="232"/>
      <c r="P147" s="232"/>
      <c r="Q147" s="232"/>
      <c r="R147" s="234"/>
    </row>
    <row r="148" spans="1:18">
      <c r="A148" s="429"/>
      <c r="B148" s="440"/>
      <c r="C148" s="441"/>
      <c r="D148" s="466" t="s">
        <v>38</v>
      </c>
      <c r="E148" s="443" t="s">
        <v>174</v>
      </c>
      <c r="F148" s="440"/>
      <c r="G148" s="445"/>
      <c r="H148" s="440"/>
      <c r="I148" s="440"/>
      <c r="J148" s="440"/>
      <c r="K148" s="440"/>
      <c r="L148" s="440"/>
      <c r="M148" s="440"/>
      <c r="N148" s="446"/>
      <c r="O148" s="440"/>
      <c r="P148" s="440"/>
      <c r="Q148" s="440"/>
      <c r="R148" s="447"/>
    </row>
    <row r="149" spans="1:18" s="138" customFormat="1">
      <c r="A149" s="432"/>
      <c r="B149" s="213"/>
      <c r="C149" s="231"/>
      <c r="D149" s="213"/>
      <c r="E149" s="215"/>
      <c r="F149" s="213"/>
      <c r="G149" s="240"/>
      <c r="H149" s="213"/>
      <c r="I149" s="213"/>
      <c r="J149" s="224"/>
      <c r="K149" s="224"/>
      <c r="L149" s="224"/>
      <c r="M149" s="224"/>
      <c r="N149" s="396"/>
      <c r="O149" s="213"/>
      <c r="P149" s="213"/>
      <c r="Q149" s="213"/>
      <c r="R149" s="225"/>
    </row>
    <row r="150" spans="1:18" s="138" customFormat="1">
      <c r="A150" s="397"/>
      <c r="B150" s="153"/>
      <c r="C150" s="423"/>
      <c r="D150" s="402" t="s">
        <v>168</v>
      </c>
      <c r="E150" s="401" t="s">
        <v>74</v>
      </c>
      <c r="F150" s="402"/>
      <c r="G150" s="572" t="s">
        <v>812</v>
      </c>
      <c r="H150" s="402"/>
      <c r="I150" s="402"/>
      <c r="J150" s="403"/>
      <c r="K150" s="403"/>
      <c r="L150" s="403"/>
      <c r="M150" s="403"/>
      <c r="N150" s="404"/>
      <c r="O150" s="232"/>
      <c r="P150" s="232"/>
      <c r="Q150" s="232"/>
      <c r="R150" s="234" t="s">
        <v>75</v>
      </c>
    </row>
    <row r="151" spans="1:18" s="138" customFormat="1">
      <c r="A151" s="397"/>
      <c r="B151" s="153"/>
      <c r="C151" s="420" t="s">
        <v>166</v>
      </c>
      <c r="D151" s="153" t="s">
        <v>16</v>
      </c>
      <c r="E151" s="154" t="s">
        <v>270</v>
      </c>
      <c r="F151" s="402"/>
      <c r="H151" s="402"/>
      <c r="I151" s="402"/>
      <c r="J151" s="403"/>
      <c r="K151" s="403"/>
      <c r="L151" s="403"/>
      <c r="M151" s="403"/>
      <c r="N151" s="404"/>
      <c r="O151" s="424">
        <f>INDEX('F_Inputs BYR'!$B$4:$N$90,MATCH($C151,'F_Inputs BYR'!$B$4:$B$90,0),MATCH(O$2,'F_Inputs BYR'!$B$2:$N$2,0))</f>
        <v>2</v>
      </c>
      <c r="R151" s="137" t="s">
        <v>75</v>
      </c>
    </row>
    <row r="152" spans="1:18" s="138" customFormat="1">
      <c r="A152" s="397"/>
      <c r="B152" s="153"/>
      <c r="C152" s="420" t="s">
        <v>167</v>
      </c>
      <c r="D152" s="153" t="s">
        <v>16</v>
      </c>
      <c r="E152" s="154" t="s">
        <v>104</v>
      </c>
      <c r="F152" s="153"/>
      <c r="H152" s="153"/>
      <c r="I152" s="153"/>
      <c r="J152" s="403"/>
      <c r="K152" s="403"/>
      <c r="L152" s="403"/>
      <c r="M152" s="403"/>
      <c r="N152" s="404"/>
      <c r="O152" s="424">
        <f>INDEX('F_Inputs BYR'!$B$4:$N$90,MATCH($C152,'F_Inputs BYR'!$B$4:$B$90,0),MATCH(O$2,'F_Inputs BYR'!$B$2:$N$2,0))</f>
        <v>0</v>
      </c>
      <c r="R152" s="137" t="s">
        <v>75</v>
      </c>
    </row>
    <row r="153" spans="1:18" s="138" customFormat="1">
      <c r="A153" s="397"/>
      <c r="B153" s="153"/>
      <c r="C153" s="420" t="s">
        <v>577</v>
      </c>
      <c r="D153" s="153" t="s">
        <v>522</v>
      </c>
      <c r="E153" s="154" t="s">
        <v>575</v>
      </c>
      <c r="F153" s="153"/>
      <c r="G153" s="153"/>
      <c r="H153" s="153"/>
      <c r="I153" s="153"/>
      <c r="J153" s="403"/>
      <c r="K153" s="403"/>
      <c r="L153" s="403"/>
      <c r="M153" s="403"/>
      <c r="N153" s="404"/>
      <c r="O153" s="702">
        <f>'F_Inputs BYR'!$O$90</f>
        <v>3.5999999999999997E-2</v>
      </c>
      <c r="R153" s="137"/>
    </row>
    <row r="154" spans="1:18" s="138" customFormat="1">
      <c r="A154" s="397"/>
      <c r="B154" s="153"/>
      <c r="C154" s="423"/>
      <c r="D154" s="153" t="s">
        <v>16</v>
      </c>
      <c r="E154" s="153" t="s">
        <v>536</v>
      </c>
      <c r="F154" s="402"/>
      <c r="G154" s="402"/>
      <c r="H154" s="402"/>
      <c r="I154" s="402"/>
      <c r="J154" s="403"/>
      <c r="K154" s="403"/>
      <c r="L154" s="403"/>
      <c r="M154" s="403"/>
      <c r="N154" s="404"/>
      <c r="O154" s="572">
        <f>'Input FD'!$O$154</f>
        <v>1</v>
      </c>
      <c r="R154" s="137"/>
    </row>
    <row r="155" spans="1:18" s="138" customFormat="1">
      <c r="A155" s="397"/>
      <c r="B155" s="153"/>
      <c r="C155" s="423"/>
      <c r="D155" s="153" t="s">
        <v>16</v>
      </c>
      <c r="E155" s="153" t="s">
        <v>579</v>
      </c>
      <c r="F155" s="402"/>
      <c r="G155" s="402"/>
      <c r="H155" s="402"/>
      <c r="I155" s="402"/>
      <c r="J155" s="403"/>
      <c r="K155" s="403"/>
      <c r="L155" s="403"/>
      <c r="M155" s="403"/>
      <c r="N155" s="404"/>
      <c r="O155" s="572">
        <f>'Input FD'!$O$155</f>
        <v>5</v>
      </c>
      <c r="R155" s="137"/>
    </row>
    <row r="156" spans="1:18" s="138" customFormat="1">
      <c r="A156" s="425"/>
      <c r="B156" s="665"/>
      <c r="C156" s="665"/>
      <c r="D156" s="665" t="s">
        <v>16</v>
      </c>
      <c r="E156" s="665" t="s">
        <v>612</v>
      </c>
      <c r="F156" s="665"/>
      <c r="G156" s="426"/>
      <c r="H156" s="426"/>
      <c r="I156" s="426"/>
      <c r="J156" s="427"/>
      <c r="K156" s="427"/>
      <c r="L156" s="427"/>
      <c r="M156" s="427"/>
      <c r="N156" s="428"/>
      <c r="O156" s="666">
        <v>1</v>
      </c>
      <c r="R156" s="137"/>
    </row>
    <row r="157" spans="1:18" s="138" customFormat="1">
      <c r="A157" s="232"/>
      <c r="B157" s="232"/>
      <c r="C157" s="241"/>
      <c r="D157" s="232"/>
      <c r="E157" s="233"/>
      <c r="F157" s="232"/>
      <c r="G157" s="232"/>
      <c r="H157" s="232"/>
      <c r="I157" s="232"/>
      <c r="J157" s="232"/>
      <c r="K157" s="232"/>
      <c r="L157" s="232"/>
      <c r="M157" s="232"/>
      <c r="N157" s="232"/>
      <c r="O157" s="232"/>
      <c r="P157" s="232"/>
      <c r="Q157" s="232"/>
      <c r="R157" s="234"/>
    </row>
    <row r="158" spans="1:18" s="138" customFormat="1">
      <c r="A158" s="232"/>
      <c r="B158" s="232"/>
      <c r="C158" s="241"/>
      <c r="D158" s="232"/>
      <c r="E158" s="233"/>
      <c r="F158" s="232"/>
      <c r="G158" s="232"/>
      <c r="H158" s="232"/>
      <c r="I158" s="232"/>
      <c r="J158" s="232"/>
      <c r="K158" s="232"/>
      <c r="L158" s="232"/>
      <c r="M158" s="232"/>
      <c r="N158" s="232"/>
      <c r="O158" s="232"/>
      <c r="P158" s="232"/>
      <c r="Q158" s="232"/>
      <c r="R158" s="234"/>
    </row>
    <row r="159" spans="1:18" s="138" customFormat="1">
      <c r="A159" s="232"/>
      <c r="B159" s="232"/>
      <c r="C159" s="241"/>
      <c r="D159" s="232"/>
      <c r="E159" s="233"/>
      <c r="F159" s="232"/>
      <c r="G159" s="232"/>
      <c r="H159" s="232"/>
      <c r="I159" s="232"/>
      <c r="J159" s="232"/>
      <c r="K159" s="232"/>
      <c r="L159" s="232"/>
      <c r="M159" s="232"/>
      <c r="N159" s="232"/>
      <c r="O159" s="232"/>
      <c r="P159" s="232"/>
      <c r="Q159" s="232"/>
      <c r="R159" s="234"/>
    </row>
    <row r="160" spans="1:18" s="138" customFormat="1">
      <c r="A160" s="232"/>
      <c r="B160" s="232"/>
      <c r="C160" s="241"/>
      <c r="D160" s="232"/>
      <c r="E160" s="233"/>
      <c r="F160" s="232"/>
      <c r="G160" s="232"/>
      <c r="H160" s="232"/>
      <c r="I160" s="232"/>
      <c r="J160" s="232"/>
      <c r="K160" s="232"/>
      <c r="L160" s="232"/>
      <c r="M160" s="232"/>
      <c r="N160" s="232"/>
      <c r="O160" s="232"/>
      <c r="P160" s="232"/>
      <c r="Q160" s="232"/>
      <c r="R160" s="234"/>
    </row>
    <row r="161" spans="1:18" s="138" customFormat="1">
      <c r="A161" s="232"/>
      <c r="B161" s="232"/>
      <c r="C161" s="241"/>
      <c r="D161" s="232"/>
      <c r="E161" s="233"/>
      <c r="F161" s="232"/>
      <c r="G161" s="232"/>
      <c r="H161" s="232"/>
      <c r="I161" s="232"/>
      <c r="J161" s="232"/>
      <c r="K161" s="232"/>
      <c r="L161" s="232"/>
      <c r="M161" s="232"/>
      <c r="N161" s="232"/>
      <c r="O161" s="232"/>
      <c r="P161" s="232"/>
      <c r="Q161" s="232"/>
      <c r="R161" s="234"/>
    </row>
    <row r="162" spans="1:18" s="138" customFormat="1">
      <c r="A162" s="232"/>
      <c r="B162" s="232"/>
      <c r="C162" s="241"/>
      <c r="D162" s="232"/>
      <c r="E162" s="233"/>
      <c r="F162" s="232"/>
      <c r="G162" s="232"/>
      <c r="H162" s="232"/>
      <c r="I162" s="232"/>
      <c r="J162" s="232"/>
      <c r="K162" s="232"/>
      <c r="L162" s="232"/>
      <c r="M162" s="232"/>
      <c r="N162" s="232"/>
      <c r="O162" s="232"/>
      <c r="P162" s="232"/>
      <c r="Q162" s="232"/>
      <c r="R162" s="234"/>
    </row>
    <row r="163" spans="1:18" s="138" customFormat="1">
      <c r="A163" s="232"/>
      <c r="B163" s="232"/>
      <c r="C163" s="241"/>
      <c r="D163" s="232"/>
      <c r="E163" s="233"/>
      <c r="F163" s="232"/>
      <c r="G163" s="232"/>
      <c r="H163" s="232"/>
      <c r="I163" s="232"/>
      <c r="J163" s="232"/>
      <c r="K163" s="232"/>
      <c r="L163" s="232"/>
      <c r="M163" s="232"/>
      <c r="N163" s="232"/>
      <c r="O163" s="232"/>
      <c r="P163" s="232"/>
      <c r="Q163" s="232"/>
      <c r="R163" s="234"/>
    </row>
    <row r="164" spans="1:18" s="138" customFormat="1">
      <c r="A164" s="232"/>
      <c r="B164" s="232"/>
      <c r="C164" s="241"/>
      <c r="D164" s="232"/>
      <c r="E164" s="233"/>
      <c r="F164" s="232"/>
      <c r="G164" s="232"/>
      <c r="H164" s="232"/>
      <c r="I164" s="232"/>
      <c r="J164" s="232"/>
      <c r="K164" s="232"/>
      <c r="L164" s="232"/>
      <c r="M164" s="232"/>
      <c r="N164" s="232"/>
      <c r="O164" s="232"/>
      <c r="P164" s="232"/>
      <c r="Q164" s="232"/>
      <c r="R164" s="234"/>
    </row>
    <row r="165" spans="1:18" s="138" customFormat="1">
      <c r="A165" s="232"/>
      <c r="B165" s="232"/>
      <c r="C165" s="241"/>
      <c r="D165" s="232"/>
      <c r="E165" s="233"/>
      <c r="F165" s="232"/>
      <c r="G165" s="232"/>
      <c r="H165" s="232"/>
      <c r="I165" s="232"/>
      <c r="J165" s="232"/>
      <c r="K165" s="232"/>
      <c r="L165" s="232"/>
      <c r="M165" s="232"/>
      <c r="N165" s="232"/>
      <c r="O165" s="232"/>
      <c r="P165" s="232"/>
      <c r="Q165" s="232"/>
      <c r="R165" s="234"/>
    </row>
    <row r="166" spans="1:18" s="138" customFormat="1">
      <c r="A166" s="232"/>
      <c r="B166" s="232"/>
      <c r="C166" s="241"/>
      <c r="D166" s="232"/>
      <c r="E166" s="233"/>
      <c r="F166" s="232"/>
      <c r="G166" s="232"/>
      <c r="H166" s="232"/>
      <c r="I166" s="232"/>
      <c r="J166" s="232"/>
      <c r="K166" s="232"/>
      <c r="L166" s="232"/>
      <c r="M166" s="232"/>
      <c r="N166" s="232"/>
      <c r="O166" s="232"/>
      <c r="P166" s="232"/>
      <c r="Q166" s="232"/>
      <c r="R166" s="234"/>
    </row>
    <row r="167" spans="1:18" s="138" customFormat="1">
      <c r="A167" s="232"/>
      <c r="B167" s="232"/>
      <c r="C167" s="241"/>
      <c r="D167" s="232"/>
      <c r="E167" s="233"/>
      <c r="F167" s="232"/>
      <c r="G167" s="232"/>
      <c r="H167" s="232"/>
      <c r="I167" s="232"/>
      <c r="J167" s="232"/>
      <c r="K167" s="232"/>
      <c r="L167" s="232"/>
      <c r="M167" s="232"/>
      <c r="N167" s="232"/>
      <c r="O167" s="232"/>
      <c r="P167" s="232"/>
      <c r="Q167" s="232"/>
      <c r="R167" s="234"/>
    </row>
    <row r="168" spans="1:18" s="138" customFormat="1">
      <c r="A168" s="232"/>
      <c r="B168" s="232"/>
      <c r="C168" s="241"/>
      <c r="D168" s="232"/>
      <c r="E168" s="233"/>
      <c r="F168" s="232"/>
      <c r="G168" s="232"/>
      <c r="H168" s="232"/>
      <c r="I168" s="232"/>
      <c r="J168" s="232"/>
      <c r="K168" s="232"/>
      <c r="L168" s="232"/>
      <c r="M168" s="232"/>
      <c r="N168" s="232"/>
      <c r="O168" s="232"/>
      <c r="P168" s="232"/>
      <c r="Q168" s="232"/>
      <c r="R168" s="234"/>
    </row>
    <row r="169" spans="1:18" s="138" customFormat="1">
      <c r="A169" s="232"/>
      <c r="B169" s="232"/>
      <c r="C169" s="241"/>
      <c r="D169" s="232"/>
      <c r="E169" s="233"/>
      <c r="F169" s="232"/>
      <c r="G169" s="232"/>
      <c r="H169" s="232"/>
      <c r="I169" s="232"/>
      <c r="J169" s="232"/>
      <c r="K169" s="232"/>
      <c r="L169" s="232"/>
      <c r="M169" s="232"/>
      <c r="N169" s="232"/>
      <c r="O169" s="232"/>
      <c r="P169" s="232"/>
      <c r="Q169" s="232"/>
      <c r="R169" s="234"/>
    </row>
    <row r="170" spans="1:18" s="138" customFormat="1">
      <c r="A170" s="232"/>
      <c r="B170" s="232"/>
      <c r="C170" s="241"/>
      <c r="D170" s="232"/>
      <c r="E170" s="233"/>
      <c r="F170" s="232"/>
      <c r="G170" s="232"/>
      <c r="H170" s="232"/>
      <c r="I170" s="232"/>
      <c r="J170" s="232"/>
      <c r="K170" s="232"/>
      <c r="L170" s="232"/>
      <c r="M170" s="232"/>
      <c r="N170" s="232"/>
      <c r="O170" s="232"/>
      <c r="P170" s="232"/>
      <c r="Q170" s="232"/>
      <c r="R170" s="234"/>
    </row>
    <row r="171" spans="1:18" s="138" customFormat="1">
      <c r="A171" s="232"/>
      <c r="B171" s="232"/>
      <c r="C171" s="241"/>
      <c r="D171" s="232"/>
      <c r="E171" s="233"/>
      <c r="F171" s="232"/>
      <c r="G171" s="232"/>
      <c r="H171" s="232"/>
      <c r="I171" s="232"/>
      <c r="J171" s="232"/>
      <c r="K171" s="232"/>
      <c r="L171" s="232"/>
      <c r="M171" s="232"/>
      <c r="N171" s="232"/>
      <c r="O171" s="232"/>
      <c r="P171" s="232"/>
      <c r="Q171" s="232"/>
      <c r="R171" s="234"/>
    </row>
    <row r="172" spans="1:18" s="138" customFormat="1">
      <c r="A172" s="232"/>
      <c r="B172" s="232"/>
      <c r="C172" s="241"/>
      <c r="D172" s="232"/>
      <c r="E172" s="233"/>
      <c r="F172" s="232"/>
      <c r="G172" s="232"/>
      <c r="H172" s="232"/>
      <c r="I172" s="232"/>
      <c r="J172" s="232"/>
      <c r="K172" s="232"/>
      <c r="L172" s="232"/>
      <c r="M172" s="232"/>
      <c r="N172" s="232"/>
      <c r="O172" s="232"/>
      <c r="P172" s="232"/>
      <c r="Q172" s="232"/>
      <c r="R172" s="234"/>
    </row>
    <row r="173" spans="1:18" s="138" customFormat="1">
      <c r="A173" s="232"/>
      <c r="B173" s="232"/>
      <c r="C173" s="241"/>
      <c r="D173" s="232"/>
      <c r="E173" s="233"/>
      <c r="F173" s="232"/>
      <c r="G173" s="232"/>
      <c r="H173" s="232"/>
      <c r="I173" s="232"/>
      <c r="J173" s="232"/>
      <c r="K173" s="232"/>
      <c r="L173" s="232"/>
      <c r="M173" s="232"/>
      <c r="N173" s="232"/>
      <c r="O173" s="232"/>
      <c r="P173" s="232"/>
      <c r="Q173" s="232"/>
      <c r="R173" s="234"/>
    </row>
    <row r="174" spans="1:18" s="138" customFormat="1">
      <c r="A174" s="232"/>
      <c r="B174" s="232"/>
      <c r="C174" s="241"/>
      <c r="D174" s="232"/>
      <c r="E174" s="233"/>
      <c r="F174" s="232"/>
      <c r="G174" s="232"/>
      <c r="H174" s="232"/>
      <c r="I174" s="232"/>
      <c r="J174" s="232"/>
      <c r="K174" s="232"/>
      <c r="L174" s="232"/>
      <c r="M174" s="232"/>
      <c r="N174" s="232"/>
      <c r="O174" s="232"/>
      <c r="P174" s="232"/>
      <c r="Q174" s="232"/>
      <c r="R174" s="234"/>
    </row>
    <row r="175" spans="1:18" s="138" customFormat="1">
      <c r="A175" s="232"/>
      <c r="B175" s="232"/>
      <c r="C175" s="241"/>
      <c r="D175" s="232"/>
      <c r="E175" s="233"/>
      <c r="F175" s="232"/>
      <c r="G175" s="232"/>
      <c r="H175" s="232"/>
      <c r="I175" s="232"/>
      <c r="J175" s="232"/>
      <c r="K175" s="232"/>
      <c r="L175" s="232"/>
      <c r="M175" s="232"/>
      <c r="N175" s="232"/>
      <c r="O175" s="232"/>
      <c r="P175" s="232"/>
      <c r="Q175" s="232"/>
      <c r="R175" s="234"/>
    </row>
    <row r="176" spans="1:18" s="138" customFormat="1">
      <c r="A176" s="232"/>
      <c r="B176" s="232"/>
      <c r="C176" s="241"/>
      <c r="D176" s="232"/>
      <c r="E176" s="233"/>
      <c r="F176" s="232"/>
      <c r="G176" s="232"/>
      <c r="H176" s="232"/>
      <c r="I176" s="232"/>
      <c r="J176" s="232"/>
      <c r="K176" s="232"/>
      <c r="L176" s="232"/>
      <c r="M176" s="232"/>
      <c r="N176" s="232"/>
      <c r="O176" s="232"/>
      <c r="P176" s="232"/>
      <c r="Q176" s="232"/>
      <c r="R176" s="234"/>
    </row>
    <row r="177" spans="1:18" s="138" customFormat="1">
      <c r="A177" s="232"/>
      <c r="B177" s="232"/>
      <c r="C177" s="241"/>
      <c r="D177" s="232"/>
      <c r="E177" s="233"/>
      <c r="F177" s="232"/>
      <c r="G177" s="232"/>
      <c r="H177" s="232"/>
      <c r="I177" s="232"/>
      <c r="J177" s="232"/>
      <c r="K177" s="232"/>
      <c r="L177" s="232"/>
      <c r="M177" s="232"/>
      <c r="N177" s="232"/>
      <c r="O177" s="232"/>
      <c r="P177" s="232"/>
      <c r="Q177" s="232"/>
      <c r="R177" s="234"/>
    </row>
    <row r="178" spans="1:18" s="138" customFormat="1">
      <c r="A178" s="232"/>
      <c r="B178" s="232"/>
      <c r="C178" s="241"/>
      <c r="D178" s="232"/>
      <c r="E178" s="233"/>
      <c r="F178" s="232"/>
      <c r="G178" s="232"/>
      <c r="H178" s="232"/>
      <c r="I178" s="232"/>
      <c r="J178" s="232"/>
      <c r="K178" s="232"/>
      <c r="L178" s="232"/>
      <c r="M178" s="232"/>
      <c r="N178" s="232"/>
      <c r="O178" s="232"/>
      <c r="P178" s="232"/>
      <c r="Q178" s="232"/>
      <c r="R178" s="234"/>
    </row>
    <row r="179" spans="1:18" s="138" customFormat="1">
      <c r="A179" s="232"/>
      <c r="B179" s="232"/>
      <c r="C179" s="241"/>
      <c r="D179" s="232"/>
      <c r="E179" s="233"/>
      <c r="F179" s="232"/>
      <c r="G179" s="232"/>
      <c r="H179" s="232"/>
      <c r="I179" s="232"/>
      <c r="J179" s="232"/>
      <c r="K179" s="232"/>
      <c r="L179" s="232"/>
      <c r="M179" s="232"/>
      <c r="N179" s="232"/>
      <c r="O179" s="232"/>
      <c r="P179" s="232"/>
      <c r="Q179" s="232"/>
      <c r="R179" s="234"/>
    </row>
    <row r="180" spans="1:18" s="138" customFormat="1">
      <c r="A180" s="232"/>
      <c r="B180" s="232"/>
      <c r="C180" s="241"/>
      <c r="D180" s="232"/>
      <c r="E180" s="233"/>
      <c r="F180" s="232"/>
      <c r="G180" s="232"/>
      <c r="H180" s="232"/>
      <c r="I180" s="232"/>
      <c r="J180" s="232"/>
      <c r="K180" s="232"/>
      <c r="L180" s="232"/>
      <c r="M180" s="232"/>
      <c r="N180" s="232"/>
      <c r="O180" s="232"/>
      <c r="P180" s="232"/>
      <c r="Q180" s="232"/>
      <c r="R180" s="234"/>
    </row>
    <row r="181" spans="1:18" s="138" customFormat="1">
      <c r="A181" s="232"/>
      <c r="B181" s="232"/>
      <c r="C181" s="241"/>
      <c r="D181" s="232"/>
      <c r="E181" s="233"/>
      <c r="F181" s="232"/>
      <c r="G181" s="232"/>
      <c r="H181" s="232"/>
      <c r="I181" s="232"/>
      <c r="J181" s="232"/>
      <c r="K181" s="232"/>
      <c r="L181" s="232"/>
      <c r="M181" s="232"/>
      <c r="N181" s="232"/>
      <c r="O181" s="232"/>
      <c r="P181" s="232"/>
      <c r="Q181" s="232"/>
      <c r="R181" s="234"/>
    </row>
    <row r="182" spans="1:18" s="138" customFormat="1">
      <c r="A182" s="232"/>
      <c r="B182" s="232"/>
      <c r="C182" s="241"/>
      <c r="D182" s="232"/>
      <c r="E182" s="233"/>
      <c r="F182" s="232"/>
      <c r="G182" s="232"/>
      <c r="H182" s="232"/>
      <c r="I182" s="232"/>
      <c r="J182" s="232"/>
      <c r="K182" s="232"/>
      <c r="L182" s="232"/>
      <c r="M182" s="232"/>
      <c r="N182" s="232"/>
      <c r="O182" s="232"/>
      <c r="P182" s="232"/>
      <c r="Q182" s="232"/>
      <c r="R182" s="234"/>
    </row>
    <row r="183" spans="1:18" s="138" customFormat="1">
      <c r="A183" s="232"/>
      <c r="B183" s="232"/>
      <c r="C183" s="241"/>
      <c r="D183" s="232"/>
      <c r="E183" s="233"/>
      <c r="F183" s="232"/>
      <c r="G183" s="232"/>
      <c r="H183" s="232"/>
      <c r="I183" s="232"/>
      <c r="J183" s="232"/>
      <c r="K183" s="232"/>
      <c r="L183" s="232"/>
      <c r="M183" s="232"/>
      <c r="N183" s="232"/>
      <c r="O183" s="232"/>
      <c r="P183" s="232"/>
      <c r="Q183" s="232"/>
      <c r="R183" s="234"/>
    </row>
    <row r="184" spans="1:18" s="138" customFormat="1">
      <c r="A184" s="232"/>
      <c r="B184" s="232"/>
      <c r="C184" s="241"/>
      <c r="D184" s="232"/>
      <c r="E184" s="233"/>
      <c r="F184" s="232"/>
      <c r="G184" s="232"/>
      <c r="H184" s="232"/>
      <c r="I184" s="232"/>
      <c r="J184" s="232"/>
      <c r="K184" s="232"/>
      <c r="L184" s="232"/>
      <c r="M184" s="232"/>
      <c r="N184" s="232"/>
      <c r="O184" s="232"/>
      <c r="P184" s="232"/>
      <c r="Q184" s="232"/>
      <c r="R184" s="234"/>
    </row>
    <row r="185" spans="1:18" s="138" customFormat="1">
      <c r="A185" s="232"/>
      <c r="B185" s="232"/>
      <c r="C185" s="241"/>
      <c r="D185" s="232"/>
      <c r="E185" s="233"/>
      <c r="F185" s="232"/>
      <c r="G185" s="232"/>
      <c r="H185" s="232"/>
      <c r="I185" s="232"/>
      <c r="J185" s="232"/>
      <c r="K185" s="232"/>
      <c r="L185" s="232"/>
      <c r="M185" s="232"/>
      <c r="N185" s="232"/>
      <c r="O185" s="232"/>
      <c r="P185" s="232"/>
      <c r="Q185" s="232"/>
      <c r="R185" s="234"/>
    </row>
    <row r="186" spans="1:18" s="138" customFormat="1">
      <c r="A186" s="232"/>
      <c r="B186" s="232"/>
      <c r="C186" s="241"/>
      <c r="D186" s="232"/>
      <c r="E186" s="233"/>
      <c r="F186" s="232"/>
      <c r="G186" s="232"/>
      <c r="H186" s="232"/>
      <c r="I186" s="232"/>
      <c r="J186" s="232"/>
      <c r="K186" s="232"/>
      <c r="L186" s="232"/>
      <c r="M186" s="232"/>
      <c r="N186" s="232"/>
      <c r="O186" s="232"/>
      <c r="P186" s="232"/>
      <c r="Q186" s="232"/>
      <c r="R186" s="234"/>
    </row>
    <row r="187" spans="1:18" s="138" customFormat="1">
      <c r="A187" s="232"/>
      <c r="B187" s="232"/>
      <c r="C187" s="241"/>
      <c r="D187" s="232"/>
      <c r="E187" s="233"/>
      <c r="F187" s="232"/>
      <c r="G187" s="232"/>
      <c r="H187" s="232"/>
      <c r="I187" s="232"/>
      <c r="J187" s="232"/>
      <c r="K187" s="232"/>
      <c r="L187" s="232"/>
      <c r="M187" s="232"/>
      <c r="N187" s="232"/>
      <c r="O187" s="232"/>
      <c r="P187" s="232"/>
      <c r="Q187" s="232"/>
      <c r="R187" s="234"/>
    </row>
    <row r="188" spans="1:18" s="138" customFormat="1">
      <c r="A188" s="232"/>
      <c r="B188" s="232"/>
      <c r="C188" s="241"/>
      <c r="D188" s="232"/>
      <c r="E188" s="233"/>
      <c r="F188" s="232"/>
      <c r="G188" s="232"/>
      <c r="H188" s="232"/>
      <c r="I188" s="232"/>
      <c r="J188" s="232"/>
      <c r="K188" s="232"/>
      <c r="L188" s="232"/>
      <c r="M188" s="232"/>
      <c r="N188" s="232"/>
      <c r="O188" s="232"/>
      <c r="P188" s="232"/>
      <c r="Q188" s="232"/>
      <c r="R188" s="234"/>
    </row>
    <row r="189" spans="1:18" s="138" customFormat="1">
      <c r="A189" s="232"/>
      <c r="B189" s="232"/>
      <c r="C189" s="241"/>
      <c r="D189" s="232"/>
      <c r="E189" s="233"/>
      <c r="F189" s="232"/>
      <c r="G189" s="232"/>
      <c r="H189" s="232"/>
      <c r="I189" s="232"/>
      <c r="J189" s="232"/>
      <c r="K189" s="232"/>
      <c r="L189" s="232"/>
      <c r="M189" s="232"/>
      <c r="N189" s="232"/>
      <c r="O189" s="232"/>
      <c r="P189" s="232"/>
      <c r="Q189" s="232"/>
      <c r="R189" s="234"/>
    </row>
    <row r="190" spans="1:18" s="138" customFormat="1">
      <c r="A190" s="232"/>
      <c r="B190" s="232"/>
      <c r="C190" s="241"/>
      <c r="D190" s="232"/>
      <c r="E190" s="233"/>
      <c r="F190" s="232"/>
      <c r="G190" s="232"/>
      <c r="H190" s="232"/>
      <c r="I190" s="232"/>
      <c r="J190" s="232"/>
      <c r="K190" s="232"/>
      <c r="L190" s="232"/>
      <c r="M190" s="232"/>
      <c r="N190" s="232"/>
      <c r="O190" s="232"/>
      <c r="P190" s="232"/>
      <c r="Q190" s="232"/>
      <c r="R190" s="234"/>
    </row>
    <row r="191" spans="1:18" s="138" customFormat="1">
      <c r="A191" s="232"/>
      <c r="B191" s="232"/>
      <c r="C191" s="241"/>
      <c r="D191" s="232"/>
      <c r="E191" s="233"/>
      <c r="F191" s="232"/>
      <c r="G191" s="232"/>
      <c r="H191" s="232"/>
      <c r="I191" s="232"/>
      <c r="J191" s="232"/>
      <c r="K191" s="232"/>
      <c r="L191" s="232"/>
      <c r="M191" s="232"/>
      <c r="N191" s="232"/>
      <c r="O191" s="232"/>
      <c r="P191" s="232"/>
      <c r="Q191" s="232"/>
      <c r="R191" s="234"/>
    </row>
    <row r="192" spans="1:18" s="138" customFormat="1">
      <c r="A192" s="232"/>
      <c r="B192" s="232"/>
      <c r="C192" s="241"/>
      <c r="D192" s="232"/>
      <c r="E192" s="233"/>
      <c r="F192" s="232"/>
      <c r="G192" s="232"/>
      <c r="H192" s="232"/>
      <c r="I192" s="232"/>
      <c r="J192" s="232"/>
      <c r="K192" s="232"/>
      <c r="L192" s="232"/>
      <c r="M192" s="232"/>
      <c r="N192" s="232"/>
      <c r="O192" s="232"/>
      <c r="P192" s="232"/>
      <c r="Q192" s="232"/>
      <c r="R192" s="234"/>
    </row>
    <row r="193" spans="1:18" s="138" customFormat="1">
      <c r="A193" s="232"/>
      <c r="B193" s="232"/>
      <c r="C193" s="241"/>
      <c r="D193" s="232"/>
      <c r="E193" s="233"/>
      <c r="F193" s="232"/>
      <c r="G193" s="232"/>
      <c r="H193" s="232"/>
      <c r="I193" s="232"/>
      <c r="J193" s="232"/>
      <c r="K193" s="232"/>
      <c r="L193" s="232"/>
      <c r="M193" s="232"/>
      <c r="N193" s="232"/>
      <c r="O193" s="232"/>
      <c r="P193" s="232"/>
      <c r="Q193" s="232"/>
      <c r="R193" s="234"/>
    </row>
    <row r="194" spans="1:18" s="138" customFormat="1">
      <c r="A194" s="232"/>
      <c r="B194" s="232"/>
      <c r="C194" s="241"/>
      <c r="D194" s="232"/>
      <c r="E194" s="233"/>
      <c r="F194" s="232"/>
      <c r="G194" s="232"/>
      <c r="H194" s="232"/>
      <c r="I194" s="232"/>
      <c r="J194" s="232"/>
      <c r="K194" s="232"/>
      <c r="L194" s="232"/>
      <c r="M194" s="232"/>
      <c r="N194" s="232"/>
      <c r="O194" s="232"/>
      <c r="P194" s="232"/>
      <c r="Q194" s="232"/>
      <c r="R194" s="234"/>
    </row>
    <row r="195" spans="1:18" s="138" customFormat="1">
      <c r="A195" s="232"/>
      <c r="B195" s="232"/>
      <c r="C195" s="241"/>
      <c r="D195" s="232"/>
      <c r="E195" s="233"/>
      <c r="F195" s="232"/>
      <c r="G195" s="232"/>
      <c r="H195" s="232"/>
      <c r="I195" s="232"/>
      <c r="J195" s="232"/>
      <c r="K195" s="232"/>
      <c r="L195" s="232"/>
      <c r="M195" s="232"/>
      <c r="N195" s="232"/>
      <c r="O195" s="232"/>
      <c r="P195" s="232"/>
      <c r="Q195" s="232"/>
      <c r="R195" s="234"/>
    </row>
    <row r="196" spans="1:18" s="138" customFormat="1">
      <c r="A196" s="232"/>
      <c r="B196" s="232"/>
      <c r="C196" s="241"/>
      <c r="D196" s="232"/>
      <c r="E196" s="233"/>
      <c r="F196" s="232"/>
      <c r="G196" s="232"/>
      <c r="H196" s="232"/>
      <c r="I196" s="232"/>
      <c r="J196" s="232"/>
      <c r="K196" s="232"/>
      <c r="L196" s="232"/>
      <c r="M196" s="232"/>
      <c r="N196" s="232"/>
      <c r="O196" s="232"/>
      <c r="P196" s="232"/>
      <c r="Q196" s="232"/>
      <c r="R196" s="234"/>
    </row>
    <row r="197" spans="1:18" s="138" customFormat="1">
      <c r="A197" s="232"/>
      <c r="B197" s="232"/>
      <c r="C197" s="241"/>
      <c r="D197" s="232"/>
      <c r="E197" s="233"/>
      <c r="F197" s="232"/>
      <c r="G197" s="232"/>
      <c r="H197" s="232"/>
      <c r="I197" s="232"/>
      <c r="J197" s="232"/>
      <c r="K197" s="232"/>
      <c r="L197" s="232"/>
      <c r="M197" s="232"/>
      <c r="N197" s="232"/>
      <c r="O197" s="232"/>
      <c r="P197" s="232"/>
      <c r="Q197" s="232"/>
      <c r="R197" s="234"/>
    </row>
    <row r="198" spans="1:18" s="138" customFormat="1">
      <c r="A198" s="232"/>
      <c r="B198" s="232"/>
      <c r="C198" s="241"/>
      <c r="D198" s="232"/>
      <c r="E198" s="233"/>
      <c r="F198" s="232"/>
      <c r="G198" s="232"/>
      <c r="H198" s="232"/>
      <c r="I198" s="232"/>
      <c r="J198" s="232"/>
      <c r="K198" s="232"/>
      <c r="L198" s="232"/>
      <c r="M198" s="232"/>
      <c r="N198" s="232"/>
      <c r="O198" s="232"/>
      <c r="P198" s="232"/>
      <c r="Q198" s="232"/>
      <c r="R198" s="234"/>
    </row>
    <row r="199" spans="1:18" s="138" customFormat="1">
      <c r="A199" s="232"/>
      <c r="B199" s="232"/>
      <c r="C199" s="241"/>
      <c r="D199" s="232"/>
      <c r="E199" s="233"/>
      <c r="F199" s="232"/>
      <c r="G199" s="232"/>
      <c r="H199" s="232"/>
      <c r="I199" s="232"/>
      <c r="J199" s="232"/>
      <c r="K199" s="232"/>
      <c r="L199" s="232"/>
      <c r="M199" s="232"/>
      <c r="N199" s="232"/>
      <c r="O199" s="232"/>
      <c r="P199" s="232"/>
      <c r="Q199" s="232"/>
      <c r="R199" s="234"/>
    </row>
    <row r="200" spans="1:18" s="138" customFormat="1">
      <c r="A200" s="232"/>
      <c r="B200" s="232"/>
      <c r="C200" s="241"/>
      <c r="D200" s="232"/>
      <c r="E200" s="233"/>
      <c r="F200" s="232"/>
      <c r="G200" s="232"/>
      <c r="H200" s="232"/>
      <c r="I200" s="232"/>
      <c r="J200" s="232"/>
      <c r="K200" s="232"/>
      <c r="L200" s="232"/>
      <c r="M200" s="232"/>
      <c r="N200" s="232"/>
      <c r="O200" s="232"/>
      <c r="P200" s="232"/>
      <c r="Q200" s="232"/>
      <c r="R200" s="234"/>
    </row>
  </sheetData>
  <pageMargins left="0.70866141732283472" right="0.70866141732283472" top="0.74803149606299213" bottom="0.74803149606299213" header="0.31496062992125984" footer="0.31496062992125984"/>
  <pageSetup paperSize="9" scale="45" fitToHeight="0" orientation="landscape" r:id="rId1"/>
  <headerFooter>
    <oddFooter>&amp;LPL14L012 CIS v3.5
Ofwat, February 2016</oddFooter>
  </headerFooter>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X220"/>
  <sheetViews>
    <sheetView showGridLines="0" zoomScale="70" zoomScaleNormal="70" workbookViewId="0">
      <pane xSplit="6" ySplit="7" topLeftCell="G176" activePane="bottomRight" state="frozen"/>
      <selection activeCell="P219" sqref="P219"/>
      <selection pane="topRight" activeCell="P219" sqref="P219"/>
      <selection pane="bottomLeft" activeCell="P219" sqref="P219"/>
      <selection pane="bottomRight" activeCell="P219" sqref="P219"/>
    </sheetView>
  </sheetViews>
  <sheetFormatPr defaultColWidth="9.109375" defaultRowHeight="13.2"/>
  <cols>
    <col min="1" max="1" width="0.44140625" customWidth="1"/>
    <col min="2" max="2" width="0.5546875" customWidth="1"/>
    <col min="3" max="3" width="41.44140625" bestFit="1" customWidth="1"/>
    <col min="4" max="4" width="9.44140625" bestFit="1" customWidth="1"/>
    <col min="5" max="5" width="83.5546875" style="21" customWidth="1"/>
    <col min="6" max="6" width="14.33203125" customWidth="1"/>
    <col min="7" max="7" width="11.44140625" customWidth="1"/>
    <col min="8" max="8" width="11.6640625" customWidth="1"/>
    <col min="9" max="9" width="12.33203125" bestFit="1" customWidth="1"/>
    <col min="10" max="10" width="13.33203125" customWidth="1"/>
    <col min="11" max="14" width="11.5546875" bestFit="1" customWidth="1"/>
    <col min="15" max="15" width="9.5546875" customWidth="1"/>
    <col min="16" max="16" width="17.6640625" style="22" customWidth="1"/>
    <col min="17" max="17" width="4.33203125" style="22" customWidth="1"/>
    <col min="18" max="18" width="18.33203125" style="101" bestFit="1" customWidth="1"/>
    <col min="19" max="19" width="13.6640625" style="22" customWidth="1"/>
    <col min="20" max="32" width="9.109375" style="22"/>
    <col min="33" max="33" width="10.109375" style="22" customWidth="1"/>
    <col min="34" max="16384" width="9.109375" style="22"/>
  </cols>
  <sheetData>
    <row r="1" spans="1:23" ht="37.5" customHeight="1">
      <c r="A1" s="1" t="s">
        <v>20</v>
      </c>
      <c r="B1" s="38"/>
      <c r="C1" s="469"/>
      <c r="D1" s="478" t="s">
        <v>22</v>
      </c>
      <c r="E1" s="486" t="s">
        <v>771</v>
      </c>
      <c r="F1" s="470"/>
      <c r="G1" s="470"/>
      <c r="H1" s="470"/>
      <c r="I1" s="470"/>
      <c r="J1" s="470"/>
      <c r="K1" s="470"/>
      <c r="L1" s="470"/>
      <c r="M1" s="470"/>
      <c r="N1" s="471"/>
      <c r="O1" s="470"/>
      <c r="P1" s="472"/>
      <c r="Q1" s="473"/>
      <c r="R1" s="474"/>
      <c r="S1" s="2"/>
      <c r="T1" s="2"/>
      <c r="U1" s="2"/>
      <c r="V1" s="2"/>
      <c r="W1" s="2"/>
    </row>
    <row r="2" spans="1:23" ht="17.399999999999999">
      <c r="A2" s="3"/>
      <c r="B2" s="4"/>
      <c r="C2" s="45"/>
      <c r="D2" s="46"/>
      <c r="E2" s="47"/>
      <c r="F2" s="48"/>
      <c r="G2" s="49"/>
      <c r="H2" s="49"/>
      <c r="I2" s="49"/>
      <c r="J2" s="50"/>
      <c r="K2" s="50"/>
      <c r="L2" s="50"/>
      <c r="M2" s="50"/>
      <c r="N2" s="371"/>
      <c r="O2" s="5"/>
      <c r="P2" s="81"/>
      <c r="Q2" s="49"/>
      <c r="R2" s="98"/>
      <c r="S2" s="2"/>
      <c r="T2" s="2"/>
      <c r="U2" s="2"/>
      <c r="V2" s="2"/>
      <c r="W2" s="2"/>
    </row>
    <row r="3" spans="1:23" ht="17.399999999999999">
      <c r="A3" s="6" t="s">
        <v>25</v>
      </c>
      <c r="B3" s="7"/>
      <c r="C3" s="8"/>
      <c r="D3" s="9" t="s">
        <v>26</v>
      </c>
      <c r="E3" s="10"/>
      <c r="F3" s="39" t="s">
        <v>27</v>
      </c>
      <c r="G3" s="487" t="s">
        <v>28</v>
      </c>
      <c r="H3" s="487" t="s">
        <v>29</v>
      </c>
      <c r="I3" s="487" t="s">
        <v>30</v>
      </c>
      <c r="J3" s="487" t="s">
        <v>31</v>
      </c>
      <c r="K3" s="487" t="s">
        <v>32</v>
      </c>
      <c r="L3" s="487" t="s">
        <v>33</v>
      </c>
      <c r="M3" s="487" t="s">
        <v>34</v>
      </c>
      <c r="N3" s="488" t="s">
        <v>35</v>
      </c>
      <c r="O3" s="487"/>
      <c r="P3" s="489" t="s">
        <v>86</v>
      </c>
      <c r="Q3" s="490"/>
      <c r="R3" s="491"/>
      <c r="S3" s="2"/>
      <c r="T3" s="2"/>
      <c r="U3" s="11"/>
      <c r="V3" s="12"/>
      <c r="W3" s="12"/>
    </row>
    <row r="4" spans="1:23">
      <c r="A4" s="13"/>
      <c r="B4" s="14"/>
      <c r="C4" s="18"/>
      <c r="D4" s="68"/>
      <c r="E4" s="69"/>
      <c r="F4" s="15"/>
      <c r="G4" s="15"/>
      <c r="H4" s="15"/>
      <c r="I4" s="15"/>
      <c r="J4" s="70"/>
      <c r="K4" s="70"/>
      <c r="L4" s="70"/>
      <c r="M4" s="70"/>
      <c r="N4" s="372"/>
      <c r="O4" s="16"/>
      <c r="P4" s="82"/>
      <c r="Q4" s="15"/>
      <c r="R4" s="99"/>
      <c r="S4" s="17"/>
      <c r="T4" s="17"/>
      <c r="U4" s="11"/>
      <c r="V4" s="12"/>
      <c r="W4" s="12"/>
    </row>
    <row r="5" spans="1:23" s="29" customFormat="1">
      <c r="A5" s="61" t="s">
        <v>19</v>
      </c>
      <c r="B5" s="14"/>
      <c r="C5" s="62" t="s">
        <v>17</v>
      </c>
      <c r="D5" s="68" t="s">
        <v>16</v>
      </c>
      <c r="E5" s="71"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99"/>
      <c r="S5" s="17"/>
      <c r="T5" s="17"/>
      <c r="U5" s="63"/>
      <c r="V5" s="12"/>
      <c r="W5" s="12"/>
    </row>
    <row r="6" spans="1:23" ht="12.75" customHeight="1">
      <c r="C6" s="19"/>
      <c r="D6" s="19"/>
      <c r="E6" s="78" t="s">
        <v>80</v>
      </c>
      <c r="F6" s="19">
        <f t="shared" ref="F6:N6" si="1">IF(F5=8,0,F5-8)</f>
        <v>-8</v>
      </c>
      <c r="G6" s="19">
        <f t="shared" si="1"/>
        <v>-7</v>
      </c>
      <c r="H6" s="19">
        <f t="shared" si="1"/>
        <v>-6</v>
      </c>
      <c r="I6" s="19">
        <f t="shared" si="1"/>
        <v>-5</v>
      </c>
      <c r="J6" s="65">
        <f t="shared" si="1"/>
        <v>-4</v>
      </c>
      <c r="K6" s="65">
        <f t="shared" si="1"/>
        <v>-3</v>
      </c>
      <c r="L6" s="65">
        <f t="shared" si="1"/>
        <v>-2</v>
      </c>
      <c r="M6" s="65">
        <f t="shared" si="1"/>
        <v>-1</v>
      </c>
      <c r="N6" s="374">
        <f t="shared" si="1"/>
        <v>0</v>
      </c>
      <c r="P6" s="84"/>
      <c r="Q6" s="19"/>
      <c r="R6" s="100"/>
    </row>
    <row r="7" spans="1:23">
      <c r="A7" s="13"/>
      <c r="B7" s="14"/>
      <c r="C7" s="18"/>
      <c r="D7" s="68"/>
      <c r="E7" s="69"/>
      <c r="F7" s="73"/>
      <c r="G7" s="73"/>
      <c r="H7" s="73"/>
      <c r="I7" s="15"/>
      <c r="J7" s="70"/>
      <c r="K7" s="70"/>
      <c r="L7" s="70"/>
      <c r="M7" s="70"/>
      <c r="N7" s="372"/>
      <c r="O7" s="16"/>
      <c r="P7" s="82"/>
      <c r="Q7" s="15"/>
      <c r="R7" s="99"/>
      <c r="S7" s="17"/>
      <c r="T7" s="17"/>
      <c r="U7" s="11"/>
      <c r="V7" s="12"/>
      <c r="W7" s="12"/>
    </row>
    <row r="8" spans="1:23">
      <c r="A8" s="13"/>
      <c r="B8" s="14"/>
      <c r="C8" s="18"/>
      <c r="D8" s="68"/>
      <c r="E8" s="69"/>
      <c r="F8" s="73"/>
      <c r="G8" s="73"/>
      <c r="H8" s="73"/>
      <c r="I8" s="15"/>
      <c r="J8" s="70"/>
      <c r="K8" s="70"/>
      <c r="L8" s="70"/>
      <c r="M8" s="70"/>
      <c r="N8" s="372"/>
      <c r="O8" s="16"/>
      <c r="P8" s="82"/>
      <c r="Q8" s="15"/>
      <c r="R8" s="99"/>
      <c r="S8" s="17"/>
      <c r="T8" s="17"/>
      <c r="U8" s="11"/>
      <c r="V8" s="12"/>
      <c r="W8" s="12"/>
    </row>
    <row r="9" spans="1:23">
      <c r="A9" s="59"/>
      <c r="B9" s="60"/>
      <c r="C9" s="453"/>
      <c r="D9" s="467" t="s">
        <v>38</v>
      </c>
      <c r="E9" s="454" t="s">
        <v>98</v>
      </c>
      <c r="F9" s="440"/>
      <c r="G9" s="440"/>
      <c r="H9" s="440"/>
      <c r="I9" s="440"/>
      <c r="J9" s="440"/>
      <c r="K9" s="440"/>
      <c r="L9" s="440"/>
      <c r="M9" s="440"/>
      <c r="N9" s="446"/>
      <c r="O9" s="440"/>
      <c r="P9" s="475"/>
      <c r="Q9" s="476"/>
      <c r="R9" s="477"/>
    </row>
    <row r="10" spans="1:23">
      <c r="C10" s="19"/>
      <c r="D10" s="19"/>
      <c r="E10" s="74"/>
      <c r="F10" s="19"/>
      <c r="G10" s="19"/>
      <c r="H10" s="19"/>
      <c r="I10" s="19"/>
      <c r="J10" s="65"/>
      <c r="K10" s="65"/>
      <c r="L10" s="65"/>
      <c r="M10" s="65"/>
      <c r="N10" s="374"/>
      <c r="O10" s="28"/>
      <c r="P10" s="84"/>
      <c r="Q10" s="19"/>
      <c r="R10" s="100"/>
    </row>
    <row r="11" spans="1:23">
      <c r="A11" s="59"/>
      <c r="B11" s="60"/>
      <c r="C11" s="453"/>
      <c r="D11" s="467" t="s">
        <v>38</v>
      </c>
      <c r="E11" s="483" t="s">
        <v>106</v>
      </c>
      <c r="F11" s="440"/>
      <c r="G11" s="440"/>
      <c r="H11" s="440"/>
      <c r="I11" s="440"/>
      <c r="J11" s="440"/>
      <c r="K11" s="440"/>
      <c r="L11" s="440"/>
      <c r="M11" s="440"/>
      <c r="N11" s="446"/>
      <c r="O11" s="440"/>
      <c r="P11" s="475"/>
      <c r="Q11" s="476"/>
      <c r="R11" s="477"/>
    </row>
    <row r="12" spans="1:23" s="37" customFormat="1">
      <c r="C12" s="131"/>
      <c r="D12" s="131"/>
      <c r="E12" s="149"/>
      <c r="F12" s="131"/>
      <c r="G12" s="131"/>
      <c r="H12" s="131"/>
      <c r="I12" s="131"/>
      <c r="J12" s="106"/>
      <c r="K12" s="106"/>
      <c r="L12" s="106"/>
      <c r="M12" s="106"/>
      <c r="N12" s="364"/>
      <c r="O12" s="203"/>
      <c r="P12" s="136"/>
      <c r="Q12" s="131"/>
      <c r="R12" s="147"/>
    </row>
    <row r="13" spans="1:23" s="37" customFormat="1">
      <c r="C13" s="131"/>
      <c r="D13" s="131" t="s">
        <v>90</v>
      </c>
      <c r="E13" s="132" t="s">
        <v>91</v>
      </c>
      <c r="F13" s="133"/>
      <c r="G13" s="134">
        <f>IF('Input BYR'!G103=0,F13*(1+'Input BYR'!G104),'Input BYR'!G103)</f>
        <v>208.59166666666701</v>
      </c>
      <c r="H13" s="134">
        <f>IF('Input BYR'!H103=0,G13*(1+'Input BYR'!H104),'Input BYR'!H103)</f>
        <v>214.78333333333299</v>
      </c>
      <c r="I13" s="134">
        <f>IF('Input BYR'!I103=0,H13*(1+'Input BYR'!I104),'Input BYR'!I103)</f>
        <v>215.76666666666699</v>
      </c>
      <c r="J13" s="135">
        <f>IF('Input BYR'!J103=0,I13*(1+'Input BYR'!J104),'Input BYR'!J103)</f>
        <v>226.47499999999999</v>
      </c>
      <c r="K13" s="135">
        <f>IF('Input BYR'!K103=0,J13*(1+'Input BYR'!K104),'Input BYR'!K103)</f>
        <v>237.34166666666701</v>
      </c>
      <c r="L13" s="135">
        <f>IF('Input BYR'!L103=0,K13*(1+'Input BYR'!L104),'Input BYR'!L103)</f>
        <v>244.67500000000001</v>
      </c>
      <c r="M13" s="135">
        <f>IF('Input BYR'!M103=0,L13*(1+'Input BYR'!M104),'Input BYR'!M103)</f>
        <v>251.73333333333301</v>
      </c>
      <c r="N13" s="375">
        <f>IF('Input BYR'!N103=0,M13*(1+'Input BYR'!N104),'Input BYR'!N103)</f>
        <v>256.66666666666703</v>
      </c>
      <c r="P13" s="136"/>
      <c r="Q13" s="131"/>
      <c r="R13" s="137" t="s">
        <v>75</v>
      </c>
    </row>
    <row r="14" spans="1:23" s="37" customFormat="1">
      <c r="C14" s="131"/>
      <c r="D14" s="131" t="s">
        <v>58</v>
      </c>
      <c r="E14" s="132" t="s">
        <v>92</v>
      </c>
      <c r="F14" s="131"/>
      <c r="G14" s="204">
        <f>IF(G$5=1,0,G13/F13-1)</f>
        <v>0</v>
      </c>
      <c r="H14" s="204">
        <f t="shared" ref="H14:N14" si="2">IF(H$5=1,0,H13/G13-1)</f>
        <v>2.9683192840874062E-2</v>
      </c>
      <c r="I14" s="204">
        <f t="shared" si="2"/>
        <v>4.5782571583796727E-3</v>
      </c>
      <c r="J14" s="359">
        <f t="shared" si="2"/>
        <v>4.9629229105513595E-2</v>
      </c>
      <c r="K14" s="359">
        <f t="shared" si="2"/>
        <v>4.7981749273284136E-2</v>
      </c>
      <c r="L14" s="359">
        <f t="shared" si="2"/>
        <v>3.0897791510128059E-2</v>
      </c>
      <c r="M14" s="359">
        <f t="shared" si="2"/>
        <v>2.8847791287761382E-2</v>
      </c>
      <c r="N14" s="376">
        <f t="shared" si="2"/>
        <v>1.9597457627121395E-2</v>
      </c>
      <c r="P14" s="136"/>
      <c r="Q14" s="131"/>
      <c r="R14" s="137" t="s">
        <v>75</v>
      </c>
    </row>
    <row r="15" spans="1:23" s="138" customFormat="1">
      <c r="C15" s="139"/>
      <c r="D15" s="140" t="s">
        <v>58</v>
      </c>
      <c r="E15" s="141" t="s">
        <v>71</v>
      </c>
      <c r="F15" s="142"/>
      <c r="G15" s="143">
        <f t="shared" ref="G15:N15" si="3">$G$13/G13</f>
        <v>1</v>
      </c>
      <c r="H15" s="143">
        <f t="shared" si="3"/>
        <v>0.97117249941802131</v>
      </c>
      <c r="I15" s="143">
        <f t="shared" si="3"/>
        <v>0.96674648540089614</v>
      </c>
      <c r="J15" s="144">
        <f t="shared" si="3"/>
        <v>0.92103617029105644</v>
      </c>
      <c r="K15" s="144">
        <f t="shared" si="3"/>
        <v>0.87886661282960588</v>
      </c>
      <c r="L15" s="144">
        <f t="shared" si="3"/>
        <v>0.85252545894213549</v>
      </c>
      <c r="M15" s="144">
        <f t="shared" si="3"/>
        <v>0.82862155720339226</v>
      </c>
      <c r="N15" s="377">
        <f t="shared" si="3"/>
        <v>0.81269480519480541</v>
      </c>
      <c r="O15" s="145"/>
      <c r="P15" s="136"/>
      <c r="Q15" s="143"/>
      <c r="R15" s="137" t="s">
        <v>75</v>
      </c>
    </row>
    <row r="16" spans="1:23" s="138" customFormat="1">
      <c r="C16" s="139"/>
      <c r="D16" s="140"/>
      <c r="E16" s="141"/>
      <c r="F16" s="142"/>
      <c r="G16" s="143"/>
      <c r="H16" s="143"/>
      <c r="I16" s="143"/>
      <c r="J16" s="144"/>
      <c r="K16" s="144"/>
      <c r="L16" s="144"/>
      <c r="M16" s="146"/>
      <c r="N16" s="378"/>
      <c r="O16" s="37"/>
      <c r="P16" s="136"/>
      <c r="Q16" s="143"/>
      <c r="R16" s="137"/>
    </row>
    <row r="17" spans="1:18" s="138" customFormat="1">
      <c r="C17" s="139"/>
      <c r="D17" s="140" t="s">
        <v>90</v>
      </c>
      <c r="E17" s="141" t="s">
        <v>95</v>
      </c>
      <c r="F17" s="142"/>
      <c r="G17" s="134">
        <f>IF('Input BYR'!G106=0,F17*(1+'Input BYR'!G107),'Input BYR'!G106)</f>
        <v>111.3</v>
      </c>
      <c r="H17" s="134">
        <f>IF('Input BYR'!H106=0,G17*(1+'Input BYR'!H107),'Input BYR'!H106)</f>
        <v>113.97499999999999</v>
      </c>
      <c r="I17" s="134">
        <f>IF('Input BYR'!I106=0,H17*(1+'Input BYR'!I107),'Input BYR'!I106)</f>
        <v>110.47499999999999</v>
      </c>
      <c r="J17" s="135">
        <f>IF('Input BYR'!J106=0,I17*(1+'Input BYR'!J107),'Input BYR'!J106)</f>
        <v>107.375</v>
      </c>
      <c r="K17" s="135">
        <f>IF('Input BYR'!K106=0,J17*(1+'Input BYR'!K107),'Input BYR'!K106)</f>
        <v>109.95</v>
      </c>
      <c r="L17" s="135">
        <f>IF('Input BYR'!L106=0,K17*(1+'Input BYR'!L107),'Input BYR'!L106)</f>
        <v>113.45</v>
      </c>
      <c r="M17" s="135">
        <f>IF('Input BYR'!M106=0,L17*(1+'Input BYR'!M107),'Input BYR'!M106)</f>
        <v>118.375</v>
      </c>
      <c r="N17" s="375">
        <f>IF('Input BYR'!N106=0,M17*(1+'Input BYR'!N107),'Input BYR'!N106)</f>
        <v>121.825</v>
      </c>
      <c r="O17" s="37"/>
      <c r="P17" s="136"/>
      <c r="Q17" s="143"/>
      <c r="R17" s="137" t="s">
        <v>75</v>
      </c>
    </row>
    <row r="18" spans="1:18" s="37" customFormat="1">
      <c r="C18" s="131"/>
      <c r="D18" s="131" t="s">
        <v>58</v>
      </c>
      <c r="E18" s="132" t="s">
        <v>101</v>
      </c>
      <c r="F18" s="131"/>
      <c r="G18" s="143">
        <f>G17/$G$17</f>
        <v>1</v>
      </c>
      <c r="H18" s="143">
        <f t="shared" ref="H18:N18" si="4">H17/$G$17</f>
        <v>1.0240341419586703</v>
      </c>
      <c r="I18" s="143">
        <f t="shared" si="4"/>
        <v>0.99258760107816713</v>
      </c>
      <c r="J18" s="144">
        <f t="shared" si="4"/>
        <v>0.96473495058400727</v>
      </c>
      <c r="K18" s="144">
        <f t="shared" si="4"/>
        <v>0.98787061994609171</v>
      </c>
      <c r="L18" s="144">
        <f t="shared" si="4"/>
        <v>1.0193171608265947</v>
      </c>
      <c r="M18" s="144">
        <f t="shared" si="4"/>
        <v>1.0635669362084457</v>
      </c>
      <c r="N18" s="377">
        <f t="shared" si="4"/>
        <v>1.094564240790656</v>
      </c>
      <c r="P18" s="136"/>
      <c r="Q18" s="131"/>
      <c r="R18" s="137" t="s">
        <v>75</v>
      </c>
    </row>
    <row r="19" spans="1:18" s="37" customFormat="1">
      <c r="C19" s="131"/>
      <c r="D19" s="131"/>
      <c r="E19" s="132"/>
      <c r="F19" s="131"/>
      <c r="G19" s="143"/>
      <c r="H19" s="143"/>
      <c r="I19" s="143"/>
      <c r="J19" s="144"/>
      <c r="K19" s="144"/>
      <c r="L19" s="144"/>
      <c r="M19" s="144"/>
      <c r="N19" s="377"/>
      <c r="P19" s="136"/>
      <c r="Q19" s="131"/>
      <c r="R19" s="147"/>
    </row>
    <row r="20" spans="1:18" s="37" customFormat="1">
      <c r="C20" s="131"/>
      <c r="D20" s="131" t="s">
        <v>90</v>
      </c>
      <c r="E20" s="132" t="s">
        <v>94</v>
      </c>
      <c r="F20" s="131"/>
      <c r="G20" s="134">
        <f>((G17/'Input BYR'!$G$117)/(G13/'Input BYR'!$G$116))*100</f>
        <v>100</v>
      </c>
      <c r="H20" s="134">
        <f>((H17/'Input BYR'!$G$117)/(H13/'Input BYR'!$G$116))*100</f>
        <v>99.451379713539055</v>
      </c>
      <c r="I20" s="134">
        <f>((I17/'Input BYR'!$G$117)/(I13/'Input BYR'!$G$116))*100</f>
        <v>95.958057479482477</v>
      </c>
      <c r="J20" s="135">
        <f>((J17/'Input BYR'!$G$117)/(J13/'Input BYR'!$G$116))*100</f>
        <v>88.855578423182564</v>
      </c>
      <c r="K20" s="135">
        <f>((K17/'Input BYR'!$G$117)/(K13/'Input BYR'!$G$116))*100</f>
        <v>86.820650566590444</v>
      </c>
      <c r="L20" s="135">
        <f>((L17/'Input BYR'!$G$117)/(L13/'Input BYR'!$G$116))*100</f>
        <v>86.899383034128718</v>
      </c>
      <c r="M20" s="135">
        <f>((M17/'Input BYR'!$G$117)/(M13/'Input BYR'!$G$116))*100</f>
        <v>88.129449087108313</v>
      </c>
      <c r="N20" s="375">
        <f>((N17/'Input BYR'!$G$117)/(N13/'Input BYR'!$G$116))*100</f>
        <v>88.954667244256214</v>
      </c>
      <c r="P20" s="136"/>
      <c r="Q20" s="131"/>
      <c r="R20" s="137" t="s">
        <v>75</v>
      </c>
    </row>
    <row r="21" spans="1:18" s="37" customFormat="1">
      <c r="C21" s="131"/>
      <c r="D21" s="131" t="s">
        <v>58</v>
      </c>
      <c r="E21" s="132" t="s">
        <v>70</v>
      </c>
      <c r="F21" s="131"/>
      <c r="G21" s="143">
        <f t="shared" ref="G21:N21" si="5">G20/$G$20</f>
        <v>1</v>
      </c>
      <c r="H21" s="143">
        <f t="shared" si="5"/>
        <v>0.99451379713539056</v>
      </c>
      <c r="I21" s="143">
        <f t="shared" si="5"/>
        <v>0.95958057479482473</v>
      </c>
      <c r="J21" s="144">
        <f t="shared" si="5"/>
        <v>0.88855578423182568</v>
      </c>
      <c r="K21" s="144">
        <f t="shared" si="5"/>
        <v>0.8682065056659044</v>
      </c>
      <c r="L21" s="144">
        <f t="shared" si="5"/>
        <v>0.86899383034128719</v>
      </c>
      <c r="M21" s="144">
        <f t="shared" si="5"/>
        <v>0.88129449087108314</v>
      </c>
      <c r="N21" s="377">
        <f t="shared" si="5"/>
        <v>0.88954667244256214</v>
      </c>
      <c r="P21" s="136"/>
      <c r="Q21" s="131"/>
      <c r="R21" s="137" t="s">
        <v>75</v>
      </c>
    </row>
    <row r="22" spans="1:18" s="37" customFormat="1">
      <c r="C22" s="131"/>
      <c r="D22" s="131"/>
      <c r="E22" s="132"/>
      <c r="F22" s="131"/>
      <c r="G22" s="148"/>
      <c r="H22" s="131"/>
      <c r="I22" s="131"/>
      <c r="J22" s="106"/>
      <c r="K22" s="106"/>
      <c r="L22" s="106"/>
      <c r="M22" s="106"/>
      <c r="N22" s="364"/>
      <c r="P22" s="136"/>
      <c r="Q22" s="131"/>
      <c r="R22" s="147"/>
    </row>
    <row r="23" spans="1:18">
      <c r="A23" s="479"/>
      <c r="B23" s="452"/>
      <c r="C23" s="453"/>
      <c r="D23" s="467" t="s">
        <v>38</v>
      </c>
      <c r="E23" s="483" t="s">
        <v>105</v>
      </c>
      <c r="F23" s="440"/>
      <c r="G23" s="440"/>
      <c r="H23" s="440"/>
      <c r="I23" s="440"/>
      <c r="J23" s="440"/>
      <c r="K23" s="440"/>
      <c r="L23" s="440"/>
      <c r="M23" s="440"/>
      <c r="N23" s="446"/>
      <c r="O23" s="440"/>
      <c r="P23" s="475"/>
      <c r="Q23" s="476"/>
      <c r="R23" s="477"/>
    </row>
    <row r="24" spans="1:18" s="37" customFormat="1">
      <c r="C24" s="131"/>
      <c r="D24" s="131"/>
      <c r="E24" s="149"/>
      <c r="F24" s="131"/>
      <c r="G24" s="204"/>
      <c r="H24" s="204"/>
      <c r="I24" s="204"/>
      <c r="J24" s="106"/>
      <c r="K24" s="106"/>
      <c r="L24" s="106"/>
      <c r="M24" s="106"/>
      <c r="N24" s="364"/>
      <c r="O24" s="203"/>
      <c r="P24" s="136"/>
      <c r="Q24" s="131"/>
      <c r="R24" s="147"/>
    </row>
    <row r="25" spans="1:18" s="37" customFormat="1">
      <c r="C25" s="131"/>
      <c r="D25" s="131" t="s">
        <v>58</v>
      </c>
      <c r="E25" s="132" t="s">
        <v>390</v>
      </c>
      <c r="F25" s="131"/>
      <c r="G25" s="204">
        <f>IF(G$5=1,0,'Input BYR'!G111/'Input BYR'!F111-1)</f>
        <v>0</v>
      </c>
      <c r="H25" s="204">
        <f>IF(H$5=1,0,'Input BYR'!H111/'Input BYR'!G111-1)</f>
        <v>2.9683192840878947E-2</v>
      </c>
      <c r="I25" s="204">
        <f>IF(I$5=1,0,'Input BYR'!I111/'Input BYR'!H111-1)</f>
        <v>-8.3805385271978894E-3</v>
      </c>
      <c r="J25" s="359">
        <f>IF(J$5=1,0,'Input BYR'!J111/'Input BYR'!I111-1)</f>
        <v>1.9954613037013846E-2</v>
      </c>
      <c r="K25" s="359">
        <f>IF(K$5=1,0,'Input BYR'!K111/'Input BYR'!J111-1)</f>
        <v>2.9968543808502446E-2</v>
      </c>
      <c r="L25" s="359">
        <f>IF(L$5=1,0,'Input BYR'!L111/'Input BYR'!K111-1)</f>
        <v>2.6999999999999913E-2</v>
      </c>
      <c r="M25" s="359">
        <f>IF(M$5=1,0,'Input BYR'!M111/'Input BYR'!L111-1)</f>
        <v>2.4999999999995692E-2</v>
      </c>
      <c r="N25" s="376">
        <f>IF(N$5=1,0,'Input BYR'!N111/'Input BYR'!M111-1)</f>
        <v>2.5000000000002132E-2</v>
      </c>
      <c r="O25" s="366"/>
      <c r="P25" s="150"/>
      <c r="Q25" s="131"/>
      <c r="R25" s="137" t="s">
        <v>75</v>
      </c>
    </row>
    <row r="26" spans="1:18" s="138" customFormat="1">
      <c r="C26" s="139"/>
      <c r="D26" s="140" t="s">
        <v>58</v>
      </c>
      <c r="E26" s="141" t="s">
        <v>391</v>
      </c>
      <c r="F26" s="131"/>
      <c r="G26" s="143">
        <f>'Input BYR'!$G$111/'Input BYR'!G111</f>
        <v>1</v>
      </c>
      <c r="H26" s="143">
        <f>'Input BYR'!$G$111/'Input BYR'!H111</f>
        <v>0.97117249941801653</v>
      </c>
      <c r="I26" s="143">
        <f>'Input BYR'!$G$111/'Input BYR'!I111</f>
        <v>0.97938023319508394</v>
      </c>
      <c r="J26" s="144">
        <f>'Input BYR'!$G$111/'Input BYR'!J111</f>
        <v>0.9602194261163095</v>
      </c>
      <c r="K26" s="144">
        <f>'Input BYR'!$G$111/'Input BYR'!K111</f>
        <v>0.93228034184977882</v>
      </c>
      <c r="L26" s="144">
        <f>'Input BYR'!$G$111/'Input BYR'!L111</f>
        <v>0.90777053734155677</v>
      </c>
      <c r="M26" s="144">
        <f>'Input BYR'!$G$111/'Input BYR'!M111</f>
        <v>0.88562979252835183</v>
      </c>
      <c r="N26" s="377">
        <f>'Input BYR'!$G$111/'Input BYR'!N111</f>
        <v>0.864029065881317</v>
      </c>
      <c r="O26" s="366"/>
      <c r="P26" s="150"/>
      <c r="Q26" s="143"/>
      <c r="R26" s="137" t="s">
        <v>75</v>
      </c>
    </row>
    <row r="27" spans="1:18" s="138" customFormat="1">
      <c r="C27" s="139"/>
      <c r="D27" s="140"/>
      <c r="E27" s="141"/>
      <c r="F27" s="131"/>
      <c r="G27" s="143"/>
      <c r="H27" s="143"/>
      <c r="I27" s="143"/>
      <c r="J27" s="144"/>
      <c r="K27" s="144"/>
      <c r="L27" s="144"/>
      <c r="M27" s="144"/>
      <c r="N27" s="377"/>
      <c r="O27" s="366"/>
      <c r="P27" s="150"/>
      <c r="Q27" s="143"/>
      <c r="R27" s="137"/>
    </row>
    <row r="28" spans="1:18" s="138" customFormat="1">
      <c r="C28" s="139"/>
      <c r="D28" s="140" t="s">
        <v>90</v>
      </c>
      <c r="E28" s="141" t="s">
        <v>392</v>
      </c>
      <c r="F28" s="142"/>
      <c r="G28" s="134">
        <f>IF('Input BYR'!G113=0,F28*(1+'Input BYR'!G114),'Input BYR'!G113)</f>
        <v>111.3</v>
      </c>
      <c r="H28" s="134">
        <f>IF('Input BYR'!H113=0,G28*(1+'Input BYR'!H114),'Input BYR'!H113)</f>
        <v>109.58769230769231</v>
      </c>
      <c r="I28" s="134">
        <f>IF('Input BYR'!I113=0,H28*(1+'Input BYR'!I114),'Input BYR'!I113)</f>
        <v>108.66866252307695</v>
      </c>
      <c r="J28" s="135">
        <f>IF('Input BYR'!J113=0,I28*(1+'Input BYR'!J114),'Input BYR'!J113)</f>
        <v>111.38537908615383</v>
      </c>
      <c r="K28" s="135">
        <f>IF('Input BYR'!K113=0,J28*(1+'Input BYR'!K114),'Input BYR'!K113)</f>
        <v>116.39772114503074</v>
      </c>
      <c r="L28" s="135">
        <f>IF('Input BYR'!L113=0,K28*(1+'Input BYR'!L114),'Input BYR'!L113)</f>
        <v>120.7044368273969</v>
      </c>
      <c r="M28" s="135">
        <f>IF('Input BYR'!M113=0,L28*(1+'Input BYR'!M114),'Input BYR'!M113)</f>
        <v>124.32556993221878</v>
      </c>
      <c r="N28" s="375">
        <f>IF('Input BYR'!N113=0,M28*(1+'Input BYR'!N114),'Input BYR'!N113)</f>
        <v>128.05533703018534</v>
      </c>
      <c r="O28" s="37"/>
      <c r="P28" s="136"/>
      <c r="Q28" s="143"/>
      <c r="R28" s="137" t="s">
        <v>75</v>
      </c>
    </row>
    <row r="29" spans="1:18" s="138" customFormat="1">
      <c r="C29" s="139"/>
      <c r="D29" s="140" t="s">
        <v>58</v>
      </c>
      <c r="E29" s="132" t="s">
        <v>393</v>
      </c>
      <c r="F29" s="131"/>
      <c r="G29" s="143">
        <f>IF(OR(G$5&lt;4,'Input BYR'!$O$152=0),G28/$G$28,F29*(1+('Input BYR'!G$111/'Input BYR'!F$111-1)))</f>
        <v>1</v>
      </c>
      <c r="H29" s="143">
        <f>IF(OR(H$5&lt;4,'Input BYR'!$O$152=0),H28/$G$28,G29*(1+('Input BYR'!H$111/'Input BYR'!G$111-1)))</f>
        <v>0.98461538461538467</v>
      </c>
      <c r="I29" s="143">
        <f>IF(OR(I$5&lt;4,'Input BYR'!$O$152=0),I28/$G$28,H29*(1+('Input BYR'!I$111/'Input BYR'!H$111-1)))</f>
        <v>0.9763581538461541</v>
      </c>
      <c r="J29" s="152">
        <f>IF(OR(J$5&lt;4,'Input BYR'!$O$152=0),J28/$G$28,I29*(1+('Input BYR'!J$111/'Input BYR'!I$111-1)))</f>
        <v>1.0007671076923077</v>
      </c>
      <c r="K29" s="152">
        <f>IF(OR(K$5&lt;4,'Input BYR'!$O$152=0),K28/$G$28,J29*(1+('Input BYR'!K$111/'Input BYR'!J$111-1)))</f>
        <v>1.0458016275384614</v>
      </c>
      <c r="L29" s="152">
        <f>IF(OR(L$5&lt;4,'Input BYR'!$O$152=0),L28/$G$28,K29*(1+('Input BYR'!L$111/'Input BYR'!K$111-1)))</f>
        <v>1.0844962877573847</v>
      </c>
      <c r="M29" s="152">
        <f>IF(OR(M$5&lt;4,'Input BYR'!$O$152=0),M28/$G$28,L29*(1+('Input BYR'!M$111/'Input BYR'!L$111-1)))</f>
        <v>1.117031176390106</v>
      </c>
      <c r="N29" s="379">
        <f>IF(OR(N$5&lt;4,'Input BYR'!$O$152=0),N28/$G$28,M29*(1+('Input BYR'!N$111/'Input BYR'!M$111-1)))</f>
        <v>1.1505421116818091</v>
      </c>
      <c r="O29" s="367"/>
      <c r="P29" s="151"/>
      <c r="Q29" s="143"/>
      <c r="R29" s="137" t="s">
        <v>75</v>
      </c>
    </row>
    <row r="30" spans="1:18" s="37" customFormat="1">
      <c r="C30" s="131"/>
      <c r="D30" s="131"/>
      <c r="E30" s="132"/>
      <c r="F30" s="131"/>
      <c r="G30" s="148"/>
      <c r="H30" s="131"/>
      <c r="I30" s="131"/>
      <c r="J30" s="106"/>
      <c r="K30" s="106"/>
      <c r="L30" s="106"/>
      <c r="M30" s="106"/>
      <c r="N30" s="364"/>
      <c r="O30" s="361"/>
      <c r="P30" s="150"/>
      <c r="Q30" s="131"/>
      <c r="R30" s="147"/>
    </row>
    <row r="31" spans="1:18" s="37" customFormat="1">
      <c r="C31" s="131"/>
      <c r="D31" s="131" t="s">
        <v>90</v>
      </c>
      <c r="E31" s="132" t="s">
        <v>394</v>
      </c>
      <c r="F31" s="131"/>
      <c r="G31" s="134">
        <f>IF(OR(G$5&lt;4,'Input BYR'!$O$152=0),((G28/'Input BYR'!$G$117)/('Input BYR'!G111/'Input BYR'!$G$116))*100,F31)</f>
        <v>100.00000000000048</v>
      </c>
      <c r="H31" s="134">
        <f>IF(OR(H$5&lt;4,'Input BYR'!$O$152=0),((H28/'Input BYR'!$G$117)/('Input BYR'!H111/'Input BYR'!$G$116))*100,G31)</f>
        <v>95.623138404235945</v>
      </c>
      <c r="I31" s="134">
        <f>IF(OR(I$5&lt;4,'Input BYR'!$O$152=0),((I28/'Input BYR'!$G$117)/('Input BYR'!I111/'Input BYR'!$G$116))*100,H31)</f>
        <v>95.62258763957729</v>
      </c>
      <c r="J31" s="135">
        <f>IF(OR(J$5&lt;4,'Input BYR'!$O$152=0),((J28/'Input BYR'!$G$117)/('Input BYR'!J111/'Input BYR'!$G$116))*100,I31)</f>
        <v>96.095601782439118</v>
      </c>
      <c r="K31" s="135">
        <f>IF(OR(K$5&lt;4,'Input BYR'!$O$152=0),((K28/'Input BYR'!$G$117)/('Input BYR'!K111/'Input BYR'!$G$116))*100,J31)</f>
        <v>97.498029882861658</v>
      </c>
      <c r="L31" s="135">
        <f>IF(OR(L$5&lt;4,'Input BYR'!$O$152=0),((L28/'Input BYR'!$G$117)/('Input BYR'!L111/'Input BYR'!$G$116))*100,K31)</f>
        <v>98.447377788244964</v>
      </c>
      <c r="M31" s="135">
        <f>IF(OR(M$5&lt;4,'Input BYR'!$O$152=0),((M28/'Input BYR'!$G$117)/('Input BYR'!M111/'Input BYR'!$G$116))*100,L31)</f>
        <v>98.927608899407502</v>
      </c>
      <c r="N31" s="375">
        <f>IF(OR(N$5&lt;4,'Input BYR'!$O$152=0),((N28/'Input BYR'!$G$117)/('Input BYR'!N111/'Input BYR'!$G$116))*100,M31)</f>
        <v>99.410182601355629</v>
      </c>
      <c r="O31" s="361"/>
      <c r="P31" s="150"/>
      <c r="Q31" s="131"/>
      <c r="R31" s="137" t="s">
        <v>75</v>
      </c>
    </row>
    <row r="32" spans="1:18" s="138" customFormat="1">
      <c r="C32" s="139"/>
      <c r="D32" s="140" t="s">
        <v>58</v>
      </c>
      <c r="E32" s="141" t="s">
        <v>395</v>
      </c>
      <c r="F32" s="131"/>
      <c r="G32" s="143">
        <f>G31/$G$31</f>
        <v>1</v>
      </c>
      <c r="H32" s="143">
        <f t="shared" ref="H32:N32" si="6">H31/$G$31</f>
        <v>0.95623138404235486</v>
      </c>
      <c r="I32" s="143">
        <f t="shared" si="6"/>
        <v>0.95622587639576828</v>
      </c>
      <c r="J32" s="152">
        <f>J31/$G$31</f>
        <v>0.96095601782438655</v>
      </c>
      <c r="K32" s="152">
        <f t="shared" si="6"/>
        <v>0.97498029882861192</v>
      </c>
      <c r="L32" s="152">
        <f t="shared" si="6"/>
        <v>0.98447377788244483</v>
      </c>
      <c r="M32" s="152">
        <f t="shared" si="6"/>
        <v>0.98927608899407027</v>
      </c>
      <c r="N32" s="379">
        <f t="shared" si="6"/>
        <v>0.99410182601355146</v>
      </c>
      <c r="O32" s="367"/>
      <c r="P32" s="151"/>
      <c r="Q32" s="143"/>
      <c r="R32" s="137" t="s">
        <v>75</v>
      </c>
    </row>
    <row r="33" spans="1:23" s="138" customFormat="1">
      <c r="C33" s="139"/>
      <c r="D33" s="140"/>
      <c r="E33" s="141"/>
      <c r="F33" s="131"/>
      <c r="G33" s="143"/>
      <c r="H33" s="143"/>
      <c r="I33" s="143"/>
      <c r="J33" s="152"/>
      <c r="K33" s="152"/>
      <c r="L33" s="152"/>
      <c r="M33" s="152"/>
      <c r="N33" s="379"/>
      <c r="O33" s="367"/>
      <c r="P33" s="151"/>
      <c r="Q33" s="143"/>
      <c r="R33" s="137"/>
    </row>
    <row r="34" spans="1:23" s="37" customFormat="1">
      <c r="A34" s="190"/>
      <c r="B34" s="191"/>
      <c r="C34" s="192"/>
      <c r="D34" s="193"/>
      <c r="E34" s="194"/>
      <c r="F34" s="195"/>
      <c r="G34" s="356"/>
      <c r="H34" s="356"/>
      <c r="I34" s="357"/>
      <c r="J34" s="358"/>
      <c r="K34" s="358"/>
      <c r="L34" s="358"/>
      <c r="M34" s="358"/>
      <c r="N34" s="380"/>
      <c r="O34" s="197"/>
      <c r="P34" s="198"/>
      <c r="Q34" s="196"/>
      <c r="R34" s="199"/>
      <c r="S34" s="200"/>
      <c r="T34" s="200"/>
      <c r="U34" s="201"/>
      <c r="V34" s="202"/>
      <c r="W34" s="202"/>
    </row>
    <row r="35" spans="1:23">
      <c r="A35" s="479"/>
      <c r="B35" s="452"/>
      <c r="C35" s="453"/>
      <c r="D35" s="467" t="s">
        <v>38</v>
      </c>
      <c r="E35" s="485" t="s">
        <v>102</v>
      </c>
      <c r="F35" s="440"/>
      <c r="G35" s="440"/>
      <c r="H35" s="440"/>
      <c r="I35" s="440"/>
      <c r="J35" s="440"/>
      <c r="K35" s="440"/>
      <c r="L35" s="440"/>
      <c r="M35" s="440"/>
      <c r="N35" s="446"/>
      <c r="O35" s="440"/>
      <c r="P35" s="475"/>
      <c r="Q35" s="476"/>
      <c r="R35" s="477"/>
    </row>
    <row r="36" spans="1:23">
      <c r="C36" s="19"/>
      <c r="D36" s="19"/>
      <c r="E36" s="74"/>
      <c r="F36" s="19"/>
      <c r="G36" s="75"/>
      <c r="H36" s="19"/>
      <c r="I36" s="19"/>
      <c r="J36" s="65"/>
      <c r="K36" s="65"/>
      <c r="L36" s="65"/>
      <c r="M36" s="65"/>
      <c r="N36" s="374"/>
      <c r="O36" s="28"/>
      <c r="P36" s="84"/>
      <c r="Q36" s="19"/>
      <c r="R36" s="100"/>
    </row>
    <row r="37" spans="1:23">
      <c r="A37" s="59"/>
      <c r="B37" s="60"/>
      <c r="C37" s="453"/>
      <c r="D37" s="467" t="s">
        <v>38</v>
      </c>
      <c r="E37" s="454" t="s">
        <v>121</v>
      </c>
      <c r="F37" s="440"/>
      <c r="G37" s="480"/>
      <c r="H37" s="480"/>
      <c r="I37" s="480"/>
      <c r="J37" s="440"/>
      <c r="K37" s="440"/>
      <c r="L37" s="440"/>
      <c r="M37" s="440"/>
      <c r="N37" s="446"/>
      <c r="O37" s="440"/>
      <c r="P37" s="475"/>
      <c r="Q37" s="476"/>
      <c r="R37" s="477"/>
    </row>
    <row r="38" spans="1:23" s="37" customFormat="1">
      <c r="C38" s="131"/>
      <c r="D38" s="131"/>
      <c r="E38" s="149"/>
      <c r="F38" s="131"/>
      <c r="G38" s="148"/>
      <c r="H38" s="148"/>
      <c r="I38" s="148"/>
      <c r="J38" s="106"/>
      <c r="K38" s="106"/>
      <c r="L38" s="106"/>
      <c r="M38" s="106"/>
      <c r="N38" s="364"/>
      <c r="O38" s="203"/>
      <c r="P38" s="136"/>
      <c r="Q38" s="131"/>
      <c r="R38" s="147"/>
    </row>
    <row r="39" spans="1:23" s="37" customFormat="1">
      <c r="C39" s="131"/>
      <c r="D39" s="153" t="s">
        <v>57</v>
      </c>
      <c r="E39" s="154" t="s">
        <v>60</v>
      </c>
      <c r="F39" s="155"/>
      <c r="G39" s="148"/>
      <c r="H39" s="148"/>
      <c r="I39" s="148"/>
      <c r="J39" s="156">
        <f>IF(OR(J$5&lt;4,J$5&gt;8),'Input BYR'!J30,'Input BYR'!J30*$G$95/100)</f>
        <v>92.744508388519577</v>
      </c>
      <c r="K39" s="156">
        <f>IF(OR(K$5&lt;4,K$5&gt;8),'Input BYR'!K30,'Input BYR'!K30*$G$95/100)</f>
        <v>123.58315740734844</v>
      </c>
      <c r="L39" s="156">
        <f>IF(OR(L$5&lt;4,L$5&gt;8),'Input BYR'!L30,'Input BYR'!L30*$G$95/100)</f>
        <v>106.43668892813312</v>
      </c>
      <c r="M39" s="156">
        <f>IF(OR(M$5&lt;4,M$5&gt;8),'Input BYR'!M30,'Input BYR'!M30*$G$95/100)</f>
        <v>126.28363827791573</v>
      </c>
      <c r="N39" s="365">
        <f>IF(OR(N$5&lt;4,N$5&gt;8),'Input BYR'!N30,'Input BYR'!N30*$G$95/100)</f>
        <v>120.38482974641023</v>
      </c>
      <c r="O39" s="157"/>
      <c r="P39" s="158"/>
      <c r="Q39" s="148"/>
      <c r="R39" s="147" t="s">
        <v>242</v>
      </c>
    </row>
    <row r="40" spans="1:23" s="37" customFormat="1">
      <c r="C40" s="131"/>
      <c r="D40" s="153" t="s">
        <v>57</v>
      </c>
      <c r="E40" s="154" t="s">
        <v>61</v>
      </c>
      <c r="F40" s="155"/>
      <c r="G40" s="148"/>
      <c r="H40" s="148"/>
      <c r="I40" s="148"/>
      <c r="J40" s="156">
        <f>IF(OR(J$5&lt;4,J$5&gt;8),'Input BYR'!J31,'Input BYR'!J31*$G$95/100)</f>
        <v>105.83219195036244</v>
      </c>
      <c r="K40" s="156">
        <f>IF(OR(K$5&lt;4,K$5&gt;8),'Input BYR'!K31,'Input BYR'!K31*$G$95/100)</f>
        <v>160.37178819267535</v>
      </c>
      <c r="L40" s="156">
        <f>IF(OR(L$5&lt;4,L$5&gt;8),'Input BYR'!L31,'Input BYR'!L31*$G$95/100)</f>
        <v>142.66725883808135</v>
      </c>
      <c r="M40" s="156">
        <f>IF(OR(M$5&lt;4,M$5&gt;8),'Input BYR'!M31,'Input BYR'!M31*$G$95/100)</f>
        <v>120.49689473269518</v>
      </c>
      <c r="N40" s="365">
        <f>IF(OR(N$5&lt;4,N$5&gt;8),'Input BYR'!N31,'Input BYR'!N31*$G$95/100)</f>
        <v>85.230568268989231</v>
      </c>
      <c r="O40" s="157"/>
      <c r="P40" s="158"/>
      <c r="Q40" s="148"/>
      <c r="R40" s="147" t="s">
        <v>242</v>
      </c>
    </row>
    <row r="41" spans="1:23" s="37" customFormat="1">
      <c r="C41" s="131"/>
      <c r="D41" s="153" t="s">
        <v>57</v>
      </c>
      <c r="E41" s="154" t="s">
        <v>63</v>
      </c>
      <c r="F41" s="155"/>
      <c r="G41" s="148"/>
      <c r="H41" s="148"/>
      <c r="I41" s="148"/>
      <c r="J41" s="156">
        <f>IF(OR(J$5&lt;4,J$5&gt;8),'Input BYR'!J32,'Input BYR'!J32*$G$95/100)</f>
        <v>15.589113678505825</v>
      </c>
      <c r="K41" s="156">
        <f>IF(OR(K$5&lt;4,K$5&gt;8),'Input BYR'!K32,'Input BYR'!K32*$G$95/100)</f>
        <v>30.190766593343678</v>
      </c>
      <c r="L41" s="156">
        <f>IF(OR(L$5&lt;4,L$5&gt;8),'Input BYR'!L32,'Input BYR'!L32*$G$95/100)</f>
        <v>38.153146625235721</v>
      </c>
      <c r="M41" s="156">
        <f>IF(OR(M$5&lt;4,M$5&gt;8),'Input BYR'!M32,'Input BYR'!M32*$G$95/100)</f>
        <v>26.33682677391614</v>
      </c>
      <c r="N41" s="365">
        <f>IF(OR(N$5&lt;4,N$5&gt;8),'Input BYR'!N32,'Input BYR'!N32*$G$95/100)</f>
        <v>12.978978580751031</v>
      </c>
      <c r="O41" s="157"/>
      <c r="P41" s="158"/>
      <c r="Q41" s="148"/>
      <c r="R41" s="147" t="s">
        <v>242</v>
      </c>
    </row>
    <row r="42" spans="1:23" s="37" customFormat="1">
      <c r="C42" s="131"/>
      <c r="D42" s="153" t="s">
        <v>57</v>
      </c>
      <c r="E42" s="154" t="s">
        <v>62</v>
      </c>
      <c r="F42" s="155"/>
      <c r="G42" s="148"/>
      <c r="H42" s="148"/>
      <c r="I42" s="148"/>
      <c r="J42" s="156">
        <f>IF(OR(J$5&lt;4,J$5&gt;8),'Input BYR'!J33,'Input BYR'!J33*$G$95/100)</f>
        <v>38.694736261513548</v>
      </c>
      <c r="K42" s="156">
        <f>IF(OR(K$5&lt;4,K$5&gt;8),'Input BYR'!K33,'Input BYR'!K33*$G$95/100)</f>
        <v>53.537201593277878</v>
      </c>
      <c r="L42" s="156">
        <f>IF(OR(L$5&lt;4,L$5&gt;8),'Input BYR'!L33,'Input BYR'!L33*$G$95/100)</f>
        <v>46.048073383459695</v>
      </c>
      <c r="M42" s="156">
        <f>IF(OR(M$5&lt;4,M$5&gt;8),'Input BYR'!M33,'Input BYR'!M33*$G$95/100)</f>
        <v>39.417296012112999</v>
      </c>
      <c r="N42" s="365">
        <f>IF(OR(N$5&lt;4,N$5&gt;8),'Input BYR'!N33,'Input BYR'!N33*$G$95/100)</f>
        <v>27.854831958516112</v>
      </c>
      <c r="O42" s="157"/>
      <c r="P42" s="158"/>
      <c r="Q42" s="148"/>
      <c r="R42" s="147" t="s">
        <v>242</v>
      </c>
    </row>
    <row r="43" spans="1:23" s="37" customFormat="1">
      <c r="C43" s="131"/>
      <c r="D43" s="153" t="s">
        <v>57</v>
      </c>
      <c r="E43" s="154" t="s">
        <v>218</v>
      </c>
      <c r="F43" s="155"/>
      <c r="G43" s="148"/>
      <c r="H43" s="148"/>
      <c r="I43" s="148"/>
      <c r="J43" s="156">
        <f>IF(OR(J$5&lt;4,J$5&gt;8),'Input BYR'!J34,'Input BYR'!J34*$G$95/100)</f>
        <v>0</v>
      </c>
      <c r="K43" s="156">
        <f>IF(OR(K$5&lt;4,K$5&gt;8),'Input BYR'!K34,'Input BYR'!K34*$G$95/100)</f>
        <v>0</v>
      </c>
      <c r="L43" s="156">
        <f>IF(OR(L$5&lt;4,L$5&gt;8),'Input BYR'!L34,'Input BYR'!L34*$G$95/100)</f>
        <v>0</v>
      </c>
      <c r="M43" s="156">
        <f>IF(OR(M$5&lt;4,M$5&gt;8),'Input BYR'!M34,'Input BYR'!M34*$G$95/100)</f>
        <v>0</v>
      </c>
      <c r="N43" s="365">
        <f>IF(OR(N$5&lt;4,N$5&gt;8),'Input BYR'!N34,'Input BYR'!N34*$G$95/100)</f>
        <v>0</v>
      </c>
      <c r="O43" s="157"/>
      <c r="P43" s="158"/>
      <c r="Q43" s="148"/>
      <c r="R43" s="147" t="s">
        <v>242</v>
      </c>
    </row>
    <row r="44" spans="1:23" s="37" customFormat="1">
      <c r="C44" s="131"/>
      <c r="D44" s="153" t="s">
        <v>57</v>
      </c>
      <c r="E44" s="154" t="s">
        <v>219</v>
      </c>
      <c r="F44" s="155"/>
      <c r="G44" s="148"/>
      <c r="H44" s="148"/>
      <c r="I44" s="148"/>
      <c r="J44" s="156">
        <f>IF(OR(J$5&lt;4,J$5&gt;8),'Input BYR'!J35,'Input BYR'!J35*$G$95/100)</f>
        <v>0</v>
      </c>
      <c r="K44" s="156">
        <f>IF(OR(K$5&lt;4,K$5&gt;8),'Input BYR'!K35,'Input BYR'!K35*$G$95/100)</f>
        <v>0</v>
      </c>
      <c r="L44" s="156">
        <f>IF(OR(L$5&lt;4,L$5&gt;8),'Input BYR'!L35,'Input BYR'!L35*$G$95/100)</f>
        <v>0</v>
      </c>
      <c r="M44" s="156">
        <f>IF(OR(M$5&lt;4,M$5&gt;8),'Input BYR'!M35,'Input BYR'!M35*$G$95/100)</f>
        <v>0</v>
      </c>
      <c r="N44" s="365">
        <f>IF(OR(N$5&lt;4,N$5&gt;8),'Input BYR'!N35,'Input BYR'!N35*$G$95/100)</f>
        <v>0</v>
      </c>
      <c r="O44" s="157"/>
      <c r="P44" s="158"/>
      <c r="Q44" s="148"/>
      <c r="R44" s="147" t="s">
        <v>242</v>
      </c>
    </row>
    <row r="45" spans="1:23" s="37" customFormat="1">
      <c r="C45" s="131"/>
      <c r="D45" s="153"/>
      <c r="E45" s="154"/>
      <c r="F45" s="155"/>
      <c r="G45" s="148"/>
      <c r="H45" s="148"/>
      <c r="I45" s="148"/>
      <c r="J45" s="156"/>
      <c r="K45" s="156"/>
      <c r="L45" s="156"/>
      <c r="M45" s="156"/>
      <c r="N45" s="365"/>
      <c r="O45" s="157"/>
      <c r="P45" s="158"/>
      <c r="Q45" s="148"/>
      <c r="R45" s="147"/>
    </row>
    <row r="46" spans="1:23" s="37" customFormat="1">
      <c r="C46" s="131"/>
      <c r="D46" s="153" t="s">
        <v>57</v>
      </c>
      <c r="E46" s="154" t="s">
        <v>10</v>
      </c>
      <c r="F46" s="155"/>
      <c r="G46" s="148"/>
      <c r="H46" s="148"/>
      <c r="I46" s="148"/>
      <c r="J46" s="156">
        <f>IF('Input BYR'!$O$151=1,0,IF(OR(J$5&lt;4,J$5&gt;8),'Input BYR'!J37,'Input BYR'!J37*$G$100/100))</f>
        <v>39.640590508201292</v>
      </c>
      <c r="K46" s="156">
        <f>IF('Input BYR'!$O$151=1,0,IF(OR(K$5&lt;4,K$5&gt;8),'Input BYR'!K37,'Input BYR'!K37*$G$100/100))</f>
        <v>36.494855012823066</v>
      </c>
      <c r="L46" s="156">
        <f>IF('Input BYR'!$O$151=1,0,IF(OR(L$5&lt;4,L$5&gt;8),'Input BYR'!L37,'Input BYR'!L37*$G$100/100))</f>
        <v>44.399875834970501</v>
      </c>
      <c r="M46" s="156">
        <f>IF('Input BYR'!$O$151=1,0,IF(OR(M$5&lt;4,M$5&gt;8),'Input BYR'!M37,'Input BYR'!M37*$G$100/100))</f>
        <v>46.225110251649333</v>
      </c>
      <c r="N46" s="365">
        <f>IF('Input BYR'!$O$151=1,0,IF(OR(N$5&lt;4,N$5&gt;8),'Input BYR'!N37,'Input BYR'!N37*$G$100/100))</f>
        <v>45.567919539780114</v>
      </c>
      <c r="O46" s="157"/>
      <c r="P46" s="158"/>
      <c r="Q46" s="148"/>
      <c r="R46" s="147" t="s">
        <v>242</v>
      </c>
    </row>
    <row r="47" spans="1:23" s="37" customFormat="1">
      <c r="C47" s="131"/>
      <c r="D47" s="153" t="s">
        <v>57</v>
      </c>
      <c r="E47" s="154" t="s">
        <v>11</v>
      </c>
      <c r="F47" s="155"/>
      <c r="G47" s="148"/>
      <c r="H47" s="148"/>
      <c r="I47" s="148"/>
      <c r="J47" s="156">
        <f>IF('Input BYR'!$O$151=1,0,IF(OR(J$5&lt;4,J$5&gt;8),'Input BYR'!J38,'Input BYR'!J38*$G$100/100))</f>
        <v>150.75957958585835</v>
      </c>
      <c r="K47" s="156">
        <f>IF('Input BYR'!$O$151=1,0,IF(OR(K$5&lt;4,K$5&gt;8),'Input BYR'!K38,'Input BYR'!K38*$G$100/100))</f>
        <v>226.284601824183</v>
      </c>
      <c r="L47" s="156">
        <f>IF('Input BYR'!$O$151=1,0,IF(OR(L$5&lt;4,L$5&gt;8),'Input BYR'!L38,'Input BYR'!L38*$G$100/100))</f>
        <v>132.78980871196487</v>
      </c>
      <c r="M47" s="156">
        <f>IF('Input BYR'!$O$151=1,0,IF(OR(M$5&lt;4,M$5&gt;8),'Input BYR'!M38,'Input BYR'!M38*$G$100/100))</f>
        <v>146.85726112845211</v>
      </c>
      <c r="N47" s="365">
        <f>IF('Input BYR'!$O$151=1,0,IF(OR(N$5&lt;4,N$5&gt;8),'Input BYR'!N38,'Input BYR'!N38*$G$100/100))</f>
        <v>113.04581801017456</v>
      </c>
      <c r="O47" s="157"/>
      <c r="P47" s="158"/>
      <c r="Q47" s="148"/>
      <c r="R47" s="147" t="s">
        <v>242</v>
      </c>
    </row>
    <row r="48" spans="1:23" s="37" customFormat="1">
      <c r="C48" s="131"/>
      <c r="D48" s="153" t="s">
        <v>57</v>
      </c>
      <c r="E48" s="154" t="s">
        <v>13</v>
      </c>
      <c r="F48" s="155"/>
      <c r="G48" s="148"/>
      <c r="H48" s="148"/>
      <c r="I48" s="148"/>
      <c r="J48" s="156">
        <f>IF('Input BYR'!$O$151=1,0,IF(OR(J$5&lt;4,J$5&gt;8),'Input BYR'!J39,'Input BYR'!J39*$G$100/100))</f>
        <v>57.657577219887052</v>
      </c>
      <c r="K48" s="156">
        <f>IF('Input BYR'!$O$151=1,0,IF(OR(K$5&lt;4,K$5&gt;8),'Input BYR'!K39,'Input BYR'!K39*$G$100/100))</f>
        <v>97.270019882493031</v>
      </c>
      <c r="L48" s="156">
        <f>IF('Input BYR'!$O$151=1,0,IF(OR(L$5&lt;4,L$5&gt;8),'Input BYR'!L39,'Input BYR'!L39*$G$100/100))</f>
        <v>102.4236356921535</v>
      </c>
      <c r="M48" s="156">
        <f>IF('Input BYR'!$O$151=1,0,IF(OR(M$5&lt;4,M$5&gt;8),'Input BYR'!M39,'Input BYR'!M39*$G$100/100))</f>
        <v>85.421238176095116</v>
      </c>
      <c r="N48" s="365">
        <f>IF('Input BYR'!$O$151=1,0,IF(OR(N$5&lt;4,N$5&gt;8),'Input BYR'!N39,'Input BYR'!N39*$G$100/100))</f>
        <v>76.07267385604861</v>
      </c>
      <c r="O48" s="157"/>
      <c r="P48" s="158"/>
      <c r="Q48" s="148"/>
      <c r="R48" s="147" t="s">
        <v>242</v>
      </c>
    </row>
    <row r="49" spans="1:18" s="37" customFormat="1">
      <c r="C49" s="131"/>
      <c r="D49" s="153" t="s">
        <v>57</v>
      </c>
      <c r="E49" s="154" t="s">
        <v>12</v>
      </c>
      <c r="F49" s="155"/>
      <c r="G49" s="148"/>
      <c r="H49" s="148"/>
      <c r="I49" s="148"/>
      <c r="J49" s="156">
        <f>IF('Input BYR'!$O$151=1,0,IF(OR(J$5&lt;4,J$5&gt;8),'Input BYR'!J40,'Input BYR'!J40*$G$100/100))</f>
        <v>276.96771548511396</v>
      </c>
      <c r="K49" s="156">
        <f>IF('Input BYR'!$O$151=1,0,IF(OR(K$5&lt;4,K$5&gt;8),'Input BYR'!K40,'Input BYR'!K40*$G$100/100))</f>
        <v>313.57531138819775</v>
      </c>
      <c r="L49" s="156">
        <f>IF('Input BYR'!$O$151=1,0,IF(OR(L$5&lt;4,L$5&gt;8),'Input BYR'!L40,'Input BYR'!L40*$G$100/100))</f>
        <v>266.61271504601694</v>
      </c>
      <c r="M49" s="156">
        <f>IF('Input BYR'!$O$151=1,0,IF(OR(M$5&lt;4,M$5&gt;8),'Input BYR'!M40,'Input BYR'!M40*$G$100/100))</f>
        <v>166.75292601187698</v>
      </c>
      <c r="N49" s="365">
        <f>IF('Input BYR'!$O$151=1,0,IF(OR(N$5&lt;4,N$5&gt;8),'Input BYR'!N40,'Input BYR'!N40*$G$100/100))</f>
        <v>117.08075287006456</v>
      </c>
      <c r="O49" s="157"/>
      <c r="P49" s="158"/>
      <c r="Q49" s="148"/>
      <c r="R49" s="147" t="s">
        <v>242</v>
      </c>
    </row>
    <row r="50" spans="1:18" s="37" customFormat="1">
      <c r="C50" s="131"/>
      <c r="D50" s="153" t="s">
        <v>57</v>
      </c>
      <c r="E50" s="154" t="s">
        <v>228</v>
      </c>
      <c r="F50" s="155"/>
      <c r="G50" s="148"/>
      <c r="H50" s="148"/>
      <c r="I50" s="148"/>
      <c r="J50" s="156">
        <f>IF('Input BYR'!$O$151=1,0,IF(OR(J$5&lt;4,J$5&gt;8),'Input BYR'!J41,'Input BYR'!J41*$G$100/100))</f>
        <v>127.16970444827261</v>
      </c>
      <c r="K50" s="156">
        <f>IF('Input BYR'!$O$151=1,0,IF(OR(K$5&lt;4,K$5&gt;8),'Input BYR'!K41,'Input BYR'!K41*$G$100/100))</f>
        <v>139.50991052218464</v>
      </c>
      <c r="L50" s="156">
        <f>IF('Input BYR'!$O$151=1,0,IF(OR(L$5&lt;4,L$5&gt;8),'Input BYR'!L41,'Input BYR'!L41*$G$100/100))</f>
        <v>101.76309784432605</v>
      </c>
      <c r="M50" s="156">
        <f>IF('Input BYR'!$O$151=1,0,IF(OR(M$5&lt;4,M$5&gt;8),'Input BYR'!M41,'Input BYR'!M41*$G$100/100))</f>
        <v>92.735644008455694</v>
      </c>
      <c r="N50" s="365">
        <f>IF('Input BYR'!$O$151=1,0,IF(OR(N$5&lt;4,N$5&gt;8),'Input BYR'!N41,'Input BYR'!N41*$G$100/100))</f>
        <v>75.727190707475671</v>
      </c>
      <c r="O50" s="157"/>
      <c r="P50" s="158"/>
      <c r="Q50" s="148"/>
      <c r="R50" s="147" t="s">
        <v>242</v>
      </c>
    </row>
    <row r="51" spans="1:18" s="37" customFormat="1">
      <c r="C51" s="131"/>
      <c r="D51" s="153" t="s">
        <v>57</v>
      </c>
      <c r="E51" s="154" t="s">
        <v>229</v>
      </c>
      <c r="F51" s="155"/>
      <c r="G51" s="148"/>
      <c r="H51" s="148"/>
      <c r="I51" s="148"/>
      <c r="J51" s="156">
        <f>IF('Input BYR'!$O$151=1,0,IF(OR(J$5&lt;4,J$5&gt;8),'Input BYR'!J42,'Input BYR'!J42*$G$100/100))</f>
        <v>15.32657878111219</v>
      </c>
      <c r="K51" s="156">
        <f>IF('Input BYR'!$O$151=1,0,IF(OR(K$5&lt;4,K$5&gt;8),'Input BYR'!K42,'Input BYR'!K42*$G$100/100))</f>
        <v>16.813645518508981</v>
      </c>
      <c r="L51" s="156">
        <f>IF('Input BYR'!$O$151=1,0,IF(OR(L$5&lt;4,L$5&gt;8),'Input BYR'!L42,'Input BYR'!L42*$G$100/100))</f>
        <v>12.263710871371064</v>
      </c>
      <c r="M51" s="156">
        <f>IF('Input BYR'!$O$151=1,0,IF(OR(M$5&lt;4,M$5&gt;8),'Input BYR'!M42,'Input BYR'!M42*$G$100/100))</f>
        <v>11.176459059255167</v>
      </c>
      <c r="N51" s="365">
        <f>IF('Input BYR'!$O$151=1,0,IF(OR(N$5&lt;4,N$5&gt;8),'Input BYR'!N42,'Input BYR'!N42*$G$100/100))</f>
        <v>9.1263876311567103</v>
      </c>
      <c r="O51" s="157"/>
      <c r="P51" s="158"/>
      <c r="Q51" s="148"/>
      <c r="R51" s="147" t="s">
        <v>242</v>
      </c>
    </row>
    <row r="52" spans="1:18" s="37" customFormat="1">
      <c r="A52" s="109"/>
      <c r="B52" s="109"/>
      <c r="C52" s="104"/>
      <c r="D52" s="131"/>
      <c r="E52" s="132"/>
      <c r="F52" s="131"/>
      <c r="G52" s="131"/>
      <c r="H52" s="131"/>
      <c r="I52" s="131"/>
      <c r="J52" s="159"/>
      <c r="K52" s="159"/>
      <c r="L52" s="159"/>
      <c r="M52" s="159"/>
      <c r="N52" s="362"/>
      <c r="O52" s="157"/>
      <c r="P52" s="158"/>
      <c r="Q52" s="148"/>
      <c r="R52" s="160"/>
    </row>
    <row r="53" spans="1:18">
      <c r="A53" s="59"/>
      <c r="B53" s="452"/>
      <c r="C53" s="453"/>
      <c r="D53" s="481"/>
      <c r="E53" s="484" t="s">
        <v>300</v>
      </c>
      <c r="F53" s="440"/>
      <c r="G53" s="440"/>
      <c r="H53" s="440"/>
      <c r="I53" s="440"/>
      <c r="J53" s="440"/>
      <c r="K53" s="440"/>
      <c r="L53" s="440"/>
      <c r="M53" s="440"/>
      <c r="N53" s="446"/>
      <c r="O53" s="440"/>
      <c r="P53" s="475"/>
      <c r="Q53" s="476"/>
      <c r="R53" s="477"/>
    </row>
    <row r="54" spans="1:18" s="37" customFormat="1">
      <c r="C54" s="131"/>
      <c r="D54" s="131"/>
      <c r="E54" s="132"/>
      <c r="F54" s="131"/>
      <c r="G54" s="131"/>
      <c r="H54" s="131"/>
      <c r="I54" s="131"/>
      <c r="J54" s="106"/>
      <c r="K54" s="106"/>
      <c r="L54" s="106"/>
      <c r="M54" s="106"/>
      <c r="N54" s="364"/>
      <c r="P54" s="136"/>
      <c r="Q54" s="131"/>
      <c r="R54" s="147"/>
    </row>
    <row r="55" spans="1:18" s="37" customFormat="1">
      <c r="C55" s="131"/>
      <c r="D55" s="153" t="s">
        <v>57</v>
      </c>
      <c r="E55" s="154" t="s">
        <v>113</v>
      </c>
      <c r="F55" s="155"/>
      <c r="G55" s="148"/>
      <c r="H55" s="148"/>
      <c r="I55" s="148"/>
      <c r="J55" s="156">
        <f>SUM('Input BYR'!J10:J13)-'Input BYR'!J14-'Input BYR'!J17+'Input BYR'!J15+'Input BYR'!J16</f>
        <v>388.12044076242984</v>
      </c>
      <c r="K55" s="156">
        <f>SUM('Input BYR'!K10:K13)-'Input BYR'!K14-'Input BYR'!K17+'Input BYR'!K15+'Input BYR'!K16</f>
        <v>500.29059487707758</v>
      </c>
      <c r="L55" s="156">
        <f>SUM('Input BYR'!L10:L13)-'Input BYR'!L14-'Input BYR'!L17+'Input BYR'!L15+'Input BYR'!L16</f>
        <v>336.7232186974299</v>
      </c>
      <c r="M55" s="156">
        <f>SUM('Input BYR'!M10:M13)-'Input BYR'!M14-'Input BYR'!M17+'Input BYR'!M15+'Input BYR'!M16</f>
        <v>310.15449025703668</v>
      </c>
      <c r="N55" s="365">
        <f>SUM('Input BYR'!N10:N13)-'Input BYR'!N14-'Input BYR'!N17+'Input BYR'!N15+'Input BYR'!N16</f>
        <v>247.16279813151507</v>
      </c>
      <c r="O55" s="157"/>
      <c r="P55" s="158"/>
      <c r="Q55" s="148"/>
      <c r="R55" s="147" t="s">
        <v>242</v>
      </c>
    </row>
    <row r="56" spans="1:18" s="37" customFormat="1">
      <c r="C56" s="131"/>
      <c r="D56" s="153" t="s">
        <v>57</v>
      </c>
      <c r="E56" s="154" t="s">
        <v>114</v>
      </c>
      <c r="F56" s="155"/>
      <c r="G56" s="148"/>
      <c r="H56" s="148"/>
      <c r="I56" s="148"/>
      <c r="J56" s="156">
        <f>SUM('Input BYR'!J30:J35)</f>
        <v>237.83883424979501</v>
      </c>
      <c r="K56" s="156">
        <f>SUM('Input BYR'!K30:K35)</f>
        <v>345.8399322952053</v>
      </c>
      <c r="L56" s="156">
        <f>SUM('Input BYR'!L30:L35)</f>
        <v>313.5044690268216</v>
      </c>
      <c r="M56" s="156">
        <f>SUM('Input BYR'!M30:M35)</f>
        <v>293.96787326194521</v>
      </c>
      <c r="N56" s="365">
        <f>SUM('Input BYR'!N30:N35)</f>
        <v>231.80837184675443</v>
      </c>
      <c r="O56" s="157"/>
      <c r="P56" s="158"/>
      <c r="Q56" s="148"/>
      <c r="R56" s="147" t="s">
        <v>242</v>
      </c>
    </row>
    <row r="57" spans="1:18" s="37" customFormat="1">
      <c r="C57" s="131"/>
      <c r="D57" s="153" t="s">
        <v>57</v>
      </c>
      <c r="E57" s="154" t="s">
        <v>115</v>
      </c>
      <c r="F57" s="155"/>
      <c r="G57" s="148"/>
      <c r="H57" s="148"/>
      <c r="I57" s="148"/>
      <c r="J57" s="156">
        <f>SUM(J39:J44)</f>
        <v>252.8605502789014</v>
      </c>
      <c r="K57" s="156">
        <f t="shared" ref="K57:N57" si="7">SUM(K39:K44)</f>
        <v>367.68291378664532</v>
      </c>
      <c r="L57" s="156">
        <f t="shared" si="7"/>
        <v>333.30516777490993</v>
      </c>
      <c r="M57" s="156">
        <f t="shared" si="7"/>
        <v>312.53465579664004</v>
      </c>
      <c r="N57" s="365">
        <f t="shared" si="7"/>
        <v>246.44920855466663</v>
      </c>
      <c r="O57" s="157"/>
      <c r="P57" s="158"/>
      <c r="Q57" s="148"/>
      <c r="R57" s="147" t="s">
        <v>242</v>
      </c>
    </row>
    <row r="58" spans="1:18" s="37" customFormat="1">
      <c r="C58" s="131"/>
      <c r="D58" s="153"/>
      <c r="E58" s="154"/>
      <c r="F58" s="155"/>
      <c r="G58" s="148"/>
      <c r="H58" s="148"/>
      <c r="I58" s="148"/>
      <c r="J58" s="156"/>
      <c r="K58" s="156"/>
      <c r="L58" s="156"/>
      <c r="M58" s="156"/>
      <c r="N58" s="365"/>
      <c r="O58" s="157"/>
      <c r="P58" s="158"/>
      <c r="Q58" s="148"/>
      <c r="R58" s="147"/>
    </row>
    <row r="59" spans="1:18" s="37" customFormat="1">
      <c r="C59" s="131"/>
      <c r="D59" s="153" t="s">
        <v>57</v>
      </c>
      <c r="E59" s="154" t="s">
        <v>108</v>
      </c>
      <c r="F59" s="155"/>
      <c r="G59" s="148"/>
      <c r="H59" s="148"/>
      <c r="I59" s="148"/>
      <c r="J59" s="156">
        <f>'Input BYR'!J85+'Input BYR'!J82</f>
        <v>0</v>
      </c>
      <c r="K59" s="156">
        <f>'Input BYR'!K85+'Input BYR'!K82</f>
        <v>0</v>
      </c>
      <c r="L59" s="156">
        <f>'Input BYR'!L85+'Input BYR'!L82</f>
        <v>0</v>
      </c>
      <c r="M59" s="156">
        <f>'Input BYR'!M85+'Input BYR'!M82</f>
        <v>0</v>
      </c>
      <c r="N59" s="365">
        <f>'Input BYR'!N85+'Input BYR'!N82</f>
        <v>0</v>
      </c>
      <c r="O59" s="157"/>
      <c r="P59" s="158"/>
      <c r="Q59" s="148"/>
      <c r="R59" s="147" t="s">
        <v>242</v>
      </c>
    </row>
    <row r="60" spans="1:18" s="37" customFormat="1">
      <c r="C60" s="131"/>
      <c r="D60" s="153" t="s">
        <v>57</v>
      </c>
      <c r="E60" s="154" t="s">
        <v>107</v>
      </c>
      <c r="F60" s="155"/>
      <c r="G60" s="148"/>
      <c r="H60" s="148"/>
      <c r="I60" s="148"/>
      <c r="J60" s="156">
        <f>'Input BYR'!J86+'Input BYR'!J88+'Input BYR'!J83</f>
        <v>-1.63480322336759</v>
      </c>
      <c r="K60" s="156">
        <f>'Input BYR'!K86+'Input BYR'!K88+'Input BYR'!K83</f>
        <v>-2.49664163081039</v>
      </c>
      <c r="L60" s="156">
        <f>'Input BYR'!L86+'Input BYR'!L88+'Input BYR'!L83</f>
        <v>-1.33179340600143</v>
      </c>
      <c r="M60" s="156">
        <f>'Input BYR'!M86+'Input BYR'!M88+'Input BYR'!M83</f>
        <v>0</v>
      </c>
      <c r="N60" s="365">
        <f>'Input BYR'!N86+'Input BYR'!N88+'Input BYR'!N83</f>
        <v>-1.64356954998305</v>
      </c>
      <c r="O60" s="157"/>
      <c r="P60" s="158"/>
      <c r="Q60" s="148"/>
      <c r="R60" s="147" t="s">
        <v>242</v>
      </c>
    </row>
    <row r="61" spans="1:18" s="37" customFormat="1">
      <c r="C61" s="131"/>
      <c r="D61" s="153"/>
      <c r="E61" s="154"/>
      <c r="F61" s="155"/>
      <c r="G61" s="148"/>
      <c r="H61" s="148"/>
      <c r="I61" s="148"/>
      <c r="J61" s="156"/>
      <c r="K61" s="156"/>
      <c r="L61" s="156"/>
      <c r="M61" s="156"/>
      <c r="N61" s="365"/>
      <c r="O61" s="157"/>
      <c r="P61" s="158"/>
      <c r="Q61" s="148"/>
      <c r="R61" s="147"/>
    </row>
    <row r="62" spans="1:18" s="37" customFormat="1">
      <c r="C62" s="131"/>
      <c r="D62" s="153" t="s">
        <v>57</v>
      </c>
      <c r="E62" s="154" t="s">
        <v>181</v>
      </c>
      <c r="F62" s="155"/>
      <c r="G62" s="148"/>
      <c r="H62" s="148"/>
      <c r="I62" s="148"/>
      <c r="J62" s="156">
        <f>J55+J59</f>
        <v>388.12044076242984</v>
      </c>
      <c r="K62" s="156">
        <f t="shared" ref="K62:N63" si="8">K55+K59</f>
        <v>500.29059487707758</v>
      </c>
      <c r="L62" s="156">
        <f t="shared" si="8"/>
        <v>336.7232186974299</v>
      </c>
      <c r="M62" s="156">
        <f t="shared" si="8"/>
        <v>310.15449025703668</v>
      </c>
      <c r="N62" s="365">
        <f t="shared" si="8"/>
        <v>247.16279813151507</v>
      </c>
      <c r="O62" s="157"/>
      <c r="P62" s="158"/>
      <c r="Q62" s="148"/>
      <c r="R62" s="147" t="s">
        <v>242</v>
      </c>
    </row>
    <row r="63" spans="1:18" s="37" customFormat="1">
      <c r="C63" s="131"/>
      <c r="D63" s="153" t="s">
        <v>57</v>
      </c>
      <c r="E63" s="154" t="s">
        <v>182</v>
      </c>
      <c r="F63" s="155"/>
      <c r="G63" s="148"/>
      <c r="H63" s="148"/>
      <c r="I63" s="148"/>
      <c r="J63" s="156">
        <f>J56+J60</f>
        <v>236.20403102642743</v>
      </c>
      <c r="K63" s="156">
        <f t="shared" si="8"/>
        <v>343.34329066439489</v>
      </c>
      <c r="L63" s="156">
        <f t="shared" si="8"/>
        <v>312.17267562082014</v>
      </c>
      <c r="M63" s="156">
        <f t="shared" si="8"/>
        <v>293.96787326194521</v>
      </c>
      <c r="N63" s="365">
        <f t="shared" si="8"/>
        <v>230.16480229677137</v>
      </c>
      <c r="O63" s="157"/>
      <c r="P63" s="158"/>
      <c r="Q63" s="148"/>
      <c r="R63" s="147" t="s">
        <v>242</v>
      </c>
    </row>
    <row r="64" spans="1:18" s="37" customFormat="1">
      <c r="C64" s="131"/>
      <c r="D64" s="153" t="s">
        <v>57</v>
      </c>
      <c r="E64" s="154" t="s">
        <v>250</v>
      </c>
      <c r="F64" s="155"/>
      <c r="G64" s="148"/>
      <c r="H64" s="148"/>
      <c r="I64" s="148"/>
      <c r="J64" s="156">
        <f>J63*$G$107/100</f>
        <v>251.49378053369185</v>
      </c>
      <c r="K64" s="156">
        <f t="shared" ref="K64:N64" si="9">K63*$G$107/100</f>
        <v>365.56828355061339</v>
      </c>
      <c r="L64" s="156">
        <f t="shared" si="9"/>
        <v>332.37995994409584</v>
      </c>
      <c r="M64" s="156">
        <f t="shared" si="9"/>
        <v>312.99674049095336</v>
      </c>
      <c r="N64" s="365">
        <f t="shared" si="9"/>
        <v>245.0636258147872</v>
      </c>
      <c r="O64" s="157"/>
      <c r="P64" s="158"/>
      <c r="Q64" s="148"/>
      <c r="R64" s="147" t="s">
        <v>242</v>
      </c>
    </row>
    <row r="65" spans="1:18" s="37" customFormat="1">
      <c r="C65" s="131"/>
      <c r="D65" s="153"/>
      <c r="E65" s="154"/>
      <c r="F65" s="155"/>
      <c r="G65" s="148"/>
      <c r="H65" s="148"/>
      <c r="I65" s="148"/>
      <c r="J65" s="156"/>
      <c r="K65" s="156"/>
      <c r="L65" s="156"/>
      <c r="M65" s="156"/>
      <c r="N65" s="365"/>
      <c r="O65" s="157"/>
      <c r="P65" s="158"/>
      <c r="Q65" s="148"/>
      <c r="R65" s="147"/>
    </row>
    <row r="66" spans="1:18" s="37" customFormat="1">
      <c r="C66" s="131"/>
      <c r="D66" s="153" t="s">
        <v>57</v>
      </c>
      <c r="E66" s="154" t="s">
        <v>116</v>
      </c>
      <c r="F66" s="155"/>
      <c r="G66" s="148"/>
      <c r="H66" s="148"/>
      <c r="I66" s="148"/>
      <c r="J66" s="156">
        <f>IF('Input BYR'!$O$151=1,0,SUM('Input BYR'!J19:J22)-'Input BYR'!J23-'Input BYR'!J26+'Input BYR'!J24+'Input BYR'!J25)</f>
        <v>698.40912459999993</v>
      </c>
      <c r="K66" s="156">
        <f>IF('Input BYR'!$O$151=1,0,SUM('Input BYR'!K19:K22)-'Input BYR'!K23-'Input BYR'!K26+'Input BYR'!K24+'Input BYR'!K25)</f>
        <v>859.96959281049408</v>
      </c>
      <c r="L66" s="156">
        <f>IF('Input BYR'!$O$151=1,0,SUM('Input BYR'!L19:L22)-'Input BYR'!L23-'Input BYR'!L26+'Input BYR'!L24+'Input BYR'!L25)</f>
        <v>705.77840135646102</v>
      </c>
      <c r="M66" s="156">
        <f>IF('Input BYR'!$O$151=1,0,SUM('Input BYR'!M19:M22)-'Input BYR'!M23-'Input BYR'!M26+'Input BYR'!M24+'Input BYR'!M25)</f>
        <v>589.08432094065495</v>
      </c>
      <c r="N66" s="365">
        <f>IF('Input BYR'!$O$151=1,0,SUM('Input BYR'!N19:N22)-'Input BYR'!N23-'Input BYR'!N26+'Input BYR'!N24+'Input BYR'!N25)</f>
        <v>474.60351798527</v>
      </c>
      <c r="O66" s="157"/>
      <c r="P66" s="158"/>
      <c r="Q66" s="148"/>
      <c r="R66" s="147" t="s">
        <v>242</v>
      </c>
    </row>
    <row r="67" spans="1:18" s="37" customFormat="1">
      <c r="C67" s="131"/>
      <c r="D67" s="153" t="s">
        <v>57</v>
      </c>
      <c r="E67" s="154" t="s">
        <v>117</v>
      </c>
      <c r="F67" s="155"/>
      <c r="G67" s="148"/>
      <c r="H67" s="148"/>
      <c r="I67" s="148"/>
      <c r="J67" s="156">
        <f>IF('Input BYR'!$O$151=1,0,SUM('Input BYR'!J37:J42))</f>
        <v>654.4741276462189</v>
      </c>
      <c r="K67" s="156">
        <f>IF('Input BYR'!$O$151=1,0,SUM('Input BYR'!K37:K42))</f>
        <v>813.72587748593742</v>
      </c>
      <c r="L67" s="156">
        <f>IF('Input BYR'!$O$151=1,0,SUM('Input BYR'!L37:L42))</f>
        <v>647.34730617292348</v>
      </c>
      <c r="M67" s="156">
        <f>IF('Input BYR'!$O$151=1,0,SUM('Input BYR'!M37:M42))</f>
        <v>538.43439234787206</v>
      </c>
      <c r="N67" s="365">
        <f>IF('Input BYR'!$O$151=1,0,SUM('Input BYR'!N37:N42))</f>
        <v>428.08639768691978</v>
      </c>
      <c r="O67" s="157"/>
      <c r="P67" s="158"/>
      <c r="Q67" s="148"/>
      <c r="R67" s="147" t="s">
        <v>242</v>
      </c>
    </row>
    <row r="68" spans="1:18" s="37" customFormat="1">
      <c r="C68" s="131"/>
      <c r="D68" s="153" t="s">
        <v>57</v>
      </c>
      <c r="E68" s="154" t="s">
        <v>118</v>
      </c>
      <c r="F68" s="155"/>
      <c r="G68" s="148"/>
      <c r="H68" s="148"/>
      <c r="I68" s="148"/>
      <c r="J68" s="156">
        <f>SUM(J46:J51)</f>
        <v>667.52174602844536</v>
      </c>
      <c r="K68" s="156">
        <f t="shared" ref="K68:N68" si="10">SUM(K46:K51)</f>
        <v>829.94834414839056</v>
      </c>
      <c r="L68" s="156">
        <f t="shared" si="10"/>
        <v>660.25284400080284</v>
      </c>
      <c r="M68" s="156">
        <f t="shared" si="10"/>
        <v>549.16863863578442</v>
      </c>
      <c r="N68" s="365">
        <f t="shared" si="10"/>
        <v>436.62074261470025</v>
      </c>
      <c r="O68" s="157"/>
      <c r="P68" s="158"/>
      <c r="Q68" s="148"/>
      <c r="R68" s="147" t="s">
        <v>242</v>
      </c>
    </row>
    <row r="69" spans="1:18" s="37" customFormat="1">
      <c r="C69" s="131"/>
      <c r="D69" s="153"/>
      <c r="E69" s="154"/>
      <c r="F69" s="155"/>
      <c r="G69" s="148"/>
      <c r="H69" s="148"/>
      <c r="I69" s="148"/>
      <c r="J69" s="156"/>
      <c r="K69" s="156"/>
      <c r="L69" s="156"/>
      <c r="M69" s="156"/>
      <c r="N69" s="365"/>
      <c r="O69" s="157"/>
      <c r="P69" s="158"/>
      <c r="Q69" s="148"/>
      <c r="R69" s="147"/>
    </row>
    <row r="70" spans="1:18" s="37" customFormat="1">
      <c r="C70" s="131"/>
      <c r="D70" s="153" t="s">
        <v>57</v>
      </c>
      <c r="E70" s="132" t="s">
        <v>119</v>
      </c>
      <c r="F70" s="131"/>
      <c r="G70" s="131"/>
      <c r="H70" s="131"/>
      <c r="I70" s="131"/>
      <c r="J70" s="156">
        <f>'Input BYR'!J93+'Input BYR'!J90</f>
        <v>-17.156358278341699</v>
      </c>
      <c r="K70" s="156">
        <f>'Input BYR'!K93+'Input BYR'!K90</f>
        <v>-26.582998571509499</v>
      </c>
      <c r="L70" s="156">
        <f>'Input BYR'!L93+'Input BYR'!L90</f>
        <v>-28.3931551164079</v>
      </c>
      <c r="M70" s="156">
        <f>'Input BYR'!M93+'Input BYR'!M90</f>
        <v>-3.0895359311430202</v>
      </c>
      <c r="N70" s="365">
        <f>'Input BYR'!N93+'Input BYR'!N90</f>
        <v>-50.507862365210002</v>
      </c>
      <c r="P70" s="136"/>
      <c r="Q70" s="131"/>
      <c r="R70" s="147" t="s">
        <v>242</v>
      </c>
    </row>
    <row r="71" spans="1:18" s="37" customFormat="1">
      <c r="C71" s="131"/>
      <c r="D71" s="153" t="s">
        <v>57</v>
      </c>
      <c r="E71" s="132" t="s">
        <v>120</v>
      </c>
      <c r="F71" s="131"/>
      <c r="G71" s="131"/>
      <c r="H71" s="131"/>
      <c r="I71" s="131"/>
      <c r="J71" s="156">
        <f>'Input BYR'!J94+'Input BYR'!J96+'Input BYR'!J91</f>
        <v>-17.156358278341699</v>
      </c>
      <c r="K71" s="156">
        <f>'Input BYR'!K94+'Input BYR'!K96+'Input BYR'!K91</f>
        <v>-26.683323202252598</v>
      </c>
      <c r="L71" s="156">
        <f>'Input BYR'!L94+'Input BYR'!L96+'Input BYR'!L91</f>
        <v>-28.819971940258799</v>
      </c>
      <c r="M71" s="156">
        <f>'Input BYR'!M94+'Input BYR'!M96+'Input BYR'!M91</f>
        <v>-13.3758874236997</v>
      </c>
      <c r="N71" s="365">
        <f>'Input BYR'!N94+'Input BYR'!N96+'Input BYR'!N91</f>
        <v>-65.956232686673843</v>
      </c>
      <c r="P71" s="136"/>
      <c r="Q71" s="131"/>
      <c r="R71" s="147" t="s">
        <v>242</v>
      </c>
    </row>
    <row r="72" spans="1:18" s="37" customFormat="1">
      <c r="C72" s="131"/>
      <c r="D72" s="131"/>
      <c r="E72" s="132"/>
      <c r="F72" s="131"/>
      <c r="G72" s="131"/>
      <c r="H72" s="131"/>
      <c r="I72" s="131"/>
      <c r="J72" s="156"/>
      <c r="K72" s="156"/>
      <c r="L72" s="156"/>
      <c r="M72" s="156"/>
      <c r="N72" s="365"/>
      <c r="P72" s="136"/>
      <c r="Q72" s="131"/>
      <c r="R72" s="147"/>
    </row>
    <row r="73" spans="1:18" s="37" customFormat="1">
      <c r="C73" s="131"/>
      <c r="D73" s="153" t="s">
        <v>57</v>
      </c>
      <c r="E73" s="132" t="s">
        <v>183</v>
      </c>
      <c r="F73" s="131"/>
      <c r="G73" s="131"/>
      <c r="H73" s="131"/>
      <c r="I73" s="131"/>
      <c r="J73" s="156">
        <f t="shared" ref="J73:N74" si="11">J66+J70</f>
        <v>681.25276632165821</v>
      </c>
      <c r="K73" s="156">
        <f t="shared" si="11"/>
        <v>833.38659423898457</v>
      </c>
      <c r="L73" s="156">
        <f t="shared" si="11"/>
        <v>677.38524624005311</v>
      </c>
      <c r="M73" s="156">
        <f t="shared" si="11"/>
        <v>585.99478500951193</v>
      </c>
      <c r="N73" s="365">
        <f t="shared" si="11"/>
        <v>424.09565562006003</v>
      </c>
      <c r="P73" s="136"/>
      <c r="Q73" s="131"/>
      <c r="R73" s="147" t="s">
        <v>242</v>
      </c>
    </row>
    <row r="74" spans="1:18" s="37" customFormat="1">
      <c r="C74" s="131"/>
      <c r="D74" s="153" t="s">
        <v>57</v>
      </c>
      <c r="E74" s="132" t="s">
        <v>184</v>
      </c>
      <c r="F74" s="131"/>
      <c r="G74" s="131"/>
      <c r="H74" s="131"/>
      <c r="I74" s="131"/>
      <c r="J74" s="156">
        <f t="shared" si="11"/>
        <v>637.31776936787719</v>
      </c>
      <c r="K74" s="156">
        <f t="shared" si="11"/>
        <v>787.04255428368481</v>
      </c>
      <c r="L74" s="156">
        <f t="shared" si="11"/>
        <v>618.52733423266466</v>
      </c>
      <c r="M74" s="156">
        <f t="shared" si="11"/>
        <v>525.05850492417233</v>
      </c>
      <c r="N74" s="365">
        <f t="shared" si="11"/>
        <v>362.13016500024594</v>
      </c>
      <c r="P74" s="136"/>
      <c r="Q74" s="131"/>
      <c r="R74" s="147" t="s">
        <v>242</v>
      </c>
    </row>
    <row r="75" spans="1:18" s="37" customFormat="1">
      <c r="C75" s="131"/>
      <c r="D75" s="153" t="s">
        <v>57</v>
      </c>
      <c r="E75" s="132" t="s">
        <v>109</v>
      </c>
      <c r="F75" s="131"/>
      <c r="G75" s="131"/>
      <c r="H75" s="131"/>
      <c r="I75" s="131"/>
      <c r="J75" s="156">
        <f>J74*$G$111/100</f>
        <v>652.1104821314907</v>
      </c>
      <c r="K75" s="156">
        <f t="shared" ref="K75:N75" si="12">K74*$G$111/100</f>
        <v>805.31051258933007</v>
      </c>
      <c r="L75" s="156">
        <f t="shared" si="12"/>
        <v>632.88390426965339</v>
      </c>
      <c r="M75" s="156">
        <f t="shared" si="12"/>
        <v>537.2455802275008</v>
      </c>
      <c r="N75" s="365">
        <f t="shared" si="12"/>
        <v>370.53552849607598</v>
      </c>
      <c r="P75" s="136"/>
      <c r="Q75" s="131"/>
      <c r="R75" s="147" t="s">
        <v>242</v>
      </c>
    </row>
    <row r="76" spans="1:18" s="37" customFormat="1">
      <c r="C76" s="131"/>
      <c r="D76" s="153"/>
      <c r="E76" s="132"/>
      <c r="F76" s="131"/>
      <c r="G76" s="131"/>
      <c r="H76" s="131"/>
      <c r="I76" s="131"/>
      <c r="J76" s="159"/>
      <c r="K76" s="159"/>
      <c r="L76" s="159"/>
      <c r="M76" s="159"/>
      <c r="N76" s="362"/>
      <c r="P76" s="136"/>
      <c r="Q76" s="131"/>
      <c r="R76" s="147"/>
    </row>
    <row r="77" spans="1:18">
      <c r="A77" s="479"/>
      <c r="B77" s="452"/>
      <c r="C77" s="453"/>
      <c r="D77" s="481"/>
      <c r="E77" s="484" t="s">
        <v>199</v>
      </c>
      <c r="F77" s="440"/>
      <c r="G77" s="440"/>
      <c r="H77" s="440"/>
      <c r="I77" s="440"/>
      <c r="J77" s="440"/>
      <c r="K77" s="440"/>
      <c r="L77" s="440"/>
      <c r="M77" s="440"/>
      <c r="N77" s="446"/>
      <c r="O77" s="440"/>
      <c r="P77" s="475"/>
      <c r="Q77" s="476"/>
      <c r="R77" s="477"/>
    </row>
    <row r="78" spans="1:18" s="37" customFormat="1">
      <c r="C78" s="131"/>
      <c r="D78" s="153"/>
      <c r="E78" s="154"/>
      <c r="F78" s="161"/>
      <c r="G78" s="162"/>
      <c r="H78" s="162"/>
      <c r="I78" s="163"/>
      <c r="J78" s="189"/>
      <c r="K78" s="189"/>
      <c r="L78" s="189"/>
      <c r="M78" s="189"/>
      <c r="N78" s="381"/>
      <c r="P78" s="136"/>
      <c r="Q78" s="131"/>
      <c r="R78" s="147"/>
    </row>
    <row r="79" spans="1:18" s="37" customFormat="1">
      <c r="C79" s="131"/>
      <c r="D79" s="153" t="s">
        <v>57</v>
      </c>
      <c r="E79" s="132" t="s">
        <v>316</v>
      </c>
      <c r="F79" s="161"/>
      <c r="G79" s="162"/>
      <c r="H79" s="162"/>
      <c r="I79" s="163"/>
      <c r="J79" s="156">
        <f>J62*J$21</f>
        <v>344.86666261806266</v>
      </c>
      <c r="K79" s="156">
        <f t="shared" ref="K79:N81" si="13">K62*K$21</f>
        <v>434.35554919574412</v>
      </c>
      <c r="L79" s="156">
        <f t="shared" si="13"/>
        <v>292.61039958072655</v>
      </c>
      <c r="M79" s="156">
        <f t="shared" si="13"/>
        <v>273.33744358245548</v>
      </c>
      <c r="N79" s="365">
        <f t="shared" si="13"/>
        <v>219.86284462948194</v>
      </c>
      <c r="P79" s="136"/>
      <c r="Q79" s="131"/>
      <c r="R79" s="147" t="s">
        <v>242</v>
      </c>
    </row>
    <row r="80" spans="1:18" s="37" customFormat="1">
      <c r="C80" s="131"/>
      <c r="D80" s="153" t="s">
        <v>57</v>
      </c>
      <c r="E80" s="132" t="s">
        <v>317</v>
      </c>
      <c r="F80" s="161"/>
      <c r="G80" s="162"/>
      <c r="H80" s="162"/>
      <c r="I80" s="163"/>
      <c r="J80" s="156">
        <f>J63*J$21</f>
        <v>209.88045802740572</v>
      </c>
      <c r="K80" s="156">
        <f t="shared" si="13"/>
        <v>298.0928786315672</v>
      </c>
      <c r="L80" s="156">
        <f t="shared" si="13"/>
        <v>271.27612911562466</v>
      </c>
      <c r="M80" s="156">
        <f t="shared" si="13"/>
        <v>259.07226719884108</v>
      </c>
      <c r="N80" s="365">
        <f t="shared" si="13"/>
        <v>204.74233399649316</v>
      </c>
      <c r="P80" s="136"/>
      <c r="Q80" s="131"/>
      <c r="R80" s="147" t="s">
        <v>242</v>
      </c>
    </row>
    <row r="81" spans="1:18" s="37" customFormat="1">
      <c r="C81" s="131"/>
      <c r="D81" s="153" t="s">
        <v>57</v>
      </c>
      <c r="E81" s="132" t="s">
        <v>318</v>
      </c>
      <c r="F81" s="161"/>
      <c r="G81" s="162"/>
      <c r="H81" s="162"/>
      <c r="I81" s="163"/>
      <c r="J81" s="156">
        <f>J64*J$21</f>
        <v>223.46625339154122</v>
      </c>
      <c r="K81" s="156">
        <f t="shared" si="13"/>
        <v>317.38876204376055</v>
      </c>
      <c r="L81" s="156">
        <f t="shared" si="13"/>
        <v>288.83613452050344</v>
      </c>
      <c r="M81" s="156">
        <f t="shared" si="13"/>
        <v>275.84230305528325</v>
      </c>
      <c r="N81" s="365">
        <f t="shared" si="13"/>
        <v>217.99553288025314</v>
      </c>
      <c r="P81" s="136"/>
      <c r="Q81" s="131"/>
      <c r="R81" s="147" t="s">
        <v>242</v>
      </c>
    </row>
    <row r="82" spans="1:18" s="37" customFormat="1">
      <c r="C82" s="131"/>
      <c r="D82" s="153" t="s">
        <v>57</v>
      </c>
      <c r="E82" s="132" t="s">
        <v>110</v>
      </c>
      <c r="F82" s="164"/>
      <c r="G82" s="164"/>
      <c r="H82" s="164"/>
      <c r="I82" s="164"/>
      <c r="J82" s="156">
        <f>SUM('Input BYR'!J65:J70)*J$15</f>
        <v>297.52272336921601</v>
      </c>
      <c r="K82" s="156">
        <f>SUM('Input BYR'!K65:K70)*K$15</f>
        <v>292.42004399479276</v>
      </c>
      <c r="L82" s="156">
        <f>SUM('Input BYR'!L65:L70)*L$15</f>
        <v>235.14577518492791</v>
      </c>
      <c r="M82" s="156">
        <f>SUM('Input BYR'!M65:M70)*M$15</f>
        <v>251.17401032607629</v>
      </c>
      <c r="N82" s="365">
        <f>SUM('Input BYR'!N65:N70)*N$15</f>
        <v>267.62458211677341</v>
      </c>
      <c r="O82" s="148"/>
      <c r="P82" s="136"/>
      <c r="Q82" s="131"/>
      <c r="R82" s="147" t="s">
        <v>242</v>
      </c>
    </row>
    <row r="83" spans="1:18" s="37" customFormat="1">
      <c r="C83" s="131"/>
      <c r="D83" s="131"/>
      <c r="E83" s="132"/>
      <c r="F83" s="161"/>
      <c r="G83" s="162"/>
      <c r="H83" s="162"/>
      <c r="I83" s="163"/>
      <c r="J83" s="156"/>
      <c r="K83" s="156"/>
      <c r="L83" s="156"/>
      <c r="M83" s="156"/>
      <c r="N83" s="365"/>
      <c r="P83" s="136"/>
      <c r="Q83" s="131"/>
      <c r="R83" s="147"/>
    </row>
    <row r="84" spans="1:18" s="37" customFormat="1">
      <c r="C84" s="131"/>
      <c r="D84" s="153" t="s">
        <v>57</v>
      </c>
      <c r="E84" s="132" t="s">
        <v>319</v>
      </c>
      <c r="F84" s="161"/>
      <c r="G84" s="162"/>
      <c r="H84" s="162"/>
      <c r="I84" s="163"/>
      <c r="J84" s="156">
        <f>J73*J$21</f>
        <v>605.33108603904168</v>
      </c>
      <c r="K84" s="156">
        <f t="shared" ref="K84:N86" si="14">K73*K$21</f>
        <v>723.55166285303778</v>
      </c>
      <c r="L84" s="156">
        <f t="shared" si="14"/>
        <v>588.64359974681975</v>
      </c>
      <c r="M84" s="156">
        <f t="shared" si="14"/>
        <v>516.43397570806769</v>
      </c>
      <c r="N84" s="365">
        <f t="shared" si="14"/>
        <v>377.25287925417115</v>
      </c>
      <c r="P84" s="136"/>
      <c r="Q84" s="131"/>
      <c r="R84" s="147" t="s">
        <v>242</v>
      </c>
    </row>
    <row r="85" spans="1:18" s="37" customFormat="1">
      <c r="C85" s="131"/>
      <c r="D85" s="153" t="s">
        <v>57</v>
      </c>
      <c r="E85" s="132" t="s">
        <v>320</v>
      </c>
      <c r="F85" s="161"/>
      <c r="G85" s="162"/>
      <c r="H85" s="162"/>
      <c r="I85" s="163"/>
      <c r="J85" s="156">
        <f>J74*J$21</f>
        <v>566.29239036555191</v>
      </c>
      <c r="K85" s="156">
        <f t="shared" si="14"/>
        <v>683.31546586500588</v>
      </c>
      <c r="L85" s="156">
        <f t="shared" si="14"/>
        <v>537.49643734562881</v>
      </c>
      <c r="M85" s="156">
        <f t="shared" si="14"/>
        <v>462.73116777468056</v>
      </c>
      <c r="N85" s="365">
        <f t="shared" si="14"/>
        <v>322.13168326704476</v>
      </c>
      <c r="P85" s="136"/>
      <c r="Q85" s="131"/>
      <c r="R85" s="147" t="s">
        <v>242</v>
      </c>
    </row>
    <row r="86" spans="1:18" s="37" customFormat="1">
      <c r="C86" s="131"/>
      <c r="D86" s="153" t="s">
        <v>57</v>
      </c>
      <c r="E86" s="132" t="s">
        <v>321</v>
      </c>
      <c r="F86" s="161"/>
      <c r="G86" s="162"/>
      <c r="H86" s="162"/>
      <c r="I86" s="163"/>
      <c r="J86" s="156">
        <f>J75*J$21</f>
        <v>579.43654085614071</v>
      </c>
      <c r="K86" s="156">
        <f t="shared" si="14"/>
        <v>699.17582611120054</v>
      </c>
      <c r="L86" s="156">
        <f t="shared" si="14"/>
        <v>549.97220813263459</v>
      </c>
      <c r="M86" s="156">
        <f t="shared" si="14"/>
        <v>473.47157009933494</v>
      </c>
      <c r="N86" s="365">
        <f t="shared" si="14"/>
        <v>329.60864639543053</v>
      </c>
      <c r="P86" s="136"/>
      <c r="Q86" s="131"/>
      <c r="R86" s="147" t="s">
        <v>242</v>
      </c>
    </row>
    <row r="87" spans="1:18" s="37" customFormat="1">
      <c r="C87" s="131"/>
      <c r="D87" s="153" t="s">
        <v>57</v>
      </c>
      <c r="E87" s="132" t="s">
        <v>111</v>
      </c>
      <c r="F87" s="131"/>
      <c r="G87" s="132"/>
      <c r="H87" s="132"/>
      <c r="I87" s="131"/>
      <c r="J87" s="156">
        <f>IF('Input BYR'!$O$151=1,0,SUM('Input BYR'!J72:J77)*J$15)</f>
        <v>516.38523078811454</v>
      </c>
      <c r="K87" s="156">
        <f>IF('Input BYR'!$O$151=1,0,SUM('Input BYR'!K72:K77)*K$15)</f>
        <v>585.62048966644477</v>
      </c>
      <c r="L87" s="156">
        <f>IF('Input BYR'!$O$151=1,0,SUM('Input BYR'!L72:L77)*L$15)</f>
        <v>492.89275436076286</v>
      </c>
      <c r="M87" s="156">
        <f>IF('Input BYR'!$O$151=1,0,SUM('Input BYR'!M72:M77)*M$15)</f>
        <v>505.76409768713376</v>
      </c>
      <c r="N87" s="365">
        <f>IF('Input BYR'!$O$151=1,0,SUM('Input BYR'!N72:N77)*N$15)</f>
        <v>474.14505440106382</v>
      </c>
      <c r="O87" s="131"/>
      <c r="P87" s="136"/>
      <c r="Q87" s="131"/>
      <c r="R87" s="147" t="s">
        <v>242</v>
      </c>
    </row>
    <row r="88" spans="1:18" s="37" customFormat="1">
      <c r="C88" s="131"/>
      <c r="D88" s="153"/>
      <c r="E88" s="154"/>
      <c r="F88" s="161"/>
      <c r="G88" s="162"/>
      <c r="H88" s="162"/>
      <c r="I88" s="163"/>
      <c r="J88" s="156"/>
      <c r="K88" s="156"/>
      <c r="L88" s="156"/>
      <c r="M88" s="156"/>
      <c r="N88" s="365"/>
      <c r="P88" s="136"/>
      <c r="Q88" s="131"/>
      <c r="R88" s="147"/>
    </row>
    <row r="89" spans="1:18" s="37" customFormat="1">
      <c r="C89" s="131"/>
      <c r="D89" s="153"/>
      <c r="E89" s="154"/>
      <c r="F89" s="161"/>
      <c r="G89" s="162"/>
      <c r="H89" s="162"/>
      <c r="I89" s="163"/>
      <c r="J89" s="189"/>
      <c r="K89" s="189"/>
      <c r="L89" s="189"/>
      <c r="M89" s="189"/>
      <c r="N89" s="381"/>
      <c r="P89" s="136"/>
      <c r="Q89" s="131"/>
      <c r="R89" s="147"/>
    </row>
    <row r="90" spans="1:18">
      <c r="A90" s="479"/>
      <c r="B90" s="452"/>
      <c r="C90" s="453"/>
      <c r="D90" s="467" t="s">
        <v>38</v>
      </c>
      <c r="E90" s="483" t="s">
        <v>76</v>
      </c>
      <c r="F90" s="482"/>
      <c r="G90" s="482"/>
      <c r="H90" s="482"/>
      <c r="I90" s="440"/>
      <c r="J90" s="440"/>
      <c r="K90" s="440"/>
      <c r="L90" s="440"/>
      <c r="M90" s="440"/>
      <c r="N90" s="446"/>
      <c r="O90" s="440"/>
      <c r="P90" s="475"/>
      <c r="Q90" s="476"/>
      <c r="R90" s="477"/>
    </row>
    <row r="91" spans="1:18">
      <c r="C91" s="19"/>
      <c r="D91" s="19"/>
      <c r="E91" s="20"/>
      <c r="F91" s="79"/>
      <c r="G91" s="80"/>
      <c r="H91" s="79"/>
      <c r="I91" s="19"/>
      <c r="J91" s="65"/>
      <c r="K91" s="65"/>
      <c r="L91" s="65"/>
      <c r="M91" s="65"/>
      <c r="N91" s="90"/>
      <c r="P91" s="84"/>
      <c r="Q91" s="19"/>
      <c r="R91" s="100"/>
    </row>
    <row r="92" spans="1:18">
      <c r="A92" s="479"/>
      <c r="B92" s="452"/>
      <c r="C92" s="453"/>
      <c r="D92" s="467" t="s">
        <v>38</v>
      </c>
      <c r="E92" s="483" t="s">
        <v>103</v>
      </c>
      <c r="F92" s="482"/>
      <c r="G92" s="482"/>
      <c r="H92" s="482"/>
      <c r="I92" s="440"/>
      <c r="J92" s="440"/>
      <c r="K92" s="440"/>
      <c r="L92" s="440"/>
      <c r="M92" s="440"/>
      <c r="N92" s="446"/>
      <c r="O92" s="440"/>
      <c r="P92" s="475"/>
      <c r="Q92" s="476"/>
      <c r="R92" s="477"/>
    </row>
    <row r="93" spans="1:18" s="37" customFormat="1">
      <c r="A93" s="109"/>
      <c r="B93" s="109"/>
      <c r="C93" s="104"/>
      <c r="D93" s="104"/>
      <c r="E93" s="173"/>
      <c r="F93" s="104"/>
      <c r="G93" s="148"/>
      <c r="H93" s="104"/>
      <c r="I93" s="104"/>
      <c r="J93" s="106"/>
      <c r="K93" s="106"/>
      <c r="L93" s="106"/>
      <c r="M93" s="106"/>
      <c r="N93" s="364"/>
      <c r="O93" s="109"/>
      <c r="P93" s="136"/>
      <c r="Q93" s="104"/>
      <c r="R93" s="160"/>
    </row>
    <row r="94" spans="1:18" s="37" customFormat="1">
      <c r="A94" s="109"/>
      <c r="B94" s="109"/>
      <c r="C94" s="654" t="s">
        <v>716</v>
      </c>
      <c r="D94" s="104" t="s">
        <v>55</v>
      </c>
      <c r="E94" s="165" t="s">
        <v>175</v>
      </c>
      <c r="F94" s="104"/>
      <c r="G94" s="166">
        <f>SUM(J55:N55)/SUM(J56:N56)*100</f>
        <v>125.26368929866103</v>
      </c>
      <c r="H94" s="167"/>
      <c r="I94" s="168"/>
      <c r="J94" s="106"/>
      <c r="K94" s="106"/>
      <c r="L94" s="106"/>
      <c r="M94" s="106"/>
      <c r="N94" s="364"/>
      <c r="O94" s="109"/>
      <c r="P94" s="136"/>
      <c r="Q94" s="104"/>
      <c r="R94" s="160" t="s">
        <v>75</v>
      </c>
    </row>
    <row r="95" spans="1:18" s="37" customFormat="1">
      <c r="A95" s="109"/>
      <c r="B95" s="109"/>
      <c r="C95" s="104"/>
      <c r="D95" s="104" t="s">
        <v>55</v>
      </c>
      <c r="E95" s="165" t="s">
        <v>308</v>
      </c>
      <c r="F95" s="104"/>
      <c r="G95" s="166">
        <f>IF(G94&gt;'Input BYR'!O146,'Input BYR'!O137+'Input BYR'!O136*'Input BYR'!O146,IF(G94&gt;'Input BYR'!$O$145,'Input BYR'!O137+'Input BYR'!O136*G94,'Input BYR'!O128+'Input BYR'!O127*G94))</f>
        <v>106.31592232466525</v>
      </c>
      <c r="H95" s="104"/>
      <c r="I95" s="104"/>
      <c r="J95" s="106"/>
      <c r="K95" s="106"/>
      <c r="L95" s="106"/>
      <c r="M95" s="106"/>
      <c r="N95" s="364"/>
      <c r="O95" s="109"/>
      <c r="P95" s="136"/>
      <c r="Q95" s="104"/>
      <c r="R95" s="160" t="s">
        <v>75</v>
      </c>
    </row>
    <row r="96" spans="1:18" s="37" customFormat="1">
      <c r="A96" s="109"/>
      <c r="B96" s="109"/>
      <c r="C96" s="104"/>
      <c r="D96" s="104" t="s">
        <v>55</v>
      </c>
      <c r="E96" s="165" t="s">
        <v>14</v>
      </c>
      <c r="F96" s="104"/>
      <c r="G96" s="169">
        <f>IF(G94&gt;'Input BYR'!O146,'Input BYR'!O135+'Input BYR'!O134*'Input BYR'!O146,IF(G94&gt;100,'Input BYR'!O135+'Input BYR'!O134*G94,'Input BYR'!O126+'Input BYR'!O125*G94))</f>
        <v>0.1736815535066949</v>
      </c>
      <c r="H96" s="104"/>
      <c r="I96" s="104"/>
      <c r="J96" s="106"/>
      <c r="K96" s="106"/>
      <c r="L96" s="106"/>
      <c r="M96" s="106"/>
      <c r="N96" s="364"/>
      <c r="O96" s="109"/>
      <c r="P96" s="136"/>
      <c r="Q96" s="104"/>
      <c r="R96" s="160" t="s">
        <v>75</v>
      </c>
    </row>
    <row r="97" spans="1:18" s="37" customFormat="1">
      <c r="A97" s="109"/>
      <c r="B97" s="109"/>
      <c r="C97" s="104"/>
      <c r="D97" s="104" t="s">
        <v>55</v>
      </c>
      <c r="E97" s="165" t="s">
        <v>309</v>
      </c>
      <c r="F97" s="104"/>
      <c r="G97" s="161">
        <f>IF(G94&gt;'Input BYR'!$O$146,'Input BYR'!$O$140+'Input BYR'!$O$139*'Input BYR'!$O$146+'Input BYR'!$O$138*'Input BYR'!$O$146^2-(G94-'Input BYR'!$O$146)*'Input BYR'!$O$143,IF(G94&gt;100,'Input BYR'!$O$140+'Input BYR'!$O$139*G94+'Input BYR'!$O$138*G94^2,'Input BYR'!$O$131+'Input BYR'!$O$130*G94+'Input BYR'!$O$129*G94^2))</f>
        <v>-2.6925941936236804</v>
      </c>
      <c r="H97" s="170"/>
      <c r="I97" s="104"/>
      <c r="J97" s="106"/>
      <c r="K97" s="106"/>
      <c r="L97" s="106"/>
      <c r="M97" s="106"/>
      <c r="N97" s="364"/>
      <c r="O97" s="109"/>
      <c r="P97" s="171"/>
      <c r="Q97" s="172"/>
      <c r="R97" s="160" t="s">
        <v>75</v>
      </c>
    </row>
    <row r="98" spans="1:18" s="37" customFormat="1">
      <c r="A98" s="109"/>
      <c r="B98" s="109"/>
      <c r="C98" s="104"/>
      <c r="D98" s="104"/>
      <c r="E98" s="173"/>
      <c r="F98" s="104"/>
      <c r="G98" s="161"/>
      <c r="H98" s="104"/>
      <c r="I98" s="104"/>
      <c r="J98" s="106"/>
      <c r="K98" s="106"/>
      <c r="L98" s="106"/>
      <c r="M98" s="106"/>
      <c r="N98" s="364"/>
      <c r="O98" s="109"/>
      <c r="P98" s="136"/>
      <c r="Q98" s="104"/>
      <c r="R98" s="160"/>
    </row>
    <row r="99" spans="1:18" s="37" customFormat="1">
      <c r="A99" s="109"/>
      <c r="B99" s="109"/>
      <c r="C99" s="654" t="s">
        <v>720</v>
      </c>
      <c r="D99" s="104" t="s">
        <v>55</v>
      </c>
      <c r="E99" s="165" t="s">
        <v>176</v>
      </c>
      <c r="F99" s="104"/>
      <c r="G99" s="660">
        <f>IF(SUM(J67:N67)=0,0,SUM(J66:N66)/SUM(J67:N67)*100)</f>
        <v>107.97441355193162</v>
      </c>
      <c r="H99" s="167"/>
      <c r="I99" s="104"/>
      <c r="J99" s="106"/>
      <c r="K99" s="106"/>
      <c r="L99" s="106"/>
      <c r="M99" s="106"/>
      <c r="N99" s="364"/>
      <c r="O99" s="109"/>
      <c r="P99" s="136"/>
      <c r="Q99" s="104"/>
      <c r="R99" s="160" t="s">
        <v>75</v>
      </c>
    </row>
    <row r="100" spans="1:18" s="37" customFormat="1">
      <c r="A100" s="109"/>
      <c r="B100" s="109"/>
      <c r="C100" s="104"/>
      <c r="D100" s="104" t="s">
        <v>55</v>
      </c>
      <c r="E100" s="165" t="s">
        <v>310</v>
      </c>
      <c r="F100" s="104"/>
      <c r="G100" s="166">
        <f>IF(G99&gt;'Input BYR'!O146,'Input BYR'!O137+'Input BYR'!O136*'Input BYR'!O146,IF(G99&gt;'Input BYR'!$O$145,'Input BYR'!O137+'Input BYR'!O136*G99,'Input BYR'!O128+'Input BYR'!O127*G99))</f>
        <v>101.9936033879829</v>
      </c>
      <c r="H100" s="166"/>
      <c r="I100" s="104"/>
      <c r="J100" s="106"/>
      <c r="K100" s="106"/>
      <c r="L100" s="106"/>
      <c r="M100" s="106"/>
      <c r="N100" s="364"/>
      <c r="O100" s="109"/>
      <c r="P100" s="136"/>
      <c r="Q100" s="104"/>
      <c r="R100" s="160" t="s">
        <v>75</v>
      </c>
    </row>
    <row r="101" spans="1:18" s="37" customFormat="1">
      <c r="A101" s="109"/>
      <c r="B101" s="109"/>
      <c r="C101" s="104"/>
      <c r="D101" s="104" t="s">
        <v>55</v>
      </c>
      <c r="E101" s="165" t="s">
        <v>15</v>
      </c>
      <c r="F101" s="104"/>
      <c r="G101" s="169">
        <f>IF(G99&gt;'Input BYR'!O146,'Input BYR'!O135+'Input BYR'!O134*'Input BYR'!O146,IF(G99&gt;100,'Input BYR'!O135+'Input BYR'!O134*G99,'Input BYR'!O126+'Input BYR'!O125*G99))</f>
        <v>0.26012793224034192</v>
      </c>
      <c r="H101" s="104"/>
      <c r="I101" s="104"/>
      <c r="J101" s="106"/>
      <c r="K101" s="106"/>
      <c r="L101" s="106"/>
      <c r="M101" s="106"/>
      <c r="N101" s="364"/>
      <c r="O101" s="109"/>
      <c r="P101" s="136"/>
      <c r="Q101" s="104"/>
      <c r="R101" s="160" t="s">
        <v>75</v>
      </c>
    </row>
    <row r="102" spans="1:18" s="37" customFormat="1">
      <c r="A102" s="109"/>
      <c r="B102" s="109"/>
      <c r="C102" s="104"/>
      <c r="D102" s="104" t="s">
        <v>55</v>
      </c>
      <c r="E102" s="165" t="s">
        <v>311</v>
      </c>
      <c r="F102" s="104"/>
      <c r="G102" s="161">
        <f>IF('Input BYR'!$O$151=1,0,IF(G99&gt;'Input BYR'!$O$146,'Input BYR'!$O$140+'Input BYR'!$O$139*'Input BYR'!$O$146+'Input BYR'!$O$138*'Input BYR'!$O$146^2-(G99-'Input BYR'!$O$146)*'Input BYR'!$O$143,IF(G99&gt;100,'Input BYR'!$O$140+'Input BYR'!$O$139*G99+'Input BYR'!$O$138*G99^2,'Input BYR'!$O$131+'Input BYR'!$O$130*G99+'Input BYR'!$O$129*G99^2)))</f>
        <v>-0.67757010576641186</v>
      </c>
      <c r="H102" s="166"/>
      <c r="I102" s="104"/>
      <c r="J102" s="106"/>
      <c r="K102" s="106"/>
      <c r="L102" s="106"/>
      <c r="M102" s="106"/>
      <c r="N102" s="364"/>
      <c r="O102" s="109"/>
      <c r="P102" s="136"/>
      <c r="Q102" s="104"/>
      <c r="R102" s="160" t="s">
        <v>75</v>
      </c>
    </row>
    <row r="103" spans="1:18" s="37" customFormat="1">
      <c r="A103" s="109"/>
      <c r="B103" s="109"/>
      <c r="C103" s="104"/>
      <c r="D103" s="104"/>
      <c r="E103" s="173"/>
      <c r="F103" s="104"/>
      <c r="G103" s="179"/>
      <c r="H103" s="104"/>
      <c r="I103" s="104"/>
      <c r="J103" s="106"/>
      <c r="K103" s="106"/>
      <c r="L103" s="106"/>
      <c r="M103" s="106"/>
      <c r="N103" s="364"/>
      <c r="O103" s="109"/>
      <c r="P103" s="136"/>
      <c r="Q103" s="104"/>
      <c r="R103" s="160"/>
    </row>
    <row r="104" spans="1:18">
      <c r="A104" s="479"/>
      <c r="B104" s="452"/>
      <c r="C104" s="453"/>
      <c r="D104" s="467" t="s">
        <v>38</v>
      </c>
      <c r="E104" s="483" t="s">
        <v>187</v>
      </c>
      <c r="F104" s="440"/>
      <c r="G104" s="440"/>
      <c r="H104" s="440"/>
      <c r="I104" s="440"/>
      <c r="J104" s="440"/>
      <c r="K104" s="440"/>
      <c r="L104" s="440"/>
      <c r="M104" s="440"/>
      <c r="N104" s="446"/>
      <c r="O104" s="440"/>
      <c r="P104" s="475"/>
      <c r="Q104" s="476"/>
      <c r="R104" s="477"/>
    </row>
    <row r="105" spans="1:18" s="37" customFormat="1">
      <c r="C105" s="131"/>
      <c r="D105" s="131"/>
      <c r="E105" s="173"/>
      <c r="F105" s="131"/>
      <c r="G105" s="148"/>
      <c r="H105" s="131"/>
      <c r="I105" s="131"/>
      <c r="J105" s="106"/>
      <c r="K105" s="106"/>
      <c r="L105" s="106"/>
      <c r="M105" s="106"/>
      <c r="N105" s="364"/>
      <c r="P105" s="136"/>
      <c r="Q105" s="131"/>
      <c r="R105" s="147"/>
    </row>
    <row r="106" spans="1:18" s="37" customFormat="1">
      <c r="C106" s="654" t="s">
        <v>717</v>
      </c>
      <c r="D106" s="131" t="s">
        <v>55</v>
      </c>
      <c r="E106" s="173" t="s">
        <v>312</v>
      </c>
      <c r="F106" s="131"/>
      <c r="G106" s="661">
        <f>SUM(J62:N62)/SUM(J63:N63)*100</f>
        <v>125.89244466459381</v>
      </c>
      <c r="H106" s="175"/>
      <c r="I106" s="131"/>
      <c r="J106" s="106"/>
      <c r="K106" s="106"/>
      <c r="L106" s="106"/>
      <c r="M106" s="106"/>
      <c r="N106" s="364"/>
      <c r="P106" s="136"/>
      <c r="Q106" s="131"/>
      <c r="R106" s="147" t="s">
        <v>75</v>
      </c>
    </row>
    <row r="107" spans="1:18" s="37" customFormat="1">
      <c r="C107" s="131"/>
      <c r="D107" s="131" t="s">
        <v>55</v>
      </c>
      <c r="E107" s="173" t="s">
        <v>306</v>
      </c>
      <c r="F107" s="131"/>
      <c r="G107" s="174">
        <f>IF(G106&gt;'Input BYR'!O146,'Input BYR'!O137+'Input BYR'!O136*'Input BYR'!O146,IF(G106&gt;'Input BYR'!$O$145,'Input BYR'!O137+'Input BYR'!O136*G106,'Input BYR'!O128+'Input BYR'!O127*G106))</f>
        <v>106.47311116614846</v>
      </c>
      <c r="H107" s="175"/>
      <c r="I107" s="131"/>
      <c r="J107" s="106"/>
      <c r="K107" s="106"/>
      <c r="L107" s="106"/>
      <c r="M107" s="106"/>
      <c r="N107" s="364"/>
      <c r="P107" s="136"/>
      <c r="Q107" s="131"/>
      <c r="R107" s="147" t="s">
        <v>75</v>
      </c>
    </row>
    <row r="108" spans="1:18" s="37" customFormat="1">
      <c r="C108" s="131"/>
      <c r="D108" s="131" t="s">
        <v>55</v>
      </c>
      <c r="E108" s="173" t="s">
        <v>307</v>
      </c>
      <c r="F108" s="131"/>
      <c r="G108" s="163">
        <f>IF(G106&gt;'Input BYR'!O146,'Input BYR'!O135+'Input BYR'!O134*'Input BYR'!O146,IF(G106&gt;100,'Input BYR'!O135+'Input BYR'!O134*G106,'Input BYR'!O126+'Input BYR'!O125*G106))</f>
        <v>0.17053777667703096</v>
      </c>
      <c r="H108" s="175"/>
      <c r="I108" s="131"/>
      <c r="J108" s="106"/>
      <c r="K108" s="106"/>
      <c r="L108" s="106"/>
      <c r="M108" s="106"/>
      <c r="N108" s="364"/>
      <c r="P108" s="136"/>
      <c r="Q108" s="131"/>
      <c r="R108" s="147" t="s">
        <v>75</v>
      </c>
    </row>
    <row r="109" spans="1:18" s="37" customFormat="1">
      <c r="C109" s="131"/>
      <c r="D109" s="131"/>
      <c r="E109" s="173"/>
      <c r="F109" s="131"/>
      <c r="G109" s="163"/>
      <c r="H109" s="131"/>
      <c r="I109" s="131"/>
      <c r="J109" s="106"/>
      <c r="K109" s="106"/>
      <c r="L109" s="106"/>
      <c r="M109" s="106"/>
      <c r="N109" s="364"/>
      <c r="P109" s="136"/>
      <c r="Q109" s="131"/>
      <c r="R109" s="147"/>
    </row>
    <row r="110" spans="1:18" s="37" customFormat="1">
      <c r="C110" s="654" t="s">
        <v>721</v>
      </c>
      <c r="D110" s="131" t="s">
        <v>55</v>
      </c>
      <c r="E110" s="173" t="s">
        <v>313</v>
      </c>
      <c r="F110" s="131"/>
      <c r="G110" s="661">
        <f>IF(SUM(J74:N74)=0,0,SUM(J73:N73)/SUM(J74:N74)*100)</f>
        <v>109.28435607768199</v>
      </c>
      <c r="H110" s="174"/>
      <c r="I110" s="131"/>
      <c r="J110" s="106"/>
      <c r="K110" s="106"/>
      <c r="L110" s="106"/>
      <c r="M110" s="106"/>
      <c r="N110" s="364"/>
      <c r="P110" s="136"/>
      <c r="Q110" s="131"/>
      <c r="R110" s="147" t="s">
        <v>75</v>
      </c>
    </row>
    <row r="111" spans="1:18" s="37" customFormat="1">
      <c r="C111" s="131"/>
      <c r="D111" s="131" t="s">
        <v>55</v>
      </c>
      <c r="E111" s="173" t="s">
        <v>314</v>
      </c>
      <c r="F111" s="131"/>
      <c r="G111" s="174">
        <f>IF(G110&gt;'Input BYR'!O146,'Input BYR'!O137+'Input BYR'!O136*'Input BYR'!O146,IF(G110&gt;'Input BYR'!$O$145,'Input BYR'!O137+'Input BYR'!O136*G110,'Input BYR'!O128+'Input BYR'!O127*G110))</f>
        <v>102.3210890194205</v>
      </c>
      <c r="H111" s="174"/>
      <c r="I111" s="131"/>
      <c r="J111" s="106"/>
      <c r="K111" s="106"/>
      <c r="L111" s="106"/>
      <c r="M111" s="106"/>
      <c r="N111" s="364"/>
      <c r="P111" s="136"/>
      <c r="Q111" s="131"/>
      <c r="R111" s="147" t="s">
        <v>75</v>
      </c>
    </row>
    <row r="112" spans="1:18" s="37" customFormat="1">
      <c r="C112" s="131"/>
      <c r="D112" s="131" t="s">
        <v>55</v>
      </c>
      <c r="E112" s="173" t="s">
        <v>315</v>
      </c>
      <c r="F112" s="131"/>
      <c r="G112" s="163">
        <f>IF(G110&gt;'Input BYR'!O146,'Input BYR'!O135+'Input BYR'!O134*'Input BYR'!O146,IF(G110&gt;100,'Input BYR'!O135+'Input BYR'!O134*G110,'Input BYR'!O126+'Input BYR'!O125*G110))</f>
        <v>0.25357821961159011</v>
      </c>
      <c r="H112" s="163"/>
      <c r="I112" s="131"/>
      <c r="J112" s="106"/>
      <c r="K112" s="106"/>
      <c r="L112" s="106"/>
      <c r="M112" s="106"/>
      <c r="N112" s="364"/>
      <c r="P112" s="136"/>
      <c r="Q112" s="131"/>
      <c r="R112" s="147" t="s">
        <v>75</v>
      </c>
    </row>
    <row r="113" spans="1:18" s="37" customFormat="1">
      <c r="C113" s="131"/>
      <c r="D113" s="131"/>
      <c r="E113" s="173"/>
      <c r="F113" s="131"/>
      <c r="G113" s="163"/>
      <c r="H113" s="131"/>
      <c r="I113" s="131"/>
      <c r="J113" s="106"/>
      <c r="K113" s="106"/>
      <c r="L113" s="106"/>
      <c r="M113" s="106"/>
      <c r="N113" s="364"/>
      <c r="P113" s="136"/>
      <c r="Q113" s="131"/>
      <c r="R113" s="147"/>
    </row>
    <row r="114" spans="1:18">
      <c r="A114" s="479"/>
      <c r="B114" s="452"/>
      <c r="C114" s="453"/>
      <c r="D114" s="467" t="s">
        <v>38</v>
      </c>
      <c r="E114" s="483" t="s">
        <v>188</v>
      </c>
      <c r="F114" s="440"/>
      <c r="G114" s="440"/>
      <c r="H114" s="440"/>
      <c r="I114" s="440"/>
      <c r="J114" s="440"/>
      <c r="K114" s="440"/>
      <c r="L114" s="440"/>
      <c r="M114" s="440"/>
      <c r="N114" s="446"/>
      <c r="O114" s="440"/>
      <c r="P114" s="475"/>
      <c r="Q114" s="476"/>
      <c r="R114" s="477"/>
    </row>
    <row r="115" spans="1:18" s="37" customFormat="1">
      <c r="C115" s="131"/>
      <c r="D115" s="131"/>
      <c r="E115" s="173"/>
      <c r="F115" s="131"/>
      <c r="G115" s="163"/>
      <c r="H115" s="131"/>
      <c r="I115" s="131"/>
      <c r="J115" s="106"/>
      <c r="K115" s="106"/>
      <c r="L115" s="106"/>
      <c r="M115" s="106"/>
      <c r="N115" s="364"/>
      <c r="P115" s="136"/>
      <c r="Q115" s="131"/>
      <c r="R115" s="147"/>
    </row>
    <row r="116" spans="1:18" s="37" customFormat="1">
      <c r="C116" s="654" t="s">
        <v>718</v>
      </c>
      <c r="D116" s="131" t="s">
        <v>55</v>
      </c>
      <c r="E116" s="173" t="s">
        <v>304</v>
      </c>
      <c r="F116" s="131"/>
      <c r="G116" s="661">
        <f>SUM(J82:N82)/SUM(J80:N80)*100</f>
        <v>108.11085049442532</v>
      </c>
      <c r="H116" s="131"/>
      <c r="I116" s="131"/>
      <c r="J116" s="106"/>
      <c r="K116" s="106"/>
      <c r="L116" s="106"/>
      <c r="M116" s="106"/>
      <c r="N116" s="364"/>
      <c r="P116" s="136"/>
      <c r="Q116" s="131"/>
      <c r="R116" s="147" t="s">
        <v>75</v>
      </c>
    </row>
    <row r="117" spans="1:18" s="37" customFormat="1">
      <c r="C117" s="654" t="s">
        <v>719</v>
      </c>
      <c r="D117" s="131" t="s">
        <v>55</v>
      </c>
      <c r="E117" s="173" t="s">
        <v>83</v>
      </c>
      <c r="F117" s="131"/>
      <c r="G117" s="161">
        <f>((G107-G116)*G108)+G97</f>
        <v>-2.9718906174445512</v>
      </c>
      <c r="H117" s="131"/>
      <c r="I117" s="131"/>
      <c r="J117" s="106"/>
      <c r="K117" s="106"/>
      <c r="L117" s="106"/>
      <c r="M117" s="106"/>
      <c r="N117" s="364"/>
      <c r="P117" s="136"/>
      <c r="Q117" s="131"/>
      <c r="R117" s="147" t="s">
        <v>75</v>
      </c>
    </row>
    <row r="118" spans="1:18" s="37" customFormat="1">
      <c r="C118" s="131"/>
      <c r="D118" s="131"/>
      <c r="E118" s="173"/>
      <c r="F118" s="131"/>
      <c r="G118" s="161"/>
      <c r="H118" s="131"/>
      <c r="I118" s="131"/>
      <c r="J118" s="106"/>
      <c r="K118" s="106"/>
      <c r="L118" s="106"/>
      <c r="M118" s="106"/>
      <c r="N118" s="364"/>
      <c r="P118" s="136"/>
      <c r="Q118" s="131"/>
      <c r="R118" s="147"/>
    </row>
    <row r="119" spans="1:18" s="37" customFormat="1">
      <c r="C119" s="654" t="s">
        <v>722</v>
      </c>
      <c r="D119" s="131" t="s">
        <v>55</v>
      </c>
      <c r="E119" s="173" t="s">
        <v>305</v>
      </c>
      <c r="F119" s="131"/>
      <c r="G119" s="661">
        <f>IF(SUM(J85:N85)=0,0,SUM(J87:N87)/SUM(J85:N85)*100)</f>
        <v>100.11044006886138</v>
      </c>
      <c r="H119" s="131"/>
      <c r="I119" s="131"/>
      <c r="J119" s="106"/>
      <c r="K119" s="106"/>
      <c r="L119" s="106"/>
      <c r="M119" s="106"/>
      <c r="N119" s="364"/>
      <c r="P119" s="136"/>
      <c r="Q119" s="131"/>
      <c r="R119" s="147" t="s">
        <v>75</v>
      </c>
    </row>
    <row r="120" spans="1:18" s="37" customFormat="1">
      <c r="C120" s="654" t="s">
        <v>723</v>
      </c>
      <c r="D120" s="131" t="s">
        <v>55</v>
      </c>
      <c r="E120" s="173" t="s">
        <v>84</v>
      </c>
      <c r="F120" s="131"/>
      <c r="G120" s="161">
        <f>IF('Input BYR'!$O$151=1,0,((G111-G119)*G112)+G102)</f>
        <v>-0.11699768069740046</v>
      </c>
      <c r="H120" s="174"/>
      <c r="I120" s="131"/>
      <c r="J120" s="106"/>
      <c r="K120" s="106"/>
      <c r="L120" s="106"/>
      <c r="M120" s="106"/>
      <c r="N120" s="364"/>
      <c r="P120" s="136"/>
      <c r="Q120" s="131"/>
      <c r="R120" s="147" t="s">
        <v>75</v>
      </c>
    </row>
    <row r="121" spans="1:18" s="37" customFormat="1" ht="12.75" customHeight="1">
      <c r="C121" s="131"/>
      <c r="D121" s="131"/>
      <c r="E121" s="173"/>
      <c r="F121" s="131"/>
      <c r="G121" s="148"/>
      <c r="H121" s="131"/>
      <c r="I121" s="131"/>
      <c r="J121" s="106"/>
      <c r="K121" s="106"/>
      <c r="L121" s="106"/>
      <c r="M121" s="106"/>
      <c r="N121" s="364"/>
      <c r="P121" s="136"/>
      <c r="Q121" s="131"/>
      <c r="R121" s="147"/>
    </row>
    <row r="122" spans="1:18" ht="12.75" customHeight="1">
      <c r="A122" s="479"/>
      <c r="B122" s="452"/>
      <c r="C122" s="453"/>
      <c r="D122" s="481"/>
      <c r="E122" s="483" t="s">
        <v>189</v>
      </c>
      <c r="F122" s="440"/>
      <c r="G122" s="440"/>
      <c r="H122" s="440"/>
      <c r="I122" s="440"/>
      <c r="J122" s="440"/>
      <c r="K122" s="440"/>
      <c r="L122" s="440"/>
      <c r="M122" s="440"/>
      <c r="N122" s="446"/>
      <c r="O122" s="440"/>
      <c r="P122" s="475"/>
      <c r="Q122" s="476"/>
      <c r="R122" s="477"/>
    </row>
    <row r="123" spans="1:18" s="37" customFormat="1" ht="12.75" customHeight="1">
      <c r="A123" s="109"/>
      <c r="B123" s="109"/>
      <c r="C123" s="104"/>
      <c r="D123" s="104"/>
      <c r="E123" s="177"/>
      <c r="F123" s="104"/>
      <c r="G123" s="104"/>
      <c r="H123" s="104"/>
      <c r="I123" s="104"/>
      <c r="J123" s="106"/>
      <c r="K123" s="106"/>
      <c r="L123" s="106"/>
      <c r="M123" s="106"/>
      <c r="N123" s="364"/>
      <c r="O123" s="368"/>
      <c r="P123" s="107"/>
      <c r="Q123" s="104"/>
      <c r="R123" s="160"/>
    </row>
    <row r="124" spans="1:18" s="37" customFormat="1" ht="12.75" customHeight="1">
      <c r="C124" s="131"/>
      <c r="D124" s="131" t="s">
        <v>57</v>
      </c>
      <c r="E124" s="132" t="s">
        <v>323</v>
      </c>
      <c r="F124" s="132"/>
      <c r="G124" s="132"/>
      <c r="H124" s="131"/>
      <c r="I124" s="131"/>
      <c r="J124" s="106"/>
      <c r="K124" s="106"/>
      <c r="L124" s="106"/>
      <c r="M124" s="106"/>
      <c r="N124" s="364"/>
      <c r="O124" s="361"/>
      <c r="P124" s="176">
        <f>SUM(J80:N80)*G117/100</f>
        <v>-36.942504375104058</v>
      </c>
      <c r="Q124" s="148"/>
      <c r="R124" s="147" t="s">
        <v>242</v>
      </c>
    </row>
    <row r="125" spans="1:18" s="37" customFormat="1" ht="12.75" customHeight="1">
      <c r="C125" s="131"/>
      <c r="D125" s="131" t="s">
        <v>57</v>
      </c>
      <c r="E125" s="132" t="s">
        <v>324</v>
      </c>
      <c r="F125" s="132"/>
      <c r="G125" s="132"/>
      <c r="H125" s="131"/>
      <c r="I125" s="131"/>
      <c r="J125" s="106"/>
      <c r="K125" s="106"/>
      <c r="L125" s="106"/>
      <c r="M125" s="106"/>
      <c r="N125" s="364"/>
      <c r="O125" s="361"/>
      <c r="P125" s="176">
        <f>SUM(J85:N85)*G120/100</f>
        <v>-3.0091419075021122</v>
      </c>
      <c r="Q125" s="148"/>
      <c r="R125" s="147" t="s">
        <v>242</v>
      </c>
    </row>
    <row r="126" spans="1:18" s="37" customFormat="1" ht="12.75" customHeight="1">
      <c r="C126" s="131"/>
      <c r="D126" s="131"/>
      <c r="E126" s="132"/>
      <c r="F126" s="132"/>
      <c r="G126" s="132"/>
      <c r="H126" s="131"/>
      <c r="I126" s="131"/>
      <c r="J126" s="106"/>
      <c r="K126" s="106"/>
      <c r="L126" s="106"/>
      <c r="M126" s="106"/>
      <c r="N126" s="364"/>
      <c r="O126" s="361"/>
      <c r="P126" s="158"/>
      <c r="Q126" s="148"/>
      <c r="R126" s="147"/>
    </row>
    <row r="127" spans="1:18" s="37" customFormat="1" ht="12.75" customHeight="1">
      <c r="C127" s="131"/>
      <c r="D127" s="131" t="s">
        <v>57</v>
      </c>
      <c r="E127" s="132" t="s">
        <v>72</v>
      </c>
      <c r="F127" s="132"/>
      <c r="G127" s="132"/>
      <c r="H127" s="131"/>
      <c r="I127" s="131"/>
      <c r="J127" s="156">
        <f>IF('Input BYR'!J49&lt;&gt;"",'Input BYR'!J49,J56*$G$97/100)</f>
        <v>-6.4040346411921103</v>
      </c>
      <c r="K127" s="156">
        <f>IF('Input BYR'!K49&lt;&gt;"",'Input BYR'!K49,K56*$G$97/100)</f>
        <v>-9.3120659362126101</v>
      </c>
      <c r="L127" s="156">
        <f>IF('Input BYR'!L49&lt;&gt;"",'Input BYR'!L49,L56*$G$97/100)</f>
        <v>-8.4414031297668295</v>
      </c>
      <c r="M127" s="156">
        <f>IF('Input BYR'!M49&lt;&gt;"",'Input BYR'!M49,M56*$G$97/100)</f>
        <v>-7.9153618865700501</v>
      </c>
      <c r="N127" s="365">
        <f>IF('Input BYR'!N49&lt;&gt;"",'Input BYR'!N49,N56*$G$97/100)</f>
        <v>-6.2416587606791998</v>
      </c>
      <c r="O127" s="369"/>
      <c r="P127" s="158"/>
      <c r="Q127" s="161"/>
      <c r="R127" s="147" t="s">
        <v>242</v>
      </c>
    </row>
    <row r="128" spans="1:18" s="37" customFormat="1" ht="12.75" customHeight="1">
      <c r="C128" s="131"/>
      <c r="D128" s="131" t="s">
        <v>57</v>
      </c>
      <c r="E128" s="132" t="s">
        <v>73</v>
      </c>
      <c r="F128" s="132"/>
      <c r="G128" s="132"/>
      <c r="H128" s="131"/>
      <c r="I128" s="131"/>
      <c r="J128" s="156">
        <f>IF('Input BYR'!J50&lt;&gt;"",'Input BYR'!J50,J67*$G$102/100)</f>
        <v>-4.4345210389061096</v>
      </c>
      <c r="K128" s="156">
        <f>IF('Input BYR'!K50&lt;&gt;"",'Input BYR'!K50,K67*$G$102/100)</f>
        <v>-5.5135632887299098</v>
      </c>
      <c r="L128" s="156">
        <f>IF('Input BYR'!L50&lt;&gt;"",'Input BYR'!L50,L67*$G$102/100)</f>
        <v>-4.38623182711172</v>
      </c>
      <c r="M128" s="156">
        <f>IF('Input BYR'!M50&lt;&gt;"",'Input BYR'!M50,M67*$G$102/100)</f>
        <v>-3.6482704817140701</v>
      </c>
      <c r="N128" s="365">
        <f>IF('Input BYR'!N50&lt;&gt;"",'Input BYR'!N50,N67*$G$102/100)</f>
        <v>-2.90058545757877</v>
      </c>
      <c r="O128" s="369"/>
      <c r="P128" s="158"/>
      <c r="Q128" s="161"/>
      <c r="R128" s="147" t="s">
        <v>242</v>
      </c>
    </row>
    <row r="129" spans="1:19" s="37" customFormat="1" ht="12.75" customHeight="1">
      <c r="C129" s="131"/>
      <c r="D129" s="131"/>
      <c r="E129" s="132"/>
      <c r="F129" s="132"/>
      <c r="G129" s="131"/>
      <c r="H129" s="131"/>
      <c r="I129" s="131"/>
      <c r="J129" s="106"/>
      <c r="K129" s="106"/>
      <c r="L129" s="106"/>
      <c r="M129" s="106"/>
      <c r="N129" s="364"/>
      <c r="O129" s="361"/>
      <c r="P129" s="107"/>
      <c r="Q129" s="131"/>
      <c r="R129" s="147"/>
    </row>
    <row r="130" spans="1:19" s="37" customFormat="1" ht="12.75" customHeight="1">
      <c r="C130" s="131"/>
      <c r="D130" s="131" t="s">
        <v>57</v>
      </c>
      <c r="E130" s="132" t="s">
        <v>81</v>
      </c>
      <c r="F130" s="132"/>
      <c r="G130" s="131"/>
      <c r="H130" s="131"/>
      <c r="I130" s="131"/>
      <c r="J130" s="159"/>
      <c r="K130" s="159"/>
      <c r="L130" s="159"/>
      <c r="M130" s="159"/>
      <c r="N130" s="364"/>
      <c r="O130" s="361"/>
      <c r="P130" s="176">
        <f t="shared" ref="P130:P131" si="15">P124-SUM(J127:N127)</f>
        <v>1.3720199793167396</v>
      </c>
      <c r="Q130" s="131"/>
      <c r="R130" s="147" t="s">
        <v>242</v>
      </c>
    </row>
    <row r="131" spans="1:19" s="37" customFormat="1" ht="12.75" customHeight="1">
      <c r="C131" s="131"/>
      <c r="D131" s="131" t="s">
        <v>57</v>
      </c>
      <c r="E131" s="132" t="s">
        <v>82</v>
      </c>
      <c r="F131" s="132"/>
      <c r="G131" s="131"/>
      <c r="H131" s="131"/>
      <c r="I131" s="131"/>
      <c r="J131" s="106"/>
      <c r="K131" s="106"/>
      <c r="L131" s="106"/>
      <c r="M131" s="106"/>
      <c r="N131" s="364"/>
      <c r="O131" s="361"/>
      <c r="P131" s="176">
        <f t="shared" si="15"/>
        <v>17.874030186538469</v>
      </c>
      <c r="Q131" s="131"/>
      <c r="R131" s="147" t="s">
        <v>242</v>
      </c>
    </row>
    <row r="132" spans="1:19" s="37" customFormat="1" ht="12.75" customHeight="1">
      <c r="C132" s="131"/>
      <c r="D132" s="131"/>
      <c r="E132" s="132"/>
      <c r="F132" s="132"/>
      <c r="G132" s="131"/>
      <c r="H132" s="131"/>
      <c r="I132" s="131"/>
      <c r="J132" s="106"/>
      <c r="K132" s="106"/>
      <c r="L132" s="106"/>
      <c r="M132" s="106"/>
      <c r="N132" s="364"/>
      <c r="O132" s="361"/>
      <c r="P132" s="158"/>
      <c r="Q132" s="131"/>
      <c r="R132" s="147"/>
    </row>
    <row r="133" spans="1:19" s="37" customFormat="1">
      <c r="A133" s="109"/>
      <c r="B133" s="109"/>
      <c r="C133" s="104"/>
      <c r="D133" s="104"/>
      <c r="E133" s="177"/>
      <c r="F133" s="104"/>
      <c r="G133" s="104"/>
      <c r="H133" s="104"/>
      <c r="I133" s="104"/>
      <c r="J133" s="106"/>
      <c r="K133" s="106"/>
      <c r="L133" s="106"/>
      <c r="M133" s="106"/>
      <c r="N133" s="364"/>
      <c r="O133" s="370"/>
      <c r="P133" s="188"/>
      <c r="Q133" s="104"/>
      <c r="R133" s="160"/>
    </row>
    <row r="134" spans="1:19">
      <c r="A134" s="479"/>
      <c r="B134" s="452"/>
      <c r="C134" s="453"/>
      <c r="D134" s="481"/>
      <c r="E134" s="483" t="s">
        <v>99</v>
      </c>
      <c r="F134" s="440"/>
      <c r="G134" s="440"/>
      <c r="H134" s="440"/>
      <c r="I134" s="440"/>
      <c r="J134" s="440"/>
      <c r="K134" s="440"/>
      <c r="L134" s="440"/>
      <c r="M134" s="440"/>
      <c r="N134" s="446"/>
      <c r="O134" s="440"/>
      <c r="P134" s="475"/>
      <c r="Q134" s="476"/>
      <c r="R134" s="477"/>
    </row>
    <row r="135" spans="1:19" ht="12.75" customHeight="1">
      <c r="A135" s="22"/>
      <c r="B135" s="22"/>
      <c r="C135" s="76"/>
      <c r="D135" s="76"/>
      <c r="E135" s="20"/>
      <c r="F135" s="76"/>
      <c r="G135" s="77"/>
      <c r="H135" s="76"/>
      <c r="I135" s="76"/>
      <c r="J135" s="65"/>
      <c r="K135" s="65"/>
      <c r="L135" s="65"/>
      <c r="M135" s="65"/>
      <c r="N135" s="374"/>
      <c r="O135" s="22"/>
      <c r="P135" s="84"/>
      <c r="Q135" s="76"/>
    </row>
    <row r="136" spans="1:19" ht="12.75" customHeight="1">
      <c r="A136" s="479"/>
      <c r="B136" s="452"/>
      <c r="C136" s="453"/>
      <c r="D136" s="481"/>
      <c r="E136" s="483" t="s">
        <v>207</v>
      </c>
      <c r="F136" s="440"/>
      <c r="G136" s="440"/>
      <c r="H136" s="440"/>
      <c r="I136" s="440"/>
      <c r="J136" s="440"/>
      <c r="K136" s="440"/>
      <c r="L136" s="440"/>
      <c r="M136" s="440"/>
      <c r="N136" s="446"/>
      <c r="O136" s="440"/>
      <c r="P136" s="475"/>
      <c r="Q136" s="476"/>
      <c r="R136" s="477"/>
    </row>
    <row r="137" spans="1:19" s="37" customFormat="1" ht="12.75" customHeight="1">
      <c r="C137" s="131"/>
      <c r="D137" s="131"/>
      <c r="E137" s="132"/>
      <c r="F137" s="131"/>
      <c r="G137" s="131"/>
      <c r="H137" s="131"/>
      <c r="I137" s="131"/>
      <c r="J137" s="155"/>
      <c r="K137" s="155"/>
      <c r="L137" s="155"/>
      <c r="M137" s="155"/>
      <c r="N137" s="684"/>
      <c r="O137" s="361"/>
      <c r="P137" s="136"/>
      <c r="Q137" s="131"/>
      <c r="R137" s="147"/>
      <c r="S137" s="147"/>
    </row>
    <row r="138" spans="1:19" s="37" customFormat="1">
      <c r="A138" s="109"/>
      <c r="B138" s="109"/>
      <c r="C138" s="104"/>
      <c r="D138" s="104" t="s">
        <v>57</v>
      </c>
      <c r="E138" s="104" t="s">
        <v>185</v>
      </c>
      <c r="F138" s="104"/>
      <c r="G138" s="104"/>
      <c r="H138" s="104"/>
      <c r="I138" s="104"/>
      <c r="J138" s="156">
        <f>(J57+'Input BYR'!J83)*J$29</f>
        <v>253.05452155210151</v>
      </c>
      <c r="K138" s="156">
        <f>(K57+'Input BYR'!K83)*K$29</f>
        <v>384.52338965615746</v>
      </c>
      <c r="L138" s="156">
        <f>(L57+'Input BYR'!L83)*L$29</f>
        <v>361.46821714224211</v>
      </c>
      <c r="M138" s="156">
        <f>(M57+'Input BYR'!M83)*M$29</f>
        <v>349.11095422719768</v>
      </c>
      <c r="N138" s="365">
        <f>(N57+'Input BYR'!N83)*N$29</f>
        <v>283.55019283279671</v>
      </c>
      <c r="O138" s="104"/>
      <c r="P138" s="136"/>
      <c r="Q138" s="104"/>
      <c r="R138" s="147" t="s">
        <v>87</v>
      </c>
      <c r="S138" s="147"/>
    </row>
    <row r="139" spans="1:19" s="37" customFormat="1">
      <c r="C139" s="131"/>
      <c r="D139" s="104" t="s">
        <v>57</v>
      </c>
      <c r="E139" s="104" t="s">
        <v>110</v>
      </c>
      <c r="F139" s="104"/>
      <c r="G139" s="104"/>
      <c r="H139" s="104"/>
      <c r="I139" s="104"/>
      <c r="J139" s="156">
        <f>SUM('Input BYR'!J65:J70)</f>
        <v>323.03044436918901</v>
      </c>
      <c r="K139" s="156">
        <f>SUM('Input BYR'!K65:K70)</f>
        <v>332.72403311955941</v>
      </c>
      <c r="L139" s="156">
        <f>SUM('Input BYR'!L65:L70)</f>
        <v>275.8225842037736</v>
      </c>
      <c r="M139" s="156">
        <f>SUM('Input BYR'!M65:M70)</f>
        <v>303.1227079992845</v>
      </c>
      <c r="N139" s="365">
        <f>SUM('Input BYR'!N65:N70)</f>
        <v>329.3051467858503</v>
      </c>
      <c r="O139" s="104"/>
      <c r="P139" s="136"/>
      <c r="Q139" s="104"/>
      <c r="R139" s="147" t="s">
        <v>87</v>
      </c>
      <c r="S139" s="147"/>
    </row>
    <row r="140" spans="1:19" s="37" customFormat="1">
      <c r="B140" s="669"/>
      <c r="C140" s="670" t="s">
        <v>696</v>
      </c>
      <c r="D140" s="104" t="s">
        <v>57</v>
      </c>
      <c r="E140" s="104" t="s">
        <v>192</v>
      </c>
      <c r="F140" s="104"/>
      <c r="G140" s="104"/>
      <c r="H140" s="104"/>
      <c r="I140" s="104"/>
      <c r="J140" s="672">
        <f>(J$139*J$15)-(J$138*J$26)</f>
        <v>54.534855908319827</v>
      </c>
      <c r="K140" s="672">
        <f>(K$139*K$15)-(K$138*K$26)</f>
        <v>-66.06355316308543</v>
      </c>
      <c r="L140" s="672">
        <f>(L$139*L$15)-(L$138*L$26)</f>
        <v>-92.984422522179727</v>
      </c>
      <c r="M140" s="672">
        <f>(M$139*M$15)-(M$138*M$26)</f>
        <v>-58.009051635531733</v>
      </c>
      <c r="N140" s="673">
        <f>(N$139*N$15)-(N$138*N$26)</f>
        <v>22.628973872984773</v>
      </c>
      <c r="O140" s="104"/>
      <c r="P140" s="136"/>
      <c r="Q140" s="104"/>
      <c r="R140" s="147" t="s">
        <v>242</v>
      </c>
      <c r="S140" s="671" t="s">
        <v>621</v>
      </c>
    </row>
    <row r="141" spans="1:19" s="37" customFormat="1">
      <c r="C141" s="131"/>
      <c r="D141" s="131"/>
      <c r="E141" s="131"/>
      <c r="F141" s="131"/>
      <c r="G141" s="131"/>
      <c r="H141" s="131"/>
      <c r="I141" s="131"/>
      <c r="J141" s="205"/>
      <c r="K141" s="205"/>
      <c r="L141" s="205"/>
      <c r="M141" s="205"/>
      <c r="N141" s="675"/>
      <c r="O141" s="131"/>
      <c r="P141" s="136"/>
      <c r="Q141" s="131"/>
      <c r="R141" s="147"/>
      <c r="S141" s="147"/>
    </row>
    <row r="142" spans="1:19" s="37" customFormat="1">
      <c r="A142" s="109"/>
      <c r="B142" s="109"/>
      <c r="C142" s="104"/>
      <c r="D142" s="104" t="s">
        <v>57</v>
      </c>
      <c r="E142" s="104" t="s">
        <v>186</v>
      </c>
      <c r="F142" s="104"/>
      <c r="G142" s="104"/>
      <c r="H142" s="104"/>
      <c r="I142" s="104"/>
      <c r="J142" s="156">
        <f>(J68+'Input BYR'!J91)*J$29</f>
        <v>668.03380709460646</v>
      </c>
      <c r="K142" s="156">
        <f>(K68+'Input BYR'!K91)*K$29</f>
        <v>867.96132908323796</v>
      </c>
      <c r="L142" s="156">
        <f>(L68+'Input BYR'!L91)*L$29</f>
        <v>716.04175830012628</v>
      </c>
      <c r="M142" s="156">
        <f>(M68+'Input BYR'!M91)*M$29</f>
        <v>613.43849045188324</v>
      </c>
      <c r="N142" s="365">
        <f>(N68+'Input BYR'!N91)*N$29</f>
        <v>502.3505512119969</v>
      </c>
      <c r="O142" s="104"/>
      <c r="P142" s="136"/>
      <c r="Q142" s="104"/>
      <c r="R142" s="147" t="s">
        <v>87</v>
      </c>
      <c r="S142" s="147"/>
    </row>
    <row r="143" spans="1:19" s="37" customFormat="1">
      <c r="C143" s="104"/>
      <c r="D143" s="104" t="s">
        <v>57</v>
      </c>
      <c r="E143" s="104" t="s">
        <v>111</v>
      </c>
      <c r="F143" s="104"/>
      <c r="G143" s="104"/>
      <c r="H143" s="104"/>
      <c r="I143" s="104"/>
      <c r="J143" s="156">
        <f>IF('Input BYR'!$O$151=1,0,SUM('Input BYR'!J72:J77))</f>
        <v>560.65684220081368</v>
      </c>
      <c r="K143" s="156">
        <f>IF('Input BYR'!$O$151=1,0,SUM('Input BYR'!K72:K77))</f>
        <v>666.33602997043704</v>
      </c>
      <c r="L143" s="156">
        <f>IF('Input BYR'!$O$151=1,0,SUM('Input BYR'!L72:L77))</f>
        <v>578.15605292582541</v>
      </c>
      <c r="M143" s="156">
        <f>IF('Input BYR'!$O$151=1,0,SUM('Input BYR'!M72:M77))</f>
        <v>610.36801817477897</v>
      </c>
      <c r="N143" s="365">
        <f>IF('Input BYR'!$O$151=1,0,SUM('Input BYR'!N72:N77))</f>
        <v>583.423262177011</v>
      </c>
      <c r="O143" s="104"/>
      <c r="P143" s="136"/>
      <c r="Q143" s="104"/>
      <c r="R143" s="147" t="s">
        <v>87</v>
      </c>
      <c r="S143" s="147"/>
    </row>
    <row r="144" spans="1:19" s="37" customFormat="1">
      <c r="B144" s="669"/>
      <c r="C144" s="670" t="s">
        <v>697</v>
      </c>
      <c r="D144" s="104" t="s">
        <v>57</v>
      </c>
      <c r="E144" s="104" t="s">
        <v>193</v>
      </c>
      <c r="F144" s="104"/>
      <c r="G144" s="104"/>
      <c r="H144" s="104"/>
      <c r="I144" s="104"/>
      <c r="J144" s="672">
        <f>(J$143*J$15)-(J$142*J$26)</f>
        <v>-125.07380808656183</v>
      </c>
      <c r="K144" s="672">
        <f>(K$143*K$15)-(K$142*K$26)</f>
        <v>-223.56279492366468</v>
      </c>
      <c r="L144" s="672">
        <f>(L$143*L$15)-(L$142*L$26)</f>
        <v>-157.10885733033592</v>
      </c>
      <c r="M144" s="672">
        <f>(M$143*M$15)-(M$142*M$26)</f>
        <v>-37.51530534067291</v>
      </c>
      <c r="N144" s="673">
        <f>(N$143*N$15)-(N$142*N$26)</f>
        <v>40.099576892397408</v>
      </c>
      <c r="O144" s="104"/>
      <c r="P144" s="136"/>
      <c r="Q144" s="104"/>
      <c r="R144" s="147" t="s">
        <v>242</v>
      </c>
      <c r="S144" s="671" t="s">
        <v>621</v>
      </c>
    </row>
    <row r="145" spans="1:24" s="37" customFormat="1">
      <c r="C145" s="104"/>
      <c r="D145" s="104"/>
      <c r="E145" s="104"/>
      <c r="F145" s="104"/>
      <c r="G145" s="104"/>
      <c r="H145" s="104"/>
      <c r="I145" s="104"/>
      <c r="J145" s="185"/>
      <c r="K145" s="185"/>
      <c r="L145" s="185"/>
      <c r="M145" s="185"/>
      <c r="N145" s="186"/>
      <c r="O145" s="104"/>
      <c r="P145" s="136"/>
      <c r="Q145" s="104"/>
      <c r="R145" s="147"/>
    </row>
    <row r="146" spans="1:24">
      <c r="A146" s="479"/>
      <c r="B146" s="452"/>
      <c r="C146" s="453"/>
      <c r="D146" s="481"/>
      <c r="E146" s="454" t="s">
        <v>206</v>
      </c>
      <c r="F146" s="440"/>
      <c r="G146" s="440"/>
      <c r="H146" s="440"/>
      <c r="I146" s="440"/>
      <c r="J146" s="440"/>
      <c r="K146" s="440"/>
      <c r="L146" s="440"/>
      <c r="M146" s="440"/>
      <c r="N146" s="446"/>
      <c r="O146" s="440"/>
      <c r="P146" s="475"/>
      <c r="Q146" s="476"/>
      <c r="R146" s="477"/>
    </row>
    <row r="147" spans="1:24" s="37" customFormat="1">
      <c r="C147" s="131"/>
      <c r="D147" s="131"/>
      <c r="E147" s="132"/>
      <c r="F147" s="131"/>
      <c r="G147" s="131"/>
      <c r="H147" s="131"/>
      <c r="I147" s="131"/>
      <c r="J147" s="106"/>
      <c r="K147" s="106"/>
      <c r="L147" s="106"/>
      <c r="M147" s="106"/>
      <c r="N147" s="364"/>
      <c r="O147" s="203"/>
      <c r="P147" s="136"/>
      <c r="Q147" s="131"/>
      <c r="R147" s="147"/>
    </row>
    <row r="148" spans="1:24" s="37" customFormat="1">
      <c r="C148" s="131"/>
      <c r="D148" s="104" t="s">
        <v>57</v>
      </c>
      <c r="E148" s="132" t="s">
        <v>198</v>
      </c>
      <c r="F148" s="182"/>
      <c r="G148" s="182"/>
      <c r="H148" s="182"/>
      <c r="I148" s="205">
        <f>'Input BYR'!I$54</f>
        <v>4012.3913144817998</v>
      </c>
      <c r="J148" s="156">
        <f>'Input BYR'!J$54</f>
        <v>3993.7173828238001</v>
      </c>
      <c r="K148" s="156">
        <f>'Input BYR'!K$54</f>
        <v>4084.8071487515299</v>
      </c>
      <c r="L148" s="156">
        <f>'Input BYR'!L$54</f>
        <v>4142.9266328273397</v>
      </c>
      <c r="M148" s="156">
        <f>'Input BYR'!M$54</f>
        <v>4183.7220345626502</v>
      </c>
      <c r="N148" s="365">
        <f>'Input BYR'!N$54</f>
        <v>4162.73248798022</v>
      </c>
      <c r="O148" s="157"/>
      <c r="P148" s="158"/>
      <c r="Q148" s="148"/>
      <c r="R148" s="147" t="s">
        <v>242</v>
      </c>
    </row>
    <row r="149" spans="1:24" s="37" customFormat="1">
      <c r="C149" s="131" t="s">
        <v>711</v>
      </c>
      <c r="D149" s="131" t="s">
        <v>57</v>
      </c>
      <c r="E149" s="132" t="s">
        <v>77</v>
      </c>
      <c r="F149" s="131"/>
      <c r="G149" s="131"/>
      <c r="H149" s="131"/>
      <c r="I149" s="205"/>
      <c r="J149" s="156"/>
      <c r="K149" s="156"/>
      <c r="L149" s="156"/>
      <c r="M149" s="156"/>
      <c r="N149" s="365"/>
      <c r="O149" s="131"/>
      <c r="P149" s="206">
        <f>SUM(J140:N140)</f>
        <v>-139.89319753949229</v>
      </c>
      <c r="Q149" s="161"/>
      <c r="R149" s="147" t="s">
        <v>242</v>
      </c>
    </row>
    <row r="150" spans="1:24" s="37" customFormat="1">
      <c r="A150" s="109"/>
      <c r="B150" s="109"/>
      <c r="C150" s="104"/>
      <c r="D150" s="104" t="s">
        <v>57</v>
      </c>
      <c r="E150" s="177" t="s">
        <v>386</v>
      </c>
      <c r="F150" s="131"/>
      <c r="G150" s="104"/>
      <c r="H150" s="104"/>
      <c r="I150" s="205"/>
      <c r="J150" s="156">
        <f>IF(J5=8,J148+$P$149,J148)</f>
        <v>3993.7173828238001</v>
      </c>
      <c r="K150" s="156">
        <f>IF(K5=8,K148+$P$149,K148)</f>
        <v>4084.8071487515299</v>
      </c>
      <c r="L150" s="156">
        <f>IF(L5=8,L148+$P$149,L148)</f>
        <v>4142.9266328273397</v>
      </c>
      <c r="M150" s="156">
        <f>IF(M5=8,M148+$P$149,M148)</f>
        <v>4183.7220345626502</v>
      </c>
      <c r="N150" s="365">
        <f>IF(N5=8,N148+$P$149,N148)</f>
        <v>4022.8392904407278</v>
      </c>
      <c r="O150" s="109"/>
      <c r="P150" s="136"/>
      <c r="Q150" s="104"/>
      <c r="R150" s="147" t="s">
        <v>242</v>
      </c>
    </row>
    <row r="151" spans="1:24" s="37" customFormat="1">
      <c r="C151" s="131"/>
      <c r="D151" s="131"/>
      <c r="E151" s="177"/>
      <c r="F151" s="131"/>
      <c r="G151" s="131"/>
      <c r="H151" s="131"/>
      <c r="I151" s="205"/>
      <c r="J151" s="156"/>
      <c r="K151" s="156"/>
      <c r="L151" s="156"/>
      <c r="M151" s="156"/>
      <c r="N151" s="365"/>
      <c r="O151" s="157"/>
      <c r="P151" s="158"/>
      <c r="Q151" s="148"/>
      <c r="R151" s="147"/>
    </row>
    <row r="152" spans="1:24" s="37" customFormat="1">
      <c r="C152" s="131"/>
      <c r="D152" s="104" t="s">
        <v>57</v>
      </c>
      <c r="E152" s="132" t="s">
        <v>209</v>
      </c>
      <c r="F152" s="207"/>
      <c r="G152" s="207"/>
      <c r="H152" s="207"/>
      <c r="I152" s="205">
        <f>'Input BYR'!I$55</f>
        <v>3457.1462027174198</v>
      </c>
      <c r="J152" s="156">
        <f>'Input BYR'!J$55</f>
        <v>3945.1437194370801</v>
      </c>
      <c r="K152" s="156">
        <f>'Input BYR'!K$55</f>
        <v>4581.8359215168202</v>
      </c>
      <c r="L152" s="156">
        <f>'Input BYR'!L$55</f>
        <v>4996.3623891277402</v>
      </c>
      <c r="M152" s="156">
        <f>'Input BYR'!M$55</f>
        <v>5287.6489470873103</v>
      </c>
      <c r="N152" s="365">
        <f>'Input BYR'!N$55</f>
        <v>5449.8897221546404</v>
      </c>
      <c r="O152" s="157"/>
      <c r="P152" s="158"/>
      <c r="Q152" s="148"/>
      <c r="R152" s="147" t="s">
        <v>242</v>
      </c>
    </row>
    <row r="153" spans="1:24" s="37" customFormat="1">
      <c r="C153" s="131" t="s">
        <v>712</v>
      </c>
      <c r="D153" s="131" t="s">
        <v>57</v>
      </c>
      <c r="E153" s="132" t="s">
        <v>78</v>
      </c>
      <c r="F153" s="131"/>
      <c r="G153" s="131"/>
      <c r="H153" s="131"/>
      <c r="I153" s="205"/>
      <c r="J153" s="156"/>
      <c r="K153" s="156"/>
      <c r="L153" s="156"/>
      <c r="M153" s="156"/>
      <c r="N153" s="365"/>
      <c r="O153" s="361"/>
      <c r="P153" s="208">
        <f>SUM(J144:N144)</f>
        <v>-503.16118878883799</v>
      </c>
      <c r="Q153" s="161"/>
      <c r="R153" s="147" t="s">
        <v>242</v>
      </c>
    </row>
    <row r="154" spans="1:24" s="37" customFormat="1">
      <c r="A154" s="109"/>
      <c r="B154" s="109"/>
      <c r="C154" s="104"/>
      <c r="D154" s="104" t="s">
        <v>57</v>
      </c>
      <c r="E154" s="177" t="s">
        <v>387</v>
      </c>
      <c r="F154" s="131"/>
      <c r="G154" s="104"/>
      <c r="H154" s="104"/>
      <c r="I154" s="205"/>
      <c r="J154" s="156">
        <f>IF(J5=8,J152+$P$153,J152)</f>
        <v>3945.1437194370801</v>
      </c>
      <c r="K154" s="156">
        <f>IF(K5=8,K152+$P$153,K152)</f>
        <v>4581.8359215168202</v>
      </c>
      <c r="L154" s="156">
        <f>IF(L5=8,L152+$P$153,L152)</f>
        <v>4996.3623891277402</v>
      </c>
      <c r="M154" s="156">
        <f>IF(M5=8,M152+$P$153,M152)</f>
        <v>5287.6489470873103</v>
      </c>
      <c r="N154" s="365">
        <f>IF(N5=8,N152+$P$153,N152)</f>
        <v>4946.7285333658019</v>
      </c>
      <c r="O154" s="109"/>
      <c r="P154" s="136"/>
      <c r="Q154" s="104"/>
      <c r="R154" s="147" t="s">
        <v>242</v>
      </c>
    </row>
    <row r="155" spans="1:24" s="37" customFormat="1">
      <c r="C155" s="131"/>
      <c r="D155" s="131"/>
      <c r="E155" s="177"/>
      <c r="F155" s="131"/>
      <c r="G155" s="131"/>
      <c r="H155" s="161"/>
      <c r="I155" s="184"/>
      <c r="J155" s="185"/>
      <c r="K155" s="185"/>
      <c r="L155" s="185"/>
      <c r="M155" s="185"/>
      <c r="N155" s="382"/>
      <c r="O155" s="157"/>
      <c r="P155" s="158"/>
      <c r="Q155" s="148"/>
      <c r="R155" s="147"/>
    </row>
    <row r="156" spans="1:24" s="37" customFormat="1">
      <c r="C156" s="131"/>
      <c r="D156" s="131"/>
      <c r="E156" s="132"/>
      <c r="F156" s="131"/>
      <c r="G156" s="131"/>
      <c r="H156" s="131"/>
      <c r="I156" s="131"/>
      <c r="J156" s="159"/>
      <c r="K156" s="159"/>
      <c r="L156" s="159"/>
      <c r="M156" s="159"/>
      <c r="N156" s="362"/>
      <c r="O156" s="157"/>
      <c r="P156" s="158"/>
      <c r="Q156" s="148"/>
      <c r="R156" s="147"/>
    </row>
    <row r="157" spans="1:24">
      <c r="A157" s="479"/>
      <c r="B157" s="452"/>
      <c r="C157" s="453"/>
      <c r="D157" s="481"/>
      <c r="E157" s="483" t="s">
        <v>208</v>
      </c>
      <c r="F157" s="440"/>
      <c r="G157" s="440"/>
      <c r="H157" s="440"/>
      <c r="I157" s="440"/>
      <c r="J157" s="440"/>
      <c r="K157" s="440"/>
      <c r="L157" s="440"/>
      <c r="M157" s="440"/>
      <c r="N157" s="446"/>
      <c r="O157" s="440"/>
      <c r="P157" s="475"/>
      <c r="Q157" s="476"/>
      <c r="R157" s="477"/>
    </row>
    <row r="158" spans="1:24" s="37" customFormat="1">
      <c r="A158" s="109"/>
      <c r="B158" s="109"/>
      <c r="C158" s="104"/>
      <c r="D158" s="104"/>
      <c r="E158" s="132"/>
      <c r="F158" s="104"/>
      <c r="G158" s="104"/>
      <c r="H158" s="104"/>
      <c r="I158" s="104"/>
      <c r="J158" s="106"/>
      <c r="K158" s="106"/>
      <c r="L158" s="106"/>
      <c r="M158" s="106"/>
      <c r="N158" s="364"/>
      <c r="O158" s="361"/>
      <c r="P158" s="136"/>
      <c r="Q158" s="104"/>
      <c r="R158" s="160"/>
      <c r="T158" s="157"/>
      <c r="U158" s="157"/>
      <c r="V158" s="157"/>
      <c r="W158" s="157"/>
      <c r="X158" s="157"/>
    </row>
    <row r="159" spans="1:24" ht="12.75" customHeight="1">
      <c r="A159" s="479"/>
      <c r="B159" s="452"/>
      <c r="C159" s="453"/>
      <c r="D159" s="481"/>
      <c r="E159" s="483" t="s">
        <v>402</v>
      </c>
      <c r="F159" s="440"/>
      <c r="G159" s="440"/>
      <c r="H159" s="440"/>
      <c r="I159" s="440"/>
      <c r="J159" s="440"/>
      <c r="K159" s="440"/>
      <c r="L159" s="440"/>
      <c r="M159" s="440"/>
      <c r="N159" s="446"/>
      <c r="O159" s="440"/>
      <c r="P159" s="475"/>
      <c r="Q159" s="476"/>
      <c r="R159" s="477"/>
    </row>
    <row r="160" spans="1:24" s="37" customFormat="1">
      <c r="A160" s="109"/>
      <c r="B160" s="109"/>
      <c r="C160" s="104"/>
      <c r="D160" s="104"/>
      <c r="E160" s="132"/>
      <c r="F160" s="104"/>
      <c r="G160" s="104"/>
      <c r="H160" s="104"/>
      <c r="I160" s="104"/>
      <c r="J160" s="106"/>
      <c r="K160" s="106"/>
      <c r="L160" s="106"/>
      <c r="M160" s="106"/>
      <c r="N160" s="364"/>
      <c r="O160" s="361"/>
      <c r="P160" s="136"/>
      <c r="Q160" s="104"/>
      <c r="R160" s="160"/>
      <c r="T160" s="157"/>
      <c r="U160" s="157"/>
      <c r="V160" s="157"/>
      <c r="W160" s="157"/>
      <c r="X160" s="157"/>
    </row>
    <row r="161" spans="1:24" s="37" customFormat="1">
      <c r="A161" s="109"/>
      <c r="B161" s="109"/>
      <c r="C161" s="104"/>
      <c r="D161" s="104" t="s">
        <v>57</v>
      </c>
      <c r="E161" s="132" t="s">
        <v>396</v>
      </c>
      <c r="F161" s="104"/>
      <c r="G161" s="104"/>
      <c r="H161" s="104"/>
      <c r="I161" s="104"/>
      <c r="J161" s="360">
        <f>I162</f>
        <v>0</v>
      </c>
      <c r="K161" s="360">
        <f t="shared" ref="K161:N161" si="16">J162</f>
        <v>242.98786746089618</v>
      </c>
      <c r="L161" s="360">
        <f t="shared" si="16"/>
        <v>601.47146461877435</v>
      </c>
      <c r="M161" s="360">
        <f t="shared" si="16"/>
        <v>929.60166232588199</v>
      </c>
      <c r="N161" s="363">
        <f t="shared" si="16"/>
        <v>1238.78472428749</v>
      </c>
      <c r="O161" s="131"/>
      <c r="P161" s="136"/>
      <c r="Q161" s="104"/>
      <c r="R161" s="147" t="s">
        <v>242</v>
      </c>
      <c r="T161" s="157"/>
      <c r="U161" s="157"/>
      <c r="V161" s="157"/>
      <c r="W161" s="157"/>
      <c r="X161" s="157"/>
    </row>
    <row r="162" spans="1:24" s="37" customFormat="1">
      <c r="A162" s="109"/>
      <c r="B162" s="109"/>
      <c r="C162" s="104"/>
      <c r="D162" s="104" t="s">
        <v>57</v>
      </c>
      <c r="E162" s="132" t="s">
        <v>397</v>
      </c>
      <c r="F162" s="104"/>
      <c r="G162" s="104"/>
      <c r="H162" s="104"/>
      <c r="I162" s="179"/>
      <c r="J162" s="360">
        <f>J161+J138*J$26</f>
        <v>242.98786746089618</v>
      </c>
      <c r="K162" s="360">
        <f t="shared" ref="K162:N162" si="17">K161+K138*K$26</f>
        <v>601.47146461877435</v>
      </c>
      <c r="L162" s="360">
        <f t="shared" si="17"/>
        <v>929.60166232588199</v>
      </c>
      <c r="M162" s="360">
        <f t="shared" si="17"/>
        <v>1238.78472428749</v>
      </c>
      <c r="N162" s="363">
        <f t="shared" si="17"/>
        <v>1483.7803325312786</v>
      </c>
      <c r="O162" s="131"/>
      <c r="P162" s="136"/>
      <c r="Q162" s="104"/>
      <c r="R162" s="147" t="s">
        <v>242</v>
      </c>
      <c r="T162" s="157"/>
      <c r="U162" s="157"/>
      <c r="V162" s="157"/>
      <c r="W162" s="157"/>
      <c r="X162" s="157"/>
    </row>
    <row r="163" spans="1:24" s="37" customFormat="1">
      <c r="A163" s="109"/>
      <c r="B163" s="109"/>
      <c r="C163" s="104"/>
      <c r="D163" s="104" t="s">
        <v>57</v>
      </c>
      <c r="E163" s="132" t="s">
        <v>400</v>
      </c>
      <c r="F163" s="104"/>
      <c r="G163" s="104"/>
      <c r="H163" s="104"/>
      <c r="I163" s="104"/>
      <c r="J163" s="360">
        <f>(J162+J161)/2</f>
        <v>121.49393373044809</v>
      </c>
      <c r="K163" s="360">
        <f t="shared" ref="K163:N163" si="18">(K162+K161)/2</f>
        <v>422.22966603983525</v>
      </c>
      <c r="L163" s="360">
        <f t="shared" si="18"/>
        <v>765.53656347232823</v>
      </c>
      <c r="M163" s="360">
        <f t="shared" si="18"/>
        <v>1084.193193306686</v>
      </c>
      <c r="N163" s="363">
        <f t="shared" si="18"/>
        <v>1361.2825284093842</v>
      </c>
      <c r="O163" s="131"/>
      <c r="P163" s="136"/>
      <c r="Q163" s="104"/>
      <c r="R163" s="147" t="s">
        <v>242</v>
      </c>
      <c r="T163" s="157"/>
      <c r="U163" s="157"/>
      <c r="V163" s="157"/>
      <c r="W163" s="157"/>
      <c r="X163" s="157"/>
    </row>
    <row r="164" spans="1:24" s="37" customFormat="1">
      <c r="A164" s="109"/>
      <c r="B164" s="109"/>
      <c r="C164" s="104"/>
      <c r="D164" s="104"/>
      <c r="E164" s="132"/>
      <c r="F164" s="104"/>
      <c r="G164" s="104"/>
      <c r="H164" s="104"/>
      <c r="I164" s="104"/>
      <c r="J164" s="156"/>
      <c r="K164" s="156"/>
      <c r="L164" s="156"/>
      <c r="M164" s="156"/>
      <c r="N164" s="365"/>
      <c r="O164" s="131"/>
      <c r="P164" s="136"/>
      <c r="Q164" s="104"/>
      <c r="R164" s="160"/>
      <c r="T164" s="157"/>
      <c r="U164" s="157"/>
      <c r="V164" s="157"/>
      <c r="W164" s="157"/>
      <c r="X164" s="157"/>
    </row>
    <row r="165" spans="1:24" s="37" customFormat="1">
      <c r="A165" s="109"/>
      <c r="B165" s="109"/>
      <c r="C165" s="104"/>
      <c r="D165" s="104" t="s">
        <v>57</v>
      </c>
      <c r="E165" s="132" t="s">
        <v>398</v>
      </c>
      <c r="F165" s="104"/>
      <c r="G165" s="104"/>
      <c r="H165" s="104"/>
      <c r="I165" s="104"/>
      <c r="J165" s="156">
        <f>I166</f>
        <v>0</v>
      </c>
      <c r="K165" s="156">
        <f t="shared" ref="K165:N165" si="19">J166</f>
        <v>641.45903887467637</v>
      </c>
      <c r="L165" s="156">
        <f t="shared" si="19"/>
        <v>1450.6423234647859</v>
      </c>
      <c r="M165" s="156">
        <f t="shared" si="19"/>
        <v>2100.6439351558847</v>
      </c>
      <c r="N165" s="365">
        <f t="shared" si="19"/>
        <v>2643.9233381836912</v>
      </c>
      <c r="O165" s="131"/>
      <c r="P165" s="136"/>
      <c r="Q165" s="104"/>
      <c r="R165" s="147" t="s">
        <v>242</v>
      </c>
      <c r="T165" s="157"/>
      <c r="U165" s="157"/>
      <c r="V165" s="157"/>
      <c r="W165" s="157"/>
      <c r="X165" s="157"/>
    </row>
    <row r="166" spans="1:24" s="37" customFormat="1">
      <c r="A166" s="109"/>
      <c r="B166" s="109"/>
      <c r="C166" s="104"/>
      <c r="D166" s="104" t="s">
        <v>57</v>
      </c>
      <c r="E166" s="132" t="s">
        <v>399</v>
      </c>
      <c r="F166" s="104"/>
      <c r="G166" s="104"/>
      <c r="H166" s="104"/>
      <c r="I166" s="104"/>
      <c r="J166" s="156">
        <f>J165+J142*J$26</f>
        <v>641.45903887467637</v>
      </c>
      <c r="K166" s="156">
        <f t="shared" ref="K166:N166" si="20">K165+K142*K$26</f>
        <v>1450.6423234647859</v>
      </c>
      <c r="L166" s="156">
        <f t="shared" si="20"/>
        <v>2100.6439351558847</v>
      </c>
      <c r="M166" s="156">
        <f t="shared" si="20"/>
        <v>2643.9233381836912</v>
      </c>
      <c r="N166" s="365">
        <f t="shared" si="20"/>
        <v>3077.9688156923576</v>
      </c>
      <c r="O166" s="131"/>
      <c r="P166" s="136"/>
      <c r="Q166" s="104"/>
      <c r="R166" s="147" t="s">
        <v>242</v>
      </c>
      <c r="T166" s="157"/>
      <c r="U166" s="157"/>
      <c r="V166" s="157"/>
      <c r="W166" s="157"/>
      <c r="X166" s="157"/>
    </row>
    <row r="167" spans="1:24" s="37" customFormat="1">
      <c r="A167" s="109"/>
      <c r="B167" s="109"/>
      <c r="C167" s="104"/>
      <c r="D167" s="104" t="s">
        <v>57</v>
      </c>
      <c r="E167" s="132" t="s">
        <v>401</v>
      </c>
      <c r="F167" s="104"/>
      <c r="G167" s="104"/>
      <c r="H167" s="104"/>
      <c r="I167" s="104"/>
      <c r="J167" s="156">
        <f>(J166+J165)/2</f>
        <v>320.72951943733818</v>
      </c>
      <c r="K167" s="156">
        <f t="shared" ref="K167:N167" si="21">(K166+K165)/2</f>
        <v>1046.0506811697312</v>
      </c>
      <c r="L167" s="156">
        <f t="shared" si="21"/>
        <v>1775.6431293103353</v>
      </c>
      <c r="M167" s="156">
        <f t="shared" si="21"/>
        <v>2372.2836366697879</v>
      </c>
      <c r="N167" s="365">
        <f t="shared" si="21"/>
        <v>2860.9460769380244</v>
      </c>
      <c r="O167" s="131"/>
      <c r="P167" s="136"/>
      <c r="Q167" s="104"/>
      <c r="R167" s="147" t="s">
        <v>242</v>
      </c>
      <c r="T167" s="157"/>
      <c r="U167" s="157"/>
      <c r="V167" s="157"/>
      <c r="W167" s="157"/>
      <c r="X167" s="157"/>
    </row>
    <row r="168" spans="1:24" s="37" customFormat="1">
      <c r="A168" s="109"/>
      <c r="B168" s="109"/>
      <c r="C168" s="104"/>
      <c r="D168" s="104"/>
      <c r="E168" s="132"/>
      <c r="F168" s="104"/>
      <c r="G168" s="104"/>
      <c r="H168" s="104"/>
      <c r="I168" s="104"/>
      <c r="J168" s="156"/>
      <c r="K168" s="156"/>
      <c r="L168" s="156"/>
      <c r="M168" s="156"/>
      <c r="N168" s="365"/>
      <c r="O168" s="131"/>
      <c r="P168" s="136"/>
      <c r="Q168" s="104"/>
      <c r="R168" s="160"/>
      <c r="T168" s="157"/>
      <c r="U168" s="157"/>
      <c r="V168" s="157"/>
      <c r="W168" s="157"/>
      <c r="X168" s="157"/>
    </row>
    <row r="169" spans="1:24" ht="12.75" customHeight="1">
      <c r="A169" s="59"/>
      <c r="B169" s="452"/>
      <c r="C169" s="453"/>
      <c r="D169" s="481"/>
      <c r="E169" s="483" t="s">
        <v>403</v>
      </c>
      <c r="F169" s="440"/>
      <c r="G169" s="440"/>
      <c r="H169" s="440"/>
      <c r="I169" s="440"/>
      <c r="J169" s="440"/>
      <c r="K169" s="440"/>
      <c r="L169" s="440"/>
      <c r="M169" s="440"/>
      <c r="N169" s="446"/>
      <c r="O169" s="440"/>
      <c r="P169" s="475"/>
      <c r="Q169" s="476"/>
      <c r="R169" s="477"/>
    </row>
    <row r="170" spans="1:24" s="37" customFormat="1">
      <c r="A170" s="109"/>
      <c r="B170" s="109"/>
      <c r="C170" s="104"/>
      <c r="D170" s="104"/>
      <c r="E170" s="132"/>
      <c r="F170" s="104"/>
      <c r="G170" s="104"/>
      <c r="H170" s="104"/>
      <c r="I170" s="104"/>
      <c r="J170" s="106"/>
      <c r="K170" s="106"/>
      <c r="L170" s="106"/>
      <c r="M170" s="106"/>
      <c r="N170" s="364"/>
      <c r="O170" s="361"/>
      <c r="P170" s="136"/>
      <c r="Q170" s="104"/>
      <c r="R170" s="160"/>
      <c r="T170" s="157"/>
      <c r="U170" s="157"/>
      <c r="V170" s="157"/>
      <c r="W170" s="157"/>
      <c r="X170" s="157"/>
    </row>
    <row r="171" spans="1:24" s="37" customFormat="1">
      <c r="A171" s="109"/>
      <c r="B171" s="109"/>
      <c r="C171" s="104"/>
      <c r="D171" s="104" t="s">
        <v>57</v>
      </c>
      <c r="E171" s="132" t="s">
        <v>396</v>
      </c>
      <c r="F171" s="104"/>
      <c r="G171" s="104"/>
      <c r="H171" s="104"/>
      <c r="I171" s="104"/>
      <c r="J171" s="360">
        <f>I172</f>
        <v>0</v>
      </c>
      <c r="K171" s="360">
        <f t="shared" ref="K171:N171" si="22">J172</f>
        <v>297.52272336921601</v>
      </c>
      <c r="L171" s="360">
        <f t="shared" si="22"/>
        <v>589.94276736400877</v>
      </c>
      <c r="M171" s="360">
        <f t="shared" si="22"/>
        <v>825.08854254893663</v>
      </c>
      <c r="N171" s="363">
        <f t="shared" si="22"/>
        <v>1076.2625528750129</v>
      </c>
      <c r="O171" s="131"/>
      <c r="P171" s="136"/>
      <c r="Q171" s="104"/>
      <c r="R171" s="147" t="s">
        <v>242</v>
      </c>
      <c r="T171" s="157"/>
      <c r="U171" s="157"/>
      <c r="V171" s="157"/>
      <c r="W171" s="157"/>
      <c r="X171" s="157"/>
    </row>
    <row r="172" spans="1:24" s="37" customFormat="1">
      <c r="A172" s="109"/>
      <c r="B172" s="109"/>
      <c r="C172" s="104"/>
      <c r="D172" s="104" t="s">
        <v>57</v>
      </c>
      <c r="E172" s="132" t="s">
        <v>397</v>
      </c>
      <c r="F172" s="104"/>
      <c r="G172" s="104"/>
      <c r="H172" s="104"/>
      <c r="I172" s="179"/>
      <c r="J172" s="360">
        <f>J171+J139*J$15</f>
        <v>297.52272336921601</v>
      </c>
      <c r="K172" s="360">
        <f t="shared" ref="K172:N172" si="23">K171+K139*K$15</f>
        <v>589.94276736400877</v>
      </c>
      <c r="L172" s="360">
        <f t="shared" si="23"/>
        <v>825.08854254893663</v>
      </c>
      <c r="M172" s="360">
        <f t="shared" si="23"/>
        <v>1076.2625528750129</v>
      </c>
      <c r="N172" s="363">
        <f t="shared" si="23"/>
        <v>1343.8871349917863</v>
      </c>
      <c r="O172" s="131"/>
      <c r="P172" s="136"/>
      <c r="Q172" s="104"/>
      <c r="R172" s="147" t="s">
        <v>242</v>
      </c>
      <c r="T172" s="157"/>
      <c r="U172" s="157"/>
      <c r="V172" s="157"/>
      <c r="W172" s="157"/>
      <c r="X172" s="157"/>
    </row>
    <row r="173" spans="1:24" s="37" customFormat="1">
      <c r="A173" s="109"/>
      <c r="B173" s="109"/>
      <c r="C173" s="104"/>
      <c r="D173" s="104" t="s">
        <v>57</v>
      </c>
      <c r="E173" s="132" t="s">
        <v>400</v>
      </c>
      <c r="F173" s="104"/>
      <c r="G173" s="104"/>
      <c r="H173" s="104"/>
      <c r="I173" s="104"/>
      <c r="J173" s="360">
        <f>(J172+J171)/2</f>
        <v>148.761361684608</v>
      </c>
      <c r="K173" s="360">
        <f t="shared" ref="K173:N173" si="24">(K172+K171)/2</f>
        <v>443.73274536661239</v>
      </c>
      <c r="L173" s="360">
        <f t="shared" si="24"/>
        <v>707.51565495647264</v>
      </c>
      <c r="M173" s="360">
        <f t="shared" si="24"/>
        <v>950.67554771197479</v>
      </c>
      <c r="N173" s="363">
        <f t="shared" si="24"/>
        <v>1210.0748439333997</v>
      </c>
      <c r="O173" s="131"/>
      <c r="P173" s="136"/>
      <c r="Q173" s="104"/>
      <c r="R173" s="147" t="s">
        <v>242</v>
      </c>
      <c r="T173" s="157"/>
      <c r="U173" s="157"/>
      <c r="V173" s="157"/>
      <c r="W173" s="157"/>
      <c r="X173" s="157"/>
    </row>
    <row r="174" spans="1:24" s="37" customFormat="1">
      <c r="A174" s="109"/>
      <c r="B174" s="109"/>
      <c r="C174" s="104"/>
      <c r="D174" s="104"/>
      <c r="E174" s="132"/>
      <c r="F174" s="104"/>
      <c r="G174" s="104"/>
      <c r="H174" s="104"/>
      <c r="I174" s="104"/>
      <c r="J174" s="360"/>
      <c r="K174" s="360"/>
      <c r="L174" s="360"/>
      <c r="M174" s="360"/>
      <c r="N174" s="363"/>
      <c r="O174" s="131"/>
      <c r="P174" s="136"/>
      <c r="Q174" s="104"/>
      <c r="R174" s="160"/>
      <c r="T174" s="157"/>
      <c r="U174" s="157"/>
      <c r="V174" s="157"/>
      <c r="W174" s="157"/>
      <c r="X174" s="157"/>
    </row>
    <row r="175" spans="1:24" s="37" customFormat="1">
      <c r="A175" s="109"/>
      <c r="B175" s="109"/>
      <c r="C175" s="104"/>
      <c r="D175" s="104" t="s">
        <v>57</v>
      </c>
      <c r="E175" s="132" t="s">
        <v>398</v>
      </c>
      <c r="F175" s="104"/>
      <c r="G175" s="104"/>
      <c r="H175" s="104"/>
      <c r="I175" s="104"/>
      <c r="J175" s="360">
        <f>I176</f>
        <v>0</v>
      </c>
      <c r="K175" s="360">
        <f t="shared" ref="K175:N175" si="25">J176</f>
        <v>516.38523078811454</v>
      </c>
      <c r="L175" s="360">
        <f t="shared" si="25"/>
        <v>1102.0057204545592</v>
      </c>
      <c r="M175" s="360">
        <f t="shared" si="25"/>
        <v>1594.8984748153221</v>
      </c>
      <c r="N175" s="363">
        <f t="shared" si="25"/>
        <v>2100.662572502456</v>
      </c>
      <c r="O175" s="131"/>
      <c r="P175" s="136"/>
      <c r="Q175" s="104"/>
      <c r="R175" s="147" t="s">
        <v>242</v>
      </c>
      <c r="T175" s="157"/>
      <c r="U175" s="157"/>
      <c r="V175" s="157"/>
      <c r="W175" s="157"/>
      <c r="X175" s="157"/>
    </row>
    <row r="176" spans="1:24" s="37" customFormat="1">
      <c r="A176" s="109"/>
      <c r="B176" s="109"/>
      <c r="C176" s="104"/>
      <c r="D176" s="104" t="s">
        <v>57</v>
      </c>
      <c r="E176" s="132" t="s">
        <v>399</v>
      </c>
      <c r="F176" s="104"/>
      <c r="G176" s="104"/>
      <c r="H176" s="104"/>
      <c r="I176" s="104"/>
      <c r="J176" s="360">
        <f>J175+J143*J$15</f>
        <v>516.38523078811454</v>
      </c>
      <c r="K176" s="360">
        <f t="shared" ref="K176:N176" si="26">K175+K143*K$15</f>
        <v>1102.0057204545592</v>
      </c>
      <c r="L176" s="360">
        <f t="shared" si="26"/>
        <v>1594.8984748153221</v>
      </c>
      <c r="M176" s="360">
        <f t="shared" si="26"/>
        <v>2100.662572502456</v>
      </c>
      <c r="N176" s="363">
        <f t="shared" si="26"/>
        <v>2574.80762690352</v>
      </c>
      <c r="O176" s="131"/>
      <c r="P176" s="136"/>
      <c r="Q176" s="104"/>
      <c r="R176" s="147" t="s">
        <v>242</v>
      </c>
      <c r="T176" s="157"/>
      <c r="U176" s="157"/>
      <c r="V176" s="157"/>
      <c r="W176" s="157"/>
      <c r="X176" s="157"/>
    </row>
    <row r="177" spans="1:24" s="37" customFormat="1">
      <c r="A177" s="109"/>
      <c r="B177" s="109"/>
      <c r="C177" s="104"/>
      <c r="D177" s="104" t="s">
        <v>57</v>
      </c>
      <c r="E177" s="132" t="s">
        <v>401</v>
      </c>
      <c r="F177" s="104"/>
      <c r="G177" s="104"/>
      <c r="H177" s="104"/>
      <c r="I177" s="104"/>
      <c r="J177" s="360">
        <f>(J176+J175)/2</f>
        <v>258.19261539405727</v>
      </c>
      <c r="K177" s="360">
        <f t="shared" ref="K177:N177" si="27">(K176+K175)/2</f>
        <v>809.19547562133687</v>
      </c>
      <c r="L177" s="360">
        <f t="shared" si="27"/>
        <v>1348.4520976349406</v>
      </c>
      <c r="M177" s="360">
        <f t="shared" si="27"/>
        <v>1847.780523658889</v>
      </c>
      <c r="N177" s="363">
        <f t="shared" si="27"/>
        <v>2337.735099702988</v>
      </c>
      <c r="O177" s="131"/>
      <c r="P177" s="136"/>
      <c r="Q177" s="104"/>
      <c r="R177" s="147" t="s">
        <v>242</v>
      </c>
      <c r="T177" s="157"/>
      <c r="U177" s="157"/>
      <c r="V177" s="157"/>
      <c r="W177" s="157"/>
      <c r="X177" s="157"/>
    </row>
    <row r="178" spans="1:24" s="37" customFormat="1">
      <c r="A178" s="109"/>
      <c r="B178" s="109"/>
      <c r="C178" s="104"/>
      <c r="D178" s="104"/>
      <c r="E178" s="132"/>
      <c r="F178" s="104"/>
      <c r="G178" s="104"/>
      <c r="H178" s="104"/>
      <c r="I178" s="104"/>
      <c r="J178" s="360"/>
      <c r="K178" s="360"/>
      <c r="L178" s="360"/>
      <c r="M178" s="360"/>
      <c r="N178" s="363"/>
      <c r="O178" s="131"/>
      <c r="P178" s="136"/>
      <c r="Q178" s="104"/>
      <c r="R178" s="160"/>
      <c r="T178" s="157"/>
      <c r="U178" s="157"/>
      <c r="V178" s="157"/>
      <c r="W178" s="157"/>
      <c r="X178" s="157"/>
    </row>
    <row r="179" spans="1:24" ht="12.75" customHeight="1">
      <c r="A179" s="479"/>
      <c r="B179" s="452"/>
      <c r="C179" s="453"/>
      <c r="D179" s="481"/>
      <c r="E179" s="483" t="s">
        <v>404</v>
      </c>
      <c r="F179" s="440"/>
      <c r="G179" s="440"/>
      <c r="H179" s="440"/>
      <c r="I179" s="440"/>
      <c r="J179" s="440"/>
      <c r="K179" s="440"/>
      <c r="L179" s="440"/>
      <c r="M179" s="440"/>
      <c r="N179" s="446"/>
      <c r="O179" s="440"/>
      <c r="P179" s="475"/>
      <c r="Q179" s="476"/>
      <c r="R179" s="477"/>
    </row>
    <row r="180" spans="1:24" s="37" customFormat="1">
      <c r="A180" s="109"/>
      <c r="B180" s="109"/>
      <c r="C180" s="104"/>
      <c r="D180" s="104"/>
      <c r="E180" s="132"/>
      <c r="F180" s="104"/>
      <c r="G180" s="104"/>
      <c r="H180" s="104"/>
      <c r="I180" s="104"/>
      <c r="J180" s="106"/>
      <c r="K180" s="106"/>
      <c r="L180" s="106"/>
      <c r="M180" s="106"/>
      <c r="N180" s="364"/>
      <c r="O180" s="131"/>
      <c r="P180" s="136"/>
      <c r="Q180" s="104"/>
      <c r="R180" s="160"/>
      <c r="T180" s="157"/>
      <c r="U180" s="157"/>
      <c r="V180" s="157"/>
      <c r="W180" s="157"/>
      <c r="X180" s="157"/>
    </row>
    <row r="181" spans="1:24" s="37" customFormat="1">
      <c r="C181" s="131"/>
      <c r="D181" s="153" t="s">
        <v>57</v>
      </c>
      <c r="E181" s="154" t="s">
        <v>246</v>
      </c>
      <c r="F181" s="155"/>
      <c r="G181" s="148"/>
      <c r="H181" s="148"/>
      <c r="I181" s="148"/>
      <c r="J181" s="156">
        <f>(J$139*J$15)-(J$138*J$26)</f>
        <v>54.534855908319827</v>
      </c>
      <c r="K181" s="156">
        <f>(K$139*K$15)-(K$138*K$26)</f>
        <v>-66.06355316308543</v>
      </c>
      <c r="L181" s="156">
        <f>(L$139*L$15)-(L$138*L$26)</f>
        <v>-92.984422522179727</v>
      </c>
      <c r="M181" s="156">
        <f>(M$139*M$15)-(M$138*M$26)</f>
        <v>-58.009051635531733</v>
      </c>
      <c r="N181" s="365">
        <f>(N$139*N$15)-(N$138*N$26)</f>
        <v>22.628973872984773</v>
      </c>
      <c r="O181" s="157"/>
      <c r="P181" s="158"/>
      <c r="Q181" s="148"/>
      <c r="R181" s="147" t="s">
        <v>242</v>
      </c>
    </row>
    <row r="182" spans="1:24" s="37" customFormat="1">
      <c r="C182" s="131"/>
      <c r="D182" s="153" t="s">
        <v>57</v>
      </c>
      <c r="E182" s="154" t="s">
        <v>247</v>
      </c>
      <c r="F182" s="155"/>
      <c r="G182" s="148"/>
      <c r="H182" s="148"/>
      <c r="I182" s="148"/>
      <c r="J182" s="156">
        <f>(J$143*J$15)-(J$142*J$26)</f>
        <v>-125.07380808656183</v>
      </c>
      <c r="K182" s="156">
        <f>(K$143*K$15)-(K$142*K$26)</f>
        <v>-223.56279492366468</v>
      </c>
      <c r="L182" s="156">
        <f>(L$143*L$15)-(L$142*L$26)</f>
        <v>-157.10885733033592</v>
      </c>
      <c r="M182" s="156">
        <f>(M$143*M$15)-(M$142*M$26)</f>
        <v>-37.51530534067291</v>
      </c>
      <c r="N182" s="365">
        <f>(N$143*N$15)-(N$142*N$26)</f>
        <v>40.099576892397408</v>
      </c>
      <c r="O182" s="157"/>
      <c r="P182" s="158"/>
      <c r="Q182" s="148"/>
      <c r="R182" s="147" t="s">
        <v>242</v>
      </c>
    </row>
    <row r="183" spans="1:24" s="37" customFormat="1">
      <c r="C183" s="131"/>
      <c r="D183" s="153"/>
      <c r="E183" s="154"/>
      <c r="F183" s="155"/>
      <c r="G183" s="148"/>
      <c r="H183" s="148"/>
      <c r="I183" s="148"/>
      <c r="J183" s="156"/>
      <c r="K183" s="156"/>
      <c r="L183" s="156"/>
      <c r="M183" s="156"/>
      <c r="N183" s="365"/>
      <c r="O183" s="157"/>
      <c r="P183" s="158"/>
      <c r="Q183" s="148"/>
      <c r="R183" s="147"/>
    </row>
    <row r="184" spans="1:24" s="37" customFormat="1">
      <c r="C184" s="131"/>
      <c r="D184" s="153" t="s">
        <v>57</v>
      </c>
      <c r="E184" s="154" t="s">
        <v>248</v>
      </c>
      <c r="F184" s="155"/>
      <c r="G184" s="148"/>
      <c r="H184" s="148"/>
      <c r="I184" s="148"/>
      <c r="J184" s="156">
        <f>(J173-J163)*'Input BYR'!$O$59</f>
        <v>1.3906388256621556</v>
      </c>
      <c r="K184" s="156">
        <f>(K173-K163)*'Input BYR'!$O$59</f>
        <v>1.0966570456656342</v>
      </c>
      <c r="L184" s="156">
        <f>(L173-L163)*'Input BYR'!$O$59</f>
        <v>-2.9590663343086345</v>
      </c>
      <c r="M184" s="156">
        <f>(M173-M163)*'Input BYR'!$O$59</f>
        <v>-6.8093999253302711</v>
      </c>
      <c r="N184" s="365">
        <f>(N173-N163)*'Input BYR'!$O$59</f>
        <v>-7.7115919082752082</v>
      </c>
      <c r="O184" s="157"/>
      <c r="P184" s="158"/>
      <c r="Q184" s="148"/>
      <c r="R184" s="147" t="s">
        <v>242</v>
      </c>
    </row>
    <row r="185" spans="1:24" s="37" customFormat="1">
      <c r="C185" s="131"/>
      <c r="D185" s="153" t="s">
        <v>57</v>
      </c>
      <c r="E185" s="154" t="s">
        <v>249</v>
      </c>
      <c r="F185" s="155"/>
      <c r="G185" s="148"/>
      <c r="H185" s="148"/>
      <c r="I185" s="148"/>
      <c r="J185" s="156">
        <f>(J177-J167)*'Input BYR'!$O$59</f>
        <v>-3.1893821062073262</v>
      </c>
      <c r="K185" s="156">
        <f>(K177-K167)*'Input BYR'!$O$59</f>
        <v>-12.07961548296811</v>
      </c>
      <c r="L185" s="156">
        <f>(L177-L167)*'Input BYR'!$O$59</f>
        <v>-21.786742615445128</v>
      </c>
      <c r="M185" s="156">
        <f>(M177-M167)*'Input BYR'!$O$59</f>
        <v>-26.749658763555843</v>
      </c>
      <c r="N185" s="365">
        <f>(N177-N167)*'Input BYR'!$O$59</f>
        <v>-26.683759838986852</v>
      </c>
      <c r="O185" s="157"/>
      <c r="P185" s="158"/>
      <c r="Q185" s="148"/>
      <c r="R185" s="147" t="s">
        <v>242</v>
      </c>
    </row>
    <row r="186" spans="1:24" s="37" customFormat="1">
      <c r="C186" s="131"/>
      <c r="D186" s="153"/>
      <c r="E186" s="154"/>
      <c r="F186" s="155"/>
      <c r="G186" s="148"/>
      <c r="H186" s="148"/>
      <c r="I186" s="148"/>
      <c r="J186" s="156"/>
      <c r="K186" s="156"/>
      <c r="L186" s="156"/>
      <c r="M186" s="156"/>
      <c r="N186" s="365"/>
      <c r="O186" s="157"/>
      <c r="P186" s="158"/>
      <c r="Q186" s="148"/>
      <c r="R186" s="147"/>
    </row>
    <row r="187" spans="1:24" s="37" customFormat="1">
      <c r="C187" s="131"/>
      <c r="D187" s="153" t="s">
        <v>57</v>
      </c>
      <c r="E187" s="154" t="s">
        <v>244</v>
      </c>
      <c r="F187" s="155"/>
      <c r="G187" s="148"/>
      <c r="H187" s="148"/>
      <c r="I187" s="148"/>
      <c r="J187" s="156">
        <f>$P$130*J63/SUM($J$63:$N$63)</f>
        <v>0.2288915054321356</v>
      </c>
      <c r="K187" s="156">
        <f>$P$130*K63/SUM($J$63:$N$63)</f>
        <v>0.33271389289458775</v>
      </c>
      <c r="L187" s="156">
        <f>$P$130*L63/SUM($J$63:$N$63)</f>
        <v>0.30250827374589873</v>
      </c>
      <c r="M187" s="156">
        <f>$P$130*M63/SUM($J$63:$N$63)</f>
        <v>0.28486706499975684</v>
      </c>
      <c r="N187" s="365">
        <f>$P$130*N63/SUM($J$63:$N$63)</f>
        <v>0.22303924224436081</v>
      </c>
      <c r="O187" s="157"/>
      <c r="P187" s="158"/>
      <c r="Q187" s="148"/>
      <c r="R187" s="147" t="s">
        <v>242</v>
      </c>
    </row>
    <row r="188" spans="1:24" s="37" customFormat="1">
      <c r="C188" s="131"/>
      <c r="D188" s="153" t="s">
        <v>57</v>
      </c>
      <c r="E188" s="154" t="s">
        <v>245</v>
      </c>
      <c r="F188" s="155"/>
      <c r="G188" s="148"/>
      <c r="H188" s="148"/>
      <c r="I188" s="148"/>
      <c r="J188" s="156">
        <f>IF(SUM($J$74:$N$74)=0,0,$P$131*J74/SUM($J$74:$N$74))</f>
        <v>3.8877611958382894</v>
      </c>
      <c r="K188" s="156">
        <f>IF(SUM($J$74:$N$74)=0,0,$P$131*K74/SUM($J$74:$N$74))</f>
        <v>4.8011112338079824</v>
      </c>
      <c r="L188" s="156">
        <f>IF(SUM($J$74:$N$74)=0,0,$P$131*L74/SUM($J$74:$N$74))</f>
        <v>3.7731359208454816</v>
      </c>
      <c r="M188" s="156">
        <f>IF(SUM($J$74:$N$74)=0,0,$P$131*M74/SUM($J$74:$N$74))</f>
        <v>3.2029580518580665</v>
      </c>
      <c r="N188" s="365">
        <f>IF(SUM($J$74:$N$74)=0,0,$P$131*N74/SUM($J$74:$N$74))</f>
        <v>2.2090637841886518</v>
      </c>
      <c r="O188" s="157"/>
      <c r="P188" s="158"/>
      <c r="Q188" s="148"/>
      <c r="R188" s="147" t="s">
        <v>242</v>
      </c>
    </row>
    <row r="189" spans="1:24" s="37" customFormat="1">
      <c r="C189" s="131"/>
      <c r="D189" s="153"/>
      <c r="E189" s="154"/>
      <c r="F189" s="155"/>
      <c r="G189" s="148"/>
      <c r="H189" s="148"/>
      <c r="I189" s="148"/>
      <c r="J189" s="156"/>
      <c r="K189" s="156"/>
      <c r="L189" s="156"/>
      <c r="M189" s="156"/>
      <c r="N189" s="365"/>
      <c r="O189" s="157"/>
      <c r="P189" s="158"/>
      <c r="Q189" s="148"/>
      <c r="R189" s="147"/>
    </row>
    <row r="190" spans="1:24" s="37" customFormat="1">
      <c r="C190" s="131"/>
      <c r="D190" s="153" t="s">
        <v>57</v>
      </c>
      <c r="E190" s="154" t="s">
        <v>405</v>
      </c>
      <c r="F190" s="155"/>
      <c r="G190" s="148"/>
      <c r="H190" s="148"/>
      <c r="I190" s="148"/>
      <c r="J190" s="156">
        <f>J187+J184</f>
        <v>1.6195303310942912</v>
      </c>
      <c r="K190" s="156">
        <f t="shared" ref="K190:N191" si="28">K187+K184</f>
        <v>1.429370938560222</v>
      </c>
      <c r="L190" s="156">
        <f t="shared" si="28"/>
        <v>-2.6565580605627357</v>
      </c>
      <c r="M190" s="156">
        <f t="shared" si="28"/>
        <v>-6.5245328603305142</v>
      </c>
      <c r="N190" s="365">
        <f t="shared" si="28"/>
        <v>-7.4885526660308477</v>
      </c>
      <c r="O190" s="157"/>
      <c r="P190" s="158"/>
      <c r="Q190" s="148"/>
      <c r="R190" s="147" t="s">
        <v>242</v>
      </c>
    </row>
    <row r="191" spans="1:24" s="37" customFormat="1">
      <c r="C191" s="131"/>
      <c r="D191" s="153" t="s">
        <v>57</v>
      </c>
      <c r="E191" s="154" t="s">
        <v>406</v>
      </c>
      <c r="F191" s="155"/>
      <c r="G191" s="148"/>
      <c r="H191" s="148"/>
      <c r="I191" s="148"/>
      <c r="J191" s="156">
        <f>J188+J185</f>
        <v>0.69837908963096318</v>
      </c>
      <c r="K191" s="156">
        <f t="shared" si="28"/>
        <v>-7.2785042491601279</v>
      </c>
      <c r="L191" s="156">
        <f t="shared" si="28"/>
        <v>-18.013606694599645</v>
      </c>
      <c r="M191" s="156">
        <f t="shared" si="28"/>
        <v>-23.546700711697778</v>
      </c>
      <c r="N191" s="365">
        <f t="shared" si="28"/>
        <v>-24.474696054798201</v>
      </c>
      <c r="O191" s="157"/>
      <c r="P191" s="158"/>
      <c r="Q191" s="148"/>
      <c r="R191" s="147" t="s">
        <v>242</v>
      </c>
    </row>
    <row r="192" spans="1:24" s="37" customFormat="1" ht="12.75" customHeight="1">
      <c r="A192" s="109"/>
      <c r="B192" s="109"/>
      <c r="C192" s="104"/>
      <c r="D192" s="104"/>
      <c r="E192" s="132"/>
      <c r="F192" s="104"/>
      <c r="G192" s="104"/>
      <c r="H192" s="104"/>
      <c r="I192" s="104"/>
      <c r="J192" s="156"/>
      <c r="K192" s="156"/>
      <c r="L192" s="156"/>
      <c r="M192" s="156"/>
      <c r="N192" s="365"/>
      <c r="O192" s="109"/>
      <c r="P192" s="136"/>
      <c r="Q192" s="104"/>
      <c r="R192" s="160"/>
    </row>
    <row r="193" spans="1:20" s="37" customFormat="1">
      <c r="A193" s="109"/>
      <c r="B193" s="109"/>
      <c r="C193" s="104"/>
      <c r="D193" s="104" t="s">
        <v>57</v>
      </c>
      <c r="E193" s="132" t="s">
        <v>407</v>
      </c>
      <c r="F193" s="104"/>
      <c r="G193" s="104"/>
      <c r="H193" s="104"/>
      <c r="I193" s="104"/>
      <c r="J193" s="156">
        <f>IF('Input BYR'!$O$156=0,(J190/(1+'Input BYR'!$O$60)^J$6),(J190/(1+'Input BYR'!$O$59)^J$6))</f>
        <v>1.9760591947045996</v>
      </c>
      <c r="K193" s="156">
        <f>IF('Input BYR'!$O$156=0,(K190/(1+'Input BYR'!$O$60)^K$6),(K190/(1+'Input BYR'!$O$59)^K$6))</f>
        <v>1.6594076810778924</v>
      </c>
      <c r="L193" s="156">
        <f>IF('Input BYR'!$O$156=0,(L190/(1+'Input BYR'!$O$60)^L$6),(L190/(1+'Input BYR'!$O$59)^L$6))</f>
        <v>-2.9344366902556582</v>
      </c>
      <c r="M193" s="156">
        <f>IF('Input BYR'!$O$156=0,(M190/(1+'Input BYR'!$O$60)^M$6),(M190/(1+'Input BYR'!$O$59)^M$6))</f>
        <v>-6.8572840362073695</v>
      </c>
      <c r="N193" s="664">
        <f>IF('Input BYR'!$O$156=0,(N190/(1+'Input BYR'!$O$60)^N$6),(N190/(1+'Input BYR'!$O$59)^N$6))</f>
        <v>-7.4885526660308477</v>
      </c>
      <c r="O193" s="109"/>
      <c r="P193" s="622">
        <f>SUM(J193:N193)</f>
        <v>-13.644806516711384</v>
      </c>
      <c r="Q193" s="104"/>
      <c r="R193" s="147" t="s">
        <v>242</v>
      </c>
    </row>
    <row r="194" spans="1:20" s="37" customFormat="1">
      <c r="A194" s="109"/>
      <c r="B194" s="109"/>
      <c r="C194" s="104"/>
      <c r="D194" s="104" t="s">
        <v>57</v>
      </c>
      <c r="E194" s="177" t="s">
        <v>408</v>
      </c>
      <c r="F194" s="104"/>
      <c r="G194" s="104"/>
      <c r="H194" s="104"/>
      <c r="I194" s="104"/>
      <c r="J194" s="156">
        <f>IF('Input BYR'!$O$156=0,(J191/(1+'Input BYR'!$O$60)^J$6),(J191/(1+'Input BYR'!$O$59)^J$6))</f>
        <v>0.85212261540185052</v>
      </c>
      <c r="K194" s="156">
        <f>IF('Input BYR'!$O$156=0,(K191/(1+'Input BYR'!$O$60)^K$6),(K191/(1+'Input BYR'!$O$59)^K$6))</f>
        <v>-8.44987506880498</v>
      </c>
      <c r="L194" s="156">
        <f>IF('Input BYR'!$O$156=0,(L191/(1+'Input BYR'!$O$60)^L$6),(L191/(1+'Input BYR'!$O$59)^L$6))</f>
        <v>-19.897847968461459</v>
      </c>
      <c r="M194" s="156">
        <f>IF('Input BYR'!$O$156=0,(M191/(1+'Input BYR'!$O$60)^M$6),(M191/(1+'Input BYR'!$O$59)^M$6))</f>
        <v>-24.747582447994361</v>
      </c>
      <c r="N194" s="664">
        <f>IF('Input BYR'!$O$156=0,(N191/(1+'Input BYR'!$O$60)^N$6),(N191/(1+'Input BYR'!$O$59)^N$6))</f>
        <v>-24.474696054798201</v>
      </c>
      <c r="O194" s="368"/>
      <c r="P194" s="622">
        <f>SUM(J194:N194)</f>
        <v>-76.717878924657157</v>
      </c>
      <c r="Q194" s="104"/>
      <c r="R194" s="147" t="s">
        <v>242</v>
      </c>
    </row>
    <row r="195" spans="1:20" s="37" customFormat="1">
      <c r="A195" s="109"/>
      <c r="B195" s="109"/>
      <c r="C195" s="131"/>
      <c r="D195" s="104"/>
      <c r="E195" s="177"/>
      <c r="F195" s="104"/>
      <c r="G195" s="104"/>
      <c r="H195" s="104"/>
      <c r="I195" s="104"/>
      <c r="J195" s="156"/>
      <c r="K195" s="156"/>
      <c r="L195" s="156"/>
      <c r="M195" s="156"/>
      <c r="N195" s="383"/>
      <c r="O195" s="384"/>
      <c r="P195" s="150"/>
      <c r="Q195" s="104"/>
      <c r="R195" s="147"/>
    </row>
    <row r="196" spans="1:20" s="37" customFormat="1">
      <c r="A196" s="109"/>
      <c r="B196" s="109"/>
      <c r="C196" s="131"/>
      <c r="D196" s="104" t="s">
        <v>57</v>
      </c>
      <c r="E196" s="132" t="s">
        <v>411</v>
      </c>
      <c r="F196" s="104"/>
      <c r="G196" s="104"/>
      <c r="H196" s="104"/>
      <c r="I196" s="104"/>
      <c r="J196" s="156">
        <f>J193*$L$13/$G$13</f>
        <v>2.3178887785434723</v>
      </c>
      <c r="K196" s="156">
        <f t="shared" ref="K196:N197" si="29">K193*$L$13/$G$13</f>
        <v>1.9464611451451368</v>
      </c>
      <c r="L196" s="156">
        <f t="shared" si="29"/>
        <v>-3.4420516824176519</v>
      </c>
      <c r="M196" s="156">
        <f t="shared" si="29"/>
        <v>-8.0434947300181481</v>
      </c>
      <c r="N196" s="365">
        <f t="shared" si="29"/>
        <v>-8.7839636781323716</v>
      </c>
      <c r="O196" s="109"/>
      <c r="P196" s="622">
        <f>P193*$L$13/$G$13</f>
        <v>-16.005160166879563</v>
      </c>
      <c r="Q196" s="104"/>
      <c r="R196" s="160" t="s">
        <v>413</v>
      </c>
    </row>
    <row r="197" spans="1:20" s="37" customFormat="1">
      <c r="A197" s="109"/>
      <c r="B197" s="109"/>
      <c r="C197" s="131"/>
      <c r="D197" s="104" t="s">
        <v>57</v>
      </c>
      <c r="E197" s="177" t="s">
        <v>412</v>
      </c>
      <c r="F197" s="104"/>
      <c r="G197" s="104"/>
      <c r="H197" s="131"/>
      <c r="I197" s="131"/>
      <c r="J197" s="156">
        <f>J194*$L$13/$G$13</f>
        <v>0.99952747036928991</v>
      </c>
      <c r="K197" s="156">
        <f t="shared" si="29"/>
        <v>-9.9115809154721184</v>
      </c>
      <c r="L197" s="156">
        <f t="shared" si="29"/>
        <v>-23.339887108065838</v>
      </c>
      <c r="M197" s="156">
        <f t="shared" si="29"/>
        <v>-29.028555321623635</v>
      </c>
      <c r="N197" s="365">
        <f t="shared" si="29"/>
        <v>-28.708463539807795</v>
      </c>
      <c r="O197" s="368"/>
      <c r="P197" s="622">
        <f>P194*$L$13/$G$13</f>
        <v>-89.988959414600103</v>
      </c>
      <c r="Q197" s="131"/>
      <c r="R197" s="147" t="s">
        <v>413</v>
      </c>
    </row>
    <row r="198" spans="1:20" s="37" customFormat="1">
      <c r="C198" s="131"/>
      <c r="D198" s="153"/>
      <c r="E198" s="154"/>
      <c r="F198" s="155"/>
      <c r="G198" s="148"/>
      <c r="H198" s="148"/>
      <c r="I198" s="148"/>
      <c r="J198" s="156"/>
      <c r="K198" s="156"/>
      <c r="L198" s="156"/>
      <c r="M198" s="156"/>
      <c r="N198" s="365"/>
      <c r="O198" s="157"/>
      <c r="P198" s="158"/>
      <c r="Q198" s="148"/>
      <c r="R198" s="147"/>
    </row>
    <row r="199" spans="1:20" ht="12.75" customHeight="1">
      <c r="A199" s="479"/>
      <c r="B199" s="452"/>
      <c r="C199" s="453"/>
      <c r="D199" s="481"/>
      <c r="E199" s="483" t="s">
        <v>604</v>
      </c>
      <c r="F199" s="440"/>
      <c r="G199" s="440"/>
      <c r="H199" s="440"/>
      <c r="I199" s="440"/>
      <c r="J199" s="440"/>
      <c r="K199" s="440"/>
      <c r="L199" s="440"/>
      <c r="M199" s="440"/>
      <c r="N199" s="446"/>
      <c r="O199" s="440"/>
      <c r="P199" s="475"/>
      <c r="Q199" s="476"/>
      <c r="R199" s="477"/>
    </row>
    <row r="200" spans="1:20" s="37" customFormat="1">
      <c r="A200" s="109"/>
      <c r="B200" s="109"/>
      <c r="C200" s="104"/>
      <c r="D200" s="104"/>
      <c r="E200" s="132"/>
      <c r="F200" s="104"/>
      <c r="G200" s="104"/>
      <c r="H200" s="104"/>
      <c r="I200" s="104"/>
      <c r="J200" s="156"/>
      <c r="K200" s="156"/>
      <c r="L200" s="156"/>
      <c r="M200" s="156"/>
      <c r="N200" s="365"/>
      <c r="O200" s="109"/>
      <c r="P200" s="530"/>
      <c r="Q200" s="104"/>
      <c r="R200" s="147"/>
      <c r="S200" s="658"/>
    </row>
    <row r="201" spans="1:20" s="37" customFormat="1">
      <c r="A201" s="109"/>
      <c r="B201" s="109"/>
      <c r="C201" s="104" t="s">
        <v>724</v>
      </c>
      <c r="D201" s="104" t="s">
        <v>57</v>
      </c>
      <c r="E201" s="132" t="str">
        <f>'Calc2 BYR'!E149</f>
        <v>Water: Ex post RCV adjustment</v>
      </c>
      <c r="G201" s="104"/>
      <c r="H201" s="104"/>
      <c r="I201" s="104"/>
      <c r="J201" s="156"/>
      <c r="K201" s="156"/>
      <c r="L201" s="156"/>
      <c r="M201" s="156"/>
      <c r="N201" s="365"/>
      <c r="O201" s="109"/>
      <c r="P201" s="622">
        <f>P149*$L$13/$G$13</f>
        <v>-164.0926919802256</v>
      </c>
      <c r="Q201" s="104"/>
      <c r="R201" s="147" t="s">
        <v>413</v>
      </c>
      <c r="S201" s="659"/>
      <c r="T201" s="659"/>
    </row>
    <row r="202" spans="1:20" s="37" customFormat="1">
      <c r="A202" s="109"/>
      <c r="B202" s="109"/>
      <c r="C202" s="104" t="s">
        <v>725</v>
      </c>
      <c r="D202" s="104" t="s">
        <v>57</v>
      </c>
      <c r="E202" s="132" t="str">
        <f>'Calc2 BYR'!E124</f>
        <v>Water: Total reward/(penalty)</v>
      </c>
      <c r="G202" s="104"/>
      <c r="H202" s="104"/>
      <c r="I202" s="104"/>
      <c r="J202" s="156"/>
      <c r="K202" s="156"/>
      <c r="L202" s="156"/>
      <c r="M202" s="156"/>
      <c r="N202" s="365"/>
      <c r="O202" s="109"/>
      <c r="P202" s="622">
        <f>P124*$L$13/$G$13</f>
        <v>-43.333021891152114</v>
      </c>
      <c r="Q202" s="104"/>
      <c r="R202" s="147" t="s">
        <v>413</v>
      </c>
      <c r="S202" s="659"/>
    </row>
    <row r="203" spans="1:20" s="37" customFormat="1">
      <c r="A203" s="109"/>
      <c r="B203" s="109"/>
      <c r="C203" s="104" t="s">
        <v>726</v>
      </c>
      <c r="D203" s="104" t="s">
        <v>57</v>
      </c>
      <c r="E203" s="132" t="str">
        <f>'Calc2 BYR'!E127</f>
        <v>Water: Additional income (applied at FD)</v>
      </c>
      <c r="G203" s="104"/>
      <c r="H203" s="104"/>
      <c r="I203" s="104"/>
      <c r="J203" s="156"/>
      <c r="K203" s="156"/>
      <c r="L203" s="156"/>
      <c r="M203" s="156"/>
      <c r="N203" s="365"/>
      <c r="O203" s="109"/>
      <c r="P203" s="622">
        <f>SUM(J127:N127)*$L$13/$G$13</f>
        <v>-44.942381429832892</v>
      </c>
      <c r="Q203" s="104"/>
      <c r="R203" s="147" t="s">
        <v>413</v>
      </c>
      <c r="S203" s="659"/>
    </row>
    <row r="204" spans="1:20" s="37" customFormat="1">
      <c r="A204" s="109"/>
      <c r="B204" s="109"/>
      <c r="C204" s="104" t="s">
        <v>727</v>
      </c>
      <c r="D204" s="104" t="s">
        <v>57</v>
      </c>
      <c r="E204" s="132" t="str">
        <f>'Calc2 BYR'!E187</f>
        <v>Water: Ex post reward/penalty</v>
      </c>
      <c r="G204" s="104"/>
      <c r="H204" s="104"/>
      <c r="I204" s="104"/>
      <c r="J204" s="156"/>
      <c r="K204" s="156"/>
      <c r="L204" s="156"/>
      <c r="M204" s="156"/>
      <c r="N204" s="365"/>
      <c r="O204" s="109"/>
      <c r="P204" s="622">
        <f>SUM(J187:N187)*$L$13/$G$13</f>
        <v>1.6093595386807849</v>
      </c>
      <c r="Q204" s="104"/>
      <c r="R204" s="147" t="s">
        <v>413</v>
      </c>
      <c r="S204" s="659"/>
    </row>
    <row r="205" spans="1:20" s="37" customFormat="1">
      <c r="A205" s="109"/>
      <c r="B205" s="109"/>
      <c r="C205" s="104" t="s">
        <v>728</v>
      </c>
      <c r="D205" s="104" t="s">
        <v>57</v>
      </c>
      <c r="E205" s="132" t="str">
        <f>'Calc2 BYR'!E184</f>
        <v>Water: Ex post financing cost of under/(overfunded) capex</v>
      </c>
      <c r="G205" s="104"/>
      <c r="H205" s="104"/>
      <c r="I205" s="104"/>
      <c r="J205" s="156"/>
      <c r="K205" s="156"/>
      <c r="L205" s="156"/>
      <c r="M205" s="156"/>
      <c r="N205" s="365"/>
      <c r="O205" s="662"/>
      <c r="P205" s="622">
        <f>SUM(J184:N184)*$L$13/$G$13</f>
        <v>-17.586292748594559</v>
      </c>
      <c r="Q205" s="104"/>
      <c r="R205" s="147" t="s">
        <v>413</v>
      </c>
      <c r="S205" s="659"/>
    </row>
    <row r="206" spans="1:20" s="37" customFormat="1">
      <c r="A206" s="109"/>
      <c r="B206" s="109"/>
      <c r="C206" s="104" t="s">
        <v>729</v>
      </c>
      <c r="D206" s="104" t="s">
        <v>57</v>
      </c>
      <c r="E206" s="132" t="str">
        <f>'Calc2 BYR'!E190</f>
        <v>Water: Ex post total revenue adjustment</v>
      </c>
      <c r="G206" s="104"/>
      <c r="H206" s="104"/>
      <c r="I206" s="104"/>
      <c r="J206" s="156"/>
      <c r="K206" s="156"/>
      <c r="L206" s="156"/>
      <c r="M206" s="156"/>
      <c r="N206" s="365"/>
      <c r="O206" s="109"/>
      <c r="P206" s="622">
        <f>SUM(J190:N190)*$L$13/$G$13</f>
        <v>-15.976933209913772</v>
      </c>
      <c r="Q206" s="104"/>
      <c r="R206" s="147" t="s">
        <v>413</v>
      </c>
      <c r="S206" s="659"/>
      <c r="T206" s="659"/>
    </row>
    <row r="207" spans="1:20" s="37" customFormat="1">
      <c r="A207" s="109"/>
      <c r="B207" s="109"/>
      <c r="C207" s="104" t="s">
        <v>730</v>
      </c>
      <c r="D207" s="104" t="s">
        <v>57</v>
      </c>
      <c r="E207" s="132" t="str">
        <f>'Calc2 BYR'!E196</f>
        <v>Water: Future value of ex post revenue adjustment of prior year annual adjustments (2012-13 prices)</v>
      </c>
      <c r="G207" s="104"/>
      <c r="H207" s="104"/>
      <c r="I207" s="104"/>
      <c r="J207" s="156"/>
      <c r="K207" s="156"/>
      <c r="L207" s="156"/>
      <c r="M207" s="156"/>
      <c r="N207" s="365"/>
      <c r="O207" s="109"/>
      <c r="P207" s="622">
        <f>P196</f>
        <v>-16.005160166879563</v>
      </c>
      <c r="Q207" s="104"/>
      <c r="R207" s="147" t="s">
        <v>413</v>
      </c>
      <c r="S207" s="659"/>
    </row>
    <row r="208" spans="1:20" s="37" customFormat="1">
      <c r="A208" s="109"/>
      <c r="B208" s="109"/>
      <c r="C208" s="104"/>
      <c r="D208" s="104"/>
      <c r="E208" s="132"/>
      <c r="G208" s="104"/>
      <c r="H208" s="104"/>
      <c r="I208" s="104"/>
      <c r="J208" s="156"/>
      <c r="K208" s="156"/>
      <c r="L208" s="156"/>
      <c r="M208" s="156"/>
      <c r="N208" s="365"/>
      <c r="O208" s="109"/>
      <c r="P208" s="622"/>
      <c r="Q208" s="104"/>
      <c r="R208" s="147"/>
      <c r="S208" s="659"/>
    </row>
    <row r="209" spans="1:20" s="37" customFormat="1">
      <c r="A209" s="109"/>
      <c r="B209" s="109"/>
      <c r="C209" s="104" t="s">
        <v>731</v>
      </c>
      <c r="D209" s="104" t="s">
        <v>57</v>
      </c>
      <c r="E209" s="132" t="str">
        <f>'Calc2 BYR'!E153</f>
        <v>Sewerage: Ex post RCV adjustment</v>
      </c>
      <c r="G209" s="104"/>
      <c r="H209" s="104"/>
      <c r="I209" s="104"/>
      <c r="J209" s="156"/>
      <c r="K209" s="156"/>
      <c r="L209" s="156"/>
      <c r="M209" s="156"/>
      <c r="N209" s="365"/>
      <c r="O209" s="109"/>
      <c r="P209" s="622">
        <f>P153*$L$13/$G$13</f>
        <v>-590.20077759694175</v>
      </c>
      <c r="Q209" s="104"/>
      <c r="R209" s="147" t="s">
        <v>413</v>
      </c>
      <c r="S209" s="659"/>
      <c r="T209" s="659"/>
    </row>
    <row r="210" spans="1:20" s="37" customFormat="1">
      <c r="A210" s="109"/>
      <c r="B210" s="109"/>
      <c r="C210" s="104" t="s">
        <v>732</v>
      </c>
      <c r="D210" s="104" t="s">
        <v>57</v>
      </c>
      <c r="E210" s="132" t="str">
        <f>'Calc2 BYR'!E125</f>
        <v>Sewerage: Total reward/(penalty)</v>
      </c>
      <c r="G210" s="104"/>
      <c r="H210" s="104"/>
      <c r="I210" s="104"/>
      <c r="J210" s="156"/>
      <c r="K210" s="156"/>
      <c r="L210" s="156"/>
      <c r="M210" s="156"/>
      <c r="N210" s="365"/>
      <c r="O210" s="109"/>
      <c r="P210" s="622">
        <f>P125*$L$13/$G$13</f>
        <v>-3.5296798188713745</v>
      </c>
      <c r="Q210" s="104"/>
      <c r="R210" s="147" t="s">
        <v>413</v>
      </c>
      <c r="S210" s="659"/>
    </row>
    <row r="211" spans="1:20" s="37" customFormat="1">
      <c r="A211" s="109"/>
      <c r="B211" s="109"/>
      <c r="C211" s="104" t="s">
        <v>733</v>
      </c>
      <c r="D211" s="104" t="s">
        <v>57</v>
      </c>
      <c r="E211" s="132" t="str">
        <f>'Calc2 BYR'!E128</f>
        <v>Sewerage: Additional income (applied at FD)</v>
      </c>
      <c r="G211" s="104"/>
      <c r="H211" s="104"/>
      <c r="I211" s="104"/>
      <c r="J211" s="156"/>
      <c r="K211" s="156"/>
      <c r="L211" s="156"/>
      <c r="M211" s="156"/>
      <c r="N211" s="365"/>
      <c r="O211" s="109"/>
      <c r="P211" s="622">
        <f>SUM(J128:N128)*$L$13/$G$13</f>
        <v>-24.495658018182436</v>
      </c>
      <c r="Q211" s="104"/>
      <c r="R211" s="147" t="s">
        <v>413</v>
      </c>
      <c r="S211" s="659"/>
    </row>
    <row r="212" spans="1:20" s="37" customFormat="1">
      <c r="A212" s="109"/>
      <c r="B212" s="109"/>
      <c r="C212" s="104" t="s">
        <v>734</v>
      </c>
      <c r="D212" s="104" t="s">
        <v>57</v>
      </c>
      <c r="E212" s="132" t="str">
        <f>'Calc2 BYR'!E188</f>
        <v>Sewerage: Ex post reward/penalty</v>
      </c>
      <c r="G212" s="104"/>
      <c r="H212" s="104"/>
      <c r="I212" s="104"/>
      <c r="J212" s="156"/>
      <c r="K212" s="156"/>
      <c r="L212" s="156"/>
      <c r="M212" s="156"/>
      <c r="N212" s="365"/>
      <c r="O212" s="109"/>
      <c r="P212" s="622">
        <f>SUM(J188:N188)*$L$13/$G$13</f>
        <v>20.965978199311067</v>
      </c>
      <c r="Q212" s="104"/>
      <c r="R212" s="147" t="s">
        <v>413</v>
      </c>
      <c r="S212" s="659"/>
    </row>
    <row r="213" spans="1:20" s="37" customFormat="1">
      <c r="A213" s="109"/>
      <c r="B213" s="109"/>
      <c r="C213" s="104" t="s">
        <v>735</v>
      </c>
      <c r="D213" s="104" t="s">
        <v>57</v>
      </c>
      <c r="E213" s="132" t="str">
        <f>'Calc2 BYR'!E185</f>
        <v>Sewerage: Ex post financing cost of under/(overfunded) capex</v>
      </c>
      <c r="G213" s="104"/>
      <c r="H213" s="104"/>
      <c r="I213" s="104"/>
      <c r="J213" s="156"/>
      <c r="K213" s="156"/>
      <c r="L213" s="156"/>
      <c r="M213" s="156"/>
      <c r="N213" s="365"/>
      <c r="O213" s="109"/>
      <c r="P213" s="622">
        <f>SUM(J185:N185)*$L$13/$G$13</f>
        <v>-106.1424710054379</v>
      </c>
      <c r="Q213" s="104"/>
      <c r="R213" s="147" t="s">
        <v>413</v>
      </c>
      <c r="S213" s="659"/>
    </row>
    <row r="214" spans="1:20" s="37" customFormat="1">
      <c r="A214" s="109"/>
      <c r="B214" s="109"/>
      <c r="C214" s="104" t="s">
        <v>736</v>
      </c>
      <c r="D214" s="104" t="s">
        <v>57</v>
      </c>
      <c r="E214" s="132" t="str">
        <f>'Calc2 BYR'!E191</f>
        <v>Sewerage: Ex post total revenue adjustment</v>
      </c>
      <c r="G214" s="104"/>
      <c r="H214" s="104"/>
      <c r="I214" s="104"/>
      <c r="J214" s="156"/>
      <c r="K214" s="156"/>
      <c r="L214" s="156"/>
      <c r="M214" s="156"/>
      <c r="N214" s="365"/>
      <c r="O214" s="109"/>
      <c r="P214" s="622">
        <f>SUM(J191:N191)*$L$13/$G$13</f>
        <v>-85.176492806126845</v>
      </c>
      <c r="Q214" s="104"/>
      <c r="R214" s="147" t="s">
        <v>413</v>
      </c>
      <c r="S214" s="659"/>
    </row>
    <row r="215" spans="1:20" s="37" customFormat="1">
      <c r="A215" s="109"/>
      <c r="B215" s="109"/>
      <c r="C215" s="104" t="s">
        <v>737</v>
      </c>
      <c r="D215" s="104" t="s">
        <v>57</v>
      </c>
      <c r="E215" s="132" t="str">
        <f>'Calc2 BYR'!E197</f>
        <v>Sewerage: Future value of ex post revenue adjustment of prior year annual adjustments (2012-13 prices)</v>
      </c>
      <c r="G215" s="104"/>
      <c r="H215" s="104"/>
      <c r="I215" s="104"/>
      <c r="J215" s="156"/>
      <c r="K215" s="156"/>
      <c r="L215" s="156"/>
      <c r="M215" s="156"/>
      <c r="N215" s="365"/>
      <c r="O215" s="109"/>
      <c r="P215" s="622">
        <f>P197</f>
        <v>-89.988959414600103</v>
      </c>
      <c r="Q215" s="104"/>
      <c r="R215" s="147" t="s">
        <v>413</v>
      </c>
      <c r="S215" s="659"/>
    </row>
    <row r="216" spans="1:20" s="37" customFormat="1" ht="13.2" customHeight="1">
      <c r="A216" s="109"/>
      <c r="B216" s="109"/>
      <c r="C216" s="104"/>
      <c r="D216" s="104"/>
      <c r="E216" s="132"/>
      <c r="G216" s="104"/>
      <c r="H216" s="104"/>
      <c r="I216" s="104"/>
      <c r="J216" s="156"/>
      <c r="K216" s="156"/>
      <c r="L216" s="156"/>
      <c r="M216" s="156"/>
      <c r="N216" s="704"/>
      <c r="O216" s="109"/>
      <c r="P216" s="622"/>
      <c r="Q216" s="104"/>
      <c r="R216" s="147"/>
      <c r="S216" s="659"/>
    </row>
    <row r="217" spans="1:20" s="37" customFormat="1">
      <c r="A217" s="109"/>
      <c r="B217" s="109"/>
      <c r="C217" s="104"/>
      <c r="D217" s="104" t="s">
        <v>57</v>
      </c>
      <c r="E217" s="132" t="s">
        <v>826</v>
      </c>
      <c r="G217" s="104"/>
      <c r="H217" s="104"/>
      <c r="I217" s="104"/>
      <c r="J217" s="156">
        <f xml:space="preserve"> J57 * J$32</f>
        <v>242.98786746089615</v>
      </c>
      <c r="K217" s="156">
        <f t="shared" ref="K217:N217" si="30" xml:space="preserve"> K57 * K$32</f>
        <v>358.48359715787819</v>
      </c>
      <c r="L217" s="156">
        <f t="shared" si="30"/>
        <v>328.1301977071077</v>
      </c>
      <c r="M217" s="156">
        <f t="shared" si="30"/>
        <v>309.18306196160796</v>
      </c>
      <c r="N217" s="704">
        <f t="shared" si="30"/>
        <v>244.99560824378867</v>
      </c>
      <c r="O217" s="109"/>
      <c r="P217" s="622">
        <f>SUM(J217:N217)*$L$13/$G$13</f>
        <v>1740.4528122508409</v>
      </c>
      <c r="Q217" s="104"/>
      <c r="R217" s="147" t="s">
        <v>413</v>
      </c>
      <c r="S217" s="659"/>
    </row>
    <row r="218" spans="1:20" s="37" customFormat="1">
      <c r="A218" s="109"/>
      <c r="B218" s="109"/>
      <c r="C218" s="104"/>
      <c r="D218" s="104" t="s">
        <v>57</v>
      </c>
      <c r="E218" s="132" t="s">
        <v>827</v>
      </c>
      <c r="G218" s="104"/>
      <c r="H218" s="104"/>
      <c r="I218" s="104"/>
      <c r="J218" s="156">
        <f xml:space="preserve"> J68 * J$32</f>
        <v>641.45903887467637</v>
      </c>
      <c r="K218" s="156">
        <f t="shared" ref="K218:N218" si="31" xml:space="preserve"> K68 * K$32</f>
        <v>809.18328459010945</v>
      </c>
      <c r="L218" s="156">
        <f t="shared" si="31"/>
        <v>650.0016116910989</v>
      </c>
      <c r="M218" s="156">
        <f t="shared" si="31"/>
        <v>543.27940302780667</v>
      </c>
      <c r="N218" s="704">
        <f t="shared" si="31"/>
        <v>434.04547750866635</v>
      </c>
      <c r="O218" s="109"/>
      <c r="P218" s="622">
        <f>SUM(J218:N218)*$L$13/$G$13</f>
        <v>3610.4127840495048</v>
      </c>
      <c r="Q218" s="104"/>
      <c r="R218" s="147" t="s">
        <v>413</v>
      </c>
      <c r="S218" s="659"/>
    </row>
    <row r="219" spans="1:20" s="37" customFormat="1" ht="13.2" customHeight="1">
      <c r="A219" s="209"/>
      <c r="B219" s="209"/>
      <c r="C219" s="599"/>
      <c r="D219" s="209"/>
      <c r="E219" s="210"/>
      <c r="F219" s="209"/>
      <c r="G219" s="209"/>
      <c r="H219" s="209"/>
      <c r="I219" s="209"/>
      <c r="J219" s="211"/>
      <c r="K219" s="211"/>
      <c r="L219" s="211"/>
      <c r="M219" s="211"/>
      <c r="N219" s="212"/>
      <c r="O219" s="109"/>
      <c r="P219" s="188"/>
      <c r="Q219" s="131"/>
      <c r="R219" s="147"/>
    </row>
    <row r="220" spans="1:20" ht="13.2" customHeight="1">
      <c r="E220" s="149"/>
    </row>
  </sheetData>
  <pageMargins left="0.70866141732283472" right="0.70866141732283472" top="0.74803149606299213" bottom="0.74803149606299213" header="0.31496062992125984" footer="0.31496062992125984"/>
  <pageSetup paperSize="9" scale="43" fitToHeight="0" orientation="landscape" r:id="rId1"/>
  <headerFooter>
    <oddFooter>&amp;LPL14L012 CIS v3.5
Ofwat, February 2016</oddFooter>
  </headerFooter>
  <rowBreaks count="2" manualBreakCount="2">
    <brk id="72" max="36" man="1"/>
    <brk id="133" max="36"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W167"/>
  <sheetViews>
    <sheetView showGridLines="0" zoomScale="60" zoomScaleNormal="60" workbookViewId="0">
      <pane xSplit="6" ySplit="7" topLeftCell="G8" activePane="bottomRight" state="frozen"/>
      <selection activeCell="A3" sqref="A3"/>
      <selection pane="topRight" activeCell="A3" sqref="A3"/>
      <selection pane="bottomLeft" activeCell="A3" sqref="A3"/>
      <selection pane="bottomRight" activeCell="E1" sqref="E1"/>
    </sheetView>
  </sheetViews>
  <sheetFormatPr defaultColWidth="9.109375" defaultRowHeight="13.2"/>
  <cols>
    <col min="1" max="1" width="0.44140625" customWidth="1"/>
    <col min="2" max="2" width="0.5546875" customWidth="1"/>
    <col min="3" max="3" width="12.5546875" customWidth="1"/>
    <col min="4" max="4" width="10" customWidth="1"/>
    <col min="5" max="5" width="91" style="650" customWidth="1"/>
    <col min="6" max="6" width="14.33203125" customWidth="1"/>
    <col min="7" max="7" width="11.44140625" customWidth="1"/>
    <col min="8" max="8" width="11.6640625" customWidth="1"/>
    <col min="9" max="9" width="12.33203125" customWidth="1"/>
    <col min="10" max="10" width="13.33203125" customWidth="1"/>
    <col min="11" max="14" width="11.5546875" customWidth="1"/>
    <col min="15" max="15" width="4.33203125" customWidth="1"/>
    <col min="16" max="16" width="17.6640625" style="22" customWidth="1"/>
    <col min="17" max="17" width="4.33203125" style="22" customWidth="1"/>
    <col min="18" max="22" width="11.5546875" style="101" customWidth="1"/>
    <col min="23" max="32" width="9.109375" style="22"/>
    <col min="33" max="33" width="10.109375" style="22" customWidth="1"/>
    <col min="34" max="16384" width="9.109375" style="22"/>
  </cols>
  <sheetData>
    <row r="1" spans="1:23" ht="37.5" customHeight="1">
      <c r="A1" s="577" t="s">
        <v>20</v>
      </c>
      <c r="B1" s="578"/>
      <c r="C1" s="469"/>
      <c r="D1" s="478" t="s">
        <v>22</v>
      </c>
      <c r="E1" s="634" t="s">
        <v>772</v>
      </c>
      <c r="F1" s="470"/>
      <c r="G1" s="470"/>
      <c r="H1" s="470"/>
      <c r="I1" s="470"/>
      <c r="J1" s="470"/>
      <c r="K1" s="470"/>
      <c r="L1" s="470"/>
      <c r="M1" s="470"/>
      <c r="N1" s="471"/>
      <c r="O1" s="470"/>
      <c r="P1" s="472"/>
      <c r="Q1" s="473"/>
      <c r="R1" s="579"/>
      <c r="S1" s="580"/>
      <c r="T1" s="580"/>
      <c r="U1" s="580"/>
      <c r="V1" s="581"/>
      <c r="W1" s="2"/>
    </row>
    <row r="2" spans="1:23" ht="17.399999999999999">
      <c r="A2" s="3"/>
      <c r="B2" s="4"/>
      <c r="C2" s="45"/>
      <c r="D2" s="46"/>
      <c r="E2" s="635"/>
      <c r="F2" s="48"/>
      <c r="G2" s="49"/>
      <c r="H2" s="49"/>
      <c r="I2" s="49"/>
      <c r="J2" s="50"/>
      <c r="K2" s="50"/>
      <c r="L2" s="50"/>
      <c r="M2" s="50"/>
      <c r="N2" s="371"/>
      <c r="O2" s="5"/>
      <c r="P2" s="81"/>
      <c r="Q2" s="49"/>
      <c r="R2" s="582"/>
      <c r="S2" s="98"/>
      <c r="T2" s="98"/>
      <c r="U2" s="98"/>
      <c r="V2" s="583"/>
      <c r="W2" s="2"/>
    </row>
    <row r="3" spans="1:23" ht="17.399999999999999">
      <c r="A3" s="6" t="s">
        <v>25</v>
      </c>
      <c r="B3" s="7"/>
      <c r="C3" s="8"/>
      <c r="D3" s="9" t="s">
        <v>26</v>
      </c>
      <c r="E3" s="636"/>
      <c r="F3" s="488" t="s">
        <v>27</v>
      </c>
      <c r="G3" s="487" t="s">
        <v>28</v>
      </c>
      <c r="H3" s="487" t="s">
        <v>29</v>
      </c>
      <c r="I3" s="487" t="s">
        <v>30</v>
      </c>
      <c r="J3" s="487" t="s">
        <v>31</v>
      </c>
      <c r="K3" s="487" t="s">
        <v>32</v>
      </c>
      <c r="L3" s="487" t="s">
        <v>33</v>
      </c>
      <c r="M3" s="487" t="s">
        <v>34</v>
      </c>
      <c r="N3" s="488" t="s">
        <v>35</v>
      </c>
      <c r="O3" s="487"/>
      <c r="P3" s="489" t="s">
        <v>86</v>
      </c>
      <c r="Q3" s="490"/>
      <c r="R3" s="584" t="s">
        <v>165</v>
      </c>
      <c r="S3" s="490" t="s">
        <v>540</v>
      </c>
      <c r="T3" s="490" t="s">
        <v>541</v>
      </c>
      <c r="U3" s="490" t="s">
        <v>542</v>
      </c>
      <c r="V3" s="585" t="s">
        <v>543</v>
      </c>
      <c r="W3" s="12"/>
    </row>
    <row r="4" spans="1:23">
      <c r="A4" s="13"/>
      <c r="B4" s="14"/>
      <c r="C4" s="18"/>
      <c r="D4" s="68"/>
      <c r="E4" s="637"/>
      <c r="F4" s="15"/>
      <c r="G4" s="15"/>
      <c r="H4" s="15"/>
      <c r="I4" s="15"/>
      <c r="J4" s="70"/>
      <c r="K4" s="70"/>
      <c r="L4" s="70"/>
      <c r="M4" s="70"/>
      <c r="N4" s="372"/>
      <c r="O4" s="16"/>
      <c r="P4" s="82"/>
      <c r="Q4" s="15"/>
      <c r="R4" s="586"/>
      <c r="S4" s="99"/>
      <c r="T4" s="99"/>
      <c r="U4" s="99"/>
      <c r="V4" s="587"/>
      <c r="W4" s="12"/>
    </row>
    <row r="5" spans="1:23" s="29" customFormat="1">
      <c r="A5" s="61" t="s">
        <v>19</v>
      </c>
      <c r="B5" s="14"/>
      <c r="C5" s="62" t="s">
        <v>17</v>
      </c>
      <c r="D5" s="68" t="s">
        <v>16</v>
      </c>
      <c r="E5" s="638"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588">
        <f>IF(COLUMN()=23,1,N5+1)</f>
        <v>9</v>
      </c>
      <c r="S5" s="576">
        <f>IF(COLUMN()=23,1,R5+1)</f>
        <v>10</v>
      </c>
      <c r="T5" s="576">
        <f t="shared" ref="T5:V5" si="1">IF(COLUMN()=23,1,S5+1)</f>
        <v>11</v>
      </c>
      <c r="U5" s="576">
        <f t="shared" si="1"/>
        <v>12</v>
      </c>
      <c r="V5" s="589">
        <f t="shared" si="1"/>
        <v>13</v>
      </c>
      <c r="W5" s="12"/>
    </row>
    <row r="6" spans="1:23" ht="12.75" customHeight="1">
      <c r="C6" s="19"/>
      <c r="D6" s="19"/>
      <c r="E6" s="639" t="s">
        <v>80</v>
      </c>
      <c r="F6" s="19">
        <f t="shared" ref="F6:N6" si="2">IF(F5=8,0,F5-8)</f>
        <v>-8</v>
      </c>
      <c r="G6" s="19">
        <f t="shared" si="2"/>
        <v>-7</v>
      </c>
      <c r="H6" s="19">
        <f t="shared" si="2"/>
        <v>-6</v>
      </c>
      <c r="I6" s="19">
        <f t="shared" si="2"/>
        <v>-5</v>
      </c>
      <c r="J6" s="65">
        <f t="shared" si="2"/>
        <v>-4</v>
      </c>
      <c r="K6" s="65">
        <f t="shared" si="2"/>
        <v>-3</v>
      </c>
      <c r="L6" s="65">
        <f t="shared" si="2"/>
        <v>-2</v>
      </c>
      <c r="M6" s="65">
        <f t="shared" si="2"/>
        <v>-1</v>
      </c>
      <c r="N6" s="374">
        <f t="shared" si="2"/>
        <v>0</v>
      </c>
      <c r="P6" s="84"/>
      <c r="Q6" s="19"/>
      <c r="R6" s="590">
        <f>IF(R5=9,0,R5-9)</f>
        <v>0</v>
      </c>
      <c r="S6" s="553">
        <f t="shared" ref="S6:V6" si="3">IF(S5=9,0,S5-9)</f>
        <v>1</v>
      </c>
      <c r="T6" s="553">
        <f t="shared" si="3"/>
        <v>2</v>
      </c>
      <c r="U6" s="553">
        <f t="shared" si="3"/>
        <v>3</v>
      </c>
      <c r="V6" s="591">
        <f t="shared" si="3"/>
        <v>4</v>
      </c>
    </row>
    <row r="7" spans="1:23">
      <c r="A7" s="13"/>
      <c r="B7" s="14"/>
      <c r="C7" s="18"/>
      <c r="D7" s="68"/>
      <c r="E7" s="637"/>
      <c r="F7" s="73"/>
      <c r="G7" s="73"/>
      <c r="H7" s="73"/>
      <c r="I7" s="15"/>
      <c r="J7" s="70"/>
      <c r="K7" s="70"/>
      <c r="L7" s="70"/>
      <c r="M7" s="70"/>
      <c r="N7" s="372"/>
      <c r="O7" s="16"/>
      <c r="P7" s="82"/>
      <c r="Q7" s="15"/>
      <c r="R7" s="588"/>
      <c r="S7" s="576"/>
      <c r="T7" s="576"/>
      <c r="U7" s="576"/>
      <c r="V7" s="589"/>
      <c r="W7" s="12"/>
    </row>
    <row r="8" spans="1:23">
      <c r="A8" s="13"/>
      <c r="B8" s="14"/>
      <c r="C8" s="18"/>
      <c r="D8" s="68"/>
      <c r="E8" s="637"/>
      <c r="F8" s="73"/>
      <c r="G8" s="73"/>
      <c r="H8" s="73"/>
      <c r="I8" s="15"/>
      <c r="J8" s="70"/>
      <c r="K8" s="70"/>
      <c r="L8" s="70"/>
      <c r="M8" s="70"/>
      <c r="N8" s="372"/>
      <c r="O8" s="16"/>
      <c r="P8" s="82"/>
      <c r="Q8" s="15"/>
      <c r="R8" s="588"/>
      <c r="S8" s="576"/>
      <c r="T8" s="576"/>
      <c r="U8" s="576"/>
      <c r="V8" s="589"/>
      <c r="W8" s="12"/>
    </row>
    <row r="9" spans="1:23">
      <c r="A9" s="479"/>
      <c r="B9" s="452"/>
      <c r="C9" s="453"/>
      <c r="D9" s="467"/>
      <c r="E9" s="640"/>
      <c r="F9" s="440"/>
      <c r="G9" s="440"/>
      <c r="H9" s="440"/>
      <c r="I9" s="440"/>
      <c r="J9" s="440"/>
      <c r="K9" s="440"/>
      <c r="L9" s="440"/>
      <c r="M9" s="440"/>
      <c r="N9" s="446"/>
      <c r="O9" s="440"/>
      <c r="P9" s="475"/>
      <c r="Q9" s="476"/>
      <c r="R9" s="592"/>
      <c r="S9" s="503"/>
      <c r="T9" s="503"/>
      <c r="U9" s="503"/>
      <c r="V9" s="593"/>
    </row>
    <row r="10" spans="1:23">
      <c r="C10" s="19"/>
      <c r="D10" s="19"/>
      <c r="E10" s="641"/>
      <c r="F10" s="19"/>
      <c r="G10" s="19"/>
      <c r="H10" s="19"/>
      <c r="I10" s="19"/>
      <c r="J10" s="65"/>
      <c r="K10" s="65"/>
      <c r="L10" s="65"/>
      <c r="M10" s="65"/>
      <c r="N10" s="374"/>
      <c r="O10" s="28"/>
      <c r="P10" s="84"/>
      <c r="Q10" s="19"/>
      <c r="R10" s="590"/>
      <c r="S10" s="553"/>
      <c r="T10" s="553"/>
      <c r="U10" s="553"/>
      <c r="V10" s="591"/>
    </row>
    <row r="11" spans="1:23">
      <c r="A11" s="479"/>
      <c r="B11" s="452"/>
      <c r="C11" s="574"/>
      <c r="D11" s="467"/>
      <c r="E11" s="642" t="s">
        <v>544</v>
      </c>
      <c r="F11" s="440"/>
      <c r="G11" s="440"/>
      <c r="H11" s="440"/>
      <c r="I11" s="440"/>
      <c r="J11" s="440"/>
      <c r="K11" s="440"/>
      <c r="L11" s="440"/>
      <c r="M11" s="440"/>
      <c r="N11" s="446"/>
      <c r="O11" s="440"/>
      <c r="P11" s="475"/>
      <c r="Q11" s="476"/>
      <c r="R11" s="592"/>
      <c r="S11" s="503"/>
      <c r="T11" s="503"/>
      <c r="U11" s="503"/>
      <c r="V11" s="593"/>
    </row>
    <row r="12" spans="1:23" s="37" customFormat="1">
      <c r="C12" s="131"/>
      <c r="D12" s="131"/>
      <c r="E12" s="643"/>
      <c r="F12" s="131"/>
      <c r="G12" s="131"/>
      <c r="H12" s="131"/>
      <c r="I12" s="131"/>
      <c r="J12" s="106"/>
      <c r="K12" s="106"/>
      <c r="L12" s="106"/>
      <c r="M12" s="106"/>
      <c r="N12" s="364"/>
      <c r="O12" s="203"/>
      <c r="P12" s="136"/>
      <c r="Q12" s="131"/>
      <c r="R12" s="594"/>
      <c r="S12" s="131"/>
      <c r="T12" s="131"/>
      <c r="U12" s="131"/>
      <c r="V12" s="595"/>
    </row>
    <row r="13" spans="1:23" s="37" customFormat="1">
      <c r="A13" s="109"/>
      <c r="B13" s="109"/>
      <c r="C13" s="104"/>
      <c r="D13" s="104" t="s">
        <v>57</v>
      </c>
      <c r="E13" s="643" t="s">
        <v>411</v>
      </c>
      <c r="F13" s="104"/>
      <c r="G13" s="104"/>
      <c r="H13" s="104"/>
      <c r="I13" s="104"/>
      <c r="J13" s="185"/>
      <c r="K13" s="185"/>
      <c r="L13" s="185"/>
      <c r="M13" s="185"/>
      <c r="N13" s="382"/>
      <c r="O13" s="368"/>
      <c r="P13" s="554">
        <f>'Calc2 BYR'!$P$196</f>
        <v>-16.005160166879563</v>
      </c>
      <c r="Q13" s="104"/>
      <c r="R13" s="102"/>
      <c r="S13" s="104"/>
      <c r="T13" s="104"/>
      <c r="U13" s="104"/>
      <c r="V13" s="596"/>
    </row>
    <row r="14" spans="1:23" s="37" customFormat="1">
      <c r="A14" s="109"/>
      <c r="B14" s="109"/>
      <c r="C14" s="104"/>
      <c r="D14" s="104" t="s">
        <v>57</v>
      </c>
      <c r="E14" s="644" t="s">
        <v>412</v>
      </c>
      <c r="F14" s="104"/>
      <c r="G14" s="104"/>
      <c r="H14" s="131"/>
      <c r="I14" s="131"/>
      <c r="J14" s="106"/>
      <c r="K14" s="106"/>
      <c r="L14" s="106"/>
      <c r="M14" s="106"/>
      <c r="N14" s="364"/>
      <c r="O14" s="109"/>
      <c r="P14" s="554">
        <f>'Calc2 BYR'!$P$197</f>
        <v>-89.988959414600103</v>
      </c>
      <c r="Q14" s="131"/>
      <c r="R14" s="594"/>
      <c r="S14" s="131"/>
      <c r="T14" s="131"/>
      <c r="U14" s="131"/>
      <c r="V14" s="595"/>
    </row>
    <row r="15" spans="1:23" s="138" customFormat="1">
      <c r="C15" s="139"/>
      <c r="D15" s="140"/>
      <c r="E15" s="645"/>
      <c r="F15" s="142"/>
      <c r="G15" s="143"/>
      <c r="H15" s="143"/>
      <c r="I15" s="143"/>
      <c r="J15" s="144"/>
      <c r="K15" s="144"/>
      <c r="L15" s="144"/>
      <c r="M15" s="144"/>
      <c r="N15" s="377"/>
      <c r="O15" s="145"/>
      <c r="P15" s="136"/>
      <c r="Q15" s="143"/>
      <c r="R15" s="397"/>
      <c r="S15" s="153"/>
      <c r="T15" s="153"/>
      <c r="U15" s="153"/>
      <c r="V15" s="597"/>
    </row>
    <row r="16" spans="1:23">
      <c r="A16" s="479"/>
      <c r="B16" s="452"/>
      <c r="C16" s="574"/>
      <c r="D16" s="467"/>
      <c r="E16" s="642" t="s">
        <v>545</v>
      </c>
      <c r="F16" s="440"/>
      <c r="G16" s="440"/>
      <c r="H16" s="440"/>
      <c r="I16" s="440"/>
      <c r="J16" s="440"/>
      <c r="K16" s="440"/>
      <c r="L16" s="440"/>
      <c r="M16" s="440"/>
      <c r="N16" s="446"/>
      <c r="O16" s="440"/>
      <c r="P16" s="475"/>
      <c r="Q16" s="476"/>
      <c r="R16" s="592"/>
      <c r="S16" s="503"/>
      <c r="T16" s="503"/>
      <c r="U16" s="503"/>
      <c r="V16" s="593"/>
    </row>
    <row r="17" spans="1:22" s="37" customFormat="1">
      <c r="C17" s="131"/>
      <c r="D17" s="131"/>
      <c r="E17" s="643"/>
      <c r="F17" s="131"/>
      <c r="G17" s="204"/>
      <c r="H17" s="204"/>
      <c r="I17" s="204"/>
      <c r="J17" s="106"/>
      <c r="K17" s="106"/>
      <c r="L17" s="106"/>
      <c r="M17" s="106"/>
      <c r="N17" s="364"/>
      <c r="O17" s="203"/>
      <c r="P17" s="136"/>
      <c r="Q17" s="131"/>
      <c r="R17" s="594"/>
      <c r="S17" s="131"/>
      <c r="T17" s="131"/>
      <c r="U17" s="131"/>
      <c r="V17" s="595"/>
    </row>
    <row r="18" spans="1:22" s="138" customFormat="1">
      <c r="C18" s="654" t="s">
        <v>578</v>
      </c>
      <c r="D18" s="153" t="s">
        <v>522</v>
      </c>
      <c r="E18" s="646" t="s">
        <v>535</v>
      </c>
      <c r="F18" s="142"/>
      <c r="G18" s="143"/>
      <c r="H18" s="143"/>
      <c r="I18" s="143"/>
      <c r="J18" s="144"/>
      <c r="K18" s="144"/>
      <c r="L18" s="144"/>
      <c r="M18" s="146"/>
      <c r="N18" s="378"/>
      <c r="O18" s="37"/>
      <c r="P18" s="652">
        <f>'Input BYR'!$O$153</f>
        <v>3.5999999999999997E-2</v>
      </c>
      <c r="Q18" s="143"/>
      <c r="R18" s="397"/>
      <c r="S18" s="153"/>
      <c r="T18" s="153"/>
      <c r="U18" s="153"/>
      <c r="V18" s="597"/>
    </row>
    <row r="19" spans="1:22" s="138" customFormat="1">
      <c r="C19" s="139"/>
      <c r="D19" s="140"/>
      <c r="E19" s="645"/>
      <c r="F19" s="142"/>
      <c r="G19" s="134"/>
      <c r="H19" s="134"/>
      <c r="I19" s="134"/>
      <c r="J19" s="135"/>
      <c r="K19" s="135"/>
      <c r="L19" s="135"/>
      <c r="M19" s="135"/>
      <c r="N19" s="375"/>
      <c r="O19" s="37"/>
      <c r="P19" s="136"/>
      <c r="Q19" s="143"/>
      <c r="R19" s="397"/>
      <c r="S19" s="153"/>
      <c r="T19" s="153"/>
      <c r="U19" s="153"/>
      <c r="V19" s="597"/>
    </row>
    <row r="20" spans="1:22" s="138" customFormat="1">
      <c r="C20" s="139"/>
      <c r="D20" s="153" t="s">
        <v>556</v>
      </c>
      <c r="E20" s="645" t="s">
        <v>554</v>
      </c>
      <c r="F20" s="142"/>
      <c r="G20" s="134"/>
      <c r="H20" s="134"/>
      <c r="I20" s="134"/>
      <c r="J20" s="135"/>
      <c r="K20" s="135"/>
      <c r="L20" s="135"/>
      <c r="M20" s="135"/>
      <c r="N20" s="608"/>
      <c r="O20" s="37"/>
      <c r="P20" s="613"/>
      <c r="Q20" s="614"/>
      <c r="R20" s="609">
        <f>1/((1+$P18)^R$6)</f>
        <v>1</v>
      </c>
      <c r="S20" s="610">
        <f t="shared" ref="S20:V20" si="4">1/((1+$P18)^S$6)</f>
        <v>0.96525096525096521</v>
      </c>
      <c r="T20" s="610">
        <f t="shared" si="4"/>
        <v>0.93170942591792005</v>
      </c>
      <c r="U20" s="610">
        <f t="shared" si="4"/>
        <v>0.89933342270069505</v>
      </c>
      <c r="V20" s="611">
        <f t="shared" si="4"/>
        <v>0.8680824543443002</v>
      </c>
    </row>
    <row r="21" spans="1:22" s="138" customFormat="1">
      <c r="C21" s="139"/>
      <c r="D21" s="153" t="s">
        <v>556</v>
      </c>
      <c r="E21" s="645" t="s">
        <v>570</v>
      </c>
      <c r="F21" s="142"/>
      <c r="G21" s="134"/>
      <c r="H21" s="134"/>
      <c r="I21" s="134"/>
      <c r="J21" s="135"/>
      <c r="K21" s="135"/>
      <c r="L21" s="135"/>
      <c r="M21" s="135"/>
      <c r="N21" s="608"/>
      <c r="O21" s="37"/>
      <c r="P21" s="613">
        <f>SUM(R20:V20)</f>
        <v>4.6643762682138803</v>
      </c>
      <c r="Q21" s="614"/>
      <c r="R21" s="609"/>
      <c r="S21" s="610"/>
      <c r="T21" s="610"/>
      <c r="U21" s="610"/>
      <c r="V21" s="611"/>
    </row>
    <row r="22" spans="1:22" s="138" customFormat="1">
      <c r="C22" s="139"/>
      <c r="D22" s="140"/>
      <c r="E22" s="645"/>
      <c r="F22" s="142"/>
      <c r="G22" s="134"/>
      <c r="H22" s="134"/>
      <c r="I22" s="134"/>
      <c r="J22" s="135"/>
      <c r="K22" s="135"/>
      <c r="L22" s="135"/>
      <c r="M22" s="135"/>
      <c r="N22" s="606"/>
      <c r="O22" s="37"/>
      <c r="P22" s="136"/>
      <c r="Q22" s="143"/>
      <c r="R22" s="397"/>
      <c r="S22" s="153"/>
      <c r="T22" s="153"/>
      <c r="U22" s="153"/>
      <c r="V22" s="607"/>
    </row>
    <row r="23" spans="1:22">
      <c r="A23" s="479"/>
      <c r="B23" s="452"/>
      <c r="C23" s="453"/>
      <c r="D23" s="467"/>
      <c r="E23" s="640" t="s">
        <v>553</v>
      </c>
      <c r="F23" s="440"/>
      <c r="G23" s="440"/>
      <c r="H23" s="440"/>
      <c r="I23" s="440"/>
      <c r="J23" s="440"/>
      <c r="K23" s="440"/>
      <c r="L23" s="440"/>
      <c r="M23" s="440"/>
      <c r="N23" s="446"/>
      <c r="O23" s="440"/>
      <c r="P23" s="475"/>
      <c r="Q23" s="476"/>
      <c r="R23" s="592"/>
      <c r="S23" s="503"/>
      <c r="T23" s="503"/>
      <c r="U23" s="503"/>
      <c r="V23" s="593"/>
    </row>
    <row r="24" spans="1:22" s="138" customFormat="1">
      <c r="C24" s="139"/>
      <c r="D24" s="140"/>
      <c r="E24" s="645"/>
      <c r="F24" s="142"/>
      <c r="G24" s="134"/>
      <c r="H24" s="134"/>
      <c r="I24" s="134"/>
      <c r="J24" s="135"/>
      <c r="K24" s="135"/>
      <c r="L24" s="135"/>
      <c r="M24" s="135"/>
      <c r="N24" s="375"/>
      <c r="O24" s="37"/>
      <c r="P24" s="136"/>
      <c r="Q24" s="143"/>
      <c r="R24" s="397"/>
      <c r="S24" s="153"/>
      <c r="T24" s="153"/>
      <c r="U24" s="153"/>
      <c r="V24" s="597"/>
    </row>
    <row r="25" spans="1:22" s="37" customFormat="1">
      <c r="C25" s="131"/>
      <c r="D25" s="153" t="s">
        <v>16</v>
      </c>
      <c r="E25" s="646" t="s">
        <v>579</v>
      </c>
      <c r="F25" s="155"/>
      <c r="G25" s="148"/>
      <c r="H25" s="148"/>
      <c r="I25" s="148"/>
      <c r="J25" s="156"/>
      <c r="K25" s="156"/>
      <c r="L25" s="156"/>
      <c r="M25" s="156"/>
      <c r="N25" s="604"/>
      <c r="O25" s="157"/>
      <c r="P25" s="602">
        <f>'Input BYR'!$O$155</f>
        <v>5</v>
      </c>
      <c r="Q25" s="148"/>
      <c r="R25" s="594"/>
      <c r="S25" s="131"/>
      <c r="T25" s="131"/>
      <c r="U25" s="131"/>
      <c r="V25" s="605"/>
    </row>
    <row r="26" spans="1:22" s="138" customFormat="1">
      <c r="C26" s="139"/>
      <c r="D26" s="140"/>
      <c r="E26" s="645"/>
      <c r="F26" s="142"/>
      <c r="G26" s="134"/>
      <c r="H26" s="134"/>
      <c r="I26" s="134"/>
      <c r="J26" s="135"/>
      <c r="K26" s="135"/>
      <c r="L26" s="135"/>
      <c r="M26" s="135"/>
      <c r="N26" s="375"/>
      <c r="O26" s="37"/>
      <c r="P26" s="136"/>
      <c r="Q26" s="143"/>
      <c r="R26" s="397"/>
      <c r="S26" s="153"/>
      <c r="T26" s="153"/>
      <c r="U26" s="153"/>
      <c r="V26" s="597"/>
    </row>
    <row r="27" spans="1:22">
      <c r="A27" s="479"/>
      <c r="B27" s="452"/>
      <c r="C27" s="453"/>
      <c r="D27" s="467"/>
      <c r="E27" s="640" t="s">
        <v>546</v>
      </c>
      <c r="F27" s="440"/>
      <c r="G27" s="440"/>
      <c r="H27" s="440"/>
      <c r="I27" s="440"/>
      <c r="J27" s="440"/>
      <c r="K27" s="440"/>
      <c r="L27" s="440"/>
      <c r="M27" s="440"/>
      <c r="N27" s="446"/>
      <c r="O27" s="440"/>
      <c r="P27" s="475"/>
      <c r="Q27" s="476"/>
      <c r="R27" s="592"/>
      <c r="S27" s="503"/>
      <c r="T27" s="503"/>
      <c r="U27" s="503"/>
      <c r="V27" s="593"/>
    </row>
    <row r="28" spans="1:22">
      <c r="C28" s="19"/>
      <c r="D28" s="19"/>
      <c r="E28" s="641"/>
      <c r="F28" s="19"/>
      <c r="G28" s="75"/>
      <c r="H28" s="19"/>
      <c r="I28" s="19"/>
      <c r="J28" s="65"/>
      <c r="K28" s="65"/>
      <c r="L28" s="65"/>
      <c r="M28" s="65"/>
      <c r="N28" s="374"/>
      <c r="O28" s="28"/>
      <c r="P28" s="84"/>
      <c r="Q28" s="19"/>
      <c r="R28" s="590"/>
      <c r="S28" s="553"/>
      <c r="T28" s="553"/>
      <c r="U28" s="553"/>
      <c r="V28" s="591"/>
    </row>
    <row r="29" spans="1:22">
      <c r="A29" s="479"/>
      <c r="B29" s="452"/>
      <c r="C29" s="601">
        <v>0</v>
      </c>
      <c r="D29" s="601"/>
      <c r="E29" s="640" t="s">
        <v>552</v>
      </c>
      <c r="F29" s="440"/>
      <c r="G29" s="480"/>
      <c r="H29" s="480"/>
      <c r="I29" s="480"/>
      <c r="J29" s="440"/>
      <c r="K29" s="440"/>
      <c r="L29" s="440"/>
      <c r="M29" s="440"/>
      <c r="N29" s="446"/>
      <c r="O29" s="440"/>
      <c r="P29" s="475"/>
      <c r="Q29" s="476"/>
      <c r="R29" s="592"/>
      <c r="S29" s="503"/>
      <c r="T29" s="503"/>
      <c r="U29" s="503"/>
      <c r="V29" s="593"/>
    </row>
    <row r="30" spans="1:22" s="37" customFormat="1">
      <c r="C30" s="131"/>
      <c r="D30" s="131"/>
      <c r="E30" s="643"/>
      <c r="F30" s="131"/>
      <c r="G30" s="148"/>
      <c r="H30" s="148"/>
      <c r="I30" s="148"/>
      <c r="J30" s="106"/>
      <c r="K30" s="106"/>
      <c r="L30" s="106"/>
      <c r="M30" s="106"/>
      <c r="N30" s="364"/>
      <c r="O30" s="203"/>
      <c r="P30" s="136"/>
      <c r="Q30" s="131"/>
      <c r="R30" s="594"/>
      <c r="S30" s="131"/>
      <c r="T30" s="131"/>
      <c r="U30" s="131"/>
      <c r="V30" s="595"/>
    </row>
    <row r="31" spans="1:22" s="37" customFormat="1">
      <c r="C31" s="131">
        <f>C29</f>
        <v>0</v>
      </c>
      <c r="D31" s="104" t="s">
        <v>57</v>
      </c>
      <c r="E31" s="643" t="s">
        <v>562</v>
      </c>
      <c r="F31" s="131"/>
      <c r="G31" s="148"/>
      <c r="H31" s="148"/>
      <c r="I31" s="148"/>
      <c r="J31" s="106"/>
      <c r="K31" s="106"/>
      <c r="L31" s="106"/>
      <c r="M31" s="106"/>
      <c r="N31" s="575"/>
      <c r="O31" s="203"/>
      <c r="P31" s="136"/>
      <c r="Q31" s="131"/>
      <c r="R31" s="603">
        <f>P13</f>
        <v>-16.005160166879563</v>
      </c>
      <c r="S31" s="131"/>
      <c r="T31" s="131"/>
      <c r="U31" s="131"/>
      <c r="V31" s="595"/>
    </row>
    <row r="32" spans="1:22" s="37" customFormat="1">
      <c r="C32" s="131">
        <f>C31</f>
        <v>0</v>
      </c>
      <c r="D32" s="104" t="s">
        <v>57</v>
      </c>
      <c r="E32" s="643" t="s">
        <v>563</v>
      </c>
      <c r="F32" s="131"/>
      <c r="G32" s="148"/>
      <c r="H32" s="148"/>
      <c r="I32" s="148"/>
      <c r="J32" s="106"/>
      <c r="K32" s="106"/>
      <c r="L32" s="106"/>
      <c r="M32" s="106"/>
      <c r="N32" s="575"/>
      <c r="O32" s="203"/>
      <c r="P32" s="136"/>
      <c r="Q32" s="131"/>
      <c r="R32" s="603">
        <f>P14</f>
        <v>-89.988959414600103</v>
      </c>
      <c r="S32" s="131"/>
      <c r="T32" s="131"/>
      <c r="U32" s="131"/>
      <c r="V32" s="595"/>
    </row>
    <row r="33" spans="1:22" s="37" customFormat="1">
      <c r="C33" s="131"/>
      <c r="D33" s="104"/>
      <c r="E33" s="644"/>
      <c r="F33" s="131"/>
      <c r="G33" s="148"/>
      <c r="H33" s="148"/>
      <c r="I33" s="148"/>
      <c r="J33" s="106"/>
      <c r="K33" s="106"/>
      <c r="L33" s="106"/>
      <c r="M33" s="106"/>
      <c r="N33" s="612"/>
      <c r="O33" s="203"/>
      <c r="P33" s="136"/>
      <c r="Q33" s="131"/>
      <c r="R33" s="603"/>
      <c r="S33" s="131"/>
      <c r="T33" s="131"/>
      <c r="U33" s="131"/>
      <c r="V33" s="605"/>
    </row>
    <row r="34" spans="1:22" s="37" customFormat="1">
      <c r="C34" s="131" t="s">
        <v>555</v>
      </c>
      <c r="D34" s="104"/>
      <c r="E34" s="644"/>
      <c r="F34" s="131"/>
      <c r="G34" s="148"/>
      <c r="H34" s="148"/>
      <c r="I34" s="148"/>
      <c r="J34" s="106"/>
      <c r="K34" s="106"/>
      <c r="L34" s="106"/>
      <c r="M34" s="106"/>
      <c r="N34" s="612"/>
      <c r="O34" s="203"/>
      <c r="P34" s="136"/>
      <c r="Q34" s="131"/>
      <c r="R34" s="603"/>
      <c r="S34" s="131"/>
      <c r="T34" s="131"/>
      <c r="U34" s="131"/>
      <c r="V34" s="605"/>
    </row>
    <row r="35" spans="1:22" s="37" customFormat="1">
      <c r="C35" s="131"/>
      <c r="D35" s="615" t="str">
        <f>D$20</f>
        <v>Nr 3dp</v>
      </c>
      <c r="E35" s="644" t="str">
        <f>E$20</f>
        <v>Discount factors</v>
      </c>
      <c r="F35" s="616"/>
      <c r="G35" s="616"/>
      <c r="H35" s="616"/>
      <c r="I35" s="616"/>
      <c r="J35" s="617"/>
      <c r="K35" s="617"/>
      <c r="L35" s="617"/>
      <c r="M35" s="617"/>
      <c r="N35" s="618"/>
      <c r="O35" s="619"/>
      <c r="P35" s="613"/>
      <c r="Q35" s="616"/>
      <c r="R35" s="620">
        <f>R$20</f>
        <v>1</v>
      </c>
      <c r="S35" s="616">
        <f>S$20</f>
        <v>0.96525096525096521</v>
      </c>
      <c r="T35" s="616">
        <f>T$20</f>
        <v>0.93170942591792005</v>
      </c>
      <c r="U35" s="616">
        <f>U$20</f>
        <v>0.89933342270069505</v>
      </c>
      <c r="V35" s="621">
        <f>V$20</f>
        <v>0.8680824543443002</v>
      </c>
    </row>
    <row r="36" spans="1:22" s="37" customFormat="1">
      <c r="C36" s="131"/>
      <c r="D36" s="104" t="s">
        <v>57</v>
      </c>
      <c r="E36" s="643" t="s">
        <v>411</v>
      </c>
      <c r="F36" s="131"/>
      <c r="G36" s="148"/>
      <c r="H36" s="148"/>
      <c r="I36" s="148"/>
      <c r="J36" s="106"/>
      <c r="K36" s="106"/>
      <c r="L36" s="106"/>
      <c r="M36" s="106"/>
      <c r="N36" s="612"/>
      <c r="O36" s="203"/>
      <c r="P36" s="136"/>
      <c r="Q36" s="131"/>
      <c r="R36" s="603">
        <f>R31*R35</f>
        <v>-16.005160166879563</v>
      </c>
      <c r="S36" s="131">
        <f t="shared" ref="S36:V36" si="5">S31*S35</f>
        <v>0</v>
      </c>
      <c r="T36" s="131">
        <f t="shared" si="5"/>
        <v>0</v>
      </c>
      <c r="U36" s="131">
        <f t="shared" si="5"/>
        <v>0</v>
      </c>
      <c r="V36" s="605">
        <f t="shared" si="5"/>
        <v>0</v>
      </c>
    </row>
    <row r="37" spans="1:22" s="37" customFormat="1">
      <c r="C37" s="131"/>
      <c r="D37" s="104" t="s">
        <v>57</v>
      </c>
      <c r="E37" s="644" t="s">
        <v>412</v>
      </c>
      <c r="F37" s="131"/>
      <c r="G37" s="148"/>
      <c r="H37" s="148"/>
      <c r="I37" s="148"/>
      <c r="J37" s="106"/>
      <c r="K37" s="106"/>
      <c r="L37" s="106"/>
      <c r="M37" s="106"/>
      <c r="N37" s="612"/>
      <c r="O37" s="203"/>
      <c r="P37" s="136"/>
      <c r="Q37" s="131"/>
      <c r="R37" s="603">
        <f>R32*R35</f>
        <v>-89.988959414600103</v>
      </c>
      <c r="S37" s="131">
        <f t="shared" ref="S37:V37" si="6">S32*S35</f>
        <v>0</v>
      </c>
      <c r="T37" s="131">
        <f t="shared" si="6"/>
        <v>0</v>
      </c>
      <c r="U37" s="131">
        <f t="shared" si="6"/>
        <v>0</v>
      </c>
      <c r="V37" s="605">
        <f t="shared" si="6"/>
        <v>0</v>
      </c>
    </row>
    <row r="38" spans="1:22" s="37" customFormat="1">
      <c r="C38" s="131"/>
      <c r="D38" s="104" t="s">
        <v>57</v>
      </c>
      <c r="E38" s="643" t="s">
        <v>557</v>
      </c>
      <c r="F38" s="131"/>
      <c r="G38" s="148"/>
      <c r="H38" s="148"/>
      <c r="I38" s="148"/>
      <c r="J38" s="106"/>
      <c r="K38" s="106"/>
      <c r="L38" s="106"/>
      <c r="M38" s="106"/>
      <c r="N38" s="612"/>
      <c r="O38" s="203"/>
      <c r="P38" s="622">
        <f>SUM(R36:V36)</f>
        <v>-16.005160166879563</v>
      </c>
      <c r="Q38" s="131"/>
      <c r="R38" s="603"/>
      <c r="S38" s="131"/>
      <c r="T38" s="131"/>
      <c r="U38" s="131"/>
      <c r="V38" s="605"/>
    </row>
    <row r="39" spans="1:22" s="37" customFormat="1">
      <c r="C39" s="131"/>
      <c r="D39" s="104" t="s">
        <v>57</v>
      </c>
      <c r="E39" s="643" t="s">
        <v>558</v>
      </c>
      <c r="F39" s="155"/>
      <c r="G39" s="148"/>
      <c r="H39" s="148"/>
      <c r="I39" s="148"/>
      <c r="J39" s="156"/>
      <c r="K39" s="156"/>
      <c r="L39" s="156"/>
      <c r="M39" s="156"/>
      <c r="N39" s="365"/>
      <c r="O39" s="157"/>
      <c r="P39" s="622">
        <f>SUM(R37:V37)</f>
        <v>-89.988959414600103</v>
      </c>
      <c r="Q39" s="148"/>
      <c r="R39" s="594"/>
      <c r="S39" s="131"/>
      <c r="T39" s="131"/>
      <c r="U39" s="131"/>
      <c r="V39" s="595"/>
    </row>
    <row r="40" spans="1:22" s="37" customFormat="1">
      <c r="C40" s="131"/>
      <c r="D40" s="153"/>
      <c r="E40" s="646"/>
      <c r="F40" s="155"/>
      <c r="G40" s="148"/>
      <c r="H40" s="148"/>
      <c r="I40" s="148"/>
      <c r="J40" s="156"/>
      <c r="K40" s="156"/>
      <c r="L40" s="156"/>
      <c r="M40" s="156"/>
      <c r="N40" s="365"/>
      <c r="O40" s="157"/>
      <c r="P40" s="158"/>
      <c r="Q40" s="148"/>
      <c r="R40" s="594"/>
      <c r="S40" s="131"/>
      <c r="T40" s="131"/>
      <c r="U40" s="131"/>
      <c r="V40" s="595"/>
    </row>
    <row r="41" spans="1:22">
      <c r="A41" s="479"/>
      <c r="B41" s="452"/>
      <c r="C41" s="601">
        <v>1</v>
      </c>
      <c r="D41" s="601"/>
      <c r="E41" s="640" t="s">
        <v>547</v>
      </c>
      <c r="F41" s="440"/>
      <c r="G41" s="480"/>
      <c r="H41" s="480"/>
      <c r="I41" s="480"/>
      <c r="J41" s="440"/>
      <c r="K41" s="440"/>
      <c r="L41" s="440"/>
      <c r="M41" s="440"/>
      <c r="N41" s="446"/>
      <c r="O41" s="440"/>
      <c r="P41" s="475"/>
      <c r="Q41" s="476"/>
      <c r="R41" s="592"/>
      <c r="S41" s="503"/>
      <c r="T41" s="503"/>
      <c r="U41" s="503"/>
      <c r="V41" s="593"/>
    </row>
    <row r="42" spans="1:22" s="37" customFormat="1">
      <c r="C42" s="131"/>
      <c r="D42" s="131"/>
      <c r="E42" s="643"/>
      <c r="F42" s="131"/>
      <c r="G42" s="148"/>
      <c r="H42" s="148"/>
      <c r="I42" s="148"/>
      <c r="J42" s="106"/>
      <c r="K42" s="106"/>
      <c r="L42" s="106"/>
      <c r="M42" s="106"/>
      <c r="N42" s="364"/>
      <c r="O42" s="203"/>
      <c r="P42" s="136"/>
      <c r="Q42" s="131"/>
      <c r="R42" s="651"/>
      <c r="S42" s="131"/>
      <c r="T42" s="131"/>
      <c r="U42" s="131"/>
      <c r="V42" s="595"/>
    </row>
    <row r="43" spans="1:22" s="37" customFormat="1">
      <c r="C43" s="131"/>
      <c r="D43" s="149" t="str">
        <f>D$13</f>
        <v>£m 3dp</v>
      </c>
      <c r="E43" s="643" t="str">
        <f>E$13</f>
        <v>Water: Future value of ex post revenue adjustment of prior year annual adjustments (2012-13 prices)</v>
      </c>
      <c r="F43" s="131"/>
      <c r="G43" s="148"/>
      <c r="H43" s="148"/>
      <c r="I43" s="148"/>
      <c r="J43" s="106"/>
      <c r="K43" s="106"/>
      <c r="L43" s="106"/>
      <c r="M43" s="106"/>
      <c r="N43" s="612"/>
      <c r="O43" s="203"/>
      <c r="P43" s="622">
        <f>P$13</f>
        <v>-16.005160166879563</v>
      </c>
      <c r="Q43" s="131"/>
      <c r="R43" s="594"/>
      <c r="S43" s="131"/>
      <c r="T43" s="131"/>
      <c r="U43" s="131"/>
      <c r="V43" s="605"/>
    </row>
    <row r="44" spans="1:22" s="37" customFormat="1">
      <c r="C44" s="131"/>
      <c r="D44" s="149" t="str">
        <f>D$14</f>
        <v>£m 3dp</v>
      </c>
      <c r="E44" s="643" t="str">
        <f>E$14</f>
        <v>Sewerage: Future value of ex post revenue adjustment of prior year annual adjustments (2012-13 prices)</v>
      </c>
      <c r="F44" s="131"/>
      <c r="G44" s="148"/>
      <c r="H44" s="148"/>
      <c r="I44" s="148"/>
      <c r="J44" s="106"/>
      <c r="K44" s="106"/>
      <c r="L44" s="106"/>
      <c r="M44" s="106"/>
      <c r="N44" s="612"/>
      <c r="O44" s="203"/>
      <c r="P44" s="622">
        <f>P$14</f>
        <v>-89.988959414600103</v>
      </c>
      <c r="Q44" s="131"/>
      <c r="R44" s="594"/>
      <c r="S44" s="131"/>
      <c r="T44" s="131"/>
      <c r="U44" s="131"/>
      <c r="V44" s="605"/>
    </row>
    <row r="45" spans="1:22" s="37" customFormat="1">
      <c r="C45" s="131"/>
      <c r="D45" s="615" t="str">
        <f t="shared" ref="D45" si="7">D31</f>
        <v>£m 3dp</v>
      </c>
      <c r="E45" s="643" t="str">
        <f>E21</f>
        <v>Equivalent Annual Cost (EAC) factor</v>
      </c>
      <c r="F45" s="131"/>
      <c r="G45" s="148"/>
      <c r="H45" s="148"/>
      <c r="I45" s="148"/>
      <c r="J45" s="106"/>
      <c r="K45" s="106"/>
      <c r="L45" s="106"/>
      <c r="M45" s="106"/>
      <c r="N45" s="612"/>
      <c r="O45" s="203"/>
      <c r="P45" s="613">
        <f>P21</f>
        <v>4.6643762682138803</v>
      </c>
      <c r="Q45" s="131"/>
      <c r="R45" s="594"/>
      <c r="S45" s="131"/>
      <c r="T45" s="131"/>
      <c r="U45" s="131"/>
      <c r="V45" s="605"/>
    </row>
    <row r="46" spans="1:22" s="37" customFormat="1">
      <c r="C46" s="131"/>
      <c r="D46" s="131"/>
      <c r="E46" s="643"/>
      <c r="F46" s="131"/>
      <c r="G46" s="148"/>
      <c r="H46" s="148"/>
      <c r="I46" s="148"/>
      <c r="J46" s="106"/>
      <c r="K46" s="106"/>
      <c r="L46" s="106"/>
      <c r="M46" s="106"/>
      <c r="N46" s="612"/>
      <c r="O46" s="203"/>
      <c r="P46" s="136"/>
      <c r="Q46" s="131"/>
      <c r="R46" s="594"/>
      <c r="S46" s="131"/>
      <c r="T46" s="131"/>
      <c r="U46" s="131"/>
      <c r="V46" s="605"/>
    </row>
    <row r="47" spans="1:22" s="37" customFormat="1">
      <c r="C47" s="131">
        <f>C41</f>
        <v>1</v>
      </c>
      <c r="D47" s="104" t="s">
        <v>57</v>
      </c>
      <c r="E47" s="643" t="s">
        <v>568</v>
      </c>
      <c r="F47" s="131"/>
      <c r="G47" s="148"/>
      <c r="H47" s="148"/>
      <c r="I47" s="148"/>
      <c r="J47" s="106"/>
      <c r="K47" s="106"/>
      <c r="L47" s="106"/>
      <c r="M47" s="106"/>
      <c r="N47" s="575"/>
      <c r="O47" s="203"/>
      <c r="P47" s="136"/>
      <c r="Q47" s="131"/>
      <c r="R47" s="620">
        <f t="shared" ref="R47:V48" si="8">$P43/$P$45</f>
        <v>-3.4313612896003316</v>
      </c>
      <c r="S47" s="616">
        <f t="shared" si="8"/>
        <v>-3.4313612896003316</v>
      </c>
      <c r="T47" s="616">
        <f t="shared" si="8"/>
        <v>-3.4313612896003316</v>
      </c>
      <c r="U47" s="616">
        <f t="shared" si="8"/>
        <v>-3.4313612896003316</v>
      </c>
      <c r="V47" s="623">
        <f t="shared" si="8"/>
        <v>-3.4313612896003316</v>
      </c>
    </row>
    <row r="48" spans="1:22" s="37" customFormat="1">
      <c r="C48" s="131">
        <f>C47</f>
        <v>1</v>
      </c>
      <c r="D48" s="104" t="s">
        <v>57</v>
      </c>
      <c r="E48" s="643" t="s">
        <v>569</v>
      </c>
      <c r="F48" s="131"/>
      <c r="G48" s="148"/>
      <c r="H48" s="148"/>
      <c r="I48" s="148"/>
      <c r="J48" s="106"/>
      <c r="K48" s="106"/>
      <c r="L48" s="106"/>
      <c r="M48" s="106"/>
      <c r="N48" s="575"/>
      <c r="O48" s="203"/>
      <c r="P48" s="136"/>
      <c r="Q48" s="131"/>
      <c r="R48" s="620">
        <f t="shared" si="8"/>
        <v>-19.292817354346798</v>
      </c>
      <c r="S48" s="616">
        <f t="shared" si="8"/>
        <v>-19.292817354346798</v>
      </c>
      <c r="T48" s="616">
        <f t="shared" si="8"/>
        <v>-19.292817354346798</v>
      </c>
      <c r="U48" s="616">
        <f t="shared" si="8"/>
        <v>-19.292817354346798</v>
      </c>
      <c r="V48" s="623">
        <f t="shared" si="8"/>
        <v>-19.292817354346798</v>
      </c>
    </row>
    <row r="49" spans="1:22" s="37" customFormat="1">
      <c r="C49" s="131"/>
      <c r="D49" s="104"/>
      <c r="E49" s="644"/>
      <c r="F49" s="131"/>
      <c r="G49" s="148"/>
      <c r="H49" s="148"/>
      <c r="I49" s="148"/>
      <c r="J49" s="106"/>
      <c r="K49" s="106"/>
      <c r="L49" s="106"/>
      <c r="M49" s="106"/>
      <c r="N49" s="612"/>
      <c r="O49" s="203"/>
      <c r="P49" s="136"/>
      <c r="Q49" s="131"/>
      <c r="R49" s="620"/>
      <c r="S49" s="616"/>
      <c r="T49" s="616"/>
      <c r="U49" s="616"/>
      <c r="V49" s="621"/>
    </row>
    <row r="50" spans="1:22" s="37" customFormat="1">
      <c r="C50" s="131" t="s">
        <v>555</v>
      </c>
      <c r="D50" s="104"/>
      <c r="E50" s="644"/>
      <c r="F50" s="131"/>
      <c r="G50" s="148"/>
      <c r="H50" s="148"/>
      <c r="I50" s="148"/>
      <c r="J50" s="106"/>
      <c r="K50" s="106"/>
      <c r="L50" s="106"/>
      <c r="M50" s="106"/>
      <c r="N50" s="612"/>
      <c r="O50" s="203"/>
      <c r="P50" s="136"/>
      <c r="Q50" s="131"/>
      <c r="R50" s="603"/>
      <c r="S50" s="131"/>
      <c r="T50" s="131"/>
      <c r="U50" s="131"/>
      <c r="V50" s="605"/>
    </row>
    <row r="51" spans="1:22" s="37" customFormat="1">
      <c r="C51" s="131"/>
      <c r="D51" s="615" t="str">
        <f>D$20</f>
        <v>Nr 3dp</v>
      </c>
      <c r="E51" s="644" t="str">
        <f>E$20</f>
        <v>Discount factors</v>
      </c>
      <c r="F51" s="616"/>
      <c r="G51" s="616"/>
      <c r="H51" s="616"/>
      <c r="I51" s="616"/>
      <c r="J51" s="617"/>
      <c r="K51" s="617"/>
      <c r="L51" s="617"/>
      <c r="M51" s="617"/>
      <c r="N51" s="618"/>
      <c r="O51" s="619"/>
      <c r="P51" s="613"/>
      <c r="Q51" s="616"/>
      <c r="R51" s="620">
        <f>R$20</f>
        <v>1</v>
      </c>
      <c r="S51" s="616">
        <f>S$20</f>
        <v>0.96525096525096521</v>
      </c>
      <c r="T51" s="616">
        <f>T$20</f>
        <v>0.93170942591792005</v>
      </c>
      <c r="U51" s="616">
        <f>U$20</f>
        <v>0.89933342270069505</v>
      </c>
      <c r="V51" s="621">
        <f>V$20</f>
        <v>0.8680824543443002</v>
      </c>
    </row>
    <row r="52" spans="1:22" s="37" customFormat="1">
      <c r="C52" s="131"/>
      <c r="D52" s="104" t="s">
        <v>57</v>
      </c>
      <c r="E52" s="643" t="s">
        <v>411</v>
      </c>
      <c r="F52" s="131"/>
      <c r="G52" s="148"/>
      <c r="H52" s="148"/>
      <c r="I52" s="148"/>
      <c r="J52" s="106"/>
      <c r="K52" s="106"/>
      <c r="L52" s="106"/>
      <c r="M52" s="106"/>
      <c r="N52" s="612"/>
      <c r="O52" s="203"/>
      <c r="P52" s="136"/>
      <c r="Q52" s="131"/>
      <c r="R52" s="603">
        <f>R47*R51</f>
        <v>-3.4313612896003316</v>
      </c>
      <c r="S52" s="616">
        <f t="shared" ref="S52:V52" si="9">S47*S51</f>
        <v>-3.3121247969115171</v>
      </c>
      <c r="T52" s="616">
        <f t="shared" si="9"/>
        <v>-3.1970316572504989</v>
      </c>
      <c r="U52" s="616">
        <f t="shared" si="9"/>
        <v>-3.085937893098937</v>
      </c>
      <c r="V52" s="621">
        <f t="shared" si="9"/>
        <v>-2.9787045300182791</v>
      </c>
    </row>
    <row r="53" spans="1:22" s="37" customFormat="1">
      <c r="C53" s="131"/>
      <c r="D53" s="104" t="s">
        <v>57</v>
      </c>
      <c r="E53" s="644" t="s">
        <v>412</v>
      </c>
      <c r="F53" s="131"/>
      <c r="G53" s="148"/>
      <c r="H53" s="148"/>
      <c r="I53" s="148"/>
      <c r="J53" s="106"/>
      <c r="K53" s="106"/>
      <c r="L53" s="106"/>
      <c r="M53" s="106"/>
      <c r="N53" s="612"/>
      <c r="O53" s="203"/>
      <c r="P53" s="136"/>
      <c r="Q53" s="131"/>
      <c r="R53" s="603">
        <f>R48*R51</f>
        <v>-19.292817354346798</v>
      </c>
      <c r="S53" s="616">
        <f t="shared" ref="S53:V53" si="10">S48*S51</f>
        <v>-18.62241057369382</v>
      </c>
      <c r="T53" s="616">
        <f t="shared" si="10"/>
        <v>-17.975299781557741</v>
      </c>
      <c r="U53" s="616">
        <f t="shared" si="10"/>
        <v>-17.350675464824075</v>
      </c>
      <c r="V53" s="621">
        <f t="shared" si="10"/>
        <v>-16.747756240177676</v>
      </c>
    </row>
    <row r="54" spans="1:22" s="37" customFormat="1">
      <c r="C54" s="131"/>
      <c r="D54" s="104" t="s">
        <v>57</v>
      </c>
      <c r="E54" s="643" t="s">
        <v>557</v>
      </c>
      <c r="F54" s="131"/>
      <c r="G54" s="148"/>
      <c r="H54" s="148"/>
      <c r="I54" s="148"/>
      <c r="J54" s="106"/>
      <c r="K54" s="106"/>
      <c r="L54" s="106"/>
      <c r="M54" s="106"/>
      <c r="N54" s="612"/>
      <c r="O54" s="203"/>
      <c r="P54" s="622">
        <f>SUM(R52:V52)</f>
        <v>-16.005160166879563</v>
      </c>
      <c r="Q54" s="131"/>
      <c r="R54" s="603"/>
      <c r="S54" s="131"/>
      <c r="T54" s="131"/>
      <c r="U54" s="131"/>
      <c r="V54" s="605"/>
    </row>
    <row r="55" spans="1:22" s="37" customFormat="1">
      <c r="C55" s="131"/>
      <c r="D55" s="104" t="s">
        <v>57</v>
      </c>
      <c r="E55" s="643" t="s">
        <v>558</v>
      </c>
      <c r="F55" s="155"/>
      <c r="G55" s="148"/>
      <c r="H55" s="148"/>
      <c r="I55" s="148"/>
      <c r="J55" s="156"/>
      <c r="K55" s="156"/>
      <c r="L55" s="156"/>
      <c r="M55" s="156"/>
      <c r="N55" s="365"/>
      <c r="O55" s="157"/>
      <c r="P55" s="622">
        <f>SUM(R53:V53)</f>
        <v>-89.988959414600117</v>
      </c>
      <c r="Q55" s="148"/>
      <c r="R55" s="594"/>
      <c r="S55" s="131"/>
      <c r="T55" s="131"/>
      <c r="U55" s="131"/>
      <c r="V55" s="595"/>
    </row>
    <row r="56" spans="1:22" s="37" customFormat="1">
      <c r="C56" s="131"/>
      <c r="D56" s="153"/>
      <c r="E56" s="646"/>
      <c r="F56" s="155"/>
      <c r="G56" s="148"/>
      <c r="H56" s="148"/>
      <c r="I56" s="148"/>
      <c r="J56" s="156"/>
      <c r="K56" s="156"/>
      <c r="L56" s="156"/>
      <c r="M56" s="156"/>
      <c r="N56" s="365"/>
      <c r="O56" s="157"/>
      <c r="P56" s="158"/>
      <c r="Q56" s="148"/>
      <c r="R56" s="594"/>
      <c r="S56" s="131"/>
      <c r="T56" s="131"/>
      <c r="U56" s="131"/>
      <c r="V56" s="595"/>
    </row>
    <row r="57" spans="1:22">
      <c r="A57" s="479"/>
      <c r="B57" s="452"/>
      <c r="C57" s="601">
        <v>2</v>
      </c>
      <c r="D57" s="601"/>
      <c r="E57" s="640" t="s">
        <v>548</v>
      </c>
      <c r="F57" s="440"/>
      <c r="G57" s="480"/>
      <c r="H57" s="480"/>
      <c r="I57" s="480"/>
      <c r="J57" s="440"/>
      <c r="K57" s="440"/>
      <c r="L57" s="440"/>
      <c r="M57" s="440"/>
      <c r="N57" s="446"/>
      <c r="O57" s="440"/>
      <c r="P57" s="475"/>
      <c r="Q57" s="476"/>
      <c r="R57" s="592"/>
      <c r="S57" s="503"/>
      <c r="T57" s="503"/>
      <c r="U57" s="503"/>
      <c r="V57" s="593"/>
    </row>
    <row r="58" spans="1:22" s="37" customFormat="1">
      <c r="C58" s="131"/>
      <c r="D58" s="153"/>
      <c r="E58" s="646"/>
      <c r="F58" s="155"/>
      <c r="G58" s="148"/>
      <c r="H58" s="148"/>
      <c r="I58" s="148"/>
      <c r="J58" s="156"/>
      <c r="K58" s="156"/>
      <c r="L58" s="156"/>
      <c r="M58" s="156"/>
      <c r="N58" s="365"/>
      <c r="O58" s="157"/>
      <c r="P58" s="158"/>
      <c r="Q58" s="148"/>
      <c r="R58" s="594"/>
      <c r="S58" s="131"/>
      <c r="T58" s="131"/>
      <c r="U58" s="131"/>
      <c r="V58" s="595"/>
    </row>
    <row r="59" spans="1:22" s="37" customFormat="1">
      <c r="C59" s="131"/>
      <c r="D59" s="149" t="str">
        <f>D$13</f>
        <v>£m 3dp</v>
      </c>
      <c r="E59" s="643" t="str">
        <f>E$13</f>
        <v>Water: Future value of ex post revenue adjustment of prior year annual adjustments (2012-13 prices)</v>
      </c>
      <c r="F59" s="131"/>
      <c r="G59" s="148"/>
      <c r="H59" s="148"/>
      <c r="I59" s="148"/>
      <c r="J59" s="106"/>
      <c r="K59" s="106"/>
      <c r="L59" s="106"/>
      <c r="M59" s="106"/>
      <c r="N59" s="612"/>
      <c r="O59" s="203"/>
      <c r="P59" s="622">
        <f>P$13</f>
        <v>-16.005160166879563</v>
      </c>
      <c r="Q59" s="148"/>
      <c r="R59" s="594"/>
      <c r="S59" s="131"/>
      <c r="T59" s="131"/>
      <c r="U59" s="131"/>
      <c r="V59" s="605"/>
    </row>
    <row r="60" spans="1:22" s="37" customFormat="1">
      <c r="C60" s="131"/>
      <c r="D60" s="149" t="str">
        <f>D$14</f>
        <v>£m 3dp</v>
      </c>
      <c r="E60" s="643" t="str">
        <f>E$14</f>
        <v>Sewerage: Future value of ex post revenue adjustment of prior year annual adjustments (2012-13 prices)</v>
      </c>
      <c r="F60" s="131"/>
      <c r="G60" s="148"/>
      <c r="H60" s="148"/>
      <c r="I60" s="148"/>
      <c r="J60" s="106"/>
      <c r="K60" s="106"/>
      <c r="L60" s="106"/>
      <c r="M60" s="106"/>
      <c r="N60" s="612"/>
      <c r="O60" s="203"/>
      <c r="P60" s="622">
        <f>P$14</f>
        <v>-89.988959414600103</v>
      </c>
      <c r="Q60" s="148"/>
      <c r="R60" s="594"/>
      <c r="S60" s="131"/>
      <c r="T60" s="131"/>
      <c r="U60" s="131"/>
      <c r="V60" s="605"/>
    </row>
    <row r="61" spans="1:22" s="37" customFormat="1">
      <c r="C61" s="131"/>
      <c r="D61" s="153" t="str">
        <f t="shared" ref="D61:E61" si="11">D25</f>
        <v>Nr 0dp</v>
      </c>
      <c r="E61" s="646" t="str">
        <f t="shared" si="11"/>
        <v>Number of years to profile over (needed for profiles 2 and 3)</v>
      </c>
      <c r="F61" s="155"/>
      <c r="G61" s="148"/>
      <c r="H61" s="148"/>
      <c r="I61" s="148"/>
      <c r="J61" s="156"/>
      <c r="K61" s="156"/>
      <c r="L61" s="156"/>
      <c r="M61" s="156"/>
      <c r="N61" s="604"/>
      <c r="O61" s="157"/>
      <c r="P61" s="625">
        <f t="shared" ref="P61" si="12">P25</f>
        <v>5</v>
      </c>
      <c r="Q61" s="148"/>
      <c r="R61" s="594"/>
      <c r="S61" s="131"/>
      <c r="T61" s="131"/>
      <c r="U61" s="131"/>
      <c r="V61" s="605"/>
    </row>
    <row r="62" spans="1:22" s="37" customFormat="1">
      <c r="C62" s="131"/>
      <c r="D62" s="153"/>
      <c r="E62" s="646" t="str">
        <f>E6</f>
        <v>Difference between Year and Application Year</v>
      </c>
      <c r="F62" s="155"/>
      <c r="G62" s="148"/>
      <c r="H62" s="148"/>
      <c r="I62" s="148"/>
      <c r="J62" s="156"/>
      <c r="K62" s="156"/>
      <c r="L62" s="156"/>
      <c r="M62" s="156"/>
      <c r="N62" s="604"/>
      <c r="O62" s="157"/>
      <c r="P62" s="158"/>
      <c r="Q62" s="148"/>
      <c r="R62" s="594">
        <f t="shared" ref="R62:V62" si="13">R6</f>
        <v>0</v>
      </c>
      <c r="S62" s="131">
        <f t="shared" si="13"/>
        <v>1</v>
      </c>
      <c r="T62" s="131">
        <f t="shared" si="13"/>
        <v>2</v>
      </c>
      <c r="U62" s="131">
        <f t="shared" si="13"/>
        <v>3</v>
      </c>
      <c r="V62" s="605">
        <f t="shared" si="13"/>
        <v>4</v>
      </c>
    </row>
    <row r="63" spans="1:22" s="37" customFormat="1">
      <c r="C63" s="131"/>
      <c r="D63" s="153"/>
      <c r="E63" s="646"/>
      <c r="F63" s="155"/>
      <c r="G63" s="148"/>
      <c r="H63" s="148"/>
      <c r="I63" s="148"/>
      <c r="J63" s="156"/>
      <c r="K63" s="156"/>
      <c r="L63" s="156"/>
      <c r="M63" s="156"/>
      <c r="N63" s="604"/>
      <c r="O63" s="157"/>
      <c r="P63" s="158"/>
      <c r="Q63" s="148"/>
      <c r="R63" s="594"/>
      <c r="S63" s="131"/>
      <c r="T63" s="131"/>
      <c r="U63" s="131"/>
      <c r="V63" s="605"/>
    </row>
    <row r="64" spans="1:22" s="37" customFormat="1">
      <c r="C64" s="131">
        <f>C57</f>
        <v>2</v>
      </c>
      <c r="D64" s="104" t="s">
        <v>57</v>
      </c>
      <c r="E64" s="643" t="s">
        <v>564</v>
      </c>
      <c r="F64" s="155"/>
      <c r="G64" s="148"/>
      <c r="H64" s="148"/>
      <c r="I64" s="148"/>
      <c r="J64" s="156"/>
      <c r="K64" s="156"/>
      <c r="L64" s="156"/>
      <c r="M64" s="156"/>
      <c r="N64" s="365"/>
      <c r="O64" s="157"/>
      <c r="P64" s="158"/>
      <c r="Q64" s="148"/>
      <c r="R64" s="620">
        <f>IF(R$62+1&lt;=$P$61,$P59/$P$61,0)</f>
        <v>-3.2010320333759124</v>
      </c>
      <c r="S64" s="616">
        <f t="shared" ref="S64:V64" si="14">IF(S$62+1&lt;=$P$61,$P59/$P$61,0)</f>
        <v>-3.2010320333759124</v>
      </c>
      <c r="T64" s="616">
        <f t="shared" si="14"/>
        <v>-3.2010320333759124</v>
      </c>
      <c r="U64" s="616">
        <f t="shared" si="14"/>
        <v>-3.2010320333759124</v>
      </c>
      <c r="V64" s="623">
        <f t="shared" si="14"/>
        <v>-3.2010320333759124</v>
      </c>
    </row>
    <row r="65" spans="1:22" s="37" customFormat="1">
      <c r="C65" s="131">
        <f>C64</f>
        <v>2</v>
      </c>
      <c r="D65" s="104" t="s">
        <v>57</v>
      </c>
      <c r="E65" s="643" t="s">
        <v>565</v>
      </c>
      <c r="F65" s="155"/>
      <c r="G65" s="148"/>
      <c r="H65" s="148"/>
      <c r="I65" s="148"/>
      <c r="J65" s="156"/>
      <c r="K65" s="156"/>
      <c r="L65" s="156"/>
      <c r="M65" s="156"/>
      <c r="N65" s="573"/>
      <c r="O65" s="157"/>
      <c r="P65" s="158"/>
      <c r="Q65" s="148"/>
      <c r="R65" s="620">
        <f t="shared" ref="R65:V65" si="15">IF(R$62+1&lt;=$P$61,$P60/$P$61,0)</f>
        <v>-17.997791882920019</v>
      </c>
      <c r="S65" s="616">
        <f t="shared" si="15"/>
        <v>-17.997791882920019</v>
      </c>
      <c r="T65" s="616">
        <f t="shared" si="15"/>
        <v>-17.997791882920019</v>
      </c>
      <c r="U65" s="616">
        <f t="shared" si="15"/>
        <v>-17.997791882920019</v>
      </c>
      <c r="V65" s="623">
        <f t="shared" si="15"/>
        <v>-17.997791882920019</v>
      </c>
    </row>
    <row r="66" spans="1:22" s="37" customFormat="1">
      <c r="C66" s="131"/>
      <c r="D66" s="153"/>
      <c r="E66" s="646"/>
      <c r="F66" s="155"/>
      <c r="G66" s="148"/>
      <c r="H66" s="148"/>
      <c r="I66" s="148"/>
      <c r="J66" s="156"/>
      <c r="K66" s="156"/>
      <c r="L66" s="156"/>
      <c r="M66" s="156"/>
      <c r="N66" s="365"/>
      <c r="O66" s="157"/>
      <c r="P66" s="158"/>
      <c r="Q66" s="148"/>
      <c r="R66" s="594"/>
      <c r="S66" s="131"/>
      <c r="T66" s="131"/>
      <c r="U66" s="131"/>
      <c r="V66" s="595"/>
    </row>
    <row r="67" spans="1:22" s="37" customFormat="1">
      <c r="C67" s="131" t="s">
        <v>555</v>
      </c>
      <c r="D67" s="104"/>
      <c r="E67" s="644"/>
      <c r="F67" s="131"/>
      <c r="G67" s="148"/>
      <c r="H67" s="148"/>
      <c r="I67" s="148"/>
      <c r="J67" s="106"/>
      <c r="K67" s="106"/>
      <c r="L67" s="106"/>
      <c r="M67" s="106"/>
      <c r="N67" s="612"/>
      <c r="O67" s="203"/>
      <c r="P67" s="136"/>
      <c r="Q67" s="131"/>
      <c r="R67" s="603"/>
      <c r="S67" s="131"/>
      <c r="T67" s="131"/>
      <c r="U67" s="131"/>
      <c r="V67" s="605"/>
    </row>
    <row r="68" spans="1:22" s="37" customFormat="1">
      <c r="C68" s="131"/>
      <c r="D68" s="615" t="str">
        <f>D$20</f>
        <v>Nr 3dp</v>
      </c>
      <c r="E68" s="644" t="str">
        <f>E$20</f>
        <v>Discount factors</v>
      </c>
      <c r="F68" s="616"/>
      <c r="G68" s="616"/>
      <c r="H68" s="616"/>
      <c r="I68" s="616"/>
      <c r="J68" s="617"/>
      <c r="K68" s="617"/>
      <c r="L68" s="617"/>
      <c r="M68" s="617"/>
      <c r="N68" s="618"/>
      <c r="O68" s="619"/>
      <c r="P68" s="613"/>
      <c r="Q68" s="616"/>
      <c r="R68" s="620">
        <f>R$20</f>
        <v>1</v>
      </c>
      <c r="S68" s="616">
        <f>S$20</f>
        <v>0.96525096525096521</v>
      </c>
      <c r="T68" s="616">
        <f>T$20</f>
        <v>0.93170942591792005</v>
      </c>
      <c r="U68" s="616">
        <f>U$20</f>
        <v>0.89933342270069505</v>
      </c>
      <c r="V68" s="621">
        <f>V$20</f>
        <v>0.8680824543443002</v>
      </c>
    </row>
    <row r="69" spans="1:22" s="37" customFormat="1">
      <c r="C69" s="131"/>
      <c r="D69" s="104" t="s">
        <v>57</v>
      </c>
      <c r="E69" s="643" t="s">
        <v>411</v>
      </c>
      <c r="F69" s="131"/>
      <c r="G69" s="148"/>
      <c r="H69" s="148"/>
      <c r="I69" s="148"/>
      <c r="J69" s="106"/>
      <c r="K69" s="106"/>
      <c r="L69" s="106"/>
      <c r="M69" s="106"/>
      <c r="N69" s="612"/>
      <c r="O69" s="203"/>
      <c r="P69" s="136"/>
      <c r="Q69" s="131"/>
      <c r="R69" s="603">
        <f>R64*R68</f>
        <v>-3.2010320333759124</v>
      </c>
      <c r="S69" s="616">
        <f t="shared" ref="S69:V69" si="16">S64*S68</f>
        <v>-3.0897992600153592</v>
      </c>
      <c r="T69" s="616">
        <f t="shared" si="16"/>
        <v>-2.9824317181615436</v>
      </c>
      <c r="U69" s="616">
        <f t="shared" si="16"/>
        <v>-2.878795094750525</v>
      </c>
      <c r="V69" s="621">
        <f t="shared" si="16"/>
        <v>-2.7787597439676879</v>
      </c>
    </row>
    <row r="70" spans="1:22" s="37" customFormat="1">
      <c r="C70" s="131"/>
      <c r="D70" s="104" t="s">
        <v>57</v>
      </c>
      <c r="E70" s="644" t="s">
        <v>412</v>
      </c>
      <c r="F70" s="131"/>
      <c r="G70" s="148"/>
      <c r="H70" s="148"/>
      <c r="I70" s="148"/>
      <c r="J70" s="106"/>
      <c r="K70" s="106"/>
      <c r="L70" s="106"/>
      <c r="M70" s="106"/>
      <c r="N70" s="612"/>
      <c r="O70" s="203"/>
      <c r="P70" s="136"/>
      <c r="Q70" s="131"/>
      <c r="R70" s="603">
        <f>R65*R68</f>
        <v>-17.997791882920019</v>
      </c>
      <c r="S70" s="616">
        <f t="shared" ref="S70:V70" si="17">S65*S68</f>
        <v>-17.372385987374535</v>
      </c>
      <c r="T70" s="616">
        <f t="shared" si="17"/>
        <v>-16.768712343025612</v>
      </c>
      <c r="U70" s="616">
        <f t="shared" si="17"/>
        <v>-16.186015775121248</v>
      </c>
      <c r="V70" s="621">
        <f t="shared" si="17"/>
        <v>-15.623567350503134</v>
      </c>
    </row>
    <row r="71" spans="1:22" s="37" customFormat="1">
      <c r="C71" s="131"/>
      <c r="D71" s="104" t="s">
        <v>57</v>
      </c>
      <c r="E71" s="643" t="s">
        <v>557</v>
      </c>
      <c r="F71" s="131"/>
      <c r="G71" s="148"/>
      <c r="H71" s="148"/>
      <c r="I71" s="148"/>
      <c r="J71" s="106"/>
      <c r="K71" s="106"/>
      <c r="L71" s="106"/>
      <c r="M71" s="106"/>
      <c r="N71" s="612"/>
      <c r="O71" s="203"/>
      <c r="P71" s="622">
        <f>SUM(R69:V69)</f>
        <v>-14.930817850271028</v>
      </c>
      <c r="Q71" s="131"/>
      <c r="R71" s="603"/>
      <c r="S71" s="131"/>
      <c r="T71" s="131"/>
      <c r="U71" s="131"/>
      <c r="V71" s="605"/>
    </row>
    <row r="72" spans="1:22" s="37" customFormat="1">
      <c r="C72" s="131"/>
      <c r="D72" s="104" t="s">
        <v>57</v>
      </c>
      <c r="E72" s="643" t="s">
        <v>558</v>
      </c>
      <c r="F72" s="155"/>
      <c r="G72" s="148"/>
      <c r="H72" s="148"/>
      <c r="I72" s="148"/>
      <c r="J72" s="156"/>
      <c r="K72" s="156"/>
      <c r="L72" s="156"/>
      <c r="M72" s="156"/>
      <c r="N72" s="365"/>
      <c r="O72" s="157"/>
      <c r="P72" s="622">
        <f>SUM(R70:V70)</f>
        <v>-83.948473338944552</v>
      </c>
      <c r="Q72" s="148"/>
      <c r="R72" s="594"/>
      <c r="S72" s="131"/>
      <c r="T72" s="131"/>
      <c r="U72" s="131"/>
      <c r="V72" s="595"/>
    </row>
    <row r="73" spans="1:22" s="37" customFormat="1">
      <c r="C73" s="131"/>
      <c r="D73" s="104"/>
      <c r="E73" s="643"/>
      <c r="F73" s="155"/>
      <c r="G73" s="148"/>
      <c r="H73" s="148"/>
      <c r="I73" s="148"/>
      <c r="J73" s="156"/>
      <c r="K73" s="156"/>
      <c r="L73" s="156"/>
      <c r="M73" s="156"/>
      <c r="N73" s="604"/>
      <c r="O73" s="157"/>
      <c r="P73" s="622"/>
      <c r="Q73" s="148"/>
      <c r="R73" s="594"/>
      <c r="S73" s="131"/>
      <c r="T73" s="131"/>
      <c r="U73" s="131"/>
      <c r="V73" s="605"/>
    </row>
    <row r="74" spans="1:22">
      <c r="A74" s="479"/>
      <c r="B74" s="452"/>
      <c r="C74" s="601">
        <v>3</v>
      </c>
      <c r="D74" s="601"/>
      <c r="E74" s="640" t="s">
        <v>549</v>
      </c>
      <c r="F74" s="440"/>
      <c r="G74" s="480"/>
      <c r="H74" s="480"/>
      <c r="I74" s="480"/>
      <c r="J74" s="440"/>
      <c r="K74" s="440"/>
      <c r="L74" s="440"/>
      <c r="M74" s="440"/>
      <c r="N74" s="446"/>
      <c r="O74" s="440"/>
      <c r="P74" s="475"/>
      <c r="Q74" s="476"/>
      <c r="R74" s="592"/>
      <c r="S74" s="503"/>
      <c r="T74" s="503"/>
      <c r="U74" s="503"/>
      <c r="V74" s="593"/>
    </row>
    <row r="75" spans="1:22" s="37" customFormat="1">
      <c r="C75" s="131"/>
      <c r="D75" s="153"/>
      <c r="E75" s="646"/>
      <c r="F75" s="155"/>
      <c r="G75" s="148"/>
      <c r="H75" s="148"/>
      <c r="I75" s="148"/>
      <c r="J75" s="156"/>
      <c r="K75" s="156"/>
      <c r="L75" s="156"/>
      <c r="M75" s="156"/>
      <c r="N75" s="365"/>
      <c r="O75" s="157"/>
      <c r="P75" s="158"/>
      <c r="Q75" s="148"/>
      <c r="R75" s="594"/>
      <c r="S75" s="131"/>
      <c r="T75" s="131"/>
      <c r="U75" s="131"/>
      <c r="V75" s="595"/>
    </row>
    <row r="76" spans="1:22" s="37" customFormat="1">
      <c r="C76" s="131"/>
      <c r="D76" s="149" t="str">
        <f>D$13</f>
        <v>£m 3dp</v>
      </c>
      <c r="E76" s="643" t="str">
        <f>E$13</f>
        <v>Water: Future value of ex post revenue adjustment of prior year annual adjustments (2012-13 prices)</v>
      </c>
      <c r="F76" s="131"/>
      <c r="G76" s="148"/>
      <c r="H76" s="148"/>
      <c r="I76" s="148"/>
      <c r="J76" s="106"/>
      <c r="K76" s="106"/>
      <c r="L76" s="106"/>
      <c r="M76" s="106"/>
      <c r="N76" s="612"/>
      <c r="O76" s="203"/>
      <c r="P76" s="622">
        <f>P$13</f>
        <v>-16.005160166879563</v>
      </c>
      <c r="Q76" s="148"/>
      <c r="R76" s="594"/>
      <c r="S76" s="131"/>
      <c r="T76" s="131"/>
      <c r="U76" s="131"/>
      <c r="V76" s="605"/>
    </row>
    <row r="77" spans="1:22" s="37" customFormat="1">
      <c r="C77" s="131"/>
      <c r="D77" s="149" t="str">
        <f>D$14</f>
        <v>£m 3dp</v>
      </c>
      <c r="E77" s="643" t="str">
        <f>E$14</f>
        <v>Sewerage: Future value of ex post revenue adjustment of prior year annual adjustments (2012-13 prices)</v>
      </c>
      <c r="F77" s="131"/>
      <c r="G77" s="148"/>
      <c r="H77" s="148"/>
      <c r="I77" s="148"/>
      <c r="J77" s="106"/>
      <c r="K77" s="106"/>
      <c r="L77" s="106"/>
      <c r="M77" s="106"/>
      <c r="N77" s="612"/>
      <c r="O77" s="203"/>
      <c r="P77" s="622">
        <f>P$14</f>
        <v>-89.988959414600103</v>
      </c>
      <c r="Q77" s="148"/>
      <c r="R77" s="594"/>
      <c r="S77" s="131"/>
      <c r="T77" s="131"/>
      <c r="U77" s="131"/>
      <c r="V77" s="605"/>
    </row>
    <row r="78" spans="1:22" s="37" customFormat="1">
      <c r="C78" s="131"/>
      <c r="D78" s="154" t="str">
        <f t="shared" ref="D78" si="18">D25</f>
        <v>Nr 0dp</v>
      </c>
      <c r="E78" s="646" t="str">
        <f>E25</f>
        <v>Number of years to profile over (needed for profiles 2 and 3)</v>
      </c>
      <c r="F78" s="155"/>
      <c r="G78" s="148"/>
      <c r="H78" s="148"/>
      <c r="I78" s="148"/>
      <c r="J78" s="156"/>
      <c r="K78" s="156"/>
      <c r="L78" s="156"/>
      <c r="M78" s="156"/>
      <c r="N78" s="604"/>
      <c r="O78" s="157"/>
      <c r="P78" s="625">
        <f>P25</f>
        <v>5</v>
      </c>
      <c r="Q78" s="148"/>
      <c r="R78" s="594"/>
      <c r="S78" s="131"/>
      <c r="T78" s="131"/>
      <c r="U78" s="131"/>
      <c r="V78" s="605"/>
    </row>
    <row r="79" spans="1:22" s="37" customFormat="1">
      <c r="C79" s="131"/>
      <c r="D79" s="154" t="str">
        <f>D18</f>
        <v>%</v>
      </c>
      <c r="E79" s="646" t="str">
        <f>E18</f>
        <v>Discount rate (PR14 Vanilla WACC)</v>
      </c>
      <c r="F79" s="155"/>
      <c r="G79" s="148"/>
      <c r="H79" s="148"/>
      <c r="I79" s="148"/>
      <c r="J79" s="156"/>
      <c r="K79" s="156"/>
      <c r="L79" s="156"/>
      <c r="M79" s="156"/>
      <c r="N79" s="604"/>
      <c r="O79" s="157"/>
      <c r="P79" s="171">
        <f>P18</f>
        <v>3.5999999999999997E-2</v>
      </c>
      <c r="Q79" s="148"/>
      <c r="R79" s="594"/>
      <c r="S79" s="131"/>
      <c r="T79" s="131"/>
      <c r="U79" s="131"/>
      <c r="V79" s="605"/>
    </row>
    <row r="80" spans="1:22" s="37" customFormat="1">
      <c r="C80" s="131"/>
      <c r="D80" s="153"/>
      <c r="E80" s="646" t="str">
        <f>E6</f>
        <v>Difference between Year and Application Year</v>
      </c>
      <c r="F80" s="155"/>
      <c r="G80" s="148"/>
      <c r="H80" s="148"/>
      <c r="I80" s="148"/>
      <c r="J80" s="156"/>
      <c r="K80" s="156"/>
      <c r="L80" s="156"/>
      <c r="M80" s="156"/>
      <c r="N80" s="604"/>
      <c r="O80" s="157"/>
      <c r="P80" s="158"/>
      <c r="Q80" s="148"/>
      <c r="R80" s="594">
        <f t="shared" ref="R80:V80" si="19">R6</f>
        <v>0</v>
      </c>
      <c r="S80" s="131">
        <f t="shared" si="19"/>
        <v>1</v>
      </c>
      <c r="T80" s="131">
        <f t="shared" si="19"/>
        <v>2</v>
      </c>
      <c r="U80" s="131">
        <f t="shared" si="19"/>
        <v>3</v>
      </c>
      <c r="V80" s="605">
        <f t="shared" si="19"/>
        <v>4</v>
      </c>
    </row>
    <row r="81" spans="1:22" s="37" customFormat="1">
      <c r="C81" s="131"/>
      <c r="D81" s="153"/>
      <c r="E81" s="646"/>
      <c r="F81" s="155"/>
      <c r="G81" s="148"/>
      <c r="H81" s="148"/>
      <c r="I81" s="148"/>
      <c r="J81" s="156"/>
      <c r="K81" s="156"/>
      <c r="L81" s="156"/>
      <c r="M81" s="156"/>
      <c r="N81" s="604"/>
      <c r="O81" s="157"/>
      <c r="P81" s="158"/>
      <c r="Q81" s="148"/>
      <c r="R81" s="594"/>
      <c r="S81" s="131"/>
      <c r="T81" s="131"/>
      <c r="U81" s="131"/>
      <c r="V81" s="605"/>
    </row>
    <row r="82" spans="1:22" s="37" customFormat="1">
      <c r="C82" s="131">
        <f>C74</f>
        <v>3</v>
      </c>
      <c r="D82" s="104" t="s">
        <v>57</v>
      </c>
      <c r="E82" s="643" t="s">
        <v>566</v>
      </c>
      <c r="F82" s="155"/>
      <c r="G82" s="148"/>
      <c r="H82" s="148"/>
      <c r="I82" s="148"/>
      <c r="J82" s="156"/>
      <c r="K82" s="156"/>
      <c r="L82" s="156"/>
      <c r="M82" s="156"/>
      <c r="N82" s="365"/>
      <c r="O82" s="157"/>
      <c r="P82" s="158"/>
      <c r="Q82" s="148"/>
      <c r="R82" s="620">
        <f>IF(R$62+1&lt;=$P$78,$P76/$P$78,0) * (1+$P$79)^R$80</f>
        <v>-3.2010320333759124</v>
      </c>
      <c r="S82" s="616">
        <f t="shared" ref="S82:V83" si="20">IF(S$62+1&lt;=$P$78,$P76/$P$78,0) * (1+$P$79)^S$80</f>
        <v>-3.3162691865774452</v>
      </c>
      <c r="T82" s="616">
        <f t="shared" si="20"/>
        <v>-3.4356548772942332</v>
      </c>
      <c r="U82" s="616">
        <f t="shared" si="20"/>
        <v>-3.5593384528768257</v>
      </c>
      <c r="V82" s="623">
        <f t="shared" si="20"/>
        <v>-3.6874746371803915</v>
      </c>
    </row>
    <row r="83" spans="1:22" s="37" customFormat="1">
      <c r="C83" s="131">
        <f>C82</f>
        <v>3</v>
      </c>
      <c r="D83" s="104" t="s">
        <v>57</v>
      </c>
      <c r="E83" s="643" t="s">
        <v>567</v>
      </c>
      <c r="F83" s="155"/>
      <c r="G83" s="148"/>
      <c r="H83" s="148"/>
      <c r="I83" s="148"/>
      <c r="J83" s="156"/>
      <c r="K83" s="156"/>
      <c r="L83" s="156"/>
      <c r="M83" s="156"/>
      <c r="N83" s="573"/>
      <c r="O83" s="157"/>
      <c r="P83" s="158"/>
      <c r="Q83" s="148"/>
      <c r="R83" s="620">
        <f>IF(R$62+1&lt;=$P$78,$P77/$P$78,0) * (1+$P$79)^R$80</f>
        <v>-17.997791882920019</v>
      </c>
      <c r="S83" s="616">
        <f t="shared" si="20"/>
        <v>-18.645712390705139</v>
      </c>
      <c r="T83" s="616">
        <f t="shared" si="20"/>
        <v>-19.316958036770526</v>
      </c>
      <c r="U83" s="616">
        <f t="shared" si="20"/>
        <v>-20.012368526094264</v>
      </c>
      <c r="V83" s="623">
        <f t="shared" si="20"/>
        <v>-20.73281379303366</v>
      </c>
    </row>
    <row r="84" spans="1:22" s="37" customFormat="1">
      <c r="C84" s="131"/>
      <c r="D84" s="153"/>
      <c r="E84" s="646"/>
      <c r="F84" s="155"/>
      <c r="G84" s="148"/>
      <c r="H84" s="148"/>
      <c r="I84" s="148"/>
      <c r="J84" s="156"/>
      <c r="K84" s="156"/>
      <c r="L84" s="156"/>
      <c r="M84" s="156"/>
      <c r="N84" s="365"/>
      <c r="O84" s="157"/>
      <c r="P84" s="158"/>
      <c r="Q84" s="148"/>
      <c r="R84" s="594"/>
      <c r="S84" s="131"/>
      <c r="T84" s="131"/>
      <c r="U84" s="131"/>
      <c r="V84" s="595"/>
    </row>
    <row r="85" spans="1:22" s="37" customFormat="1">
      <c r="C85" s="131" t="s">
        <v>555</v>
      </c>
      <c r="D85" s="104"/>
      <c r="E85" s="644"/>
      <c r="F85" s="131"/>
      <c r="G85" s="148"/>
      <c r="H85" s="148"/>
      <c r="I85" s="148"/>
      <c r="J85" s="106"/>
      <c r="K85" s="106"/>
      <c r="L85" s="106"/>
      <c r="M85" s="106"/>
      <c r="N85" s="612"/>
      <c r="O85" s="203"/>
      <c r="P85" s="136"/>
      <c r="Q85" s="131"/>
      <c r="R85" s="603"/>
      <c r="S85" s="131"/>
      <c r="T85" s="131"/>
      <c r="U85" s="131"/>
      <c r="V85" s="605"/>
    </row>
    <row r="86" spans="1:22" s="37" customFormat="1">
      <c r="C86" s="131"/>
      <c r="D86" s="615" t="str">
        <f>D$20</f>
        <v>Nr 3dp</v>
      </c>
      <c r="E86" s="644" t="str">
        <f>E$20</f>
        <v>Discount factors</v>
      </c>
      <c r="F86" s="616"/>
      <c r="G86" s="616"/>
      <c r="H86" s="616"/>
      <c r="I86" s="616"/>
      <c r="J86" s="617"/>
      <c r="K86" s="617"/>
      <c r="L86" s="617"/>
      <c r="M86" s="617"/>
      <c r="N86" s="618"/>
      <c r="O86" s="619"/>
      <c r="P86" s="613"/>
      <c r="Q86" s="616"/>
      <c r="R86" s="620">
        <f>R$20</f>
        <v>1</v>
      </c>
      <c r="S86" s="616">
        <f>S$20</f>
        <v>0.96525096525096521</v>
      </c>
      <c r="T86" s="616">
        <f>T$20</f>
        <v>0.93170942591792005</v>
      </c>
      <c r="U86" s="616">
        <f>U$20</f>
        <v>0.89933342270069505</v>
      </c>
      <c r="V86" s="621">
        <f>V$20</f>
        <v>0.8680824543443002</v>
      </c>
    </row>
    <row r="87" spans="1:22" s="37" customFormat="1">
      <c r="C87" s="131"/>
      <c r="D87" s="104" t="s">
        <v>57</v>
      </c>
      <c r="E87" s="643" t="s">
        <v>411</v>
      </c>
      <c r="F87" s="131"/>
      <c r="G87" s="148"/>
      <c r="H87" s="148"/>
      <c r="I87" s="148"/>
      <c r="J87" s="106"/>
      <c r="K87" s="106"/>
      <c r="L87" s="106"/>
      <c r="M87" s="106"/>
      <c r="N87" s="612"/>
      <c r="O87" s="203"/>
      <c r="P87" s="136"/>
      <c r="Q87" s="131"/>
      <c r="R87" s="603">
        <f>R82*R86</f>
        <v>-3.2010320333759124</v>
      </c>
      <c r="S87" s="616">
        <f t="shared" ref="S87:V87" si="21">S82*S86</f>
        <v>-3.2010320333759124</v>
      </c>
      <c r="T87" s="616">
        <f t="shared" si="21"/>
        <v>-3.2010320333759119</v>
      </c>
      <c r="U87" s="616">
        <f t="shared" si="21"/>
        <v>-3.2010320333759124</v>
      </c>
      <c r="V87" s="621">
        <f t="shared" si="21"/>
        <v>-3.2010320333759124</v>
      </c>
    </row>
    <row r="88" spans="1:22" s="37" customFormat="1">
      <c r="C88" s="131"/>
      <c r="D88" s="104" t="s">
        <v>57</v>
      </c>
      <c r="E88" s="644" t="s">
        <v>412</v>
      </c>
      <c r="F88" s="131"/>
      <c r="G88" s="148"/>
      <c r="H88" s="148"/>
      <c r="I88" s="148"/>
      <c r="J88" s="106"/>
      <c r="K88" s="106"/>
      <c r="L88" s="106"/>
      <c r="M88" s="106"/>
      <c r="N88" s="612"/>
      <c r="O88" s="203"/>
      <c r="P88" s="136"/>
      <c r="Q88" s="131"/>
      <c r="R88" s="603">
        <f>R83*R86</f>
        <v>-17.997791882920019</v>
      </c>
      <c r="S88" s="616">
        <f t="shared" ref="S88:V88" si="22">S83*S86</f>
        <v>-17.997791882920019</v>
      </c>
      <c r="T88" s="616">
        <f t="shared" si="22"/>
        <v>-17.997791882920019</v>
      </c>
      <c r="U88" s="616">
        <f t="shared" si="22"/>
        <v>-17.997791882920019</v>
      </c>
      <c r="V88" s="621">
        <f t="shared" si="22"/>
        <v>-17.997791882920019</v>
      </c>
    </row>
    <row r="89" spans="1:22" s="37" customFormat="1">
      <c r="C89" s="131"/>
      <c r="D89" s="104" t="s">
        <v>57</v>
      </c>
      <c r="E89" s="643" t="s">
        <v>557</v>
      </c>
      <c r="F89" s="131"/>
      <c r="G89" s="148"/>
      <c r="H89" s="148"/>
      <c r="I89" s="148"/>
      <c r="J89" s="106"/>
      <c r="K89" s="106"/>
      <c r="L89" s="106"/>
      <c r="M89" s="106"/>
      <c r="N89" s="612"/>
      <c r="O89" s="203"/>
      <c r="P89" s="622">
        <f>SUM(R87:V87)</f>
        <v>-16.005160166879563</v>
      </c>
      <c r="Q89" s="131"/>
      <c r="R89" s="603"/>
      <c r="S89" s="131"/>
      <c r="T89" s="131"/>
      <c r="U89" s="131"/>
      <c r="V89" s="605"/>
    </row>
    <row r="90" spans="1:22" s="37" customFormat="1">
      <c r="C90" s="131"/>
      <c r="D90" s="104" t="s">
        <v>57</v>
      </c>
      <c r="E90" s="643" t="s">
        <v>558</v>
      </c>
      <c r="F90" s="155"/>
      <c r="G90" s="148"/>
      <c r="H90" s="148"/>
      <c r="I90" s="148"/>
      <c r="J90" s="156"/>
      <c r="K90" s="156"/>
      <c r="L90" s="156"/>
      <c r="M90" s="156"/>
      <c r="N90" s="365"/>
      <c r="O90" s="157"/>
      <c r="P90" s="622">
        <f>SUM(R88:V88)</f>
        <v>-89.988959414600089</v>
      </c>
      <c r="Q90" s="148"/>
      <c r="R90" s="594"/>
      <c r="S90" s="131"/>
      <c r="T90" s="131"/>
      <c r="U90" s="131"/>
      <c r="V90" s="595"/>
    </row>
    <row r="91" spans="1:22" s="37" customFormat="1">
      <c r="C91" s="131"/>
      <c r="D91" s="153"/>
      <c r="E91" s="646"/>
      <c r="F91" s="155"/>
      <c r="G91" s="148"/>
      <c r="H91" s="148"/>
      <c r="I91" s="148"/>
      <c r="J91" s="156"/>
      <c r="K91" s="156"/>
      <c r="L91" s="156"/>
      <c r="M91" s="156"/>
      <c r="N91" s="365"/>
      <c r="O91" s="157"/>
      <c r="P91" s="158"/>
      <c r="Q91" s="148"/>
      <c r="R91" s="594"/>
      <c r="S91" s="131"/>
      <c r="T91" s="131"/>
      <c r="U91" s="131"/>
      <c r="V91" s="595"/>
    </row>
    <row r="92" spans="1:22">
      <c r="A92" s="479"/>
      <c r="B92" s="452"/>
      <c r="C92" s="601">
        <v>4</v>
      </c>
      <c r="D92" s="601"/>
      <c r="E92" s="640" t="s">
        <v>550</v>
      </c>
      <c r="F92" s="440"/>
      <c r="G92" s="440"/>
      <c r="H92" s="440"/>
      <c r="I92" s="440"/>
      <c r="J92" s="440"/>
      <c r="K92" s="440"/>
      <c r="L92" s="440"/>
      <c r="M92" s="440"/>
      <c r="N92" s="446"/>
      <c r="O92" s="440"/>
      <c r="P92" s="475"/>
      <c r="Q92" s="476"/>
      <c r="R92" s="592"/>
      <c r="S92" s="503"/>
      <c r="T92" s="503"/>
      <c r="U92" s="503"/>
      <c r="V92" s="624"/>
    </row>
    <row r="93" spans="1:22" s="37" customFormat="1">
      <c r="C93" s="131"/>
      <c r="D93" s="153"/>
      <c r="E93" s="646"/>
      <c r="F93" s="155"/>
      <c r="G93" s="148"/>
      <c r="H93" s="148"/>
      <c r="I93" s="148"/>
      <c r="J93" s="156"/>
      <c r="K93" s="156"/>
      <c r="L93" s="156"/>
      <c r="M93" s="156"/>
      <c r="N93" s="604"/>
      <c r="O93" s="157"/>
      <c r="P93" s="158"/>
      <c r="Q93" s="148"/>
      <c r="R93" s="594"/>
      <c r="S93" s="131"/>
      <c r="T93" s="131"/>
      <c r="U93" s="131"/>
      <c r="V93" s="605"/>
    </row>
    <row r="94" spans="1:22" s="37" customFormat="1">
      <c r="C94" s="131">
        <f>C92</f>
        <v>4</v>
      </c>
      <c r="D94" s="104" t="s">
        <v>57</v>
      </c>
      <c r="E94" s="643" t="s">
        <v>573</v>
      </c>
      <c r="F94" s="155"/>
      <c r="G94" s="148"/>
      <c r="H94" s="148"/>
      <c r="I94" s="148"/>
      <c r="J94" s="156"/>
      <c r="K94" s="156"/>
      <c r="L94" s="156"/>
      <c r="M94" s="156"/>
      <c r="N94" s="365"/>
      <c r="O94" s="157"/>
      <c r="P94" s="158"/>
      <c r="Q94" s="148"/>
      <c r="R94" s="620">
        <f>'Calc2 BYR'!J196</f>
        <v>2.3178887785434723</v>
      </c>
      <c r="S94" s="616">
        <f>'Calc2 BYR'!K196</f>
        <v>1.9464611451451368</v>
      </c>
      <c r="T94" s="616">
        <f>'Calc2 BYR'!L196</f>
        <v>-3.4420516824176519</v>
      </c>
      <c r="U94" s="616">
        <f>'Calc2 BYR'!M196</f>
        <v>-8.0434947300181481</v>
      </c>
      <c r="V94" s="623">
        <f>'Calc2 BYR'!N196</f>
        <v>-8.7839636781323716</v>
      </c>
    </row>
    <row r="95" spans="1:22" s="37" customFormat="1">
      <c r="C95" s="131">
        <f>C94</f>
        <v>4</v>
      </c>
      <c r="D95" s="104" t="s">
        <v>57</v>
      </c>
      <c r="E95" s="643" t="s">
        <v>574</v>
      </c>
      <c r="F95" s="155"/>
      <c r="G95" s="148"/>
      <c r="H95" s="148"/>
      <c r="I95" s="148"/>
      <c r="J95" s="156"/>
      <c r="K95" s="156"/>
      <c r="L95" s="156"/>
      <c r="M95" s="156"/>
      <c r="N95" s="573"/>
      <c r="O95" s="157"/>
      <c r="P95" s="158"/>
      <c r="Q95" s="148"/>
      <c r="R95" s="620">
        <f>'Calc2 BYR'!J197</f>
        <v>0.99952747036928991</v>
      </c>
      <c r="S95" s="616">
        <f>'Calc2 BYR'!K197</f>
        <v>-9.9115809154721184</v>
      </c>
      <c r="T95" s="616">
        <f>'Calc2 BYR'!L197</f>
        <v>-23.339887108065838</v>
      </c>
      <c r="U95" s="616">
        <f>'Calc2 BYR'!M197</f>
        <v>-29.028555321623635</v>
      </c>
      <c r="V95" s="623">
        <f>'Calc2 BYR'!N197</f>
        <v>-28.708463539807795</v>
      </c>
    </row>
    <row r="96" spans="1:22" s="37" customFormat="1">
      <c r="C96" s="131"/>
      <c r="D96" s="153"/>
      <c r="E96" s="646"/>
      <c r="F96" s="155"/>
      <c r="G96" s="148"/>
      <c r="H96" s="148"/>
      <c r="I96" s="148"/>
      <c r="J96" s="156"/>
      <c r="K96" s="156"/>
      <c r="L96" s="156"/>
      <c r="M96" s="156"/>
      <c r="N96" s="365"/>
      <c r="O96" s="157"/>
      <c r="P96" s="158"/>
      <c r="Q96" s="148"/>
      <c r="R96" s="594"/>
      <c r="S96" s="131"/>
      <c r="T96" s="131"/>
      <c r="U96" s="131"/>
      <c r="V96" s="595"/>
    </row>
    <row r="97" spans="1:22" s="37" customFormat="1">
      <c r="C97" s="131" t="s">
        <v>555</v>
      </c>
      <c r="D97" s="104"/>
      <c r="E97" s="644"/>
      <c r="F97" s="131"/>
      <c r="G97" s="148"/>
      <c r="H97" s="148"/>
      <c r="I97" s="148"/>
      <c r="J97" s="106"/>
      <c r="K97" s="106"/>
      <c r="L97" s="106"/>
      <c r="M97" s="106"/>
      <c r="N97" s="612"/>
      <c r="O97" s="203"/>
      <c r="P97" s="136"/>
      <c r="Q97" s="131"/>
      <c r="R97" s="603"/>
      <c r="S97" s="131"/>
      <c r="T97" s="131"/>
      <c r="U97" s="131"/>
      <c r="V97" s="605"/>
    </row>
    <row r="98" spans="1:22" s="37" customFormat="1">
      <c r="C98" s="131"/>
      <c r="D98" s="615" t="str">
        <f>D$20</f>
        <v>Nr 3dp</v>
      </c>
      <c r="E98" s="644" t="str">
        <f>E$20</f>
        <v>Discount factors</v>
      </c>
      <c r="F98" s="616"/>
      <c r="G98" s="616"/>
      <c r="H98" s="616"/>
      <c r="I98" s="616"/>
      <c r="J98" s="617"/>
      <c r="K98" s="617"/>
      <c r="L98" s="617"/>
      <c r="M98" s="617"/>
      <c r="N98" s="618"/>
      <c r="O98" s="619"/>
      <c r="P98" s="613"/>
      <c r="Q98" s="616"/>
      <c r="R98" s="620">
        <f>R$20</f>
        <v>1</v>
      </c>
      <c r="S98" s="616">
        <f>S$20</f>
        <v>0.96525096525096521</v>
      </c>
      <c r="T98" s="616">
        <f>T$20</f>
        <v>0.93170942591792005</v>
      </c>
      <c r="U98" s="616">
        <f>U$20</f>
        <v>0.89933342270069505</v>
      </c>
      <c r="V98" s="621">
        <f>V$20</f>
        <v>0.8680824543443002</v>
      </c>
    </row>
    <row r="99" spans="1:22" s="37" customFormat="1">
      <c r="C99" s="131"/>
      <c r="D99" s="104" t="s">
        <v>57</v>
      </c>
      <c r="E99" s="643" t="s">
        <v>411</v>
      </c>
      <c r="F99" s="131"/>
      <c r="G99" s="148"/>
      <c r="H99" s="148"/>
      <c r="I99" s="148"/>
      <c r="J99" s="106"/>
      <c r="K99" s="106"/>
      <c r="L99" s="106"/>
      <c r="M99" s="106"/>
      <c r="N99" s="612"/>
      <c r="O99" s="203"/>
      <c r="P99" s="136"/>
      <c r="Q99" s="131"/>
      <c r="R99" s="603">
        <f>R94*R98</f>
        <v>2.3178887785434723</v>
      </c>
      <c r="S99" s="616">
        <f t="shared" ref="S99:V99" si="23">S94*S98</f>
        <v>1.8788234991748425</v>
      </c>
      <c r="T99" s="616">
        <f t="shared" si="23"/>
        <v>-3.2069919970051615</v>
      </c>
      <c r="U99" s="616">
        <f t="shared" si="23"/>
        <v>-7.233783646022224</v>
      </c>
      <c r="V99" s="621">
        <f t="shared" si="23"/>
        <v>-7.6252047485843359</v>
      </c>
    </row>
    <row r="100" spans="1:22" s="37" customFormat="1">
      <c r="C100" s="131"/>
      <c r="D100" s="104" t="s">
        <v>57</v>
      </c>
      <c r="E100" s="644" t="s">
        <v>412</v>
      </c>
      <c r="F100" s="131"/>
      <c r="G100" s="148"/>
      <c r="H100" s="148"/>
      <c r="I100" s="148"/>
      <c r="J100" s="106"/>
      <c r="K100" s="106"/>
      <c r="L100" s="106"/>
      <c r="M100" s="106"/>
      <c r="N100" s="612"/>
      <c r="O100" s="203"/>
      <c r="P100" s="136"/>
      <c r="Q100" s="131"/>
      <c r="R100" s="603">
        <f>R95*R98</f>
        <v>0.99952747036928991</v>
      </c>
      <c r="S100" s="616">
        <f t="shared" ref="S100:V100" si="24">S95*S98</f>
        <v>-9.5671630458225074</v>
      </c>
      <c r="T100" s="616">
        <f t="shared" si="24"/>
        <v>-21.745992818445085</v>
      </c>
      <c r="U100" s="616">
        <f t="shared" si="24"/>
        <v>-26.106350013452261</v>
      </c>
      <c r="V100" s="621">
        <f t="shared" si="24"/>
        <v>-24.921313490090206</v>
      </c>
    </row>
    <row r="101" spans="1:22" s="37" customFormat="1">
      <c r="C101" s="131"/>
      <c r="D101" s="104" t="s">
        <v>57</v>
      </c>
      <c r="E101" s="643" t="s">
        <v>557</v>
      </c>
      <c r="F101" s="131"/>
      <c r="G101" s="148"/>
      <c r="H101" s="148"/>
      <c r="I101" s="148"/>
      <c r="J101" s="106"/>
      <c r="K101" s="106"/>
      <c r="L101" s="106"/>
      <c r="M101" s="106"/>
      <c r="N101" s="612"/>
      <c r="O101" s="203"/>
      <c r="P101" s="622">
        <f>SUM(R99:V99)</f>
        <v>-13.869268113893407</v>
      </c>
      <c r="Q101" s="131"/>
      <c r="R101" s="603"/>
      <c r="S101" s="131"/>
      <c r="T101" s="131"/>
      <c r="U101" s="131"/>
      <c r="V101" s="605"/>
    </row>
    <row r="102" spans="1:22" s="37" customFormat="1">
      <c r="C102" s="131"/>
      <c r="D102" s="104" t="s">
        <v>57</v>
      </c>
      <c r="E102" s="643" t="s">
        <v>558</v>
      </c>
      <c r="F102" s="155"/>
      <c r="G102" s="148"/>
      <c r="H102" s="148"/>
      <c r="I102" s="148"/>
      <c r="J102" s="156"/>
      <c r="K102" s="156"/>
      <c r="L102" s="156"/>
      <c r="M102" s="156"/>
      <c r="N102" s="365"/>
      <c r="O102" s="157"/>
      <c r="P102" s="622">
        <f>SUM(R100:V100)</f>
        <v>-81.341291897440769</v>
      </c>
      <c r="Q102" s="148"/>
      <c r="R102" s="594"/>
      <c r="S102" s="131"/>
      <c r="T102" s="131"/>
      <c r="U102" s="131"/>
      <c r="V102" s="595"/>
    </row>
    <row r="103" spans="1:22" s="37" customFormat="1">
      <c r="C103" s="131"/>
      <c r="D103" s="153"/>
      <c r="E103" s="646"/>
      <c r="F103" s="155"/>
      <c r="G103" s="148"/>
      <c r="H103" s="148"/>
      <c r="I103" s="148"/>
      <c r="J103" s="156"/>
      <c r="K103" s="156"/>
      <c r="L103" s="156"/>
      <c r="M103" s="156"/>
      <c r="N103" s="604"/>
      <c r="O103" s="157"/>
      <c r="P103" s="158"/>
      <c r="Q103" s="148"/>
      <c r="R103" s="594"/>
      <c r="S103" s="131"/>
      <c r="T103" s="131"/>
      <c r="U103" s="131"/>
      <c r="V103" s="605"/>
    </row>
    <row r="104" spans="1:22">
      <c r="A104" s="479"/>
      <c r="B104" s="452"/>
      <c r="C104" s="601">
        <v>5</v>
      </c>
      <c r="D104" s="601"/>
      <c r="E104" s="640" t="s">
        <v>551</v>
      </c>
      <c r="F104" s="440"/>
      <c r="G104" s="440"/>
      <c r="H104" s="440"/>
      <c r="I104" s="440"/>
      <c r="J104" s="440"/>
      <c r="K104" s="440"/>
      <c r="L104" s="440"/>
      <c r="M104" s="440"/>
      <c r="N104" s="446"/>
      <c r="O104" s="440"/>
      <c r="P104" s="475"/>
      <c r="Q104" s="476"/>
      <c r="R104" s="592"/>
      <c r="S104" s="503"/>
      <c r="T104" s="503"/>
      <c r="U104" s="503"/>
      <c r="V104" s="593"/>
    </row>
    <row r="105" spans="1:22" s="37" customFormat="1">
      <c r="C105" s="131"/>
      <c r="D105" s="153"/>
      <c r="E105" s="646"/>
      <c r="F105" s="155"/>
      <c r="G105" s="148"/>
      <c r="H105" s="148"/>
      <c r="I105" s="148"/>
      <c r="J105" s="156"/>
      <c r="K105" s="156"/>
      <c r="L105" s="156"/>
      <c r="M105" s="156"/>
      <c r="N105" s="365"/>
      <c r="O105" s="157"/>
      <c r="P105" s="158"/>
      <c r="Q105" s="148"/>
      <c r="R105" s="594"/>
      <c r="S105" s="131"/>
      <c r="T105" s="131"/>
      <c r="U105" s="131"/>
      <c r="V105" s="595"/>
    </row>
    <row r="106" spans="1:22" s="37" customFormat="1">
      <c r="C106" s="131"/>
      <c r="D106" s="104" t="s">
        <v>57</v>
      </c>
      <c r="E106" s="643" t="s">
        <v>411</v>
      </c>
      <c r="F106" s="155"/>
      <c r="G106" s="148"/>
      <c r="H106" s="148"/>
      <c r="I106" s="148"/>
      <c r="J106" s="156"/>
      <c r="K106" s="156"/>
      <c r="L106" s="156"/>
      <c r="M106" s="156"/>
      <c r="N106" s="365"/>
      <c r="O106" s="157"/>
      <c r="P106" s="158"/>
      <c r="Q106" s="148"/>
      <c r="R106" s="620">
        <f>'Calc2 BYR'!J196</f>
        <v>2.3178887785434723</v>
      </c>
      <c r="S106" s="616">
        <f>'Calc2 BYR'!K196</f>
        <v>1.9464611451451368</v>
      </c>
      <c r="T106" s="616">
        <f>'Calc2 BYR'!L196</f>
        <v>-3.4420516824176519</v>
      </c>
      <c r="U106" s="616">
        <f>'Calc2 BYR'!M196</f>
        <v>-8.0434947300181481</v>
      </c>
      <c r="V106" s="623">
        <f>'Calc2 BYR'!N196</f>
        <v>-8.7839636781323716</v>
      </c>
    </row>
    <row r="107" spans="1:22" s="37" customFormat="1">
      <c r="C107" s="131"/>
      <c r="D107" s="104" t="s">
        <v>57</v>
      </c>
      <c r="E107" s="644" t="s">
        <v>412</v>
      </c>
      <c r="F107" s="155"/>
      <c r="G107" s="148"/>
      <c r="H107" s="148"/>
      <c r="I107" s="148"/>
      <c r="J107" s="156"/>
      <c r="K107" s="156"/>
      <c r="L107" s="156"/>
      <c r="M107" s="156"/>
      <c r="N107" s="573"/>
      <c r="O107" s="157"/>
      <c r="P107" s="158"/>
      <c r="Q107" s="148"/>
      <c r="R107" s="620">
        <f>'Calc2 BYR'!J197</f>
        <v>0.99952747036928991</v>
      </c>
      <c r="S107" s="616">
        <f>'Calc2 BYR'!K197</f>
        <v>-9.9115809154721184</v>
      </c>
      <c r="T107" s="616">
        <f>'Calc2 BYR'!L197</f>
        <v>-23.339887108065838</v>
      </c>
      <c r="U107" s="616">
        <f>'Calc2 BYR'!M197</f>
        <v>-29.028555321623635</v>
      </c>
      <c r="V107" s="623">
        <f>'Calc2 BYR'!N197</f>
        <v>-28.708463539807795</v>
      </c>
    </row>
    <row r="108" spans="1:22" s="37" customFormat="1">
      <c r="C108" s="131"/>
      <c r="D108" s="153"/>
      <c r="E108" s="646"/>
      <c r="F108" s="155"/>
      <c r="G108" s="148"/>
      <c r="H108" s="148"/>
      <c r="I108" s="148"/>
      <c r="J108" s="156"/>
      <c r="K108" s="156"/>
      <c r="L108" s="156"/>
      <c r="M108" s="156"/>
      <c r="N108" s="365"/>
      <c r="O108" s="157"/>
      <c r="P108" s="158"/>
      <c r="Q108" s="148"/>
      <c r="R108" s="594"/>
      <c r="S108" s="131"/>
      <c r="T108" s="131"/>
      <c r="U108" s="131"/>
      <c r="V108" s="595"/>
    </row>
    <row r="109" spans="1:22" s="37" customFormat="1">
      <c r="C109" s="131"/>
      <c r="D109" s="104"/>
      <c r="E109" s="644"/>
      <c r="F109" s="131"/>
      <c r="G109" s="148"/>
      <c r="H109" s="148"/>
      <c r="I109" s="148"/>
      <c r="J109" s="106"/>
      <c r="K109" s="106"/>
      <c r="L109" s="106"/>
      <c r="M109" s="106"/>
      <c r="N109" s="612"/>
      <c r="O109" s="203"/>
      <c r="P109" s="136"/>
      <c r="Q109" s="131"/>
      <c r="R109" s="603"/>
      <c r="S109" s="131"/>
      <c r="T109" s="131"/>
      <c r="U109" s="131"/>
      <c r="V109" s="605"/>
    </row>
    <row r="110" spans="1:22" s="37" customFormat="1">
      <c r="C110" s="131"/>
      <c r="D110" s="615" t="str">
        <f>D$20</f>
        <v>Nr 3dp</v>
      </c>
      <c r="E110" s="644" t="str">
        <f>E$20</f>
        <v>Discount factors</v>
      </c>
      <c r="F110" s="616"/>
      <c r="G110" s="616"/>
      <c r="H110" s="616"/>
      <c r="I110" s="616"/>
      <c r="J110" s="617"/>
      <c r="K110" s="617"/>
      <c r="L110" s="617"/>
      <c r="M110" s="617"/>
      <c r="N110" s="618"/>
      <c r="O110" s="619"/>
      <c r="P110" s="613"/>
      <c r="Q110" s="616"/>
      <c r="R110" s="620">
        <f>R$20</f>
        <v>1</v>
      </c>
      <c r="S110" s="616">
        <f>S$20</f>
        <v>0.96525096525096521</v>
      </c>
      <c r="T110" s="616">
        <f>T$20</f>
        <v>0.93170942591792005</v>
      </c>
      <c r="U110" s="616">
        <f>U$20</f>
        <v>0.89933342270069505</v>
      </c>
      <c r="V110" s="621">
        <f>V$20</f>
        <v>0.8680824543443002</v>
      </c>
    </row>
    <row r="111" spans="1:22" s="37" customFormat="1">
      <c r="C111" s="131"/>
      <c r="D111" s="104" t="s">
        <v>57</v>
      </c>
      <c r="E111" s="643" t="s">
        <v>411</v>
      </c>
      <c r="F111" s="131"/>
      <c r="G111" s="148"/>
      <c r="H111" s="148"/>
      <c r="I111" s="148"/>
      <c r="J111" s="106"/>
      <c r="K111" s="106"/>
      <c r="L111" s="106"/>
      <c r="M111" s="106"/>
      <c r="N111" s="612"/>
      <c r="O111" s="203"/>
      <c r="P111" s="136"/>
      <c r="Q111" s="131"/>
      <c r="R111" s="603">
        <f>R106*R110</f>
        <v>2.3178887785434723</v>
      </c>
      <c r="S111" s="616">
        <f t="shared" ref="S111:V111" si="25">S106*S110</f>
        <v>1.8788234991748425</v>
      </c>
      <c r="T111" s="616">
        <f t="shared" si="25"/>
        <v>-3.2069919970051615</v>
      </c>
      <c r="U111" s="616">
        <f t="shared" si="25"/>
        <v>-7.233783646022224</v>
      </c>
      <c r="V111" s="621">
        <f t="shared" si="25"/>
        <v>-7.6252047485843359</v>
      </c>
    </row>
    <row r="112" spans="1:22" s="37" customFormat="1">
      <c r="C112" s="131"/>
      <c r="D112" s="104" t="s">
        <v>57</v>
      </c>
      <c r="E112" s="644" t="s">
        <v>412</v>
      </c>
      <c r="F112" s="131"/>
      <c r="G112" s="148"/>
      <c r="H112" s="148"/>
      <c r="I112" s="148"/>
      <c r="J112" s="106"/>
      <c r="K112" s="106"/>
      <c r="L112" s="106"/>
      <c r="M112" s="106"/>
      <c r="N112" s="612"/>
      <c r="O112" s="203"/>
      <c r="P112" s="136"/>
      <c r="Q112" s="131"/>
      <c r="R112" s="603">
        <f>R107*R110</f>
        <v>0.99952747036928991</v>
      </c>
      <c r="S112" s="616">
        <f t="shared" ref="S112:V112" si="26">S107*S110</f>
        <v>-9.5671630458225074</v>
      </c>
      <c r="T112" s="616">
        <f t="shared" si="26"/>
        <v>-21.745992818445085</v>
      </c>
      <c r="U112" s="616">
        <f t="shared" si="26"/>
        <v>-26.106350013452261</v>
      </c>
      <c r="V112" s="621">
        <f t="shared" si="26"/>
        <v>-24.921313490090206</v>
      </c>
    </row>
    <row r="113" spans="3:22" s="37" customFormat="1">
      <c r="C113" s="131"/>
      <c r="D113" s="104" t="s">
        <v>57</v>
      </c>
      <c r="E113" s="643" t="s">
        <v>557</v>
      </c>
      <c r="F113" s="131"/>
      <c r="G113" s="148"/>
      <c r="H113" s="148"/>
      <c r="I113" s="148"/>
      <c r="J113" s="106"/>
      <c r="K113" s="106"/>
      <c r="L113" s="106"/>
      <c r="M113" s="106"/>
      <c r="N113" s="612"/>
      <c r="O113" s="203"/>
      <c r="P113" s="622">
        <f>SUM(R111:V111)</f>
        <v>-13.869268113893407</v>
      </c>
      <c r="Q113" s="131"/>
      <c r="R113" s="603"/>
      <c r="S113" s="131"/>
      <c r="T113" s="131"/>
      <c r="U113" s="131"/>
      <c r="V113" s="605"/>
    </row>
    <row r="114" spans="3:22" s="37" customFormat="1">
      <c r="C114" s="131"/>
      <c r="D114" s="104" t="s">
        <v>57</v>
      </c>
      <c r="E114" s="643" t="s">
        <v>558</v>
      </c>
      <c r="F114" s="155"/>
      <c r="G114" s="148"/>
      <c r="H114" s="148"/>
      <c r="I114" s="148"/>
      <c r="J114" s="156"/>
      <c r="K114" s="156"/>
      <c r="L114" s="156"/>
      <c r="M114" s="156"/>
      <c r="N114" s="365"/>
      <c r="O114" s="157"/>
      <c r="P114" s="622">
        <f>SUM(R112:V112)</f>
        <v>-81.341291897440769</v>
      </c>
      <c r="Q114" s="148"/>
      <c r="R114" s="594"/>
      <c r="S114" s="131"/>
      <c r="T114" s="131"/>
      <c r="U114" s="131"/>
      <c r="V114" s="595"/>
    </row>
    <row r="115" spans="3:22" s="37" customFormat="1">
      <c r="C115" s="131"/>
      <c r="D115" s="153"/>
      <c r="E115" s="646"/>
      <c r="F115" s="155"/>
      <c r="G115" s="148"/>
      <c r="H115" s="148"/>
      <c r="I115" s="148"/>
      <c r="J115" s="156"/>
      <c r="K115" s="156"/>
      <c r="L115" s="156"/>
      <c r="M115" s="156"/>
      <c r="N115" s="604"/>
      <c r="O115" s="157"/>
      <c r="P115" s="158"/>
      <c r="Q115" s="148"/>
      <c r="R115" s="594"/>
      <c r="S115" s="131"/>
      <c r="T115" s="131"/>
      <c r="U115" s="131"/>
      <c r="V115" s="605"/>
    </row>
    <row r="116" spans="3:22" s="37" customFormat="1">
      <c r="C116" s="131"/>
      <c r="D116" s="153" t="str">
        <f>D113</f>
        <v>£m 3dp</v>
      </c>
      <c r="E116" s="655" t="str">
        <f>E113</f>
        <v>Water: Present value of revenue adjustments (2012-13 prices)</v>
      </c>
      <c r="F116" s="155"/>
      <c r="G116" s="148"/>
      <c r="H116" s="148"/>
      <c r="I116" s="148"/>
      <c r="J116" s="156"/>
      <c r="K116" s="156"/>
      <c r="L116" s="156"/>
      <c r="M116" s="156"/>
      <c r="N116" s="604"/>
      <c r="O116" s="157"/>
      <c r="P116" s="613">
        <f>P113</f>
        <v>-13.869268113893407</v>
      </c>
      <c r="Q116" s="148"/>
      <c r="R116" s="594"/>
      <c r="S116" s="131"/>
      <c r="T116" s="131"/>
      <c r="U116" s="131"/>
      <c r="V116" s="605"/>
    </row>
    <row r="117" spans="3:22" s="37" customFormat="1">
      <c r="C117" s="131"/>
      <c r="D117" s="153" t="str">
        <f>D114</f>
        <v>£m 3dp</v>
      </c>
      <c r="E117" s="655" t="str">
        <f>E114</f>
        <v>Sewerage: Present value of revenue adjustments (2012-13 prices)</v>
      </c>
      <c r="F117" s="155"/>
      <c r="G117" s="148"/>
      <c r="H117" s="148"/>
      <c r="I117" s="148"/>
      <c r="J117" s="156"/>
      <c r="K117" s="156"/>
      <c r="L117" s="156"/>
      <c r="M117" s="156"/>
      <c r="N117" s="604"/>
      <c r="O117" s="157"/>
      <c r="P117" s="613">
        <f>P114</f>
        <v>-81.341291897440769</v>
      </c>
      <c r="Q117" s="148"/>
      <c r="R117" s="594"/>
      <c r="S117" s="131"/>
      <c r="T117" s="131"/>
      <c r="U117" s="131"/>
      <c r="V117" s="605"/>
    </row>
    <row r="118" spans="3:22" s="37" customFormat="1">
      <c r="C118" s="131"/>
      <c r="D118" s="153" t="str">
        <f>D13</f>
        <v>£m 3dp</v>
      </c>
      <c r="E118" s="646" t="str">
        <f>E13</f>
        <v>Water: Future value of ex post revenue adjustment of prior year annual adjustments (2012-13 prices)</v>
      </c>
      <c r="F118" s="155"/>
      <c r="G118" s="148"/>
      <c r="H118" s="148"/>
      <c r="I118" s="148"/>
      <c r="J118" s="156"/>
      <c r="K118" s="156"/>
      <c r="L118" s="156"/>
      <c r="M118" s="156"/>
      <c r="N118" s="604"/>
      <c r="O118" s="157"/>
      <c r="P118" s="613">
        <f>P13</f>
        <v>-16.005160166879563</v>
      </c>
      <c r="Q118" s="148"/>
      <c r="R118" s="594"/>
      <c r="S118" s="131"/>
      <c r="T118" s="131"/>
      <c r="U118" s="131"/>
      <c r="V118" s="605"/>
    </row>
    <row r="119" spans="3:22" s="37" customFormat="1">
      <c r="C119" s="131"/>
      <c r="D119" s="153" t="str">
        <f>D14</f>
        <v>£m 3dp</v>
      </c>
      <c r="E119" s="646" t="str">
        <f>E14</f>
        <v>Sewerage: Future value of ex post revenue adjustment of prior year annual adjustments (2012-13 prices)</v>
      </c>
      <c r="F119" s="155"/>
      <c r="G119" s="148"/>
      <c r="H119" s="148"/>
      <c r="I119" s="148"/>
      <c r="J119" s="156"/>
      <c r="K119" s="156"/>
      <c r="L119" s="156"/>
      <c r="M119" s="156"/>
      <c r="N119" s="365"/>
      <c r="O119" s="157"/>
      <c r="P119" s="613">
        <f>P14</f>
        <v>-89.988959414600103</v>
      </c>
      <c r="Q119" s="148"/>
      <c r="R119" s="594"/>
      <c r="S119" s="131"/>
      <c r="T119" s="131"/>
      <c r="U119" s="131"/>
      <c r="V119" s="595"/>
    </row>
    <row r="120" spans="3:22" s="37" customFormat="1">
      <c r="C120" s="131"/>
      <c r="D120" s="615" t="str">
        <f>D$20</f>
        <v>Nr 3dp</v>
      </c>
      <c r="E120" s="646" t="s">
        <v>560</v>
      </c>
      <c r="F120" s="155"/>
      <c r="G120" s="148"/>
      <c r="H120" s="148"/>
      <c r="I120" s="148"/>
      <c r="J120" s="156"/>
      <c r="K120" s="156"/>
      <c r="L120" s="156"/>
      <c r="M120" s="156"/>
      <c r="N120" s="604"/>
      <c r="O120" s="157"/>
      <c r="P120" s="613">
        <f>P118/P116</f>
        <v>1.154001785490508</v>
      </c>
      <c r="Q120" s="148"/>
      <c r="R120" s="594"/>
      <c r="S120" s="131"/>
      <c r="T120" s="131"/>
      <c r="U120" s="131"/>
      <c r="V120" s="605"/>
    </row>
    <row r="121" spans="3:22" s="37" customFormat="1">
      <c r="C121" s="131"/>
      <c r="D121" s="615" t="str">
        <f>D$20</f>
        <v>Nr 3dp</v>
      </c>
      <c r="E121" s="646" t="s">
        <v>561</v>
      </c>
      <c r="F121" s="155"/>
      <c r="G121" s="148"/>
      <c r="H121" s="148"/>
      <c r="I121" s="148"/>
      <c r="J121" s="156"/>
      <c r="K121" s="156"/>
      <c r="L121" s="156"/>
      <c r="M121" s="156"/>
      <c r="N121" s="604"/>
      <c r="O121" s="157"/>
      <c r="P121" s="613">
        <f>P119/P117</f>
        <v>1.1063133780572696</v>
      </c>
      <c r="Q121" s="148"/>
      <c r="R121" s="594"/>
      <c r="S121" s="131"/>
      <c r="T121" s="131"/>
      <c r="U121" s="131"/>
      <c r="V121" s="605"/>
    </row>
    <row r="122" spans="3:22" s="37" customFormat="1">
      <c r="C122" s="131"/>
      <c r="D122" s="153"/>
      <c r="E122" s="646"/>
      <c r="F122" s="155"/>
      <c r="G122" s="148"/>
      <c r="H122" s="148"/>
      <c r="I122" s="148"/>
      <c r="J122" s="156"/>
      <c r="K122" s="156"/>
      <c r="L122" s="156"/>
      <c r="M122" s="156"/>
      <c r="N122" s="604"/>
      <c r="O122" s="157"/>
      <c r="P122" s="158"/>
      <c r="Q122" s="148"/>
      <c r="R122" s="594"/>
      <c r="S122" s="131"/>
      <c r="T122" s="131"/>
      <c r="U122" s="131"/>
      <c r="V122" s="605"/>
    </row>
    <row r="123" spans="3:22" s="37" customFormat="1">
      <c r="C123" s="131">
        <v>5</v>
      </c>
      <c r="D123" s="131" t="s">
        <v>57</v>
      </c>
      <c r="E123" s="643" t="s">
        <v>571</v>
      </c>
      <c r="F123" s="155"/>
      <c r="G123" s="148"/>
      <c r="H123" s="148"/>
      <c r="I123" s="148"/>
      <c r="J123" s="156"/>
      <c r="K123" s="156"/>
      <c r="L123" s="156"/>
      <c r="M123" s="156"/>
      <c r="N123" s="604"/>
      <c r="O123" s="157"/>
      <c r="P123" s="158"/>
      <c r="Q123" s="148"/>
      <c r="R123" s="620">
        <f t="shared" ref="R123:V124" si="27">$P120*R106</f>
        <v>2.6748477890075799</v>
      </c>
      <c r="S123" s="616">
        <f t="shared" si="27"/>
        <v>2.2462196368853866</v>
      </c>
      <c r="T123" s="616">
        <f t="shared" si="27"/>
        <v>-3.9721337872605775</v>
      </c>
      <c r="U123" s="616">
        <f t="shared" si="27"/>
        <v>-9.2822072800244353</v>
      </c>
      <c r="V123" s="621">
        <f t="shared" si="27"/>
        <v>-10.136709768248528</v>
      </c>
    </row>
    <row r="124" spans="3:22" s="37" customFormat="1">
      <c r="C124" s="131">
        <v>5</v>
      </c>
      <c r="D124" s="131" t="s">
        <v>57</v>
      </c>
      <c r="E124" s="643" t="s">
        <v>572</v>
      </c>
      <c r="F124" s="155"/>
      <c r="G124" s="148"/>
      <c r="H124" s="148"/>
      <c r="I124" s="148"/>
      <c r="J124" s="156"/>
      <c r="K124" s="156"/>
      <c r="L124" s="156"/>
      <c r="M124" s="156"/>
      <c r="N124" s="604"/>
      <c r="O124" s="157"/>
      <c r="P124" s="158"/>
      <c r="Q124" s="148"/>
      <c r="R124" s="620">
        <f t="shared" si="27"/>
        <v>1.1057906122052865</v>
      </c>
      <c r="S124" s="616">
        <f t="shared" si="27"/>
        <v>-10.965314564483924</v>
      </c>
      <c r="T124" s="616">
        <f t="shared" si="27"/>
        <v>-25.821229349999633</v>
      </c>
      <c r="U124" s="616">
        <f t="shared" si="27"/>
        <v>-32.114679097987775</v>
      </c>
      <c r="V124" s="621">
        <f t="shared" si="27"/>
        <v>-31.760557277558721</v>
      </c>
    </row>
    <row r="125" spans="3:22" s="37" customFormat="1">
      <c r="C125" s="131"/>
      <c r="D125" s="153"/>
      <c r="E125" s="646"/>
      <c r="F125" s="155"/>
      <c r="G125" s="148"/>
      <c r="H125" s="148"/>
      <c r="I125" s="148"/>
      <c r="J125" s="156"/>
      <c r="K125" s="156"/>
      <c r="L125" s="156"/>
      <c r="M125" s="156"/>
      <c r="N125" s="604"/>
      <c r="O125" s="157"/>
      <c r="P125" s="158"/>
      <c r="Q125" s="148"/>
      <c r="R125" s="594"/>
      <c r="S125" s="131"/>
      <c r="T125" s="131"/>
      <c r="U125" s="131"/>
      <c r="V125" s="605"/>
    </row>
    <row r="126" spans="3:22" s="37" customFormat="1">
      <c r="C126" s="131" t="s">
        <v>555</v>
      </c>
      <c r="D126" s="131"/>
      <c r="E126" s="643"/>
      <c r="F126" s="131"/>
      <c r="G126" s="148"/>
      <c r="H126" s="148"/>
      <c r="I126" s="148"/>
      <c r="J126" s="106"/>
      <c r="K126" s="106"/>
      <c r="L126" s="106"/>
      <c r="M126" s="106"/>
      <c r="N126" s="612"/>
      <c r="O126" s="203"/>
      <c r="P126" s="136"/>
      <c r="Q126" s="131"/>
      <c r="R126" s="603"/>
      <c r="S126" s="131"/>
      <c r="T126" s="131"/>
      <c r="U126" s="131"/>
      <c r="V126" s="605"/>
    </row>
    <row r="127" spans="3:22" s="37" customFormat="1">
      <c r="C127" s="131"/>
      <c r="D127" s="616" t="str">
        <f>D$20</f>
        <v>Nr 3dp</v>
      </c>
      <c r="E127" s="643" t="str">
        <f>E$20</f>
        <v>Discount factors</v>
      </c>
      <c r="F127" s="616"/>
      <c r="G127" s="616"/>
      <c r="H127" s="616"/>
      <c r="I127" s="616"/>
      <c r="J127" s="617"/>
      <c r="K127" s="617"/>
      <c r="L127" s="617"/>
      <c r="M127" s="617"/>
      <c r="N127" s="618"/>
      <c r="O127" s="619"/>
      <c r="P127" s="613"/>
      <c r="Q127" s="616"/>
      <c r="R127" s="620">
        <f>R$20</f>
        <v>1</v>
      </c>
      <c r="S127" s="616">
        <f>S$20</f>
        <v>0.96525096525096521</v>
      </c>
      <c r="T127" s="616">
        <f>T$20</f>
        <v>0.93170942591792005</v>
      </c>
      <c r="U127" s="616">
        <f>U$20</f>
        <v>0.89933342270069505</v>
      </c>
      <c r="V127" s="621">
        <f>V$20</f>
        <v>0.8680824543443002</v>
      </c>
    </row>
    <row r="128" spans="3:22" s="37" customFormat="1">
      <c r="C128" s="131"/>
      <c r="D128" s="131" t="s">
        <v>57</v>
      </c>
      <c r="E128" s="643" t="s">
        <v>411</v>
      </c>
      <c r="F128" s="131"/>
      <c r="G128" s="148"/>
      <c r="H128" s="148"/>
      <c r="I128" s="148"/>
      <c r="J128" s="106"/>
      <c r="K128" s="106"/>
      <c r="L128" s="106"/>
      <c r="M128" s="106"/>
      <c r="N128" s="612"/>
      <c r="O128" s="203"/>
      <c r="P128" s="136"/>
      <c r="Q128" s="131"/>
      <c r="R128" s="603">
        <f>R123*R127</f>
        <v>2.6748477890075799</v>
      </c>
      <c r="S128" s="616">
        <f t="shared" ref="S128:V128" si="28">S123*S127</f>
        <v>2.1681656726692919</v>
      </c>
      <c r="T128" s="616">
        <f t="shared" si="28"/>
        <v>-3.7008744905977262</v>
      </c>
      <c r="U128" s="616">
        <f t="shared" si="28"/>
        <v>-8.3477992433616848</v>
      </c>
      <c r="V128" s="621">
        <f t="shared" si="28"/>
        <v>-8.7994998945970249</v>
      </c>
    </row>
    <row r="129" spans="1:22" s="37" customFormat="1">
      <c r="C129" s="131"/>
      <c r="D129" s="131" t="s">
        <v>57</v>
      </c>
      <c r="E129" s="643" t="s">
        <v>412</v>
      </c>
      <c r="F129" s="131"/>
      <c r="G129" s="148"/>
      <c r="H129" s="148"/>
      <c r="I129" s="148"/>
      <c r="J129" s="106"/>
      <c r="K129" s="106"/>
      <c r="L129" s="106"/>
      <c r="M129" s="106"/>
      <c r="N129" s="612"/>
      <c r="O129" s="203"/>
      <c r="P129" s="136"/>
      <c r="Q129" s="131"/>
      <c r="R129" s="603">
        <f>R124*R127</f>
        <v>1.1057906122052865</v>
      </c>
      <c r="S129" s="616">
        <f t="shared" ref="S129:V129" si="29">S124*S127</f>
        <v>-10.584280467648576</v>
      </c>
      <c r="T129" s="616">
        <f t="shared" si="29"/>
        <v>-24.057882774183106</v>
      </c>
      <c r="U129" s="616">
        <f t="shared" si="29"/>
        <v>-28.881804272127816</v>
      </c>
      <c r="V129" s="621">
        <f t="shared" si="29"/>
        <v>-27.570782512845899</v>
      </c>
    </row>
    <row r="130" spans="1:22" s="37" customFormat="1">
      <c r="C130" s="131"/>
      <c r="D130" s="131" t="s">
        <v>57</v>
      </c>
      <c r="E130" s="643" t="s">
        <v>557</v>
      </c>
      <c r="F130" s="131"/>
      <c r="G130" s="148"/>
      <c r="H130" s="148"/>
      <c r="I130" s="148"/>
      <c r="J130" s="106"/>
      <c r="K130" s="106"/>
      <c r="L130" s="106"/>
      <c r="M130" s="106"/>
      <c r="N130" s="612"/>
      <c r="O130" s="203"/>
      <c r="P130" s="622">
        <f>SUM(R128:V128)</f>
        <v>-16.005160166879563</v>
      </c>
      <c r="Q130" s="131"/>
      <c r="R130" s="603"/>
      <c r="S130" s="131"/>
      <c r="T130" s="131"/>
      <c r="U130" s="131"/>
      <c r="V130" s="605"/>
    </row>
    <row r="131" spans="1:22" s="37" customFormat="1">
      <c r="C131" s="131"/>
      <c r="D131" s="131" t="s">
        <v>57</v>
      </c>
      <c r="E131" s="643" t="s">
        <v>558</v>
      </c>
      <c r="F131" s="155"/>
      <c r="G131" s="148"/>
      <c r="H131" s="148"/>
      <c r="I131" s="148"/>
      <c r="J131" s="156"/>
      <c r="K131" s="156"/>
      <c r="L131" s="156"/>
      <c r="M131" s="156"/>
      <c r="N131" s="365"/>
      <c r="O131" s="157"/>
      <c r="P131" s="622">
        <f>SUM(R129:V129)</f>
        <v>-89.988959414600117</v>
      </c>
      <c r="Q131" s="148"/>
      <c r="R131" s="594"/>
      <c r="S131" s="131"/>
      <c r="T131" s="131"/>
      <c r="U131" s="131"/>
      <c r="V131" s="595"/>
    </row>
    <row r="132" spans="1:22" s="37" customFormat="1">
      <c r="C132" s="131"/>
      <c r="D132" s="153"/>
      <c r="E132" s="646"/>
      <c r="F132" s="155"/>
      <c r="G132" s="148"/>
      <c r="H132" s="148"/>
      <c r="I132" s="148"/>
      <c r="J132" s="156"/>
      <c r="K132" s="156"/>
      <c r="L132" s="156"/>
      <c r="M132" s="156"/>
      <c r="N132" s="365"/>
      <c r="O132" s="157"/>
      <c r="P132" s="158"/>
      <c r="Q132" s="148"/>
      <c r="R132" s="594"/>
      <c r="S132" s="131"/>
      <c r="T132" s="131"/>
      <c r="U132" s="131"/>
      <c r="V132" s="595"/>
    </row>
    <row r="133" spans="1:22">
      <c r="A133" s="479"/>
      <c r="B133" s="452"/>
      <c r="C133" s="574"/>
      <c r="D133" s="481"/>
      <c r="E133" s="647" t="s">
        <v>538</v>
      </c>
      <c r="F133" s="440"/>
      <c r="G133" s="440"/>
      <c r="H133" s="440"/>
      <c r="I133" s="440"/>
      <c r="J133" s="440"/>
      <c r="K133" s="440"/>
      <c r="L133" s="440"/>
      <c r="M133" s="440"/>
      <c r="N133" s="446"/>
      <c r="O133" s="440"/>
      <c r="P133" s="475"/>
      <c r="Q133" s="476"/>
      <c r="R133" s="592"/>
      <c r="S133" s="503"/>
      <c r="T133" s="503"/>
      <c r="U133" s="503"/>
      <c r="V133" s="593"/>
    </row>
    <row r="134" spans="1:22" s="37" customFormat="1">
      <c r="C134" s="131"/>
      <c r="D134" s="153"/>
      <c r="E134" s="646"/>
      <c r="F134" s="155"/>
      <c r="G134" s="148"/>
      <c r="H134" s="148"/>
      <c r="I134" s="148"/>
      <c r="J134" s="156"/>
      <c r="K134" s="156"/>
      <c r="L134" s="156"/>
      <c r="M134" s="156"/>
      <c r="N134" s="365"/>
      <c r="O134" s="157"/>
      <c r="P134" s="158"/>
      <c r="Q134" s="148"/>
      <c r="R134" s="594"/>
      <c r="S134" s="131"/>
      <c r="T134" s="131"/>
      <c r="U134" s="131"/>
      <c r="V134" s="595"/>
    </row>
    <row r="135" spans="1:22" s="37" customFormat="1">
      <c r="C135" s="131"/>
      <c r="D135" s="153" t="s">
        <v>16</v>
      </c>
      <c r="E135" s="646" t="s">
        <v>536</v>
      </c>
      <c r="F135" s="155"/>
      <c r="G135" s="148"/>
      <c r="H135" s="148"/>
      <c r="I135" s="148"/>
      <c r="J135" s="156"/>
      <c r="K135" s="156"/>
      <c r="L135" s="156"/>
      <c r="M135" s="156"/>
      <c r="N135" s="365"/>
      <c r="O135" s="157"/>
      <c r="P135" s="602">
        <f>'Input BYR'!$O$154</f>
        <v>1</v>
      </c>
      <c r="Q135" s="148"/>
      <c r="R135" s="594"/>
      <c r="S135" s="131"/>
      <c r="T135" s="131"/>
      <c r="U135" s="131"/>
      <c r="V135" s="595"/>
    </row>
    <row r="136" spans="1:22" s="37" customFormat="1">
      <c r="C136" s="131"/>
      <c r="D136" s="153"/>
      <c r="E136" s="643"/>
      <c r="F136" s="131"/>
      <c r="G136" s="131"/>
      <c r="H136" s="131"/>
      <c r="I136" s="131"/>
      <c r="J136" s="156"/>
      <c r="K136" s="156"/>
      <c r="L136" s="156"/>
      <c r="M136" s="156"/>
      <c r="N136" s="365"/>
      <c r="P136" s="625"/>
      <c r="Q136" s="131"/>
      <c r="R136" s="594"/>
      <c r="S136" s="131"/>
      <c r="T136" s="131"/>
      <c r="U136" s="131"/>
      <c r="V136" s="595"/>
    </row>
    <row r="137" spans="1:22" s="37" customFormat="1">
      <c r="C137" s="153">
        <f>C31</f>
        <v>0</v>
      </c>
      <c r="D137" s="153" t="str">
        <f>D31</f>
        <v>£m 3dp</v>
      </c>
      <c r="E137" s="646" t="str">
        <f>E31</f>
        <v>Water: value of ex post revenue adjustment if applied in first year (2012-13 prices)</v>
      </c>
      <c r="F137" s="131"/>
      <c r="G137" s="131"/>
      <c r="H137" s="131"/>
      <c r="I137" s="131"/>
      <c r="J137" s="156"/>
      <c r="K137" s="156"/>
      <c r="L137" s="156"/>
      <c r="M137" s="156"/>
      <c r="N137" s="604"/>
      <c r="P137" s="136"/>
      <c r="Q137" s="131"/>
      <c r="R137" s="620">
        <f>R31</f>
        <v>-16.005160166879563</v>
      </c>
      <c r="S137" s="616">
        <f>S31</f>
        <v>0</v>
      </c>
      <c r="T137" s="616">
        <f>T31</f>
        <v>0</v>
      </c>
      <c r="U137" s="616">
        <f>U31</f>
        <v>0</v>
      </c>
      <c r="V137" s="621">
        <f>V31</f>
        <v>0</v>
      </c>
    </row>
    <row r="138" spans="1:22" s="37" customFormat="1">
      <c r="C138" s="131">
        <f>C47</f>
        <v>1</v>
      </c>
      <c r="D138" s="131" t="str">
        <f>D47</f>
        <v>£m 3dp</v>
      </c>
      <c r="E138" s="643" t="str">
        <f>E47</f>
        <v>Water: value of ex post revenue adjustment with 5-year annuity approach (2012-13 prices)</v>
      </c>
      <c r="F138" s="131"/>
      <c r="G138" s="131"/>
      <c r="H138" s="131"/>
      <c r="I138" s="131"/>
      <c r="J138" s="156"/>
      <c r="K138" s="156"/>
      <c r="L138" s="156"/>
      <c r="M138" s="156"/>
      <c r="N138" s="604"/>
      <c r="P138" s="136"/>
      <c r="Q138" s="131"/>
      <c r="R138" s="620">
        <f>R47</f>
        <v>-3.4313612896003316</v>
      </c>
      <c r="S138" s="616">
        <f>S47</f>
        <v>-3.4313612896003316</v>
      </c>
      <c r="T138" s="616">
        <f>T47</f>
        <v>-3.4313612896003316</v>
      </c>
      <c r="U138" s="616">
        <f>U47</f>
        <v>-3.4313612896003316</v>
      </c>
      <c r="V138" s="621">
        <f>V47</f>
        <v>-3.4313612896003316</v>
      </c>
    </row>
    <row r="139" spans="1:22" s="37" customFormat="1">
      <c r="C139" s="131">
        <f>C64</f>
        <v>2</v>
      </c>
      <c r="D139" s="131" t="str">
        <f>D64</f>
        <v>£m 3dp</v>
      </c>
      <c r="E139" s="643" t="str">
        <f>E64</f>
        <v>Water: value of ex post revenue adjustment with Non NPV neutral even allocation(2012-13 prices)</v>
      </c>
      <c r="F139" s="131"/>
      <c r="G139" s="131"/>
      <c r="H139" s="131"/>
      <c r="I139" s="131"/>
      <c r="J139" s="156"/>
      <c r="K139" s="156"/>
      <c r="L139" s="156"/>
      <c r="M139" s="156"/>
      <c r="N139" s="604"/>
      <c r="P139" s="136"/>
      <c r="Q139" s="131"/>
      <c r="R139" s="620">
        <f>R64</f>
        <v>-3.2010320333759124</v>
      </c>
      <c r="S139" s="616">
        <f>S64</f>
        <v>-3.2010320333759124</v>
      </c>
      <c r="T139" s="616">
        <f>T64</f>
        <v>-3.2010320333759124</v>
      </c>
      <c r="U139" s="616">
        <f>U64</f>
        <v>-3.2010320333759124</v>
      </c>
      <c r="V139" s="621">
        <f>V64</f>
        <v>-3.2010320333759124</v>
      </c>
    </row>
    <row r="140" spans="1:22" s="37" customFormat="1">
      <c r="C140" s="131">
        <f>C82</f>
        <v>3</v>
      </c>
      <c r="D140" s="131" t="str">
        <f>D82</f>
        <v>£m 3dp</v>
      </c>
      <c r="E140" s="643" t="str">
        <f>E82</f>
        <v>Water: value of ex post revenue adjustment with NPV neutral even allocation(2012-13 prices)</v>
      </c>
      <c r="F140" s="131"/>
      <c r="G140" s="131"/>
      <c r="H140" s="131"/>
      <c r="I140" s="131"/>
      <c r="J140" s="156"/>
      <c r="K140" s="156"/>
      <c r="L140" s="156"/>
      <c r="M140" s="156"/>
      <c r="N140" s="604"/>
      <c r="P140" s="136"/>
      <c r="Q140" s="131"/>
      <c r="R140" s="620">
        <f>R82</f>
        <v>-3.2010320333759124</v>
      </c>
      <c r="S140" s="616">
        <f>S82</f>
        <v>-3.3162691865774452</v>
      </c>
      <c r="T140" s="616">
        <f>T82</f>
        <v>-3.4356548772942332</v>
      </c>
      <c r="U140" s="616">
        <f>U82</f>
        <v>-3.5593384528768257</v>
      </c>
      <c r="V140" s="621">
        <f>V82</f>
        <v>-3.6874746371803915</v>
      </c>
    </row>
    <row r="141" spans="1:22" s="37" customFormat="1">
      <c r="C141" s="131">
        <f>C94</f>
        <v>4</v>
      </c>
      <c r="D141" s="131" t="str">
        <f>D94</f>
        <v>£m 3dp</v>
      </c>
      <c r="E141" s="643" t="str">
        <f>E94</f>
        <v>Water: value of ex post revenue adjustment with lagged annual values non NPV neutral (2012-13 prices)</v>
      </c>
      <c r="F141" s="131"/>
      <c r="G141" s="131"/>
      <c r="H141" s="131"/>
      <c r="I141" s="131"/>
      <c r="J141" s="156"/>
      <c r="K141" s="156"/>
      <c r="L141" s="156"/>
      <c r="M141" s="156"/>
      <c r="N141" s="604"/>
      <c r="P141" s="136"/>
      <c r="Q141" s="131"/>
      <c r="R141" s="620">
        <f>R94</f>
        <v>2.3178887785434723</v>
      </c>
      <c r="S141" s="616">
        <f>S94</f>
        <v>1.9464611451451368</v>
      </c>
      <c r="T141" s="616">
        <f>T94</f>
        <v>-3.4420516824176519</v>
      </c>
      <c r="U141" s="616">
        <f>U94</f>
        <v>-8.0434947300181481</v>
      </c>
      <c r="V141" s="621">
        <f>V94</f>
        <v>-8.7839636781323716</v>
      </c>
    </row>
    <row r="142" spans="1:22" s="37" customFormat="1">
      <c r="C142" s="131">
        <f>C123</f>
        <v>5</v>
      </c>
      <c r="D142" s="131" t="str">
        <f t="shared" ref="D142:E142" si="30">D123</f>
        <v>£m 3dp</v>
      </c>
      <c r="E142" s="643" t="str">
        <f t="shared" si="30"/>
        <v>Water: value of ex post revenue adjustment with lagged annual values NPV neutral (2012-13 prices)</v>
      </c>
      <c r="F142" s="131"/>
      <c r="G142" s="131"/>
      <c r="H142" s="131"/>
      <c r="I142" s="131"/>
      <c r="J142" s="156"/>
      <c r="K142" s="156"/>
      <c r="L142" s="156"/>
      <c r="M142" s="156"/>
      <c r="N142" s="604"/>
      <c r="P142" s="136"/>
      <c r="Q142" s="131"/>
      <c r="R142" s="620">
        <f t="shared" ref="R142:V142" si="31">R123</f>
        <v>2.6748477890075799</v>
      </c>
      <c r="S142" s="616">
        <f t="shared" si="31"/>
        <v>2.2462196368853866</v>
      </c>
      <c r="T142" s="616">
        <f t="shared" si="31"/>
        <v>-3.9721337872605775</v>
      </c>
      <c r="U142" s="616">
        <f t="shared" si="31"/>
        <v>-9.2822072800244353</v>
      </c>
      <c r="V142" s="621">
        <f t="shared" si="31"/>
        <v>-10.136709768248528</v>
      </c>
    </row>
    <row r="143" spans="1:22" s="37" customFormat="1">
      <c r="C143" s="131"/>
      <c r="D143" s="632" t="s">
        <v>57</v>
      </c>
      <c r="E143" s="648" t="s">
        <v>411</v>
      </c>
      <c r="F143" s="632"/>
      <c r="G143" s="131"/>
      <c r="H143" s="131"/>
      <c r="I143" s="131"/>
      <c r="J143" s="156"/>
      <c r="K143" s="156"/>
      <c r="L143" s="156"/>
      <c r="M143" s="156"/>
      <c r="N143" s="604"/>
      <c r="P143" s="136"/>
      <c r="Q143" s="131"/>
      <c r="R143" s="629">
        <f>CHOOSE($P$135+1,R137,R138,R139,R140,R141,R142)</f>
        <v>-3.4313612896003316</v>
      </c>
      <c r="S143" s="630">
        <f t="shared" ref="S143:V143" si="32">CHOOSE($P$135+1,S137,S138,S139,S140,S141,S142)</f>
        <v>-3.4313612896003316</v>
      </c>
      <c r="T143" s="630">
        <f t="shared" si="32"/>
        <v>-3.4313612896003316</v>
      </c>
      <c r="U143" s="630">
        <f t="shared" si="32"/>
        <v>-3.4313612896003316</v>
      </c>
      <c r="V143" s="631">
        <f t="shared" si="32"/>
        <v>-3.4313612896003316</v>
      </c>
    </row>
    <row r="144" spans="1:22" s="37" customFormat="1">
      <c r="C144" s="131"/>
      <c r="D144" s="153"/>
      <c r="E144" s="643"/>
      <c r="F144" s="131"/>
      <c r="G144" s="131"/>
      <c r="H144" s="131"/>
      <c r="I144" s="131"/>
      <c r="J144" s="156"/>
      <c r="K144" s="156"/>
      <c r="L144" s="156"/>
      <c r="M144" s="156"/>
      <c r="N144" s="604"/>
      <c r="P144" s="136"/>
      <c r="Q144" s="131"/>
      <c r="R144" s="620"/>
      <c r="S144" s="616"/>
      <c r="T144" s="616"/>
      <c r="U144" s="616"/>
      <c r="V144" s="621"/>
    </row>
    <row r="145" spans="1:22" s="37" customFormat="1">
      <c r="C145" s="131">
        <f>C32</f>
        <v>0</v>
      </c>
      <c r="D145" s="131" t="str">
        <f>D32</f>
        <v>£m 3dp</v>
      </c>
      <c r="E145" s="643" t="str">
        <f>E32</f>
        <v>Sewerage: value of ex post revenue adjustment if applied in first year (2012-13 prices)</v>
      </c>
      <c r="F145" s="131"/>
      <c r="G145" s="131"/>
      <c r="H145" s="131"/>
      <c r="I145" s="131"/>
      <c r="J145" s="156"/>
      <c r="K145" s="156"/>
      <c r="L145" s="156"/>
      <c r="M145" s="156"/>
      <c r="N145" s="604"/>
      <c r="P145" s="136"/>
      <c r="Q145" s="131"/>
      <c r="R145" s="620">
        <f>R32</f>
        <v>-89.988959414600103</v>
      </c>
      <c r="S145" s="616">
        <f>S32</f>
        <v>0</v>
      </c>
      <c r="T145" s="616">
        <f>T32</f>
        <v>0</v>
      </c>
      <c r="U145" s="616">
        <f>U32</f>
        <v>0</v>
      </c>
      <c r="V145" s="621">
        <f>V32</f>
        <v>0</v>
      </c>
    </row>
    <row r="146" spans="1:22" s="37" customFormat="1">
      <c r="C146" s="131">
        <f>C48</f>
        <v>1</v>
      </c>
      <c r="D146" s="131" t="str">
        <f>D48</f>
        <v>£m 3dp</v>
      </c>
      <c r="E146" s="643" t="str">
        <f>E48</f>
        <v>Sewerage: value of ex post revenue adjustment with 5-year annuity approach (2012-13 prices)</v>
      </c>
      <c r="F146" s="131"/>
      <c r="G146" s="131"/>
      <c r="H146" s="131"/>
      <c r="I146" s="131"/>
      <c r="J146" s="156"/>
      <c r="K146" s="156"/>
      <c r="L146" s="156"/>
      <c r="M146" s="156"/>
      <c r="N146" s="604"/>
      <c r="P146" s="136"/>
      <c r="Q146" s="131"/>
      <c r="R146" s="620">
        <f>R48</f>
        <v>-19.292817354346798</v>
      </c>
      <c r="S146" s="616">
        <f>S48</f>
        <v>-19.292817354346798</v>
      </c>
      <c r="T146" s="616">
        <f>T48</f>
        <v>-19.292817354346798</v>
      </c>
      <c r="U146" s="616">
        <f>U48</f>
        <v>-19.292817354346798</v>
      </c>
      <c r="V146" s="621">
        <f>V48</f>
        <v>-19.292817354346798</v>
      </c>
    </row>
    <row r="147" spans="1:22" s="37" customFormat="1">
      <c r="C147" s="131">
        <f>C65</f>
        <v>2</v>
      </c>
      <c r="D147" s="131" t="str">
        <f>D65</f>
        <v>£m 3dp</v>
      </c>
      <c r="E147" s="643" t="str">
        <f>E65</f>
        <v>Sewerage: value of ex post revenue adjustment with Non NPV neutral even allocation(2012-13 prices)</v>
      </c>
      <c r="F147" s="131"/>
      <c r="G147" s="131"/>
      <c r="H147" s="131"/>
      <c r="I147" s="131"/>
      <c r="J147" s="156"/>
      <c r="K147" s="156"/>
      <c r="L147" s="156"/>
      <c r="M147" s="156"/>
      <c r="N147" s="604"/>
      <c r="P147" s="136"/>
      <c r="Q147" s="131"/>
      <c r="R147" s="620">
        <f>R65</f>
        <v>-17.997791882920019</v>
      </c>
      <c r="S147" s="616">
        <f>S65</f>
        <v>-17.997791882920019</v>
      </c>
      <c r="T147" s="616">
        <f>T65</f>
        <v>-17.997791882920019</v>
      </c>
      <c r="U147" s="616">
        <f>U65</f>
        <v>-17.997791882920019</v>
      </c>
      <c r="V147" s="621">
        <f>V65</f>
        <v>-17.997791882920019</v>
      </c>
    </row>
    <row r="148" spans="1:22" s="37" customFormat="1">
      <c r="C148" s="131">
        <f>C83</f>
        <v>3</v>
      </c>
      <c r="D148" s="131" t="str">
        <f>D83</f>
        <v>£m 3dp</v>
      </c>
      <c r="E148" s="643" t="str">
        <f>E83</f>
        <v>Sewerage: value of ex post revenue adjustment with NPV neutral even allocation(2012-13 prices)</v>
      </c>
      <c r="F148" s="131"/>
      <c r="G148" s="131"/>
      <c r="H148" s="131"/>
      <c r="I148" s="131"/>
      <c r="J148" s="156"/>
      <c r="K148" s="156"/>
      <c r="L148" s="156"/>
      <c r="M148" s="156"/>
      <c r="N148" s="604"/>
      <c r="P148" s="136"/>
      <c r="Q148" s="131"/>
      <c r="R148" s="620">
        <f>R83</f>
        <v>-17.997791882920019</v>
      </c>
      <c r="S148" s="616">
        <f>S83</f>
        <v>-18.645712390705139</v>
      </c>
      <c r="T148" s="616">
        <f>T83</f>
        <v>-19.316958036770526</v>
      </c>
      <c r="U148" s="616">
        <f>U83</f>
        <v>-20.012368526094264</v>
      </c>
      <c r="V148" s="621">
        <f>V83</f>
        <v>-20.73281379303366</v>
      </c>
    </row>
    <row r="149" spans="1:22" s="37" customFormat="1">
      <c r="C149" s="131">
        <f>C95</f>
        <v>4</v>
      </c>
      <c r="D149" s="131" t="str">
        <f>D95</f>
        <v>£m 3dp</v>
      </c>
      <c r="E149" s="643" t="str">
        <f>E95</f>
        <v>Sewerage: value of ex post revenue adjustment with lagged annual values non NPV neutral (2012-13 prices)</v>
      </c>
      <c r="F149" s="131"/>
      <c r="G149" s="131"/>
      <c r="H149" s="131"/>
      <c r="I149" s="131"/>
      <c r="J149" s="156"/>
      <c r="K149" s="156"/>
      <c r="L149" s="156"/>
      <c r="M149" s="156"/>
      <c r="N149" s="604"/>
      <c r="P149" s="136"/>
      <c r="Q149" s="131"/>
      <c r="R149" s="620">
        <f>R95</f>
        <v>0.99952747036928991</v>
      </c>
      <c r="S149" s="616">
        <f>S95</f>
        <v>-9.9115809154721184</v>
      </c>
      <c r="T149" s="616">
        <f>T95</f>
        <v>-23.339887108065838</v>
      </c>
      <c r="U149" s="616">
        <f>U95</f>
        <v>-29.028555321623635</v>
      </c>
      <c r="V149" s="621">
        <f>V95</f>
        <v>-28.708463539807795</v>
      </c>
    </row>
    <row r="150" spans="1:22" s="37" customFormat="1">
      <c r="C150" s="131">
        <f>C124</f>
        <v>5</v>
      </c>
      <c r="D150" s="131" t="str">
        <f t="shared" ref="D150:E150" si="33">D124</f>
        <v>£m 3dp</v>
      </c>
      <c r="E150" s="643" t="str">
        <f t="shared" si="33"/>
        <v>Sewerage: value of ex post revenue adjustment with lagged annual values NPV neutral (2012-13 prices)</v>
      </c>
      <c r="F150" s="131"/>
      <c r="G150" s="131"/>
      <c r="H150" s="131"/>
      <c r="I150" s="131"/>
      <c r="J150" s="156"/>
      <c r="K150" s="156"/>
      <c r="L150" s="156"/>
      <c r="M150" s="156"/>
      <c r="N150" s="604"/>
      <c r="P150" s="136"/>
      <c r="Q150" s="131"/>
      <c r="R150" s="620">
        <f t="shared" ref="R150:V150" si="34">R124</f>
        <v>1.1057906122052865</v>
      </c>
      <c r="S150" s="616">
        <f t="shared" si="34"/>
        <v>-10.965314564483924</v>
      </c>
      <c r="T150" s="616">
        <f t="shared" si="34"/>
        <v>-25.821229349999633</v>
      </c>
      <c r="U150" s="616">
        <f t="shared" si="34"/>
        <v>-32.114679097987775</v>
      </c>
      <c r="V150" s="621">
        <f t="shared" si="34"/>
        <v>-31.760557277558721</v>
      </c>
    </row>
    <row r="151" spans="1:22" s="37" customFormat="1">
      <c r="C151" s="131"/>
      <c r="D151" s="632" t="s">
        <v>57</v>
      </c>
      <c r="E151" s="648" t="s">
        <v>412</v>
      </c>
      <c r="F151" s="632"/>
      <c r="G151" s="131"/>
      <c r="H151" s="131"/>
      <c r="I151" s="131"/>
      <c r="J151" s="156"/>
      <c r="K151" s="156"/>
      <c r="L151" s="156"/>
      <c r="M151" s="156"/>
      <c r="N151" s="604"/>
      <c r="P151" s="136"/>
      <c r="Q151" s="131"/>
      <c r="R151" s="629">
        <f>CHOOSE($P$135+1,R145,R146,R147,R148,R149,R150)</f>
        <v>-19.292817354346798</v>
      </c>
      <c r="S151" s="630">
        <f t="shared" ref="S151:V151" si="35">CHOOSE($P$135+1,S145,S146,S147,S148,S149,S150)</f>
        <v>-19.292817354346798</v>
      </c>
      <c r="T151" s="630">
        <f t="shared" si="35"/>
        <v>-19.292817354346798</v>
      </c>
      <c r="U151" s="630">
        <f t="shared" si="35"/>
        <v>-19.292817354346798</v>
      </c>
      <c r="V151" s="631">
        <f t="shared" si="35"/>
        <v>-19.292817354346798</v>
      </c>
    </row>
    <row r="152" spans="1:22" s="37" customFormat="1">
      <c r="C152" s="131"/>
      <c r="D152" s="153"/>
      <c r="E152" s="643"/>
      <c r="F152" s="131"/>
      <c r="G152" s="131"/>
      <c r="H152" s="131"/>
      <c r="I152" s="131"/>
      <c r="J152" s="156"/>
      <c r="K152" s="156"/>
      <c r="L152" s="156"/>
      <c r="M152" s="156"/>
      <c r="N152" s="604"/>
      <c r="P152" s="136"/>
      <c r="Q152" s="131"/>
      <c r="R152" s="594"/>
      <c r="S152" s="131"/>
      <c r="T152" s="131"/>
      <c r="U152" s="131"/>
      <c r="V152" s="605"/>
    </row>
    <row r="153" spans="1:22" s="37" customFormat="1">
      <c r="C153" s="131"/>
      <c r="D153" s="153"/>
      <c r="E153" s="643"/>
      <c r="F153" s="131"/>
      <c r="G153" s="131"/>
      <c r="H153" s="131"/>
      <c r="I153" s="131"/>
      <c r="J153" s="156"/>
      <c r="K153" s="156"/>
      <c r="L153" s="156"/>
      <c r="M153" s="156"/>
      <c r="N153" s="604"/>
      <c r="P153" s="136"/>
      <c r="Q153" s="131"/>
      <c r="R153" s="594"/>
      <c r="S153" s="131"/>
      <c r="T153" s="131"/>
      <c r="U153" s="131"/>
      <c r="V153" s="605"/>
    </row>
    <row r="154" spans="1:22">
      <c r="A154" s="479"/>
      <c r="B154" s="452"/>
      <c r="C154" s="574"/>
      <c r="D154" s="481"/>
      <c r="E154" s="647" t="s">
        <v>539</v>
      </c>
      <c r="F154" s="440"/>
      <c r="G154" s="440"/>
      <c r="H154" s="440"/>
      <c r="I154" s="440"/>
      <c r="J154" s="440"/>
      <c r="K154" s="440"/>
      <c r="L154" s="440"/>
      <c r="M154" s="440"/>
      <c r="N154" s="446"/>
      <c r="O154" s="440"/>
      <c r="P154" s="475"/>
      <c r="Q154" s="476"/>
      <c r="R154" s="592"/>
      <c r="S154" s="503"/>
      <c r="T154" s="503"/>
      <c r="U154" s="503"/>
      <c r="V154" s="593"/>
    </row>
    <row r="155" spans="1:22" s="37" customFormat="1">
      <c r="C155" s="131"/>
      <c r="D155" s="131"/>
      <c r="E155" s="643"/>
      <c r="F155" s="131"/>
      <c r="G155" s="131"/>
      <c r="H155" s="131"/>
      <c r="I155" s="131"/>
      <c r="J155" s="156"/>
      <c r="K155" s="156"/>
      <c r="L155" s="156"/>
      <c r="M155" s="156"/>
      <c r="N155" s="365"/>
      <c r="P155" s="136"/>
      <c r="Q155" s="131"/>
      <c r="R155" s="594"/>
      <c r="S155" s="131"/>
      <c r="T155" s="131"/>
      <c r="U155" s="131"/>
      <c r="V155" s="595"/>
    </row>
    <row r="156" spans="1:22" s="37" customFormat="1">
      <c r="B156" s="109"/>
      <c r="C156" s="104" t="s">
        <v>713</v>
      </c>
      <c r="D156" s="104" t="s">
        <v>57</v>
      </c>
      <c r="E156" s="643" t="s">
        <v>411</v>
      </c>
      <c r="F156" s="131"/>
      <c r="G156" s="131"/>
      <c r="H156" s="131"/>
      <c r="I156" s="131"/>
      <c r="J156" s="156"/>
      <c r="K156" s="156"/>
      <c r="L156" s="156"/>
      <c r="M156" s="156"/>
      <c r="N156" s="365"/>
      <c r="P156" s="136"/>
      <c r="Q156" s="131"/>
      <c r="R156" s="626">
        <f>R143</f>
        <v>-3.4313612896003316</v>
      </c>
      <c r="S156" s="627">
        <f t="shared" ref="S156:V156" si="36">S143</f>
        <v>-3.4313612896003316</v>
      </c>
      <c r="T156" s="627">
        <f t="shared" si="36"/>
        <v>-3.4313612896003316</v>
      </c>
      <c r="U156" s="627">
        <f t="shared" si="36"/>
        <v>-3.4313612896003316</v>
      </c>
      <c r="V156" s="628">
        <f t="shared" si="36"/>
        <v>-3.4313612896003316</v>
      </c>
    </row>
    <row r="157" spans="1:22" s="37" customFormat="1">
      <c r="B157" s="109"/>
      <c r="C157" s="104" t="s">
        <v>714</v>
      </c>
      <c r="D157" s="104" t="s">
        <v>57</v>
      </c>
      <c r="E157" s="643" t="s">
        <v>412</v>
      </c>
      <c r="F157" s="131"/>
      <c r="G157" s="131"/>
      <c r="H157" s="131"/>
      <c r="I157" s="131"/>
      <c r="J157" s="156"/>
      <c r="K157" s="156"/>
      <c r="L157" s="156"/>
      <c r="M157" s="156"/>
      <c r="N157" s="365"/>
      <c r="P157" s="136"/>
      <c r="Q157" s="131"/>
      <c r="R157" s="626">
        <f>R151</f>
        <v>-19.292817354346798</v>
      </c>
      <c r="S157" s="627">
        <f t="shared" ref="S157:V157" si="37">S151</f>
        <v>-19.292817354346798</v>
      </c>
      <c r="T157" s="627">
        <f t="shared" si="37"/>
        <v>-19.292817354346798</v>
      </c>
      <c r="U157" s="627">
        <f t="shared" si="37"/>
        <v>-19.292817354346798</v>
      </c>
      <c r="V157" s="628">
        <f t="shared" si="37"/>
        <v>-19.292817354346798</v>
      </c>
    </row>
    <row r="158" spans="1:22" s="37" customFormat="1">
      <c r="C158" s="131"/>
      <c r="D158" s="153"/>
      <c r="E158" s="643"/>
      <c r="F158" s="131"/>
      <c r="G158" s="131"/>
      <c r="H158" s="131"/>
      <c r="I158" s="131"/>
      <c r="J158" s="159"/>
      <c r="K158" s="159"/>
      <c r="L158" s="159"/>
      <c r="M158" s="159"/>
      <c r="N158" s="362"/>
      <c r="P158" s="136"/>
      <c r="Q158" s="131"/>
      <c r="R158" s="594"/>
      <c r="S158" s="131"/>
      <c r="T158" s="131"/>
      <c r="U158" s="131"/>
      <c r="V158" s="595"/>
    </row>
    <row r="159" spans="1:22" s="37" customFormat="1">
      <c r="A159" s="209"/>
      <c r="B159" s="209"/>
      <c r="C159" s="209"/>
      <c r="D159" s="209"/>
      <c r="E159" s="649"/>
      <c r="F159" s="209"/>
      <c r="G159" s="209"/>
      <c r="H159" s="209"/>
      <c r="I159" s="209"/>
      <c r="J159" s="211"/>
      <c r="K159" s="211"/>
      <c r="L159" s="211"/>
      <c r="M159" s="211"/>
      <c r="N159" s="212"/>
      <c r="O159" s="109"/>
      <c r="P159" s="188"/>
      <c r="Q159" s="131"/>
      <c r="R159" s="598"/>
      <c r="S159" s="599"/>
      <c r="T159" s="599"/>
      <c r="U159" s="599"/>
      <c r="V159" s="600"/>
    </row>
    <row r="160" spans="1:22">
      <c r="E160" s="643"/>
    </row>
    <row r="161" spans="8:14">
      <c r="J161" s="353"/>
      <c r="K161" s="353"/>
      <c r="L161" s="353"/>
      <c r="M161" s="353"/>
      <c r="N161" s="353"/>
    </row>
    <row r="163" spans="8:14">
      <c r="H163" s="22"/>
      <c r="J163" s="353"/>
      <c r="K163" s="353"/>
      <c r="L163" s="353"/>
      <c r="M163" s="353"/>
      <c r="N163" s="353"/>
    </row>
    <row r="164" spans="8:14">
      <c r="J164" s="354"/>
      <c r="K164" s="354"/>
      <c r="L164" s="354"/>
      <c r="M164" s="354"/>
      <c r="N164" s="354"/>
    </row>
    <row r="165" spans="8:14">
      <c r="J165" s="353"/>
      <c r="K165" s="353"/>
      <c r="L165" s="353"/>
      <c r="M165" s="353"/>
      <c r="N165" s="353"/>
    </row>
    <row r="167" spans="8:14">
      <c r="J167" s="354"/>
    </row>
  </sheetData>
  <pageMargins left="0.70866141732283472" right="0.70866141732283472" top="0.74803149606299213" bottom="0.74803149606299213" header="0.31496062992125984" footer="0.31496062992125984"/>
  <pageSetup paperSize="9" scale="48" fitToHeight="0" orientation="landscape" r:id="rId1"/>
  <headerFooter>
    <oddFooter>&amp;LPL14L012 CIS v3.5
Ofwat, February 2016</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B101"/>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A3" sqref="A3"/>
    </sheetView>
  </sheetViews>
  <sheetFormatPr defaultRowHeight="13.2"/>
  <cols>
    <col min="1" max="1" width="1.88671875" customWidth="1"/>
    <col min="2" max="2" width="8.88671875" customWidth="1"/>
    <col min="3" max="3" width="3.44140625" customWidth="1"/>
    <col min="4" max="4" width="0" hidden="1" customWidth="1"/>
    <col min="5" max="5" width="107.88671875" customWidth="1"/>
    <col min="6" max="14" width="18.88671875" customWidth="1"/>
    <col min="15" max="19" width="20.6640625" hidden="1" customWidth="1"/>
    <col min="20" max="20" width="3.109375" customWidth="1"/>
    <col min="21" max="21" width="23.886718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BYR'!G150="","",'Input BYR'!G150)</f>
        <v>TMS Blind year update with corrected approach to RCV indexation</v>
      </c>
      <c r="F2" s="510"/>
      <c r="G2" s="496"/>
      <c r="H2" s="496"/>
      <c r="I2" s="496"/>
      <c r="J2" s="496"/>
      <c r="K2" s="496"/>
      <c r="L2" s="496"/>
      <c r="M2" s="496"/>
      <c r="N2" s="496"/>
      <c r="O2" s="496"/>
      <c r="P2" s="496"/>
      <c r="Q2" s="496"/>
      <c r="R2" s="496"/>
      <c r="S2" s="496"/>
      <c r="T2" s="496"/>
      <c r="U2" s="498"/>
    </row>
    <row r="3" spans="1:27" ht="26.85" customHeight="1">
      <c r="A3" s="495"/>
      <c r="B3" s="496"/>
      <c r="C3" s="496"/>
      <c r="D3" s="496"/>
      <c r="E3" s="497"/>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358</v>
      </c>
      <c r="F5" s="511"/>
      <c r="G5" s="496"/>
      <c r="H5" s="496"/>
      <c r="I5" s="496"/>
      <c r="J5" s="496"/>
      <c r="K5" s="496"/>
      <c r="L5" s="496"/>
      <c r="M5" s="496"/>
      <c r="N5" s="502"/>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5"/>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14" t="s">
        <v>59</v>
      </c>
      <c r="V11" s="30"/>
      <c r="W11" s="2"/>
      <c r="X11" s="2"/>
      <c r="Y11" s="11"/>
      <c r="Z11" s="12"/>
      <c r="AA11" s="12"/>
    </row>
    <row r="12" spans="1:27"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108"/>
    </row>
    <row r="13" spans="1:27" s="109" customFormat="1" ht="18" customHeight="1">
      <c r="A13" s="102"/>
      <c r="B13" s="103">
        <v>1</v>
      </c>
      <c r="C13" s="104"/>
      <c r="D13" s="104"/>
      <c r="E13" s="105" t="s">
        <v>128</v>
      </c>
      <c r="F13" s="105"/>
      <c r="G13" s="104"/>
      <c r="H13" s="104"/>
      <c r="I13" s="104"/>
      <c r="J13" s="106"/>
      <c r="K13" s="106"/>
      <c r="L13" s="106"/>
      <c r="M13" s="106"/>
      <c r="N13" s="106"/>
      <c r="O13" s="104"/>
      <c r="P13" s="104"/>
      <c r="Q13" s="104"/>
      <c r="R13" s="104"/>
      <c r="S13" s="104"/>
      <c r="T13" s="107"/>
      <c r="U13" s="108"/>
    </row>
    <row r="14" spans="1:27"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108"/>
    </row>
    <row r="15" spans="1:27" s="117" customFormat="1" ht="17.399999999999999">
      <c r="A15" s="110"/>
      <c r="B15" s="111">
        <v>1.1000000000000001</v>
      </c>
      <c r="C15" s="112"/>
      <c r="D15" s="113"/>
      <c r="E15" s="105" t="s">
        <v>163</v>
      </c>
      <c r="F15" s="105"/>
      <c r="G15" s="113"/>
      <c r="H15" s="113"/>
      <c r="I15" s="113"/>
      <c r="J15" s="114"/>
      <c r="K15" s="114"/>
      <c r="L15" s="114"/>
      <c r="M15" s="114"/>
      <c r="N15" s="114"/>
      <c r="O15" s="113"/>
      <c r="P15" s="113"/>
      <c r="Q15" s="113"/>
      <c r="R15" s="113"/>
      <c r="S15" s="113"/>
      <c r="T15" s="115"/>
      <c r="U15" s="116"/>
    </row>
    <row r="16" spans="1:27" s="117" customFormat="1" ht="17.399999999999999">
      <c r="A16" s="110"/>
      <c r="B16" s="118" t="s">
        <v>129</v>
      </c>
      <c r="C16" s="119"/>
      <c r="D16" s="113"/>
      <c r="E16" s="113" t="str">
        <f>'Input BYR'!E10</f>
        <v>Water: FBP IRE (net of grants &amp; contributions)</v>
      </c>
      <c r="F16" s="113"/>
      <c r="G16" s="120"/>
      <c r="H16" s="120"/>
      <c r="I16" s="120"/>
      <c r="J16" s="121">
        <f>'Input BYR'!J10</f>
        <v>103.470908642818</v>
      </c>
      <c r="K16" s="121">
        <f>'Input BYR'!K10</f>
        <v>132.99800637627399</v>
      </c>
      <c r="L16" s="121">
        <f>'Input BYR'!L10</f>
        <v>111.563416483532</v>
      </c>
      <c r="M16" s="121">
        <f>'Input BYR'!M10</f>
        <v>129.981643721457</v>
      </c>
      <c r="N16" s="121">
        <f>'Input BYR'!N10</f>
        <v>124.476495414871</v>
      </c>
      <c r="O16" s="113"/>
      <c r="P16" s="113"/>
      <c r="Q16" s="113"/>
      <c r="R16" s="113"/>
      <c r="S16" s="113"/>
      <c r="T16" s="115"/>
      <c r="U16" s="122">
        <f t="shared" ref="U16:U34" si="0">SUM(J16:N16)</f>
        <v>602.49047063895193</v>
      </c>
      <c r="W16" s="123"/>
      <c r="X16" s="123"/>
      <c r="Y16" s="123"/>
      <c r="Z16" s="123"/>
      <c r="AA16" s="123"/>
    </row>
    <row r="17" spans="1:27" s="117" customFormat="1" ht="17.399999999999999">
      <c r="A17" s="110"/>
      <c r="B17" s="118" t="s">
        <v>131</v>
      </c>
      <c r="C17" s="119"/>
      <c r="D17" s="113"/>
      <c r="E17" s="113" t="str">
        <f>'Input BYR'!E11</f>
        <v>Water: FBP MNI (net of grants &amp; contributions)</v>
      </c>
      <c r="F17" s="113"/>
      <c r="G17" s="120"/>
      <c r="H17" s="120"/>
      <c r="I17" s="120"/>
      <c r="J17" s="121">
        <f>'Input BYR'!J11</f>
        <v>113.913414843349</v>
      </c>
      <c r="K17" s="121">
        <f>'Input BYR'!K11</f>
        <v>166.357511332</v>
      </c>
      <c r="L17" s="121">
        <f>'Input BYR'!L11</f>
        <v>140.887898901509</v>
      </c>
      <c r="M17" s="121">
        <f>'Input BYR'!M11</f>
        <v>118.387980577061</v>
      </c>
      <c r="N17" s="121">
        <f>'Input BYR'!N11</f>
        <v>84.269135592107304</v>
      </c>
      <c r="O17" s="113"/>
      <c r="P17" s="113"/>
      <c r="Q17" s="113"/>
      <c r="R17" s="113"/>
      <c r="S17" s="113"/>
      <c r="T17" s="115"/>
      <c r="U17" s="122">
        <f t="shared" si="0"/>
        <v>623.81594124602634</v>
      </c>
      <c r="W17" s="123"/>
      <c r="X17" s="123"/>
      <c r="Y17" s="123"/>
      <c r="Z17" s="123"/>
      <c r="AA17" s="123"/>
    </row>
    <row r="18" spans="1:27" s="117" customFormat="1" ht="17.399999999999999">
      <c r="A18" s="110"/>
      <c r="B18" s="118" t="s">
        <v>132</v>
      </c>
      <c r="C18" s="119"/>
      <c r="D18" s="113"/>
      <c r="E18" s="113" t="str">
        <f>'Input BYR'!E12</f>
        <v>Water: FBP infrastructure expenditure</v>
      </c>
      <c r="F18" s="113"/>
      <c r="G18" s="120"/>
      <c r="H18" s="120"/>
      <c r="I18" s="120"/>
      <c r="J18" s="121">
        <f>'Input BYR'!J12</f>
        <v>107.772134616793</v>
      </c>
      <c r="K18" s="121">
        <f>'Input BYR'!K12</f>
        <v>128.94885703399399</v>
      </c>
      <c r="L18" s="121">
        <f>'Input BYR'!L12</f>
        <v>39.916639210552901</v>
      </c>
      <c r="M18" s="121">
        <f>'Input BYR'!M12</f>
        <v>28.593380651569401</v>
      </c>
      <c r="N18" s="121">
        <f>'Input BYR'!N12</f>
        <v>15.432786951569399</v>
      </c>
      <c r="O18" s="113"/>
      <c r="P18" s="113"/>
      <c r="Q18" s="113"/>
      <c r="R18" s="113"/>
      <c r="S18" s="113"/>
      <c r="T18" s="115"/>
      <c r="U18" s="122">
        <f t="shared" si="0"/>
        <v>320.6637984644787</v>
      </c>
      <c r="W18" s="123"/>
      <c r="X18" s="123"/>
      <c r="Y18" s="123"/>
      <c r="Z18" s="123"/>
      <c r="AA18" s="123"/>
    </row>
    <row r="19" spans="1:27" s="117" customFormat="1" ht="17.399999999999999">
      <c r="A19" s="110"/>
      <c r="B19" s="118" t="s">
        <v>133</v>
      </c>
      <c r="C19" s="119"/>
      <c r="D19" s="113"/>
      <c r="E19" s="113" t="str">
        <f>'Input BYR'!E13</f>
        <v>Water: FBP non-infrastructure expenditure</v>
      </c>
      <c r="F19" s="113"/>
      <c r="G19" s="120"/>
      <c r="H19" s="120"/>
      <c r="I19" s="120"/>
      <c r="J19" s="121">
        <f>'Input BYR'!J13</f>
        <v>68.677982659469805</v>
      </c>
      <c r="K19" s="121">
        <f>'Input BYR'!K13</f>
        <v>79.775220134809601</v>
      </c>
      <c r="L19" s="121">
        <f>'Input BYR'!L13</f>
        <v>52.664264101835997</v>
      </c>
      <c r="M19" s="121">
        <f>'Input BYR'!M13</f>
        <v>42.8514853069493</v>
      </c>
      <c r="N19" s="121">
        <f>'Input BYR'!N13</f>
        <v>32.973380172967403</v>
      </c>
      <c r="O19" s="113"/>
      <c r="P19" s="113"/>
      <c r="Q19" s="113"/>
      <c r="R19" s="113"/>
      <c r="S19" s="113"/>
      <c r="T19" s="115"/>
      <c r="U19" s="122">
        <f t="shared" si="0"/>
        <v>276.94233237603208</v>
      </c>
      <c r="W19" s="123"/>
      <c r="X19" s="123"/>
      <c r="Y19" s="123"/>
      <c r="Z19" s="123"/>
      <c r="AA19" s="123"/>
    </row>
    <row r="20" spans="1:27" s="117" customFormat="1" ht="17.399999999999999">
      <c r="A20" s="110"/>
      <c r="B20" s="118" t="s">
        <v>134</v>
      </c>
      <c r="C20" s="119"/>
      <c r="D20" s="113"/>
      <c r="E20" s="113" t="str">
        <f>'Input BYR'!E14</f>
        <v>Water: FBP enhancement grants and contributions</v>
      </c>
      <c r="F20" s="113"/>
      <c r="G20" s="120"/>
      <c r="H20" s="120"/>
      <c r="I20" s="120"/>
      <c r="J20" s="121">
        <f>-'Input BYR'!J14</f>
        <v>-5.7140000000000004</v>
      </c>
      <c r="K20" s="121">
        <f>-'Input BYR'!K14</f>
        <v>-7.7889999999999997</v>
      </c>
      <c r="L20" s="121">
        <f>-'Input BYR'!L14</f>
        <v>-8.3089999999999993</v>
      </c>
      <c r="M20" s="121">
        <f>-'Input BYR'!M14</f>
        <v>-9.66</v>
      </c>
      <c r="N20" s="121">
        <f>-'Input BYR'!N14</f>
        <v>-9.9890000000000008</v>
      </c>
      <c r="O20" s="113"/>
      <c r="P20" s="113"/>
      <c r="Q20" s="113"/>
      <c r="R20" s="113"/>
      <c r="S20" s="113"/>
      <c r="T20" s="115"/>
      <c r="U20" s="122">
        <f t="shared" si="0"/>
        <v>-41.460999999999999</v>
      </c>
      <c r="W20" s="123"/>
      <c r="X20" s="123"/>
      <c r="Y20" s="123"/>
      <c r="Z20" s="123"/>
      <c r="AA20" s="123"/>
    </row>
    <row r="21" spans="1:27" s="117" customFormat="1" ht="17.399999999999999">
      <c r="A21" s="110"/>
      <c r="B21" s="118" t="s">
        <v>135</v>
      </c>
      <c r="C21" s="119"/>
      <c r="D21" s="113"/>
      <c r="E21" s="113" t="str">
        <f>'Input BYR'!E17</f>
        <v>Water: FBP adjustment for Competition Commission determination</v>
      </c>
      <c r="F21" s="113"/>
      <c r="G21" s="120"/>
      <c r="H21" s="120"/>
      <c r="I21" s="120"/>
      <c r="J21" s="121">
        <f>-'Input BYR'!J17</f>
        <v>0</v>
      </c>
      <c r="K21" s="121">
        <f>-'Input BYR'!K17</f>
        <v>0</v>
      </c>
      <c r="L21" s="121">
        <f>-'Input BYR'!L17</f>
        <v>0</v>
      </c>
      <c r="M21" s="121">
        <f>-'Input BYR'!M17</f>
        <v>0</v>
      </c>
      <c r="N21" s="121">
        <f>-'Input BYR'!N17</f>
        <v>0</v>
      </c>
      <c r="O21" s="113"/>
      <c r="P21" s="113"/>
      <c r="Q21" s="113"/>
      <c r="R21" s="113"/>
      <c r="S21" s="113"/>
      <c r="T21" s="115"/>
      <c r="U21" s="122">
        <f t="shared" ref="U21:U23" si="1">SUM(J21:N21)</f>
        <v>0</v>
      </c>
      <c r="W21" s="123"/>
      <c r="X21" s="123"/>
      <c r="Y21" s="123"/>
      <c r="Z21" s="123"/>
      <c r="AA21" s="123"/>
    </row>
    <row r="22" spans="1:27" s="117" customFormat="1" ht="17.399999999999999">
      <c r="A22" s="110"/>
      <c r="B22" s="118" t="s">
        <v>136</v>
      </c>
      <c r="C22" s="119"/>
      <c r="D22" s="113"/>
      <c r="E22" s="113" t="str">
        <f>'Input BYR'!E15</f>
        <v>Water: FBP large projects infrastructure (exc large project capex not subject to CIS)</v>
      </c>
      <c r="F22" s="113"/>
      <c r="G22" s="120"/>
      <c r="H22" s="120"/>
      <c r="I22" s="120"/>
      <c r="J22" s="121">
        <f>-'Input BYR'!J15</f>
        <v>0</v>
      </c>
      <c r="K22" s="121">
        <f>-'Input BYR'!K15</f>
        <v>0</v>
      </c>
      <c r="L22" s="121">
        <f>-'Input BYR'!L15</f>
        <v>0</v>
      </c>
      <c r="M22" s="121">
        <f>-'Input BYR'!M15</f>
        <v>0</v>
      </c>
      <c r="N22" s="121">
        <f>-'Input BYR'!N15</f>
        <v>0</v>
      </c>
      <c r="O22" s="113"/>
      <c r="P22" s="113"/>
      <c r="Q22" s="113"/>
      <c r="R22" s="113"/>
      <c r="S22" s="113"/>
      <c r="T22" s="115"/>
      <c r="U22" s="122">
        <f t="shared" si="1"/>
        <v>0</v>
      </c>
      <c r="W22" s="123"/>
      <c r="X22" s="123"/>
      <c r="Y22" s="123"/>
      <c r="Z22" s="123"/>
      <c r="AA22" s="123"/>
    </row>
    <row r="23" spans="1:27" s="117" customFormat="1" ht="17.399999999999999">
      <c r="A23" s="110"/>
      <c r="B23" s="118" t="s">
        <v>137</v>
      </c>
      <c r="C23" s="119"/>
      <c r="D23" s="113"/>
      <c r="E23" s="113" t="str">
        <f>'Input BYR'!E16</f>
        <v>Water: FBP large projects non-infrastructure (exc large project capex not subject to CIS)</v>
      </c>
      <c r="F23" s="113"/>
      <c r="G23" s="120"/>
      <c r="H23" s="120"/>
      <c r="I23" s="120"/>
      <c r="J23" s="121">
        <f>-'Input BYR'!J16</f>
        <v>0</v>
      </c>
      <c r="K23" s="121">
        <f>-'Input BYR'!K16</f>
        <v>0</v>
      </c>
      <c r="L23" s="121">
        <f>-'Input BYR'!L16</f>
        <v>0</v>
      </c>
      <c r="M23" s="121">
        <f>-'Input BYR'!M16</f>
        <v>0</v>
      </c>
      <c r="N23" s="121">
        <f>-'Input BYR'!N16</f>
        <v>0</v>
      </c>
      <c r="O23" s="113"/>
      <c r="P23" s="113"/>
      <c r="Q23" s="113"/>
      <c r="R23" s="113"/>
      <c r="S23" s="113"/>
      <c r="T23" s="115"/>
      <c r="U23" s="122">
        <f t="shared" si="1"/>
        <v>0</v>
      </c>
      <c r="W23" s="123"/>
      <c r="X23" s="123"/>
      <c r="Y23" s="123"/>
      <c r="Z23" s="123"/>
      <c r="AA23" s="123"/>
    </row>
    <row r="24" spans="1:27" s="117" customFormat="1" ht="17.399999999999999">
      <c r="A24" s="110"/>
      <c r="B24" s="118" t="s">
        <v>138</v>
      </c>
      <c r="C24" s="119"/>
      <c r="D24" s="113"/>
      <c r="E24" s="113" t="str">
        <f>'Calc2 BYR'!E55</f>
        <v>Water: Company bid capex (gross of adjustments)</v>
      </c>
      <c r="F24" s="113"/>
      <c r="G24" s="120"/>
      <c r="H24" s="120"/>
      <c r="I24" s="120"/>
      <c r="J24" s="121">
        <f>'Calc2 BYR'!J55</f>
        <v>388.12044076242984</v>
      </c>
      <c r="K24" s="121">
        <f>'Calc2 BYR'!K55</f>
        <v>500.29059487707758</v>
      </c>
      <c r="L24" s="121">
        <f>'Calc2 BYR'!L55</f>
        <v>336.7232186974299</v>
      </c>
      <c r="M24" s="121">
        <f>'Calc2 BYR'!M55</f>
        <v>310.15449025703668</v>
      </c>
      <c r="N24" s="121">
        <f>'Calc2 BYR'!N55</f>
        <v>247.16279813151507</v>
      </c>
      <c r="O24" s="113"/>
      <c r="P24" s="113"/>
      <c r="Q24" s="113"/>
      <c r="R24" s="113"/>
      <c r="S24" s="113"/>
      <c r="T24" s="115"/>
      <c r="U24" s="122">
        <f t="shared" si="0"/>
        <v>1782.4515427254892</v>
      </c>
      <c r="W24" s="123"/>
      <c r="X24" s="123"/>
      <c r="Y24" s="123"/>
      <c r="Z24" s="123"/>
      <c r="AA24" s="123"/>
    </row>
    <row r="25" spans="1:27" s="117" customFormat="1" ht="17.399999999999999">
      <c r="A25" s="110"/>
      <c r="B25" s="118"/>
      <c r="C25" s="119"/>
      <c r="D25" s="113"/>
      <c r="E25" s="113"/>
      <c r="F25" s="113"/>
      <c r="G25" s="113"/>
      <c r="H25" s="113"/>
      <c r="I25" s="113"/>
      <c r="J25" s="121"/>
      <c r="K25" s="121"/>
      <c r="L25" s="121"/>
      <c r="M25" s="121"/>
      <c r="N25" s="121"/>
      <c r="O25" s="113"/>
      <c r="P25" s="113"/>
      <c r="Q25" s="113"/>
      <c r="R25" s="113"/>
      <c r="S25" s="113"/>
      <c r="T25" s="115"/>
      <c r="U25" s="122"/>
    </row>
    <row r="26" spans="1:27" s="117" customFormat="1" ht="17.399999999999999">
      <c r="A26" s="110"/>
      <c r="B26" s="118" t="s">
        <v>139</v>
      </c>
      <c r="C26" s="119"/>
      <c r="D26" s="113"/>
      <c r="E26" s="113" t="str">
        <f>'Input BYR'!E19</f>
        <v>Sewerage: FBP IRE (net of grants &amp; contributions)</v>
      </c>
      <c r="F26" s="113"/>
      <c r="G26" s="120"/>
      <c r="H26" s="120"/>
      <c r="I26" s="120"/>
      <c r="J26" s="121">
        <f>'Input BYR'!J19</f>
        <v>42.720897600000001</v>
      </c>
      <c r="K26" s="121">
        <f>'Input BYR'!K19</f>
        <v>38.648853000000003</v>
      </c>
      <c r="L26" s="121">
        <f>'Input BYR'!L19</f>
        <v>45.982225700000001</v>
      </c>
      <c r="M26" s="121">
        <f>'Input BYR'!M19</f>
        <v>47.438052999999996</v>
      </c>
      <c r="N26" s="121">
        <f>'Input BYR'!N19</f>
        <v>47.2990274</v>
      </c>
      <c r="O26" s="113"/>
      <c r="P26" s="113"/>
      <c r="Q26" s="113"/>
      <c r="R26" s="113"/>
      <c r="S26" s="113"/>
      <c r="T26" s="115"/>
      <c r="U26" s="122">
        <f t="shared" si="0"/>
        <v>222.08905670000001</v>
      </c>
    </row>
    <row r="27" spans="1:27" s="117" customFormat="1" ht="17.399999999999999">
      <c r="A27" s="110"/>
      <c r="B27" s="118" t="s">
        <v>140</v>
      </c>
      <c r="C27" s="119"/>
      <c r="D27" s="113"/>
      <c r="E27" s="113" t="str">
        <f>'Input BYR'!E20</f>
        <v>Sewerage: FBP MNI (net of grants &amp; contributions)</v>
      </c>
      <c r="F27" s="113"/>
      <c r="G27" s="120"/>
      <c r="H27" s="120"/>
      <c r="I27" s="120"/>
      <c r="J27" s="121">
        <f>'Input BYR'!J20</f>
        <v>174.42350429999999</v>
      </c>
      <c r="K27" s="121">
        <f>'Input BYR'!K20</f>
        <v>249.0989931</v>
      </c>
      <c r="L27" s="121">
        <f>'Input BYR'!L20</f>
        <v>148.0181566</v>
      </c>
      <c r="M27" s="121">
        <f>'Input BYR'!M20</f>
        <v>158.6278312</v>
      </c>
      <c r="N27" s="121">
        <f>'Input BYR'!N20</f>
        <v>122.76039400000001</v>
      </c>
      <c r="O27" s="113"/>
      <c r="P27" s="113"/>
      <c r="Q27" s="113"/>
      <c r="R27" s="113"/>
      <c r="S27" s="113"/>
      <c r="T27" s="115"/>
      <c r="U27" s="122">
        <f t="shared" si="0"/>
        <v>852.9288792000001</v>
      </c>
    </row>
    <row r="28" spans="1:27" s="117" customFormat="1" ht="17.399999999999999">
      <c r="A28" s="110"/>
      <c r="B28" s="118" t="s">
        <v>141</v>
      </c>
      <c r="C28" s="119"/>
      <c r="D28" s="113"/>
      <c r="E28" s="113" t="str">
        <f>'Input BYR'!E21</f>
        <v>Sewerage: FBP infrastructure expenditure</v>
      </c>
      <c r="F28" s="113"/>
      <c r="G28" s="120"/>
      <c r="H28" s="120"/>
      <c r="I28" s="120"/>
      <c r="J28" s="121">
        <f>'Input BYR'!J21</f>
        <v>63.993343000000003</v>
      </c>
      <c r="K28" s="121">
        <f>'Input BYR'!K21</f>
        <v>107.633421</v>
      </c>
      <c r="L28" s="121">
        <f>'Input BYR'!L21</f>
        <v>138.6957151</v>
      </c>
      <c r="M28" s="121">
        <f>'Input BYR'!M21</f>
        <v>121.4034858</v>
      </c>
      <c r="N28" s="121">
        <f>'Input BYR'!N21</f>
        <v>114.6391064</v>
      </c>
      <c r="O28" s="113"/>
      <c r="P28" s="113"/>
      <c r="Q28" s="113"/>
      <c r="R28" s="113"/>
      <c r="S28" s="113"/>
      <c r="T28" s="115"/>
      <c r="U28" s="122">
        <f t="shared" si="0"/>
        <v>546.36507129999995</v>
      </c>
    </row>
    <row r="29" spans="1:27" s="117" customFormat="1" ht="17.399999999999999">
      <c r="A29" s="110"/>
      <c r="B29" s="118" t="s">
        <v>212</v>
      </c>
      <c r="C29" s="118"/>
      <c r="D29" s="113"/>
      <c r="E29" s="113" t="str">
        <f>'Input BYR'!E22</f>
        <v>Sewerage: FBP non-infrastructure expenditure</v>
      </c>
      <c r="F29" s="113"/>
      <c r="G29" s="120"/>
      <c r="H29" s="120"/>
      <c r="I29" s="120"/>
      <c r="J29" s="121">
        <f>'Input BYR'!J22</f>
        <v>286.69337969999998</v>
      </c>
      <c r="K29" s="121">
        <f>'Input BYR'!K22</f>
        <v>323.45532571049398</v>
      </c>
      <c r="L29" s="121">
        <f>'Input BYR'!L22</f>
        <v>274.44730395646098</v>
      </c>
      <c r="M29" s="121">
        <f>'Input BYR'!M22</f>
        <v>174.79395094065501</v>
      </c>
      <c r="N29" s="121">
        <f>'Input BYR'!N22</f>
        <v>122.67399018527</v>
      </c>
      <c r="O29" s="113"/>
      <c r="P29" s="113"/>
      <c r="Q29" s="113"/>
      <c r="R29" s="113"/>
      <c r="S29" s="113"/>
      <c r="T29" s="115"/>
      <c r="U29" s="122">
        <f t="shared" si="0"/>
        <v>1182.0639504928797</v>
      </c>
    </row>
    <row r="30" spans="1:27" s="117" customFormat="1" ht="17.399999999999999">
      <c r="A30" s="110"/>
      <c r="B30" s="118" t="s">
        <v>213</v>
      </c>
      <c r="C30" s="118"/>
      <c r="D30" s="113"/>
      <c r="E30" s="113" t="str">
        <f>'Input BYR'!E23</f>
        <v>Sewerage: FBP enhancement grants and contributions</v>
      </c>
      <c r="F30" s="113"/>
      <c r="G30" s="120"/>
      <c r="H30" s="120"/>
      <c r="I30" s="120"/>
      <c r="J30" s="121">
        <f>-'Input BYR'!J23</f>
        <v>-9.1329999999999991</v>
      </c>
      <c r="K30" s="121">
        <f>-'Input BYR'!K23</f>
        <v>-12.135</v>
      </c>
      <c r="L30" s="121">
        <f>-'Input BYR'!L23</f>
        <v>-13.163</v>
      </c>
      <c r="M30" s="121">
        <f>-'Input BYR'!M23</f>
        <v>-15.06</v>
      </c>
      <c r="N30" s="121">
        <f>-'Input BYR'!N23</f>
        <v>-15.964</v>
      </c>
      <c r="O30" s="113"/>
      <c r="P30" s="113"/>
      <c r="Q30" s="113"/>
      <c r="R30" s="113"/>
      <c r="S30" s="113"/>
      <c r="T30" s="115"/>
      <c r="U30" s="122">
        <f t="shared" si="0"/>
        <v>-65.454999999999998</v>
      </c>
    </row>
    <row r="31" spans="1:27" s="117" customFormat="1" ht="17.399999999999999">
      <c r="A31" s="110"/>
      <c r="B31" s="118" t="s">
        <v>234</v>
      </c>
      <c r="C31" s="118"/>
      <c r="D31" s="113"/>
      <c r="E31" s="113" t="str">
        <f>'Input BYR'!E26</f>
        <v>Sewerage: FBP adjustment for Competition Commission determination</v>
      </c>
      <c r="F31" s="113"/>
      <c r="G31" s="120"/>
      <c r="H31" s="120"/>
      <c r="I31" s="120"/>
      <c r="J31" s="121">
        <f>-'Input BYR'!J26</f>
        <v>0</v>
      </c>
      <c r="K31" s="121">
        <f>-'Input BYR'!K26</f>
        <v>0</v>
      </c>
      <c r="L31" s="121">
        <f>-'Input BYR'!L26</f>
        <v>0</v>
      </c>
      <c r="M31" s="121">
        <f>-'Input BYR'!M26</f>
        <v>0</v>
      </c>
      <c r="N31" s="121">
        <f>-'Input BYR'!N26</f>
        <v>0</v>
      </c>
      <c r="O31" s="113"/>
      <c r="P31" s="113"/>
      <c r="Q31" s="113"/>
      <c r="R31" s="113"/>
      <c r="S31" s="113"/>
      <c r="T31" s="115"/>
      <c r="U31" s="122">
        <f t="shared" ref="U31:U33" si="2">SUM(J31:N31)</f>
        <v>0</v>
      </c>
    </row>
    <row r="32" spans="1:27" s="117" customFormat="1" ht="17.399999999999999">
      <c r="A32" s="110"/>
      <c r="B32" s="118" t="s">
        <v>235</v>
      </c>
      <c r="C32" s="118"/>
      <c r="D32" s="113"/>
      <c r="E32" s="113" t="str">
        <f>'Input BYR'!E24</f>
        <v>Sewerage: FBP large projects infrastructure (exc large project capex not subject to CIS)</v>
      </c>
      <c r="F32" s="113"/>
      <c r="G32" s="120"/>
      <c r="H32" s="120"/>
      <c r="I32" s="120"/>
      <c r="J32" s="121">
        <f>'Input BYR'!J24</f>
        <v>124.684</v>
      </c>
      <c r="K32" s="121">
        <f>'Input BYR'!K24</f>
        <v>136.78299999999999</v>
      </c>
      <c r="L32" s="121">
        <f>'Input BYR'!L24</f>
        <v>99.774000000000001</v>
      </c>
      <c r="M32" s="121">
        <f>'Input BYR'!M24</f>
        <v>90.923000000000002</v>
      </c>
      <c r="N32" s="121">
        <f>'Input BYR'!N24</f>
        <v>74.247</v>
      </c>
      <c r="O32" s="113"/>
      <c r="P32" s="113"/>
      <c r="Q32" s="113"/>
      <c r="R32" s="113"/>
      <c r="S32" s="113"/>
      <c r="T32" s="115"/>
      <c r="U32" s="122">
        <f t="shared" si="2"/>
        <v>526.41099999999994</v>
      </c>
    </row>
    <row r="33" spans="1:28" s="117" customFormat="1" ht="17.399999999999999">
      <c r="A33" s="110"/>
      <c r="B33" s="118" t="s">
        <v>236</v>
      </c>
      <c r="C33" s="118"/>
      <c r="D33" s="113"/>
      <c r="E33" s="113" t="str">
        <f>'Input BYR'!E25</f>
        <v>Sewerage: FBP large projects non-infrastructure (exc large project capex not subject to CIS)</v>
      </c>
      <c r="F33" s="113"/>
      <c r="G33" s="120"/>
      <c r="H33" s="120"/>
      <c r="I33" s="120"/>
      <c r="J33" s="121">
        <f>'Input BYR'!J25</f>
        <v>15.026999999999999</v>
      </c>
      <c r="K33" s="121">
        <f>'Input BYR'!K25</f>
        <v>16.484999999999999</v>
      </c>
      <c r="L33" s="121">
        <f>'Input BYR'!L25</f>
        <v>12.023999999999999</v>
      </c>
      <c r="M33" s="121">
        <f>'Input BYR'!M25</f>
        <v>10.958</v>
      </c>
      <c r="N33" s="121">
        <f>'Input BYR'!N25</f>
        <v>8.9480000000000004</v>
      </c>
      <c r="O33" s="113"/>
      <c r="P33" s="113"/>
      <c r="Q33" s="113"/>
      <c r="R33" s="113"/>
      <c r="S33" s="113"/>
      <c r="T33" s="115"/>
      <c r="U33" s="122">
        <f t="shared" si="2"/>
        <v>63.442</v>
      </c>
    </row>
    <row r="34" spans="1:28" s="117" customFormat="1" ht="17.399999999999999">
      <c r="A34" s="110"/>
      <c r="B34" s="118" t="s">
        <v>237</v>
      </c>
      <c r="C34" s="118"/>
      <c r="D34" s="113"/>
      <c r="E34" s="113" t="str">
        <f>'Calc2 BYR'!E66</f>
        <v>Sewerage: Company bid capex (gross of adjustments)</v>
      </c>
      <c r="F34" s="113"/>
      <c r="G34" s="113"/>
      <c r="H34" s="113"/>
      <c r="I34" s="113"/>
      <c r="J34" s="121">
        <f>'Calc2 BYR'!J66</f>
        <v>698.40912459999993</v>
      </c>
      <c r="K34" s="121">
        <f>'Calc2 BYR'!K66</f>
        <v>859.96959281049408</v>
      </c>
      <c r="L34" s="121">
        <f>'Calc2 BYR'!L66</f>
        <v>705.77840135646102</v>
      </c>
      <c r="M34" s="121">
        <f>'Calc2 BYR'!M66</f>
        <v>589.08432094065495</v>
      </c>
      <c r="N34" s="121">
        <f>'Calc2 BYR'!N66</f>
        <v>474.60351798527</v>
      </c>
      <c r="O34" s="113"/>
      <c r="P34" s="113"/>
      <c r="Q34" s="113"/>
      <c r="R34" s="113"/>
      <c r="S34" s="113"/>
      <c r="T34" s="115"/>
      <c r="U34" s="122">
        <f t="shared" si="0"/>
        <v>3327.8449576928801</v>
      </c>
    </row>
    <row r="35" spans="1:28" s="117" customFormat="1" ht="17.399999999999999">
      <c r="A35" s="110"/>
      <c r="B35" s="119"/>
      <c r="C35" s="119"/>
      <c r="D35" s="113"/>
      <c r="E35" s="113"/>
      <c r="F35" s="113"/>
      <c r="G35" s="113"/>
      <c r="H35" s="113"/>
      <c r="I35" s="113"/>
      <c r="J35" s="121"/>
      <c r="K35" s="121"/>
      <c r="L35" s="121"/>
      <c r="M35" s="121"/>
      <c r="N35" s="121"/>
      <c r="O35" s="113"/>
      <c r="P35" s="113"/>
      <c r="Q35" s="113"/>
      <c r="R35" s="113"/>
      <c r="S35" s="113"/>
      <c r="T35" s="115"/>
      <c r="U35" s="122"/>
    </row>
    <row r="36" spans="1:28" s="117" customFormat="1" ht="17.399999999999999">
      <c r="A36" s="110"/>
      <c r="B36" s="111">
        <v>1.2</v>
      </c>
      <c r="C36" s="112"/>
      <c r="D36" s="113"/>
      <c r="E36" s="105" t="s">
        <v>164</v>
      </c>
      <c r="F36" s="105"/>
      <c r="G36" s="113"/>
      <c r="H36" s="113"/>
      <c r="I36" s="113"/>
      <c r="J36" s="121"/>
      <c r="K36" s="121"/>
      <c r="L36" s="121"/>
      <c r="M36" s="121"/>
      <c r="N36" s="121"/>
      <c r="O36" s="113"/>
      <c r="P36" s="113"/>
      <c r="Q36" s="113"/>
      <c r="R36" s="113"/>
      <c r="S36" s="113"/>
      <c r="T36" s="115"/>
      <c r="U36" s="122"/>
    </row>
    <row r="37" spans="1:28" s="117" customFormat="1" ht="17.399999999999999">
      <c r="A37" s="110"/>
      <c r="B37" s="119" t="s">
        <v>130</v>
      </c>
      <c r="C37" s="119"/>
      <c r="D37" s="113"/>
      <c r="E37" s="113" t="str">
        <f>'Input BYR'!E30</f>
        <v>Water: IRE (net of grants &amp; contributions)</v>
      </c>
      <c r="F37" s="113"/>
      <c r="G37" s="120"/>
      <c r="H37" s="120"/>
      <c r="I37" s="120"/>
      <c r="J37" s="121">
        <f>'Input BYR'!J30</f>
        <v>87.234824625137904</v>
      </c>
      <c r="K37" s="121">
        <f>'Input BYR'!K30</f>
        <v>116.24143844602401</v>
      </c>
      <c r="L37" s="121">
        <f>'Input BYR'!L30</f>
        <v>100.113592207853</v>
      </c>
      <c r="M37" s="121">
        <f>'Input BYR'!M30</f>
        <v>118.78149153639799</v>
      </c>
      <c r="N37" s="121">
        <f>'Input BYR'!N30</f>
        <v>113.233114207279</v>
      </c>
      <c r="O37" s="113"/>
      <c r="P37" s="113"/>
      <c r="Q37" s="113"/>
      <c r="R37" s="113"/>
      <c r="S37" s="113"/>
      <c r="T37" s="115"/>
      <c r="U37" s="122">
        <f t="shared" ref="U37:U51" si="3">SUM(J37:N37)</f>
        <v>535.60446102269191</v>
      </c>
      <c r="W37" s="123"/>
      <c r="X37" s="123"/>
      <c r="Y37" s="123"/>
      <c r="Z37" s="123"/>
      <c r="AA37" s="123"/>
      <c r="AB37" s="123"/>
    </row>
    <row r="38" spans="1:28" s="117" customFormat="1" ht="17.399999999999999">
      <c r="A38" s="110"/>
      <c r="B38" s="119" t="s">
        <v>142</v>
      </c>
      <c r="C38" s="119"/>
      <c r="D38" s="113"/>
      <c r="E38" s="113" t="str">
        <f>'Input BYR'!E31</f>
        <v>Water: MNI (net of grants &amp; contributions)</v>
      </c>
      <c r="F38" s="113"/>
      <c r="G38" s="120"/>
      <c r="H38" s="120"/>
      <c r="I38" s="120"/>
      <c r="J38" s="121">
        <f>'Input BYR'!J31</f>
        <v>99.545006652130994</v>
      </c>
      <c r="K38" s="121">
        <f>'Input BYR'!K31</f>
        <v>150.844562776717</v>
      </c>
      <c r="L38" s="121">
        <f>'Input BYR'!L31</f>
        <v>134.191808450297</v>
      </c>
      <c r="M38" s="121">
        <f>'Input BYR'!M31</f>
        <v>113.33852173593</v>
      </c>
      <c r="N38" s="121">
        <f>'Input BYR'!N31</f>
        <v>80.167266017515203</v>
      </c>
      <c r="O38" s="113"/>
      <c r="P38" s="113"/>
      <c r="Q38" s="113"/>
      <c r="R38" s="113"/>
      <c r="S38" s="113"/>
      <c r="T38" s="115"/>
      <c r="U38" s="122">
        <f t="shared" si="3"/>
        <v>578.0871656325902</v>
      </c>
      <c r="W38" s="123"/>
      <c r="X38" s="123"/>
      <c r="Y38" s="123"/>
      <c r="Z38" s="123"/>
      <c r="AA38" s="123"/>
    </row>
    <row r="39" spans="1:28" s="117" customFormat="1" ht="17.399999999999999">
      <c r="A39" s="110"/>
      <c r="B39" s="119" t="s">
        <v>143</v>
      </c>
      <c r="C39" s="119"/>
      <c r="D39" s="113"/>
      <c r="E39" s="113" t="str">
        <f>'Input BYR'!E32</f>
        <v>Water: Total enhancements (infra) net of grants &amp; contributions</v>
      </c>
      <c r="F39" s="113"/>
      <c r="G39" s="120"/>
      <c r="H39" s="120"/>
      <c r="I39" s="120"/>
      <c r="J39" s="121">
        <f>'Input BYR'!J32</f>
        <v>14.6630093946795</v>
      </c>
      <c r="K39" s="121">
        <f>'Input BYR'!K32</f>
        <v>28.3972202217724</v>
      </c>
      <c r="L39" s="121">
        <f>'Input BYR'!L32</f>
        <v>35.886578219887397</v>
      </c>
      <c r="M39" s="121">
        <f>'Input BYR'!M32</f>
        <v>24.7722318520544</v>
      </c>
      <c r="N39" s="121">
        <f>'Input BYR'!N32</f>
        <v>12.2079348953171</v>
      </c>
      <c r="O39" s="113"/>
      <c r="P39" s="113"/>
      <c r="Q39" s="113"/>
      <c r="R39" s="113"/>
      <c r="S39" s="113"/>
      <c r="T39" s="115"/>
      <c r="U39" s="122">
        <f t="shared" si="3"/>
        <v>115.9269745837108</v>
      </c>
      <c r="W39" s="123"/>
      <c r="X39" s="123"/>
      <c r="Y39" s="123"/>
      <c r="Z39" s="123"/>
      <c r="AA39" s="123"/>
    </row>
    <row r="40" spans="1:28" s="117" customFormat="1" ht="17.399999999999999">
      <c r="A40" s="110"/>
      <c r="B40" s="119" t="s">
        <v>144</v>
      </c>
      <c r="C40" s="119"/>
      <c r="D40" s="113"/>
      <c r="E40" s="113" t="str">
        <f>'Input BYR'!E33</f>
        <v>Water: Total enhancements (non-infra) net of grants &amp; contributions</v>
      </c>
      <c r="F40" s="113"/>
      <c r="G40" s="120"/>
      <c r="H40" s="120"/>
      <c r="I40" s="120"/>
      <c r="J40" s="121">
        <f>'Input BYR'!J33</f>
        <v>36.395993577846603</v>
      </c>
      <c r="K40" s="121">
        <f>'Input BYR'!K33</f>
        <v>50.356710850691897</v>
      </c>
      <c r="L40" s="121">
        <f>'Input BYR'!L33</f>
        <v>43.3124901487842</v>
      </c>
      <c r="M40" s="121">
        <f>'Input BYR'!M33</f>
        <v>37.075628137562802</v>
      </c>
      <c r="N40" s="121">
        <f>'Input BYR'!N33</f>
        <v>26.200056726643101</v>
      </c>
      <c r="O40" s="113"/>
      <c r="P40" s="113"/>
      <c r="Q40" s="113"/>
      <c r="R40" s="113"/>
      <c r="S40" s="113"/>
      <c r="T40" s="115"/>
      <c r="U40" s="122">
        <f t="shared" si="3"/>
        <v>193.34087944152861</v>
      </c>
      <c r="W40" s="123"/>
      <c r="X40" s="123"/>
      <c r="Y40" s="123"/>
      <c r="Z40" s="123"/>
      <c r="AA40" s="123"/>
    </row>
    <row r="41" spans="1:28" s="117" customFormat="1" ht="17.399999999999999">
      <c r="A41" s="110"/>
      <c r="B41" s="119" t="s">
        <v>145</v>
      </c>
      <c r="C41" s="119"/>
      <c r="D41" s="113"/>
      <c r="E41" s="113" t="str">
        <f>'Input BYR'!E34</f>
        <v>Water: Large projects infrastructure (exc large project capex not subject to CIS)</v>
      </c>
      <c r="F41" s="113"/>
      <c r="G41" s="120"/>
      <c r="H41" s="120"/>
      <c r="I41" s="120"/>
      <c r="J41" s="121">
        <f>'Input BYR'!J34</f>
        <v>0</v>
      </c>
      <c r="K41" s="121">
        <f>'Input BYR'!K34</f>
        <v>0</v>
      </c>
      <c r="L41" s="121">
        <f>'Input BYR'!L34</f>
        <v>0</v>
      </c>
      <c r="M41" s="121">
        <f>'Input BYR'!M34</f>
        <v>0</v>
      </c>
      <c r="N41" s="121">
        <f>'Input BYR'!N34</f>
        <v>0</v>
      </c>
      <c r="O41" s="113"/>
      <c r="P41" s="113"/>
      <c r="Q41" s="113"/>
      <c r="R41" s="113"/>
      <c r="S41" s="113"/>
      <c r="T41" s="115"/>
      <c r="U41" s="122">
        <f t="shared" si="3"/>
        <v>0</v>
      </c>
      <c r="W41" s="123"/>
      <c r="X41" s="123"/>
      <c r="Y41" s="123"/>
      <c r="Z41" s="123"/>
      <c r="AA41" s="123"/>
    </row>
    <row r="42" spans="1:28" s="117" customFormat="1" ht="17.399999999999999">
      <c r="A42" s="110"/>
      <c r="B42" s="119" t="s">
        <v>146</v>
      </c>
      <c r="C42" s="119"/>
      <c r="D42" s="113"/>
      <c r="E42" s="113" t="str">
        <f>'Input BYR'!E35</f>
        <v>Water: Large projects non-infrastructure (exc large project capex not subject to CIS)</v>
      </c>
      <c r="F42" s="113"/>
      <c r="G42" s="120"/>
      <c r="H42" s="120"/>
      <c r="I42" s="120"/>
      <c r="J42" s="121">
        <f>'Input BYR'!J35</f>
        <v>0</v>
      </c>
      <c r="K42" s="121">
        <f>'Input BYR'!K35</f>
        <v>0</v>
      </c>
      <c r="L42" s="121">
        <f>'Input BYR'!L35</f>
        <v>0</v>
      </c>
      <c r="M42" s="121">
        <f>'Input BYR'!M35</f>
        <v>0</v>
      </c>
      <c r="N42" s="121">
        <f>'Input BYR'!N35</f>
        <v>0</v>
      </c>
      <c r="O42" s="113"/>
      <c r="P42" s="113"/>
      <c r="Q42" s="113"/>
      <c r="R42" s="113"/>
      <c r="S42" s="113"/>
      <c r="T42" s="115"/>
      <c r="U42" s="122">
        <f t="shared" si="3"/>
        <v>0</v>
      </c>
      <c r="W42" s="123"/>
      <c r="X42" s="123"/>
      <c r="Y42" s="123"/>
      <c r="Z42" s="123"/>
      <c r="AA42" s="123"/>
    </row>
    <row r="43" spans="1:28" s="117" customFormat="1" ht="17.399999999999999">
      <c r="A43" s="110"/>
      <c r="B43" s="119" t="s">
        <v>147</v>
      </c>
      <c r="C43" s="119"/>
      <c r="D43" s="113"/>
      <c r="E43" s="113" t="str">
        <f>'Calc2 BYR'!E56</f>
        <v>Water: Baseline capex (gross of adjustments)</v>
      </c>
      <c r="F43" s="113"/>
      <c r="G43" s="120"/>
      <c r="H43" s="120"/>
      <c r="I43" s="120"/>
      <c r="J43" s="121">
        <f>'Calc2 BYR'!J56</f>
        <v>237.83883424979501</v>
      </c>
      <c r="K43" s="121">
        <f>'Calc2 BYR'!K56</f>
        <v>345.8399322952053</v>
      </c>
      <c r="L43" s="121">
        <f>'Calc2 BYR'!L56</f>
        <v>313.5044690268216</v>
      </c>
      <c r="M43" s="121">
        <f>'Calc2 BYR'!M56</f>
        <v>293.96787326194521</v>
      </c>
      <c r="N43" s="121">
        <f>'Calc2 BYR'!N56</f>
        <v>231.80837184675443</v>
      </c>
      <c r="O43" s="113"/>
      <c r="P43" s="113"/>
      <c r="Q43" s="113"/>
      <c r="R43" s="113"/>
      <c r="S43" s="113"/>
      <c r="T43" s="115"/>
      <c r="U43" s="122">
        <f t="shared" si="3"/>
        <v>1422.9594806805217</v>
      </c>
      <c r="W43" s="123"/>
      <c r="X43" s="123"/>
      <c r="Y43" s="123"/>
      <c r="Z43" s="123"/>
      <c r="AA43" s="123"/>
    </row>
    <row r="44" spans="1:28" s="117" customFormat="1" ht="17.399999999999999">
      <c r="A44" s="110"/>
      <c r="B44" s="119"/>
      <c r="C44" s="119"/>
      <c r="D44" s="113"/>
      <c r="E44" s="113"/>
      <c r="F44" s="113"/>
      <c r="G44" s="113"/>
      <c r="H44" s="113"/>
      <c r="I44" s="113"/>
      <c r="J44" s="121"/>
      <c r="K44" s="121"/>
      <c r="L44" s="121"/>
      <c r="M44" s="121"/>
      <c r="N44" s="121"/>
      <c r="O44" s="113"/>
      <c r="P44" s="113"/>
      <c r="Q44" s="113"/>
      <c r="R44" s="113"/>
      <c r="S44" s="113"/>
      <c r="T44" s="115"/>
      <c r="U44" s="122"/>
    </row>
    <row r="45" spans="1:28" s="117" customFormat="1" ht="17.399999999999999">
      <c r="A45" s="110"/>
      <c r="B45" s="119" t="s">
        <v>148</v>
      </c>
      <c r="C45" s="119"/>
      <c r="D45" s="113"/>
      <c r="E45" s="113" t="str">
        <f>'Input BYR'!E37</f>
        <v>Sewerage: IRE (net of grants &amp; contributions)</v>
      </c>
      <c r="F45" s="113"/>
      <c r="G45" s="120"/>
      <c r="H45" s="120"/>
      <c r="I45" s="120"/>
      <c r="J45" s="121">
        <f>'Input BYR'!J37</f>
        <v>38.865761372709599</v>
      </c>
      <c r="K45" s="121">
        <f>'Input BYR'!K37</f>
        <v>35.781513546488704</v>
      </c>
      <c r="L45" s="121">
        <f>'Input BYR'!L37</f>
        <v>43.532020009209504</v>
      </c>
      <c r="M45" s="121">
        <f>'Input BYR'!M37</f>
        <v>45.321577742291701</v>
      </c>
      <c r="N45" s="121">
        <f>'Input BYR'!N37</f>
        <v>44.6772327147224</v>
      </c>
      <c r="O45" s="113"/>
      <c r="P45" s="113"/>
      <c r="Q45" s="113"/>
      <c r="R45" s="113"/>
      <c r="S45" s="113"/>
      <c r="T45" s="115"/>
      <c r="U45" s="122">
        <f t="shared" si="3"/>
        <v>208.17810538542193</v>
      </c>
    </row>
    <row r="46" spans="1:28" s="117" customFormat="1" ht="17.399999999999999">
      <c r="A46" s="110"/>
      <c r="B46" s="119" t="s">
        <v>149</v>
      </c>
      <c r="C46" s="119"/>
      <c r="D46" s="113"/>
      <c r="E46" s="113" t="str">
        <f>'Input BYR'!E38</f>
        <v>Sewerage: MNI (net of grants &amp; contributions)</v>
      </c>
      <c r="F46" s="113"/>
      <c r="G46" s="120"/>
      <c r="H46" s="120"/>
      <c r="I46" s="120"/>
      <c r="J46" s="121">
        <f>'Input BYR'!J38</f>
        <v>147.81277901553301</v>
      </c>
      <c r="K46" s="121">
        <f>'Input BYR'!K38</f>
        <v>221.861562203463</v>
      </c>
      <c r="L46" s="121">
        <f>'Input BYR'!L38</f>
        <v>130.194251699132</v>
      </c>
      <c r="M46" s="121">
        <f>'Input BYR'!M38</f>
        <v>143.986736667993</v>
      </c>
      <c r="N46" s="121">
        <f>'Input BYR'!N38</f>
        <v>110.83618408906401</v>
      </c>
      <c r="O46" s="113"/>
      <c r="P46" s="113"/>
      <c r="Q46" s="113"/>
      <c r="R46" s="113"/>
      <c r="S46" s="113"/>
      <c r="T46" s="115"/>
      <c r="U46" s="122">
        <f t="shared" si="3"/>
        <v>754.69151367518498</v>
      </c>
    </row>
    <row r="47" spans="1:28" s="117" customFormat="1" ht="17.399999999999999">
      <c r="A47" s="110"/>
      <c r="B47" s="119" t="s">
        <v>150</v>
      </c>
      <c r="C47" s="119"/>
      <c r="D47" s="113"/>
      <c r="E47" s="113" t="str">
        <f>'Input BYR'!E39</f>
        <v>Sewerage: Total enhancements (infra) net of grants &amp; contributions</v>
      </c>
      <c r="F47" s="113"/>
      <c r="G47" s="120"/>
      <c r="H47" s="120"/>
      <c r="I47" s="120"/>
      <c r="J47" s="121">
        <f>'Input BYR'!J39</f>
        <v>56.530581629279297</v>
      </c>
      <c r="K47" s="121">
        <f>'Input BYR'!K39</f>
        <v>95.368745344233602</v>
      </c>
      <c r="L47" s="121">
        <f>'Input BYR'!L39</f>
        <v>100.421626739213</v>
      </c>
      <c r="M47" s="121">
        <f>'Input BYR'!M39</f>
        <v>83.751564155600406</v>
      </c>
      <c r="N47" s="121">
        <f>'Input BYR'!N39</f>
        <v>74.585730211598403</v>
      </c>
      <c r="O47" s="113"/>
      <c r="P47" s="113"/>
      <c r="Q47" s="113"/>
      <c r="R47" s="113"/>
      <c r="S47" s="113"/>
      <c r="T47" s="115"/>
      <c r="U47" s="122">
        <f t="shared" si="3"/>
        <v>410.6582480799247</v>
      </c>
    </row>
    <row r="48" spans="1:28" s="117" customFormat="1" ht="17.399999999999999">
      <c r="A48" s="110"/>
      <c r="B48" s="119" t="s">
        <v>214</v>
      </c>
      <c r="C48" s="119"/>
      <c r="D48" s="113"/>
      <c r="E48" s="113" t="str">
        <f>'Input BYR'!E40</f>
        <v>Sewerage: Total enhancements (non-infra) net of grants &amp; contributions</v>
      </c>
      <c r="F48" s="113"/>
      <c r="G48" s="120"/>
      <c r="H48" s="120"/>
      <c r="I48" s="120"/>
      <c r="J48" s="121">
        <f>'Input BYR'!J40</f>
        <v>271.55400562869698</v>
      </c>
      <c r="K48" s="121">
        <f>'Input BYR'!K40</f>
        <v>307.44605639175199</v>
      </c>
      <c r="L48" s="121">
        <f>'Input BYR'!L40</f>
        <v>261.40140772536898</v>
      </c>
      <c r="M48" s="121">
        <f>'Input BYR'!M40</f>
        <v>163.49351378198699</v>
      </c>
      <c r="N48" s="121">
        <f>'Input BYR'!N40</f>
        <v>114.792250671535</v>
      </c>
      <c r="O48" s="113"/>
      <c r="P48" s="113"/>
      <c r="Q48" s="113"/>
      <c r="R48" s="113"/>
      <c r="S48" s="113"/>
      <c r="T48" s="115"/>
      <c r="U48" s="122">
        <f t="shared" si="3"/>
        <v>1118.6872341993399</v>
      </c>
    </row>
    <row r="49" spans="1:27" s="117" customFormat="1" ht="17.399999999999999">
      <c r="A49" s="110"/>
      <c r="B49" s="119" t="s">
        <v>215</v>
      </c>
      <c r="C49" s="119"/>
      <c r="D49" s="113"/>
      <c r="E49" s="113" t="str">
        <f>'Input BYR'!E41</f>
        <v>Sewerage: Large projects infrastructure (exc large project capex not subject to CIS)</v>
      </c>
      <c r="F49" s="113"/>
      <c r="G49" s="120"/>
      <c r="H49" s="120"/>
      <c r="I49" s="120"/>
      <c r="J49" s="121">
        <f>'Input BYR'!J41</f>
        <v>124.684</v>
      </c>
      <c r="K49" s="121">
        <f>'Input BYR'!K41</f>
        <v>136.78299999999999</v>
      </c>
      <c r="L49" s="121">
        <f>'Input BYR'!L41</f>
        <v>99.774000000000001</v>
      </c>
      <c r="M49" s="121">
        <f>'Input BYR'!M41</f>
        <v>90.923000000000002</v>
      </c>
      <c r="N49" s="121">
        <f>'Input BYR'!N41</f>
        <v>74.247</v>
      </c>
      <c r="O49" s="113"/>
      <c r="P49" s="113"/>
      <c r="Q49" s="113"/>
      <c r="R49" s="113"/>
      <c r="S49" s="113"/>
      <c r="T49" s="115"/>
      <c r="U49" s="122">
        <f t="shared" si="3"/>
        <v>526.41099999999994</v>
      </c>
    </row>
    <row r="50" spans="1:27" s="117" customFormat="1" ht="17.399999999999999">
      <c r="A50" s="110"/>
      <c r="B50" s="119" t="s">
        <v>216</v>
      </c>
      <c r="C50" s="119"/>
      <c r="D50" s="113"/>
      <c r="E50" s="113" t="str">
        <f>'Input BYR'!E42</f>
        <v>Sewerage: Large projects non-infrastructure (exc large project capex not subject to CIS)</v>
      </c>
      <c r="F50" s="113"/>
      <c r="G50" s="120"/>
      <c r="H50" s="120"/>
      <c r="I50" s="120"/>
      <c r="J50" s="121">
        <f>'Input BYR'!J42</f>
        <v>15.026999999999999</v>
      </c>
      <c r="K50" s="121">
        <f>'Input BYR'!K42</f>
        <v>16.484999999999999</v>
      </c>
      <c r="L50" s="121">
        <f>'Input BYR'!L42</f>
        <v>12.023999999999999</v>
      </c>
      <c r="M50" s="121">
        <f>'Input BYR'!M42</f>
        <v>10.958</v>
      </c>
      <c r="N50" s="121">
        <f>'Input BYR'!N42</f>
        <v>8.9480000000000004</v>
      </c>
      <c r="O50" s="113"/>
      <c r="P50" s="113"/>
      <c r="Q50" s="113"/>
      <c r="R50" s="113"/>
      <c r="S50" s="113"/>
      <c r="T50" s="115"/>
      <c r="U50" s="122">
        <f t="shared" si="3"/>
        <v>63.442</v>
      </c>
    </row>
    <row r="51" spans="1:27" s="117" customFormat="1" ht="17.399999999999999">
      <c r="A51" s="110"/>
      <c r="B51" s="119" t="s">
        <v>217</v>
      </c>
      <c r="C51" s="118"/>
      <c r="D51" s="113"/>
      <c r="E51" s="113" t="str">
        <f>'Calc2 BYR'!E67</f>
        <v>Sewerage: Baseline capex (gross of adjustments)</v>
      </c>
      <c r="F51" s="113"/>
      <c r="G51" s="120"/>
      <c r="H51" s="120"/>
      <c r="I51" s="120"/>
      <c r="J51" s="121">
        <f>'Calc2 BYR'!J67</f>
        <v>654.4741276462189</v>
      </c>
      <c r="K51" s="121">
        <f>'Calc2 BYR'!K67</f>
        <v>813.72587748593742</v>
      </c>
      <c r="L51" s="121">
        <f>'Calc2 BYR'!L67</f>
        <v>647.34730617292348</v>
      </c>
      <c r="M51" s="121">
        <f>'Calc2 BYR'!M67</f>
        <v>538.43439234787206</v>
      </c>
      <c r="N51" s="121">
        <f>'Calc2 BYR'!N67</f>
        <v>428.08639768691978</v>
      </c>
      <c r="O51" s="113"/>
      <c r="P51" s="113"/>
      <c r="Q51" s="113"/>
      <c r="R51" s="113"/>
      <c r="S51" s="113"/>
      <c r="T51" s="115"/>
      <c r="U51" s="122">
        <f t="shared" si="3"/>
        <v>3082.0681013398716</v>
      </c>
    </row>
    <row r="52" spans="1:27" s="117" customFormat="1" ht="17.399999999999999">
      <c r="A52" s="110"/>
      <c r="B52" s="118"/>
      <c r="C52" s="118"/>
      <c r="D52" s="113"/>
      <c r="E52" s="113"/>
      <c r="F52" s="113"/>
      <c r="G52" s="113"/>
      <c r="H52" s="113"/>
      <c r="I52" s="113"/>
      <c r="J52" s="121"/>
      <c r="K52" s="121"/>
      <c r="L52" s="121"/>
      <c r="M52" s="121"/>
      <c r="N52" s="121"/>
      <c r="O52" s="113"/>
      <c r="P52" s="113"/>
      <c r="Q52" s="113"/>
      <c r="R52" s="113"/>
      <c r="S52" s="113"/>
      <c r="T52" s="115"/>
      <c r="U52" s="122"/>
    </row>
    <row r="53" spans="1:27" s="117" customFormat="1" ht="17.399999999999999">
      <c r="A53" s="110"/>
      <c r="B53" s="111">
        <v>1.3</v>
      </c>
      <c r="C53" s="112"/>
      <c r="D53" s="113"/>
      <c r="E53" s="105" t="s">
        <v>51</v>
      </c>
      <c r="F53" s="105"/>
      <c r="G53" s="113"/>
      <c r="H53" s="113"/>
      <c r="I53" s="113"/>
      <c r="J53" s="121"/>
      <c r="K53" s="121"/>
      <c r="L53" s="121"/>
      <c r="M53" s="121"/>
      <c r="N53" s="121"/>
      <c r="O53" s="113"/>
      <c r="P53" s="113"/>
      <c r="Q53" s="113"/>
      <c r="R53" s="113"/>
      <c r="S53" s="113"/>
      <c r="T53" s="115"/>
      <c r="U53" s="122"/>
    </row>
    <row r="54" spans="1:27" s="117" customFormat="1" ht="17.399999999999999">
      <c r="A54" s="110"/>
      <c r="B54" s="119" t="s">
        <v>151</v>
      </c>
      <c r="C54" s="119"/>
      <c r="D54" s="113"/>
      <c r="E54" s="113" t="str">
        <f>'Calc2 BYR'!E39</f>
        <v>Water: IRE</v>
      </c>
      <c r="F54" s="113"/>
      <c r="G54" s="120"/>
      <c r="H54" s="120"/>
      <c r="I54" s="120"/>
      <c r="J54" s="121">
        <f>'Calc2 BYR'!J39</f>
        <v>92.744508388519577</v>
      </c>
      <c r="K54" s="121">
        <f>'Calc2 BYR'!K39</f>
        <v>123.58315740734844</v>
      </c>
      <c r="L54" s="121">
        <f>'Calc2 BYR'!L39</f>
        <v>106.43668892813312</v>
      </c>
      <c r="M54" s="121">
        <f>'Calc2 BYR'!M39</f>
        <v>126.28363827791573</v>
      </c>
      <c r="N54" s="121">
        <f>'Calc2 BYR'!N39</f>
        <v>120.38482974641023</v>
      </c>
      <c r="O54" s="113"/>
      <c r="P54" s="113"/>
      <c r="Q54" s="113"/>
      <c r="R54" s="113"/>
      <c r="S54" s="113"/>
      <c r="T54" s="115"/>
      <c r="U54" s="122">
        <f>SUM(J54:N54)</f>
        <v>569.43282274832711</v>
      </c>
      <c r="W54" s="123"/>
      <c r="X54" s="123"/>
      <c r="Y54" s="123"/>
      <c r="Z54" s="123"/>
      <c r="AA54" s="123"/>
    </row>
    <row r="55" spans="1:27" s="117" customFormat="1" ht="17.399999999999999">
      <c r="A55" s="110"/>
      <c r="B55" s="119" t="s">
        <v>152</v>
      </c>
      <c r="C55" s="119"/>
      <c r="D55" s="113"/>
      <c r="E55" s="113" t="str">
        <f>'Calc2 BYR'!E40</f>
        <v>Water: MNI</v>
      </c>
      <c r="F55" s="113"/>
      <c r="G55" s="120"/>
      <c r="H55" s="120"/>
      <c r="I55" s="120"/>
      <c r="J55" s="121">
        <f>'Calc2 BYR'!J40</f>
        <v>105.83219195036244</v>
      </c>
      <c r="K55" s="121">
        <f>'Calc2 BYR'!K40</f>
        <v>160.37178819267535</v>
      </c>
      <c r="L55" s="121">
        <f>'Calc2 BYR'!L40</f>
        <v>142.66725883808135</v>
      </c>
      <c r="M55" s="121">
        <f>'Calc2 BYR'!M40</f>
        <v>120.49689473269518</v>
      </c>
      <c r="N55" s="121">
        <f>'Calc2 BYR'!N40</f>
        <v>85.230568268989231</v>
      </c>
      <c r="O55" s="113"/>
      <c r="P55" s="113"/>
      <c r="Q55" s="113"/>
      <c r="R55" s="113"/>
      <c r="S55" s="113"/>
      <c r="T55" s="115"/>
      <c r="U55" s="122">
        <f>SUM(J55:N55)</f>
        <v>614.59870198280362</v>
      </c>
      <c r="W55" s="123"/>
      <c r="X55" s="123"/>
      <c r="Y55" s="123"/>
      <c r="Z55" s="123"/>
      <c r="AA55" s="123"/>
    </row>
    <row r="56" spans="1:27" s="117" customFormat="1" ht="17.399999999999999">
      <c r="A56" s="110"/>
      <c r="B56" s="119" t="s">
        <v>153</v>
      </c>
      <c r="C56" s="119"/>
      <c r="D56" s="113"/>
      <c r="E56" s="113" t="str">
        <f>'Calc2 BYR'!E41</f>
        <v>Water: Infrastructure enhancements</v>
      </c>
      <c r="F56" s="113"/>
      <c r="G56" s="120"/>
      <c r="H56" s="120"/>
      <c r="I56" s="120"/>
      <c r="J56" s="121">
        <f>'Calc2 BYR'!J41</f>
        <v>15.589113678505825</v>
      </c>
      <c r="K56" s="121">
        <f>'Calc2 BYR'!K41</f>
        <v>30.190766593343678</v>
      </c>
      <c r="L56" s="121">
        <f>'Calc2 BYR'!L41</f>
        <v>38.153146625235721</v>
      </c>
      <c r="M56" s="121">
        <f>'Calc2 BYR'!M41</f>
        <v>26.33682677391614</v>
      </c>
      <c r="N56" s="121">
        <f>'Calc2 BYR'!N41</f>
        <v>12.978978580751031</v>
      </c>
      <c r="O56" s="113"/>
      <c r="P56" s="113"/>
      <c r="Q56" s="113"/>
      <c r="R56" s="113"/>
      <c r="S56" s="113"/>
      <c r="T56" s="115"/>
      <c r="U56" s="122">
        <f>SUM(J56:N56)</f>
        <v>123.2488322517524</v>
      </c>
      <c r="W56" s="123"/>
      <c r="X56" s="123"/>
      <c r="Y56" s="123"/>
      <c r="Z56" s="123"/>
      <c r="AA56" s="123"/>
    </row>
    <row r="57" spans="1:27" s="117" customFormat="1" ht="17.399999999999999">
      <c r="A57" s="110"/>
      <c r="B57" s="119" t="s">
        <v>154</v>
      </c>
      <c r="C57" s="119"/>
      <c r="D57" s="113"/>
      <c r="E57" s="113" t="str">
        <f>'Calc2 BYR'!E42</f>
        <v>Water: Non-infrastructure enhancements</v>
      </c>
      <c r="F57" s="113"/>
      <c r="G57" s="120"/>
      <c r="H57" s="120"/>
      <c r="I57" s="120"/>
      <c r="J57" s="121">
        <f>'Calc2 BYR'!J42</f>
        <v>38.694736261513548</v>
      </c>
      <c r="K57" s="121">
        <f>'Calc2 BYR'!K42</f>
        <v>53.537201593277878</v>
      </c>
      <c r="L57" s="121">
        <f>'Calc2 BYR'!L42</f>
        <v>46.048073383459695</v>
      </c>
      <c r="M57" s="121">
        <f>'Calc2 BYR'!M42</f>
        <v>39.417296012112999</v>
      </c>
      <c r="N57" s="121">
        <f>'Calc2 BYR'!N42</f>
        <v>27.854831958516112</v>
      </c>
      <c r="O57" s="113"/>
      <c r="P57" s="113"/>
      <c r="Q57" s="113"/>
      <c r="R57" s="113"/>
      <c r="S57" s="113"/>
      <c r="T57" s="115"/>
      <c r="U57" s="122">
        <f>SUM(J57:N57)</f>
        <v>205.55213920888025</v>
      </c>
      <c r="W57" s="123"/>
      <c r="X57" s="123"/>
      <c r="Y57" s="123"/>
      <c r="Z57" s="123"/>
      <c r="AA57" s="123"/>
    </row>
    <row r="58" spans="1:27" s="117" customFormat="1" ht="17.399999999999999">
      <c r="A58" s="110"/>
      <c r="B58" s="119" t="s">
        <v>155</v>
      </c>
      <c r="C58" s="119"/>
      <c r="D58" s="113"/>
      <c r="E58" s="113" t="str">
        <f>'Calc2 BYR'!E43</f>
        <v>Water: Large projects infrastructure</v>
      </c>
      <c r="F58" s="113"/>
      <c r="G58" s="120"/>
      <c r="H58" s="120"/>
      <c r="I58" s="120"/>
      <c r="J58" s="121">
        <f>'Calc2 BYR'!J43</f>
        <v>0</v>
      </c>
      <c r="K58" s="121">
        <f>'Calc2 BYR'!K43</f>
        <v>0</v>
      </c>
      <c r="L58" s="121">
        <f>'Calc2 BYR'!L43</f>
        <v>0</v>
      </c>
      <c r="M58" s="121">
        <f>'Calc2 BYR'!M43</f>
        <v>0</v>
      </c>
      <c r="N58" s="121">
        <f>'Calc2 BYR'!N43</f>
        <v>0</v>
      </c>
      <c r="O58" s="113"/>
      <c r="P58" s="113"/>
      <c r="Q58" s="113"/>
      <c r="R58" s="113"/>
      <c r="S58" s="113"/>
      <c r="T58" s="115"/>
      <c r="U58" s="122">
        <f t="shared" ref="U58:U59" si="4">SUM(J58:N58)</f>
        <v>0</v>
      </c>
      <c r="W58" s="123"/>
      <c r="X58" s="123"/>
      <c r="Y58" s="123"/>
      <c r="Z58" s="123"/>
      <c r="AA58" s="123"/>
    </row>
    <row r="59" spans="1:27" s="117" customFormat="1" ht="17.399999999999999">
      <c r="A59" s="110"/>
      <c r="B59" s="119" t="s">
        <v>156</v>
      </c>
      <c r="C59" s="119"/>
      <c r="D59" s="113"/>
      <c r="E59" s="113" t="str">
        <f>'Calc2 BYR'!E44</f>
        <v>Water: Large projects non-infrastructure</v>
      </c>
      <c r="F59" s="113"/>
      <c r="G59" s="120"/>
      <c r="H59" s="120"/>
      <c r="I59" s="120"/>
      <c r="J59" s="121">
        <f>'Calc2 BYR'!J44</f>
        <v>0</v>
      </c>
      <c r="K59" s="121">
        <f>'Calc2 BYR'!K44</f>
        <v>0</v>
      </c>
      <c r="L59" s="121">
        <f>'Calc2 BYR'!L44</f>
        <v>0</v>
      </c>
      <c r="M59" s="121">
        <f>'Calc2 BYR'!M44</f>
        <v>0</v>
      </c>
      <c r="N59" s="121">
        <f>'Calc2 BYR'!N44</f>
        <v>0</v>
      </c>
      <c r="O59" s="113"/>
      <c r="P59" s="113"/>
      <c r="Q59" s="113"/>
      <c r="R59" s="113"/>
      <c r="S59" s="113"/>
      <c r="T59" s="115"/>
      <c r="U59" s="122">
        <f t="shared" si="4"/>
        <v>0</v>
      </c>
      <c r="W59" s="123"/>
      <c r="X59" s="123"/>
      <c r="Y59" s="123"/>
      <c r="Z59" s="123"/>
      <c r="AA59" s="123"/>
    </row>
    <row r="60" spans="1:27" s="117" customFormat="1" ht="17.399999999999999">
      <c r="A60" s="110"/>
      <c r="B60" s="119" t="s">
        <v>157</v>
      </c>
      <c r="C60" s="119"/>
      <c r="D60" s="113"/>
      <c r="E60" s="113" t="str">
        <f>'Calc2 BYR'!E57</f>
        <v>Water: Allowance capex (gross of adjustments)</v>
      </c>
      <c r="F60" s="113"/>
      <c r="G60" s="120"/>
      <c r="H60" s="120"/>
      <c r="I60" s="120"/>
      <c r="J60" s="121">
        <f>'Calc2 BYR'!J57</f>
        <v>252.8605502789014</v>
      </c>
      <c r="K60" s="121">
        <f>'Calc2 BYR'!K57</f>
        <v>367.68291378664532</v>
      </c>
      <c r="L60" s="121">
        <f>'Calc2 BYR'!L57</f>
        <v>333.30516777490993</v>
      </c>
      <c r="M60" s="121">
        <f>'Calc2 BYR'!M57</f>
        <v>312.53465579664004</v>
      </c>
      <c r="N60" s="121">
        <f>'Calc2 BYR'!N57</f>
        <v>246.44920855466663</v>
      </c>
      <c r="O60" s="113"/>
      <c r="P60" s="113"/>
      <c r="Q60" s="113"/>
      <c r="R60" s="113"/>
      <c r="S60" s="113"/>
      <c r="T60" s="115"/>
      <c r="U60" s="122">
        <f>SUM(J60:N60)</f>
        <v>1512.8324961917633</v>
      </c>
      <c r="W60" s="123"/>
      <c r="X60" s="123"/>
      <c r="Y60" s="123"/>
      <c r="Z60" s="123"/>
      <c r="AA60" s="123"/>
    </row>
    <row r="61" spans="1:27" s="117" customFormat="1" ht="17.399999999999999">
      <c r="A61" s="110"/>
      <c r="B61" s="119"/>
      <c r="C61" s="119"/>
      <c r="D61" s="113"/>
      <c r="E61" s="113"/>
      <c r="F61" s="113"/>
      <c r="G61" s="120"/>
      <c r="H61" s="120"/>
      <c r="I61" s="120"/>
      <c r="J61" s="121"/>
      <c r="K61" s="121"/>
      <c r="L61" s="121"/>
      <c r="M61" s="121"/>
      <c r="N61" s="121"/>
      <c r="O61" s="113"/>
      <c r="P61" s="113"/>
      <c r="Q61" s="113"/>
      <c r="R61" s="113"/>
      <c r="S61" s="113"/>
      <c r="T61" s="115"/>
      <c r="U61" s="122"/>
    </row>
    <row r="62" spans="1:27" s="117" customFormat="1" ht="17.399999999999999">
      <c r="A62" s="110"/>
      <c r="B62" s="119" t="s">
        <v>158</v>
      </c>
      <c r="C62" s="119"/>
      <c r="D62" s="113"/>
      <c r="E62" s="113" t="str">
        <f>'Calc2 BYR'!E46</f>
        <v>Sewerage: IRE</v>
      </c>
      <c r="F62" s="113"/>
      <c r="G62" s="120"/>
      <c r="H62" s="120"/>
      <c r="I62" s="120"/>
      <c r="J62" s="121">
        <f>'Calc2 BYR'!J46</f>
        <v>39.640590508201292</v>
      </c>
      <c r="K62" s="121">
        <f>'Calc2 BYR'!K46</f>
        <v>36.494855012823066</v>
      </c>
      <c r="L62" s="121">
        <f>'Calc2 BYR'!L46</f>
        <v>44.399875834970501</v>
      </c>
      <c r="M62" s="121">
        <f>'Calc2 BYR'!M46</f>
        <v>46.225110251649333</v>
      </c>
      <c r="N62" s="121">
        <f>'Calc2 BYR'!N46</f>
        <v>45.567919539780114</v>
      </c>
      <c r="O62" s="113"/>
      <c r="P62" s="113"/>
      <c r="Q62" s="113"/>
      <c r="R62" s="113"/>
      <c r="S62" s="113"/>
      <c r="T62" s="115"/>
      <c r="U62" s="122">
        <f>SUM(J62:N62)</f>
        <v>212.32835114742431</v>
      </c>
    </row>
    <row r="63" spans="1:27" s="117" customFormat="1" ht="17.399999999999999">
      <c r="A63" s="110"/>
      <c r="B63" s="119" t="s">
        <v>159</v>
      </c>
      <c r="C63" s="119"/>
      <c r="D63" s="113"/>
      <c r="E63" s="113" t="str">
        <f>'Calc2 BYR'!E47</f>
        <v>Sewerage: MNI</v>
      </c>
      <c r="F63" s="113"/>
      <c r="G63" s="120"/>
      <c r="H63" s="120"/>
      <c r="I63" s="120"/>
      <c r="J63" s="121">
        <f>'Calc2 BYR'!J47</f>
        <v>150.75957958585835</v>
      </c>
      <c r="K63" s="121">
        <f>'Calc2 BYR'!K47</f>
        <v>226.284601824183</v>
      </c>
      <c r="L63" s="121">
        <f>'Calc2 BYR'!L47</f>
        <v>132.78980871196487</v>
      </c>
      <c r="M63" s="121">
        <f>'Calc2 BYR'!M47</f>
        <v>146.85726112845211</v>
      </c>
      <c r="N63" s="121">
        <f>'Calc2 BYR'!N47</f>
        <v>113.04581801017456</v>
      </c>
      <c r="O63" s="113"/>
      <c r="P63" s="113"/>
      <c r="Q63" s="113"/>
      <c r="R63" s="113"/>
      <c r="S63" s="113"/>
      <c r="T63" s="115"/>
      <c r="U63" s="122">
        <f>SUM(J63:N63)</f>
        <v>769.73706926063289</v>
      </c>
    </row>
    <row r="64" spans="1:27" s="117" customFormat="1" ht="17.399999999999999">
      <c r="A64" s="110"/>
      <c r="B64" s="119" t="s">
        <v>160</v>
      </c>
      <c r="C64" s="119"/>
      <c r="D64" s="113"/>
      <c r="E64" s="113" t="str">
        <f>'Calc2 BYR'!E48</f>
        <v>Sewerage: Infrastructure enhancements</v>
      </c>
      <c r="F64" s="113"/>
      <c r="G64" s="120"/>
      <c r="H64" s="120"/>
      <c r="I64" s="120"/>
      <c r="J64" s="121">
        <f>'Calc2 BYR'!J48</f>
        <v>57.657577219887052</v>
      </c>
      <c r="K64" s="121">
        <f>'Calc2 BYR'!K48</f>
        <v>97.270019882493031</v>
      </c>
      <c r="L64" s="121">
        <f>'Calc2 BYR'!L48</f>
        <v>102.4236356921535</v>
      </c>
      <c r="M64" s="121">
        <f>'Calc2 BYR'!M48</f>
        <v>85.421238176095116</v>
      </c>
      <c r="N64" s="121">
        <f>'Calc2 BYR'!N48</f>
        <v>76.07267385604861</v>
      </c>
      <c r="O64" s="113"/>
      <c r="P64" s="113"/>
      <c r="Q64" s="113"/>
      <c r="R64" s="113"/>
      <c r="S64" s="113"/>
      <c r="T64" s="115"/>
      <c r="U64" s="122">
        <f>SUM(J64:N64)</f>
        <v>418.84514482667731</v>
      </c>
    </row>
    <row r="65" spans="1:21" s="117" customFormat="1" ht="17.399999999999999">
      <c r="A65" s="110"/>
      <c r="B65" s="119" t="s">
        <v>238</v>
      </c>
      <c r="C65" s="119"/>
      <c r="D65" s="113"/>
      <c r="E65" s="113" t="str">
        <f>'Calc2 BYR'!E49</f>
        <v>Sewerage: Non-infrastructure enhancements</v>
      </c>
      <c r="F65" s="113"/>
      <c r="G65" s="120"/>
      <c r="H65" s="120"/>
      <c r="I65" s="120"/>
      <c r="J65" s="121">
        <f>'Calc2 BYR'!J49</f>
        <v>276.96771548511396</v>
      </c>
      <c r="K65" s="121">
        <f>'Calc2 BYR'!K49</f>
        <v>313.57531138819775</v>
      </c>
      <c r="L65" s="121">
        <f>'Calc2 BYR'!L49</f>
        <v>266.61271504601694</v>
      </c>
      <c r="M65" s="121">
        <f>'Calc2 BYR'!M49</f>
        <v>166.75292601187698</v>
      </c>
      <c r="N65" s="121">
        <f>'Calc2 BYR'!N49</f>
        <v>117.08075287006456</v>
      </c>
      <c r="O65" s="113"/>
      <c r="P65" s="113"/>
      <c r="Q65" s="113"/>
      <c r="R65" s="113"/>
      <c r="S65" s="113"/>
      <c r="T65" s="115"/>
      <c r="U65" s="122">
        <f>SUM(J65:N65)</f>
        <v>1140.9894208012702</v>
      </c>
    </row>
    <row r="66" spans="1:21" s="117" customFormat="1" ht="17.399999999999999">
      <c r="A66" s="110"/>
      <c r="B66" s="119" t="s">
        <v>239</v>
      </c>
      <c r="C66" s="119"/>
      <c r="D66" s="113"/>
      <c r="E66" s="113" t="str">
        <f>'Calc2 BYR'!E50</f>
        <v>Sewerage: Large projects infrastructure</v>
      </c>
      <c r="F66" s="113"/>
      <c r="G66" s="120"/>
      <c r="H66" s="120"/>
      <c r="I66" s="120"/>
      <c r="J66" s="121">
        <f>'Calc2 BYR'!J50</f>
        <v>127.16970444827261</v>
      </c>
      <c r="K66" s="121">
        <f>'Calc2 BYR'!K50</f>
        <v>139.50991052218464</v>
      </c>
      <c r="L66" s="121">
        <f>'Calc2 BYR'!L50</f>
        <v>101.76309784432605</v>
      </c>
      <c r="M66" s="121">
        <f>'Calc2 BYR'!M50</f>
        <v>92.735644008455694</v>
      </c>
      <c r="N66" s="121">
        <f>'Calc2 BYR'!N50</f>
        <v>75.727190707475671</v>
      </c>
      <c r="O66" s="113"/>
      <c r="P66" s="113"/>
      <c r="Q66" s="113"/>
      <c r="R66" s="113"/>
      <c r="S66" s="113"/>
      <c r="T66" s="115"/>
      <c r="U66" s="122">
        <f t="shared" ref="U66:U67" si="5">SUM(J66:N66)</f>
        <v>536.90554753071467</v>
      </c>
    </row>
    <row r="67" spans="1:21" s="117" customFormat="1" ht="17.399999999999999">
      <c r="A67" s="110"/>
      <c r="B67" s="119" t="s">
        <v>240</v>
      </c>
      <c r="C67" s="119"/>
      <c r="D67" s="113"/>
      <c r="E67" s="113" t="str">
        <f>'Calc2 BYR'!E51</f>
        <v>Sewerage: Large projects non-infrastructure</v>
      </c>
      <c r="F67" s="113"/>
      <c r="G67" s="120"/>
      <c r="H67" s="120"/>
      <c r="I67" s="120"/>
      <c r="J67" s="121">
        <f>'Calc2 BYR'!J51</f>
        <v>15.32657878111219</v>
      </c>
      <c r="K67" s="121">
        <f>'Calc2 BYR'!K51</f>
        <v>16.813645518508981</v>
      </c>
      <c r="L67" s="121">
        <f>'Calc2 BYR'!L51</f>
        <v>12.263710871371064</v>
      </c>
      <c r="M67" s="121">
        <f>'Calc2 BYR'!M51</f>
        <v>11.176459059255167</v>
      </c>
      <c r="N67" s="121">
        <f>'Calc2 BYR'!N51</f>
        <v>9.1263876311567103</v>
      </c>
      <c r="O67" s="113"/>
      <c r="P67" s="113"/>
      <c r="Q67" s="113"/>
      <c r="R67" s="113"/>
      <c r="S67" s="113"/>
      <c r="T67" s="115"/>
      <c r="U67" s="122">
        <f t="shared" si="5"/>
        <v>64.706781861404096</v>
      </c>
    </row>
    <row r="68" spans="1:21" s="117" customFormat="1" ht="17.399999999999999">
      <c r="A68" s="110"/>
      <c r="B68" s="119" t="s">
        <v>241</v>
      </c>
      <c r="C68" s="118"/>
      <c r="D68" s="113"/>
      <c r="E68" s="113" t="str">
        <f>'Calc2 BYR'!E68</f>
        <v>Sewerage: Allowance capex (gross of adjustments)</v>
      </c>
      <c r="F68" s="113"/>
      <c r="G68" s="120"/>
      <c r="H68" s="120"/>
      <c r="I68" s="120"/>
      <c r="J68" s="121">
        <f>'Calc2 BYR'!J68</f>
        <v>667.52174602844536</v>
      </c>
      <c r="K68" s="121">
        <f>'Calc2 BYR'!K68</f>
        <v>829.94834414839056</v>
      </c>
      <c r="L68" s="121">
        <f>'Calc2 BYR'!L68</f>
        <v>660.25284400080284</v>
      </c>
      <c r="M68" s="121">
        <f>'Calc2 BYR'!M68</f>
        <v>549.16863863578442</v>
      </c>
      <c r="N68" s="121">
        <f>'Calc2 BYR'!N68</f>
        <v>436.62074261470025</v>
      </c>
      <c r="O68" s="113"/>
      <c r="P68" s="113"/>
      <c r="Q68" s="113"/>
      <c r="R68" s="113"/>
      <c r="S68" s="113"/>
      <c r="T68" s="115"/>
      <c r="U68" s="122">
        <f>SUM(J68:N68)</f>
        <v>3143.5123154281237</v>
      </c>
    </row>
    <row r="69" spans="1:21" s="117" customFormat="1" ht="17.399999999999999">
      <c r="A69" s="110"/>
      <c r="B69" s="118"/>
      <c r="C69" s="118"/>
      <c r="D69" s="113"/>
      <c r="E69" s="113"/>
      <c r="F69" s="113"/>
      <c r="G69" s="120"/>
      <c r="H69" s="120"/>
      <c r="I69" s="120"/>
      <c r="J69" s="121"/>
      <c r="K69" s="121"/>
      <c r="L69" s="121"/>
      <c r="M69" s="121"/>
      <c r="N69" s="121"/>
      <c r="O69" s="113"/>
      <c r="P69" s="113"/>
      <c r="Q69" s="113"/>
      <c r="R69" s="113"/>
      <c r="S69" s="113"/>
      <c r="T69" s="115"/>
      <c r="U69" s="122"/>
    </row>
    <row r="70" spans="1:21" s="117" customFormat="1" ht="17.399999999999999">
      <c r="A70" s="110"/>
      <c r="B70" s="112">
        <v>2</v>
      </c>
      <c r="C70" s="112"/>
      <c r="D70" s="113"/>
      <c r="E70" s="105" t="s">
        <v>161</v>
      </c>
      <c r="F70" s="105"/>
      <c r="G70" s="113"/>
      <c r="H70" s="113"/>
      <c r="I70" s="113"/>
      <c r="J70" s="121"/>
      <c r="K70" s="121"/>
      <c r="L70" s="121"/>
      <c r="M70" s="121"/>
      <c r="N70" s="121"/>
      <c r="O70" s="113"/>
      <c r="P70" s="113"/>
      <c r="Q70" s="113"/>
      <c r="R70" s="113"/>
      <c r="S70" s="113"/>
      <c r="T70" s="115"/>
      <c r="U70" s="122"/>
    </row>
    <row r="71" spans="1:21" s="117" customFormat="1" ht="17.399999999999999">
      <c r="A71" s="110"/>
      <c r="B71" s="113"/>
      <c r="C71" s="113"/>
      <c r="D71" s="113"/>
      <c r="E71" s="113"/>
      <c r="F71" s="113"/>
      <c r="G71" s="113"/>
      <c r="H71" s="113"/>
      <c r="I71" s="113"/>
      <c r="J71" s="121"/>
      <c r="K71" s="121"/>
      <c r="L71" s="121"/>
      <c r="M71" s="121"/>
      <c r="N71" s="121"/>
      <c r="O71" s="113"/>
      <c r="P71" s="113"/>
      <c r="Q71" s="113"/>
      <c r="R71" s="113"/>
      <c r="S71" s="113"/>
      <c r="T71" s="115"/>
      <c r="U71" s="122"/>
    </row>
    <row r="72" spans="1:21" s="117" customFormat="1" ht="17.399999999999999">
      <c r="A72" s="110"/>
      <c r="B72" s="119">
        <v>2.1</v>
      </c>
      <c r="C72" s="119"/>
      <c r="D72" s="113"/>
      <c r="E72" s="113" t="str">
        <f>'Calc2 BYR'!E94</f>
        <v>Water: CIS bid ratio</v>
      </c>
      <c r="F72" s="113"/>
      <c r="G72" s="124">
        <f>'Calc2 BYR'!G94</f>
        <v>125.26368929866103</v>
      </c>
      <c r="H72" s="120"/>
      <c r="I72" s="120"/>
      <c r="J72" s="121"/>
      <c r="K72" s="121"/>
      <c r="L72" s="121"/>
      <c r="M72" s="121"/>
      <c r="N72" s="121"/>
      <c r="O72" s="113"/>
      <c r="P72" s="113"/>
      <c r="Q72" s="113"/>
      <c r="R72" s="113"/>
      <c r="S72" s="113"/>
      <c r="T72" s="115"/>
      <c r="U72" s="122"/>
    </row>
    <row r="73" spans="1:21" s="117" customFormat="1" ht="17.399999999999999">
      <c r="A73" s="110"/>
      <c r="B73" s="119">
        <v>2.2000000000000002</v>
      </c>
      <c r="C73" s="119"/>
      <c r="D73" s="113"/>
      <c r="E73" s="113" t="str">
        <f>'Calc2 BYR'!E127</f>
        <v>Water: Additional income (applied at FD)</v>
      </c>
      <c r="F73" s="113"/>
      <c r="G73" s="124"/>
      <c r="H73" s="120"/>
      <c r="I73" s="120"/>
      <c r="J73" s="121">
        <f>'Calc2 BYR'!J127</f>
        <v>-6.4040346411921103</v>
      </c>
      <c r="K73" s="121">
        <f>'Calc2 BYR'!K127</f>
        <v>-9.3120659362126101</v>
      </c>
      <c r="L73" s="121">
        <f>'Calc2 BYR'!L127</f>
        <v>-8.4414031297668295</v>
      </c>
      <c r="M73" s="121">
        <f>'Calc2 BYR'!M127</f>
        <v>-7.9153618865700501</v>
      </c>
      <c r="N73" s="121">
        <f>'Calc2 BYR'!N127</f>
        <v>-6.2416587606791998</v>
      </c>
      <c r="O73" s="113"/>
      <c r="P73" s="113"/>
      <c r="Q73" s="113"/>
      <c r="R73" s="113"/>
      <c r="S73" s="113"/>
      <c r="T73" s="115"/>
      <c r="U73" s="122">
        <f>SUM(J73:N73)</f>
        <v>-38.314524354420797</v>
      </c>
    </row>
    <row r="74" spans="1:21" s="117" customFormat="1" ht="17.399999999999999">
      <c r="A74" s="110"/>
      <c r="B74" s="119"/>
      <c r="C74" s="119"/>
      <c r="D74" s="113"/>
      <c r="E74" s="113"/>
      <c r="F74" s="113"/>
      <c r="G74" s="124"/>
      <c r="H74" s="113"/>
      <c r="I74" s="113"/>
      <c r="J74" s="121"/>
      <c r="K74" s="121"/>
      <c r="L74" s="121"/>
      <c r="M74" s="121"/>
      <c r="N74" s="121"/>
      <c r="O74" s="113"/>
      <c r="P74" s="113"/>
      <c r="Q74" s="113"/>
      <c r="R74" s="113"/>
      <c r="S74" s="113"/>
      <c r="T74" s="115"/>
      <c r="U74" s="122"/>
    </row>
    <row r="75" spans="1:21" s="117" customFormat="1" ht="17.399999999999999">
      <c r="A75" s="110"/>
      <c r="B75" s="119">
        <v>2.2999999999999998</v>
      </c>
      <c r="C75" s="119"/>
      <c r="D75" s="113"/>
      <c r="E75" s="113" t="str">
        <f>'Calc2 BYR'!E99</f>
        <v>Sewerage: CIS bid ratio</v>
      </c>
      <c r="F75" s="113"/>
      <c r="G75" s="301">
        <f>'Calc2 BYR'!G99</f>
        <v>107.97441355193162</v>
      </c>
      <c r="H75" s="120"/>
      <c r="I75" s="120"/>
      <c r="J75" s="121"/>
      <c r="K75" s="121"/>
      <c r="L75" s="121"/>
      <c r="M75" s="121"/>
      <c r="N75" s="121"/>
      <c r="O75" s="113"/>
      <c r="P75" s="113"/>
      <c r="Q75" s="113"/>
      <c r="R75" s="113"/>
      <c r="S75" s="113"/>
      <c r="T75" s="115"/>
      <c r="U75" s="122"/>
    </row>
    <row r="76" spans="1:21" s="117" customFormat="1" ht="17.399999999999999">
      <c r="A76" s="110"/>
      <c r="B76" s="119">
        <v>2.4</v>
      </c>
      <c r="C76" s="119"/>
      <c r="D76" s="113"/>
      <c r="E76" s="113" t="str">
        <f>'Calc2 BYR'!E128</f>
        <v>Sewerage: Additional income (applied at FD)</v>
      </c>
      <c r="F76" s="113"/>
      <c r="G76" s="120"/>
      <c r="H76" s="120"/>
      <c r="I76" s="120"/>
      <c r="J76" s="121">
        <f>'Calc2 BYR'!J128</f>
        <v>-4.4345210389061096</v>
      </c>
      <c r="K76" s="121">
        <f>'Calc2 BYR'!K128</f>
        <v>-5.5135632887299098</v>
      </c>
      <c r="L76" s="121">
        <f>'Calc2 BYR'!L128</f>
        <v>-4.38623182711172</v>
      </c>
      <c r="M76" s="121">
        <f>'Calc2 BYR'!M128</f>
        <v>-3.6482704817140701</v>
      </c>
      <c r="N76" s="121">
        <f>'Calc2 BYR'!N128</f>
        <v>-2.90058545757877</v>
      </c>
      <c r="O76" s="113"/>
      <c r="P76" s="113"/>
      <c r="Q76" s="113"/>
      <c r="R76" s="113"/>
      <c r="S76" s="113"/>
      <c r="T76" s="115"/>
      <c r="U76" s="122">
        <f>SUM(J76:N76)</f>
        <v>-20.883172094040582</v>
      </c>
    </row>
    <row r="77" spans="1:21" s="117" customFormat="1" ht="17.399999999999999">
      <c r="A77" s="110"/>
      <c r="B77" s="118"/>
      <c r="C77" s="118"/>
      <c r="D77" s="113"/>
      <c r="E77" s="113"/>
      <c r="F77" s="113"/>
      <c r="G77" s="113"/>
      <c r="H77" s="113"/>
      <c r="I77" s="113"/>
      <c r="J77" s="114"/>
      <c r="K77" s="114"/>
      <c r="L77" s="114"/>
      <c r="M77" s="114"/>
      <c r="N77" s="114"/>
      <c r="O77" s="113"/>
      <c r="P77" s="113"/>
      <c r="Q77" s="113"/>
      <c r="R77" s="113"/>
      <c r="S77" s="113"/>
      <c r="T77" s="115"/>
      <c r="U77" s="125"/>
    </row>
    <row r="78" spans="1:21" s="117" customFormat="1" ht="17.399999999999999">
      <c r="A78" s="126"/>
      <c r="B78" s="127"/>
      <c r="C78" s="127"/>
      <c r="D78" s="127"/>
      <c r="E78" s="127"/>
      <c r="F78" s="127"/>
      <c r="G78" s="127"/>
      <c r="H78" s="127"/>
      <c r="I78" s="127"/>
      <c r="J78" s="128"/>
      <c r="K78" s="128"/>
      <c r="L78" s="128"/>
      <c r="M78" s="128"/>
      <c r="N78" s="128"/>
      <c r="O78" s="127"/>
      <c r="P78" s="127"/>
      <c r="Q78" s="127"/>
      <c r="R78" s="127"/>
      <c r="S78" s="127"/>
      <c r="T78" s="129"/>
      <c r="U78" s="130"/>
    </row>
    <row r="79" spans="1:21" s="41" customFormat="1" ht="17.399999999999999"/>
    <row r="80" spans="1:21" s="41" customFormat="1" ht="17.399999999999999"/>
    <row r="81" s="41" customFormat="1" ht="17.399999999999999"/>
    <row r="82" s="41" customFormat="1" ht="17.399999999999999"/>
    <row r="83" s="41" customFormat="1" ht="17.399999999999999"/>
    <row r="84" s="41" customFormat="1" ht="17.399999999999999"/>
    <row r="85" s="41" customFormat="1" ht="17.399999999999999"/>
    <row r="86" s="41" customFormat="1" ht="17.399999999999999"/>
    <row r="87" s="41" customFormat="1" ht="17.399999999999999"/>
    <row r="88" s="41" customFormat="1" ht="17.399999999999999"/>
    <row r="89" s="41" customFormat="1" ht="17.399999999999999"/>
    <row r="90" s="41" customFormat="1" ht="17.399999999999999"/>
    <row r="91" s="41" customFormat="1" ht="17.399999999999999"/>
    <row r="92" s="41" customFormat="1" ht="17.399999999999999"/>
    <row r="93" s="41" customFormat="1" ht="17.399999999999999"/>
    <row r="94" s="41" customFormat="1" ht="17.399999999999999"/>
    <row r="95" s="41" customFormat="1" ht="17.399999999999999"/>
    <row r="96" s="41" customFormat="1" ht="17.399999999999999"/>
    <row r="97" s="41" customFormat="1" ht="17.399999999999999"/>
    <row r="98" s="41" customFormat="1" ht="17.399999999999999"/>
    <row r="99" s="41" customFormat="1" ht="17.399999999999999"/>
    <row r="100" s="41" customFormat="1" ht="17.399999999999999"/>
    <row r="101" s="41" customFormat="1" ht="17.399999999999999"/>
  </sheetData>
  <pageMargins left="0.70866141732283472" right="0.70866141732283472" top="0.74803149606299213" bottom="0.74803149606299213" header="0.31496062992125984" footer="0.31496062992125984"/>
  <pageSetup paperSize="9" scale="35" orientation="landscape" r:id="rId1"/>
  <headerFooter>
    <oddFooter>&amp;LPL14L012 CIS v3.5
Ofwat, February 2016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X124"/>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A3" sqref="A3"/>
    </sheetView>
  </sheetViews>
  <sheetFormatPr defaultRowHeight="13.2"/>
  <cols>
    <col min="1" max="1" width="1.88671875" customWidth="1"/>
    <col min="2" max="2" width="8.88671875" customWidth="1"/>
    <col min="3" max="3" width="3.44140625" customWidth="1"/>
    <col min="4" max="4" width="0" hidden="1" customWidth="1"/>
    <col min="5" max="5" width="93.88671875" bestFit="1" customWidth="1"/>
    <col min="6" max="14" width="17.44140625" customWidth="1"/>
    <col min="15" max="18" width="20.6640625" hidden="1" customWidth="1"/>
    <col min="19" max="19" width="18.33203125" hidden="1" customWidth="1"/>
    <col min="20" max="20" width="3.109375" customWidth="1"/>
    <col min="21" max="21" width="26.109375" style="291" customWidth="1"/>
  </cols>
  <sheetData>
    <row r="1" spans="1:21" ht="26.85" customHeight="1">
      <c r="A1" s="492"/>
      <c r="B1" s="493"/>
      <c r="C1" s="493"/>
      <c r="D1" s="493"/>
      <c r="E1" s="493"/>
      <c r="F1" s="493"/>
      <c r="G1" s="493"/>
      <c r="H1" s="493"/>
      <c r="I1" s="493"/>
      <c r="J1" s="493"/>
      <c r="K1" s="493"/>
      <c r="L1" s="493"/>
      <c r="M1" s="493"/>
      <c r="N1" s="493"/>
      <c r="O1" s="493"/>
      <c r="P1" s="493"/>
      <c r="Q1" s="493"/>
      <c r="R1" s="493"/>
      <c r="S1" s="493"/>
      <c r="T1" s="493"/>
      <c r="U1" s="515"/>
    </row>
    <row r="2" spans="1:21" ht="26.85" customHeight="1">
      <c r="A2" s="495"/>
      <c r="B2" s="496"/>
      <c r="C2" s="496"/>
      <c r="D2" s="496"/>
      <c r="E2" s="510" t="str">
        <f>IF('Input BYR'!G150="","",'Input BYR'!G150)</f>
        <v>TMS Blind year update with corrected approach to RCV indexation</v>
      </c>
      <c r="F2" s="510"/>
      <c r="G2" s="496"/>
      <c r="H2" s="496"/>
      <c r="I2" s="496"/>
      <c r="J2" s="496"/>
      <c r="K2" s="496"/>
      <c r="L2" s="496"/>
      <c r="M2" s="496"/>
      <c r="N2" s="496"/>
      <c r="O2" s="496"/>
      <c r="P2" s="496"/>
      <c r="Q2" s="496"/>
      <c r="R2" s="496"/>
      <c r="S2" s="496"/>
      <c r="T2" s="496"/>
      <c r="U2" s="516"/>
    </row>
    <row r="3" spans="1:21" ht="26.85" customHeight="1">
      <c r="A3" s="495"/>
      <c r="B3" s="496"/>
      <c r="C3" s="496"/>
      <c r="D3" s="496"/>
      <c r="E3" s="497"/>
      <c r="F3" s="497"/>
      <c r="G3" s="496"/>
      <c r="H3" s="496"/>
      <c r="I3" s="496"/>
      <c r="J3" s="496"/>
      <c r="K3" s="496"/>
      <c r="L3" s="496"/>
      <c r="M3" s="496"/>
      <c r="N3" s="496"/>
      <c r="O3" s="496"/>
      <c r="P3" s="496"/>
      <c r="Q3" s="496"/>
      <c r="R3" s="496"/>
      <c r="S3" s="496"/>
      <c r="T3" s="496"/>
      <c r="U3" s="516"/>
    </row>
    <row r="4" spans="1:21" ht="35.25" customHeight="1">
      <c r="A4" s="495"/>
      <c r="B4" s="496"/>
      <c r="C4" s="496"/>
      <c r="D4" s="496"/>
      <c r="E4" s="496"/>
      <c r="F4" s="496"/>
      <c r="G4" s="496"/>
      <c r="H4" s="496"/>
      <c r="I4" s="496"/>
      <c r="J4" s="496"/>
      <c r="K4" s="496"/>
      <c r="L4" s="496"/>
      <c r="M4" s="499" t="s">
        <v>79</v>
      </c>
      <c r="N4" s="500" t="s">
        <v>100</v>
      </c>
      <c r="O4" s="500"/>
      <c r="P4" s="500"/>
      <c r="Q4" s="500"/>
      <c r="R4" s="500"/>
      <c r="S4" s="500"/>
      <c r="T4" s="500"/>
      <c r="U4" s="517"/>
    </row>
    <row r="5" spans="1:21" ht="26.85" customHeight="1">
      <c r="A5" s="495"/>
      <c r="B5" s="496"/>
      <c r="C5" s="496"/>
      <c r="D5" s="496"/>
      <c r="E5" s="511" t="s">
        <v>581</v>
      </c>
      <c r="F5" s="511"/>
      <c r="G5" s="496"/>
      <c r="H5" s="496"/>
      <c r="I5" s="496"/>
      <c r="J5" s="496"/>
      <c r="K5" s="496"/>
      <c r="L5" s="496"/>
      <c r="M5" s="496"/>
      <c r="N5" s="502"/>
      <c r="O5" s="496"/>
      <c r="P5" s="496"/>
      <c r="Q5" s="496"/>
      <c r="R5" s="496"/>
      <c r="S5" s="496"/>
      <c r="T5" s="496"/>
      <c r="U5" s="516"/>
    </row>
    <row r="6" spans="1:21" ht="26.85" customHeight="1">
      <c r="A6" s="495"/>
      <c r="B6" s="496"/>
      <c r="C6" s="496"/>
      <c r="D6" s="496"/>
      <c r="E6" s="503"/>
      <c r="F6" s="503"/>
      <c r="G6" s="496"/>
      <c r="H6" s="496"/>
      <c r="I6" s="496"/>
      <c r="J6" s="496"/>
      <c r="K6" s="496"/>
      <c r="L6" s="496"/>
      <c r="M6" s="496"/>
      <c r="N6" s="496"/>
      <c r="O6" s="496"/>
      <c r="P6" s="496"/>
      <c r="Q6" s="496"/>
      <c r="R6" s="496"/>
      <c r="S6" s="496"/>
      <c r="T6" s="496"/>
      <c r="U6" s="516"/>
    </row>
    <row r="7" spans="1:21" ht="26.85" customHeight="1">
      <c r="A7" s="495"/>
      <c r="B7" s="496"/>
      <c r="C7" s="496"/>
      <c r="D7" s="496"/>
      <c r="E7" s="496"/>
      <c r="F7" s="496"/>
      <c r="G7" s="496"/>
      <c r="H7" s="496"/>
      <c r="I7" s="496"/>
      <c r="J7" s="496"/>
      <c r="K7" s="496"/>
      <c r="L7" s="496"/>
      <c r="M7" s="496"/>
      <c r="N7" s="496"/>
      <c r="O7" s="496"/>
      <c r="P7" s="496"/>
      <c r="Q7" s="496"/>
      <c r="R7" s="496"/>
      <c r="S7" s="496"/>
      <c r="T7" s="496"/>
      <c r="U7" s="516"/>
    </row>
    <row r="8" spans="1:21" ht="26.85" customHeight="1">
      <c r="A8" s="495"/>
      <c r="B8" s="496"/>
      <c r="C8" s="496"/>
      <c r="D8" s="496"/>
      <c r="E8" s="518"/>
      <c r="F8" s="518"/>
      <c r="G8" s="496"/>
      <c r="H8" s="496"/>
      <c r="I8" s="496"/>
      <c r="J8" s="496"/>
      <c r="K8" s="496"/>
      <c r="L8" s="496"/>
      <c r="M8" s="496"/>
      <c r="N8" s="496"/>
      <c r="O8" s="496"/>
      <c r="P8" s="496"/>
      <c r="Q8" s="496"/>
      <c r="R8" s="496"/>
      <c r="S8" s="496"/>
      <c r="T8" s="496"/>
      <c r="U8" s="516"/>
    </row>
    <row r="9" spans="1:21" s="19" customFormat="1" ht="26.85" customHeight="1">
      <c r="A9" s="504" t="s">
        <v>20</v>
      </c>
      <c r="B9" s="505"/>
      <c r="C9" s="505"/>
      <c r="D9" s="506" t="s">
        <v>22</v>
      </c>
      <c r="E9" s="507"/>
      <c r="F9" s="507"/>
      <c r="G9" s="508"/>
      <c r="H9" s="508"/>
      <c r="I9" s="508"/>
      <c r="J9" s="508"/>
      <c r="K9" s="508"/>
      <c r="L9" s="508"/>
      <c r="M9" s="508"/>
      <c r="N9" s="508"/>
      <c r="O9" s="508"/>
      <c r="P9" s="508"/>
      <c r="Q9" s="508"/>
      <c r="R9" s="508"/>
      <c r="S9" s="508"/>
      <c r="T9" s="508"/>
      <c r="U9" s="519"/>
    </row>
    <row r="10" spans="1:21" ht="17.399999999999999">
      <c r="A10" s="43"/>
      <c r="B10" s="45"/>
      <c r="C10" s="45"/>
      <c r="D10" s="46"/>
      <c r="E10" s="47"/>
      <c r="F10" s="47"/>
      <c r="G10" s="49"/>
      <c r="H10" s="49"/>
      <c r="I10" s="49"/>
      <c r="J10" s="50"/>
      <c r="K10" s="50"/>
      <c r="L10" s="50"/>
      <c r="M10" s="50"/>
      <c r="N10" s="50"/>
      <c r="O10" s="49"/>
      <c r="P10" s="49"/>
      <c r="Q10" s="49"/>
      <c r="R10" s="49"/>
      <c r="S10" s="49"/>
      <c r="T10" s="49"/>
      <c r="U10" s="292"/>
    </row>
    <row r="11" spans="1:21" ht="17.399999999999999">
      <c r="A11" s="52" t="s">
        <v>25</v>
      </c>
      <c r="B11" s="8"/>
      <c r="C11" s="8"/>
      <c r="D11" s="9" t="s">
        <v>26</v>
      </c>
      <c r="E11" s="10"/>
      <c r="F11" s="10"/>
      <c r="G11" s="512" t="s">
        <v>28</v>
      </c>
      <c r="H11" s="512" t="s">
        <v>29</v>
      </c>
      <c r="I11" s="512" t="s">
        <v>30</v>
      </c>
      <c r="J11" s="512" t="s">
        <v>31</v>
      </c>
      <c r="K11" s="512" t="s">
        <v>32</v>
      </c>
      <c r="L11" s="512" t="s">
        <v>33</v>
      </c>
      <c r="M11" s="512" t="s">
        <v>34</v>
      </c>
      <c r="N11" s="512" t="s">
        <v>35</v>
      </c>
      <c r="O11" s="487"/>
      <c r="P11" s="487"/>
      <c r="Q11" s="487"/>
      <c r="R11" s="487"/>
      <c r="S11" s="487"/>
      <c r="T11" s="513"/>
      <c r="U11" s="520" t="s">
        <v>59</v>
      </c>
    </row>
    <row r="12" spans="1:21" s="109" customFormat="1" ht="18" customHeight="1">
      <c r="A12" s="102"/>
      <c r="B12" s="104"/>
      <c r="C12" s="104"/>
      <c r="D12" s="104"/>
      <c r="E12" s="104"/>
      <c r="F12" s="104"/>
      <c r="G12" s="104"/>
      <c r="H12" s="104"/>
      <c r="I12" s="104"/>
      <c r="J12" s="106"/>
      <c r="K12" s="106"/>
      <c r="L12" s="106"/>
      <c r="M12" s="106"/>
      <c r="N12" s="106"/>
      <c r="O12" s="104"/>
      <c r="P12" s="104"/>
      <c r="Q12" s="104"/>
      <c r="R12" s="104"/>
      <c r="S12" s="104"/>
      <c r="T12" s="107"/>
      <c r="U12" s="293"/>
    </row>
    <row r="13" spans="1:21" s="109" customFormat="1" ht="18" customHeight="1">
      <c r="A13" s="102"/>
      <c r="B13" s="103">
        <v>1</v>
      </c>
      <c r="C13" s="104"/>
      <c r="D13" s="104"/>
      <c r="E13" s="105" t="s">
        <v>301</v>
      </c>
      <c r="F13" s="105"/>
      <c r="G13" s="104"/>
      <c r="H13" s="104"/>
      <c r="I13" s="104"/>
      <c r="J13" s="106"/>
      <c r="K13" s="106"/>
      <c r="L13" s="106"/>
      <c r="M13" s="106"/>
      <c r="N13" s="106"/>
      <c r="O13" s="104"/>
      <c r="P13" s="104"/>
      <c r="Q13" s="104"/>
      <c r="R13" s="104"/>
      <c r="S13" s="104"/>
      <c r="T13" s="107"/>
      <c r="U13" s="293"/>
    </row>
    <row r="14" spans="1:21" s="109" customFormat="1" ht="18" customHeight="1">
      <c r="A14" s="102"/>
      <c r="B14" s="104"/>
      <c r="C14" s="104"/>
      <c r="D14" s="104"/>
      <c r="E14" s="104"/>
      <c r="F14" s="104"/>
      <c r="G14" s="104"/>
      <c r="H14" s="104"/>
      <c r="I14" s="104"/>
      <c r="J14" s="106"/>
      <c r="K14" s="106"/>
      <c r="L14" s="106"/>
      <c r="M14" s="106"/>
      <c r="N14" s="106"/>
      <c r="O14" s="104"/>
      <c r="P14" s="104"/>
      <c r="Q14" s="104"/>
      <c r="R14" s="104"/>
      <c r="S14" s="104"/>
      <c r="T14" s="107"/>
      <c r="U14" s="293"/>
    </row>
    <row r="15" spans="1:21" s="117" customFormat="1" ht="17.399999999999999">
      <c r="A15" s="110"/>
      <c r="B15" s="111">
        <v>1.1000000000000001</v>
      </c>
      <c r="C15" s="112"/>
      <c r="D15" s="113"/>
      <c r="E15" s="105" t="s">
        <v>302</v>
      </c>
      <c r="F15" s="105"/>
      <c r="G15" s="113"/>
      <c r="H15" s="113"/>
      <c r="I15" s="113"/>
      <c r="J15" s="114"/>
      <c r="K15" s="114"/>
      <c r="L15" s="114"/>
      <c r="M15" s="114"/>
      <c r="N15" s="114"/>
      <c r="O15" s="113"/>
      <c r="P15" s="113"/>
      <c r="Q15" s="113"/>
      <c r="R15" s="113"/>
      <c r="S15" s="113"/>
      <c r="T15" s="115"/>
      <c r="U15" s="294"/>
    </row>
    <row r="16" spans="1:21" s="117" customFormat="1" ht="17.399999999999999">
      <c r="A16" s="110"/>
      <c r="B16" s="118" t="s">
        <v>129</v>
      </c>
      <c r="C16" s="119"/>
      <c r="D16" s="113"/>
      <c r="E16" s="124" t="str">
        <f>'Calc2 BYR'!E55</f>
        <v>Water: Company bid capex (gross of adjustments)</v>
      </c>
      <c r="F16" s="124"/>
      <c r="G16" s="113"/>
      <c r="H16" s="120"/>
      <c r="I16" s="120"/>
      <c r="J16" s="121">
        <f>'Calc2 BYR'!J55</f>
        <v>388.12044076242984</v>
      </c>
      <c r="K16" s="121">
        <f>'Calc2 BYR'!K55</f>
        <v>500.29059487707758</v>
      </c>
      <c r="L16" s="121">
        <f>'Calc2 BYR'!L55</f>
        <v>336.7232186974299</v>
      </c>
      <c r="M16" s="121">
        <f>'Calc2 BYR'!M55</f>
        <v>310.15449025703668</v>
      </c>
      <c r="N16" s="121">
        <f>'Calc2 BYR'!N55</f>
        <v>247.16279813151507</v>
      </c>
      <c r="O16" s="113"/>
      <c r="P16" s="113"/>
      <c r="Q16" s="113"/>
      <c r="R16" s="113"/>
      <c r="S16" s="113"/>
      <c r="T16" s="115"/>
      <c r="U16" s="295">
        <f>SUM(J16:N16)</f>
        <v>1782.4515427254892</v>
      </c>
    </row>
    <row r="17" spans="1:21" s="117" customFormat="1" ht="17.399999999999999">
      <c r="A17" s="110"/>
      <c r="B17" s="118" t="s">
        <v>131</v>
      </c>
      <c r="C17" s="119"/>
      <c r="D17" s="113"/>
      <c r="E17" s="124" t="str">
        <f>'Calc2 BYR'!E56</f>
        <v>Water: Baseline capex (gross of adjustments)</v>
      </c>
      <c r="F17" s="124"/>
      <c r="G17" s="113"/>
      <c r="H17" s="120"/>
      <c r="I17" s="120"/>
      <c r="J17" s="121">
        <f>'Calc2 BYR'!J56</f>
        <v>237.83883424979501</v>
      </c>
      <c r="K17" s="121">
        <f>'Calc2 BYR'!K56</f>
        <v>345.8399322952053</v>
      </c>
      <c r="L17" s="121">
        <f>'Calc2 BYR'!L56</f>
        <v>313.5044690268216</v>
      </c>
      <c r="M17" s="121">
        <f>'Calc2 BYR'!M56</f>
        <v>293.96787326194521</v>
      </c>
      <c r="N17" s="121">
        <f>'Calc2 BYR'!N56</f>
        <v>231.80837184675443</v>
      </c>
      <c r="O17" s="113"/>
      <c r="P17" s="113"/>
      <c r="Q17" s="113"/>
      <c r="R17" s="113"/>
      <c r="S17" s="113"/>
      <c r="T17" s="115"/>
      <c r="U17" s="295">
        <f t="shared" ref="U17:U18" si="0">SUM(J17:N17)</f>
        <v>1422.9594806805217</v>
      </c>
    </row>
    <row r="18" spans="1:21" s="117" customFormat="1" ht="17.399999999999999">
      <c r="A18" s="110"/>
      <c r="B18" s="118" t="s">
        <v>132</v>
      </c>
      <c r="C18" s="119"/>
      <c r="D18" s="113"/>
      <c r="E18" s="124" t="str">
        <f>'Calc2 BYR'!E57</f>
        <v>Water: Allowance capex (gross of adjustments)</v>
      </c>
      <c r="F18" s="124"/>
      <c r="G18" s="113"/>
      <c r="H18" s="286"/>
      <c r="I18" s="120"/>
      <c r="J18" s="121">
        <f>'Calc2 BYR'!J57</f>
        <v>252.8605502789014</v>
      </c>
      <c r="K18" s="121">
        <f>'Calc2 BYR'!K57</f>
        <v>367.68291378664532</v>
      </c>
      <c r="L18" s="121">
        <f>'Calc2 BYR'!L57</f>
        <v>333.30516777490993</v>
      </c>
      <c r="M18" s="121">
        <f>'Calc2 BYR'!M57</f>
        <v>312.53465579664004</v>
      </c>
      <c r="N18" s="121">
        <f>'Calc2 BYR'!N57</f>
        <v>246.44920855466663</v>
      </c>
      <c r="O18" s="113"/>
      <c r="P18" s="113"/>
      <c r="Q18" s="113"/>
      <c r="R18" s="113"/>
      <c r="S18" s="113"/>
      <c r="T18" s="115"/>
      <c r="U18" s="295">
        <f t="shared" si="0"/>
        <v>1512.8324961917633</v>
      </c>
    </row>
    <row r="19" spans="1:21" s="117" customFormat="1" ht="17.399999999999999">
      <c r="A19" s="110"/>
      <c r="B19" s="118" t="s">
        <v>133</v>
      </c>
      <c r="C19" s="119"/>
      <c r="D19" s="113"/>
      <c r="E19" s="124" t="str">
        <f>'Calc2 BYR'!E94</f>
        <v>Water: CIS bid ratio</v>
      </c>
      <c r="F19" s="124"/>
      <c r="G19" s="301">
        <f>'Calc2 BYR'!G94</f>
        <v>125.26368929866103</v>
      </c>
      <c r="H19" s="120"/>
      <c r="I19" s="120"/>
      <c r="J19" s="121"/>
      <c r="K19" s="121"/>
      <c r="L19" s="121"/>
      <c r="M19" s="121"/>
      <c r="N19" s="121"/>
      <c r="O19" s="113"/>
      <c r="P19" s="113"/>
      <c r="Q19" s="113"/>
      <c r="R19" s="113"/>
      <c r="S19" s="113"/>
      <c r="T19" s="115"/>
      <c r="U19" s="302"/>
    </row>
    <row r="20" spans="1:21" s="117" customFormat="1" ht="17.399999999999999">
      <c r="A20" s="110"/>
      <c r="B20" s="118"/>
      <c r="C20" s="119"/>
      <c r="D20" s="113"/>
      <c r="E20" s="124"/>
      <c r="F20" s="124"/>
      <c r="G20" s="113"/>
      <c r="H20" s="120"/>
      <c r="I20" s="120"/>
      <c r="J20" s="121"/>
      <c r="K20" s="121"/>
      <c r="L20" s="121"/>
      <c r="M20" s="121"/>
      <c r="N20" s="121"/>
      <c r="O20" s="113"/>
      <c r="P20" s="113"/>
      <c r="Q20" s="113"/>
      <c r="R20" s="113"/>
      <c r="S20" s="113"/>
      <c r="T20" s="115"/>
      <c r="U20" s="294"/>
    </row>
    <row r="21" spans="1:21" s="117" customFormat="1" ht="17.399999999999999">
      <c r="A21" s="110"/>
      <c r="B21" s="118" t="s">
        <v>134</v>
      </c>
      <c r="C21" s="119"/>
      <c r="D21" s="113"/>
      <c r="E21" s="113" t="str">
        <f>'Calc2 BYR'!E59</f>
        <v>Water: Adjustments to company bid capex</v>
      </c>
      <c r="F21" s="113"/>
      <c r="G21" s="113"/>
      <c r="H21" s="120"/>
      <c r="I21" s="120"/>
      <c r="J21" s="121">
        <f>'Calc2 BYR'!J59</f>
        <v>0</v>
      </c>
      <c r="K21" s="121">
        <f>'Calc2 BYR'!K59</f>
        <v>0</v>
      </c>
      <c r="L21" s="121">
        <f>'Calc2 BYR'!L59</f>
        <v>0</v>
      </c>
      <c r="M21" s="121">
        <f>'Calc2 BYR'!M59</f>
        <v>0</v>
      </c>
      <c r="N21" s="121">
        <f>'Calc2 BYR'!N59</f>
        <v>0</v>
      </c>
      <c r="O21" s="113"/>
      <c r="P21" s="113"/>
      <c r="Q21" s="113"/>
      <c r="R21" s="113"/>
      <c r="S21" s="113"/>
      <c r="T21" s="115"/>
      <c r="U21" s="295">
        <f t="shared" ref="U21:U22" si="1">SUM(J21:N21)</f>
        <v>0</v>
      </c>
    </row>
    <row r="22" spans="1:21" s="117" customFormat="1" ht="17.399999999999999">
      <c r="A22" s="110"/>
      <c r="B22" s="118" t="s">
        <v>135</v>
      </c>
      <c r="C22" s="119"/>
      <c r="D22" s="113"/>
      <c r="E22" s="113" t="str">
        <f>'Calc2 BYR'!E60</f>
        <v>Water: Adjustments to baseline capex</v>
      </c>
      <c r="F22" s="113"/>
      <c r="G22" s="113"/>
      <c r="H22" s="120"/>
      <c r="I22" s="120"/>
      <c r="J22" s="121">
        <f>'Calc2 BYR'!J60</f>
        <v>-1.63480322336759</v>
      </c>
      <c r="K22" s="121">
        <f>'Calc2 BYR'!K60</f>
        <v>-2.49664163081039</v>
      </c>
      <c r="L22" s="121">
        <f>'Calc2 BYR'!L60</f>
        <v>-1.33179340600143</v>
      </c>
      <c r="M22" s="121">
        <f>'Calc2 BYR'!M60</f>
        <v>0</v>
      </c>
      <c r="N22" s="121">
        <f>'Calc2 BYR'!N60</f>
        <v>-1.64356954998305</v>
      </c>
      <c r="O22" s="113"/>
      <c r="P22" s="113"/>
      <c r="Q22" s="113"/>
      <c r="R22" s="113"/>
      <c r="S22" s="113"/>
      <c r="T22" s="115"/>
      <c r="U22" s="295">
        <f t="shared" si="1"/>
        <v>-7.1068078101624597</v>
      </c>
    </row>
    <row r="23" spans="1:21" s="117" customFormat="1" ht="17.399999999999999">
      <c r="A23" s="110"/>
      <c r="B23" s="118"/>
      <c r="C23" s="119"/>
      <c r="D23" s="113"/>
      <c r="E23" s="113"/>
      <c r="F23" s="113"/>
      <c r="G23" s="113"/>
      <c r="H23" s="120"/>
      <c r="I23" s="120"/>
      <c r="J23" s="121"/>
      <c r="K23" s="121"/>
      <c r="L23" s="121"/>
      <c r="M23" s="121"/>
      <c r="N23" s="121"/>
      <c r="O23" s="113"/>
      <c r="P23" s="113"/>
      <c r="Q23" s="113"/>
      <c r="R23" s="113"/>
      <c r="S23" s="113"/>
      <c r="T23" s="115"/>
      <c r="U23" s="294"/>
    </row>
    <row r="24" spans="1:21" s="117" customFormat="1" ht="17.399999999999999">
      <c r="A24" s="110"/>
      <c r="B24" s="118" t="s">
        <v>136</v>
      </c>
      <c r="C24" s="119"/>
      <c r="D24" s="113"/>
      <c r="E24" s="113" t="str">
        <f>'Calc2 BYR'!E62</f>
        <v>Water: Company bid capex (net of logging and IDoK)</v>
      </c>
      <c r="F24" s="113"/>
      <c r="G24" s="113"/>
      <c r="H24" s="120"/>
      <c r="I24" s="120"/>
      <c r="J24" s="121">
        <f>'Calc2 BYR'!J62</f>
        <v>388.12044076242984</v>
      </c>
      <c r="K24" s="121">
        <f>'Calc2 BYR'!K62</f>
        <v>500.29059487707758</v>
      </c>
      <c r="L24" s="121">
        <f>'Calc2 BYR'!L62</f>
        <v>336.7232186974299</v>
      </c>
      <c r="M24" s="121">
        <f>'Calc2 BYR'!M62</f>
        <v>310.15449025703668</v>
      </c>
      <c r="N24" s="121">
        <f>'Calc2 BYR'!N62</f>
        <v>247.16279813151507</v>
      </c>
      <c r="O24" s="113"/>
      <c r="P24" s="113"/>
      <c r="Q24" s="113"/>
      <c r="R24" s="113"/>
      <c r="S24" s="113"/>
      <c r="T24" s="115"/>
      <c r="U24" s="295">
        <f t="shared" ref="U24:U26" si="2">SUM(J24:N24)</f>
        <v>1782.4515427254892</v>
      </c>
    </row>
    <row r="25" spans="1:21" s="117" customFormat="1" ht="17.399999999999999">
      <c r="A25" s="110"/>
      <c r="B25" s="118" t="s">
        <v>137</v>
      </c>
      <c r="C25" s="119"/>
      <c r="D25" s="113"/>
      <c r="E25" s="113" t="str">
        <f>'Calc2 BYR'!E63</f>
        <v>Water: Baseline capex (net of logging, IDoK and shortfalls)</v>
      </c>
      <c r="F25" s="113"/>
      <c r="G25" s="113"/>
      <c r="H25" s="120"/>
      <c r="I25" s="120"/>
      <c r="J25" s="121">
        <f>'Calc2 BYR'!J63</f>
        <v>236.20403102642743</v>
      </c>
      <c r="K25" s="121">
        <f>'Calc2 BYR'!K63</f>
        <v>343.34329066439489</v>
      </c>
      <c r="L25" s="121">
        <f>'Calc2 BYR'!L63</f>
        <v>312.17267562082014</v>
      </c>
      <c r="M25" s="121">
        <f>'Calc2 BYR'!M63</f>
        <v>293.96787326194521</v>
      </c>
      <c r="N25" s="121">
        <f>'Calc2 BYR'!N63</f>
        <v>230.16480229677137</v>
      </c>
      <c r="O25" s="113"/>
      <c r="P25" s="113"/>
      <c r="Q25" s="113"/>
      <c r="R25" s="113"/>
      <c r="S25" s="113"/>
      <c r="T25" s="115"/>
      <c r="U25" s="295">
        <f t="shared" si="2"/>
        <v>1415.8526728703589</v>
      </c>
    </row>
    <row r="26" spans="1:21" s="117" customFormat="1" ht="17.399999999999999">
      <c r="A26" s="110"/>
      <c r="B26" s="118" t="s">
        <v>138</v>
      </c>
      <c r="C26" s="119"/>
      <c r="D26" s="113"/>
      <c r="E26" s="113" t="str">
        <f>'Calc2 BYR'!E64</f>
        <v>Water: Allowance capex (net of adjustments)</v>
      </c>
      <c r="F26" s="113"/>
      <c r="G26" s="113"/>
      <c r="H26" s="120"/>
      <c r="I26" s="120"/>
      <c r="J26" s="121">
        <f>'Calc2 BYR'!J64</f>
        <v>251.49378053369185</v>
      </c>
      <c r="K26" s="121">
        <f>'Calc2 BYR'!K64</f>
        <v>365.56828355061339</v>
      </c>
      <c r="L26" s="121">
        <f>'Calc2 BYR'!L64</f>
        <v>332.37995994409584</v>
      </c>
      <c r="M26" s="121">
        <f>'Calc2 BYR'!M64</f>
        <v>312.99674049095336</v>
      </c>
      <c r="N26" s="121">
        <f>'Calc2 BYR'!N64</f>
        <v>245.0636258147872</v>
      </c>
      <c r="O26" s="113"/>
      <c r="P26" s="113"/>
      <c r="Q26" s="113"/>
      <c r="R26" s="113"/>
      <c r="S26" s="113"/>
      <c r="T26" s="115"/>
      <c r="U26" s="295">
        <f t="shared" si="2"/>
        <v>1507.5023903341416</v>
      </c>
    </row>
    <row r="27" spans="1:21" s="117" customFormat="1" ht="17.399999999999999">
      <c r="A27" s="110"/>
      <c r="B27" s="118" t="s">
        <v>139</v>
      </c>
      <c r="C27" s="119"/>
      <c r="D27" s="113"/>
      <c r="E27" s="113" t="str">
        <f>'Calc2 BYR'!E106</f>
        <v>Water: Restated CIS bid ratio</v>
      </c>
      <c r="F27" s="113"/>
      <c r="G27" s="301">
        <f>'Calc2 BYR'!G106</f>
        <v>125.89244466459381</v>
      </c>
      <c r="H27" s="120"/>
      <c r="I27" s="120"/>
      <c r="J27" s="121"/>
      <c r="K27" s="121"/>
      <c r="L27" s="121"/>
      <c r="M27" s="121"/>
      <c r="N27" s="121"/>
      <c r="O27" s="113"/>
      <c r="P27" s="113"/>
      <c r="Q27" s="113"/>
      <c r="R27" s="113"/>
      <c r="S27" s="113"/>
      <c r="T27" s="115"/>
      <c r="U27" s="296"/>
    </row>
    <row r="28" spans="1:21" s="117" customFormat="1" ht="17.399999999999999">
      <c r="A28" s="110"/>
      <c r="B28" s="118"/>
      <c r="C28" s="119"/>
      <c r="D28" s="113"/>
      <c r="E28" s="113"/>
      <c r="F28" s="113"/>
      <c r="G28" s="113"/>
      <c r="H28" s="120"/>
      <c r="I28" s="120"/>
      <c r="J28" s="121"/>
      <c r="K28" s="121"/>
      <c r="L28" s="121"/>
      <c r="M28" s="121"/>
      <c r="N28" s="121"/>
      <c r="O28" s="113"/>
      <c r="P28" s="113"/>
      <c r="Q28" s="113"/>
      <c r="R28" s="113"/>
      <c r="S28" s="113"/>
      <c r="T28" s="115"/>
      <c r="U28" s="294"/>
    </row>
    <row r="29" spans="1:21" s="117" customFormat="1" ht="17.399999999999999">
      <c r="A29" s="110"/>
      <c r="B29" s="111">
        <v>1.2</v>
      </c>
      <c r="C29" s="112"/>
      <c r="D29" s="113"/>
      <c r="E29" s="105" t="s">
        <v>303</v>
      </c>
      <c r="F29" s="105"/>
      <c r="G29" s="113"/>
      <c r="H29" s="113"/>
      <c r="I29" s="113"/>
      <c r="J29" s="114"/>
      <c r="K29" s="114"/>
      <c r="L29" s="114"/>
      <c r="M29" s="114"/>
      <c r="N29" s="114"/>
      <c r="O29" s="113"/>
      <c r="P29" s="113"/>
      <c r="Q29" s="113"/>
      <c r="R29" s="113"/>
      <c r="S29" s="113"/>
      <c r="T29" s="115"/>
      <c r="U29" s="294"/>
    </row>
    <row r="30" spans="1:21" s="117" customFormat="1" ht="17.399999999999999">
      <c r="A30" s="110"/>
      <c r="B30" s="118" t="s">
        <v>130</v>
      </c>
      <c r="C30" s="119"/>
      <c r="D30" s="113"/>
      <c r="E30" s="113" t="str">
        <f>'Calc2 BYR'!E79&amp;" (adjusted for actual NI)"</f>
        <v>Water: Company bid capex (adjusted for actual NI)</v>
      </c>
      <c r="F30" s="113"/>
      <c r="G30" s="113"/>
      <c r="H30" s="120"/>
      <c r="I30" s="120"/>
      <c r="J30" s="121">
        <f>'Calc2 BYR'!J79</f>
        <v>344.86666261806266</v>
      </c>
      <c r="K30" s="121">
        <f>'Calc2 BYR'!K79</f>
        <v>434.35554919574412</v>
      </c>
      <c r="L30" s="121">
        <f>'Calc2 BYR'!L79</f>
        <v>292.61039958072655</v>
      </c>
      <c r="M30" s="121">
        <f>'Calc2 BYR'!M79</f>
        <v>273.33744358245548</v>
      </c>
      <c r="N30" s="121">
        <f>'Calc2 BYR'!N79</f>
        <v>219.86284462948194</v>
      </c>
      <c r="O30" s="113"/>
      <c r="P30" s="113"/>
      <c r="Q30" s="113"/>
      <c r="R30" s="113"/>
      <c r="S30" s="113"/>
      <c r="T30" s="115"/>
      <c r="U30" s="295">
        <f t="shared" ref="U30:U33" si="3">SUM(J30:N30)</f>
        <v>1565.0328996064709</v>
      </c>
    </row>
    <row r="31" spans="1:21" s="117" customFormat="1" ht="17.399999999999999">
      <c r="A31" s="110"/>
      <c r="B31" s="118" t="s">
        <v>142</v>
      </c>
      <c r="C31" s="118"/>
      <c r="D31" s="113"/>
      <c r="E31" s="113" t="str">
        <f>'Calc2 BYR'!E80&amp;" (adjusted for actual NI)"</f>
        <v>Water: Baseline capex (adjusted for actual NI)</v>
      </c>
      <c r="F31" s="113"/>
      <c r="G31" s="113"/>
      <c r="H31" s="120"/>
      <c r="I31" s="120"/>
      <c r="J31" s="121">
        <f>'Calc2 BYR'!J80</f>
        <v>209.88045802740572</v>
      </c>
      <c r="K31" s="121">
        <f>'Calc2 BYR'!K80</f>
        <v>298.0928786315672</v>
      </c>
      <c r="L31" s="121">
        <f>'Calc2 BYR'!L80</f>
        <v>271.27612911562466</v>
      </c>
      <c r="M31" s="121">
        <f>'Calc2 BYR'!M80</f>
        <v>259.07226719884108</v>
      </c>
      <c r="N31" s="121">
        <f>'Calc2 BYR'!N80</f>
        <v>204.74233399649316</v>
      </c>
      <c r="O31" s="113"/>
      <c r="P31" s="113"/>
      <c r="Q31" s="113"/>
      <c r="R31" s="113"/>
      <c r="S31" s="113"/>
      <c r="T31" s="115"/>
      <c r="U31" s="295">
        <f t="shared" si="3"/>
        <v>1243.0640669699319</v>
      </c>
    </row>
    <row r="32" spans="1:21" s="117" customFormat="1" ht="17.399999999999999">
      <c r="A32" s="110"/>
      <c r="B32" s="118" t="s">
        <v>143</v>
      </c>
      <c r="C32" s="118"/>
      <c r="D32" s="113"/>
      <c r="E32" s="113" t="str">
        <f>'Calc2 BYR'!E81&amp;" (adjusted for actual NI)"</f>
        <v>Water: Allowance capex (adjusted for actual NI)</v>
      </c>
      <c r="F32" s="113"/>
      <c r="G32" s="113"/>
      <c r="H32" s="120"/>
      <c r="I32" s="120"/>
      <c r="J32" s="121">
        <f>'Calc2 BYR'!J81</f>
        <v>223.46625339154122</v>
      </c>
      <c r="K32" s="121">
        <f>'Calc2 BYR'!K81</f>
        <v>317.38876204376055</v>
      </c>
      <c r="L32" s="121">
        <f>'Calc2 BYR'!L81</f>
        <v>288.83613452050344</v>
      </c>
      <c r="M32" s="121">
        <f>'Calc2 BYR'!M81</f>
        <v>275.84230305528325</v>
      </c>
      <c r="N32" s="121">
        <f>'Calc2 BYR'!N81</f>
        <v>217.99553288025314</v>
      </c>
      <c r="O32" s="113"/>
      <c r="P32" s="113"/>
      <c r="Q32" s="113"/>
      <c r="R32" s="113"/>
      <c r="S32" s="113"/>
      <c r="T32" s="115"/>
      <c r="U32" s="295">
        <f t="shared" si="3"/>
        <v>1323.5289858913418</v>
      </c>
    </row>
    <row r="33" spans="1:21" s="117" customFormat="1" ht="17.399999999999999">
      <c r="A33" s="110"/>
      <c r="B33" s="118" t="s">
        <v>144</v>
      </c>
      <c r="C33" s="118"/>
      <c r="D33" s="113"/>
      <c r="E33" s="113" t="str">
        <f>'Calc2 BYR'!E82&amp;" (adjusted for actual NI)"</f>
        <v>Water: Actual capex (adjusted for actual NI)</v>
      </c>
      <c r="F33" s="113"/>
      <c r="G33" s="113"/>
      <c r="H33" s="120"/>
      <c r="I33" s="120"/>
      <c r="J33" s="121">
        <f>'Calc2 BYR'!J82</f>
        <v>297.52272336921601</v>
      </c>
      <c r="K33" s="121">
        <f>'Calc2 BYR'!K82</f>
        <v>292.42004399479276</v>
      </c>
      <c r="L33" s="121">
        <f>'Calc2 BYR'!L82</f>
        <v>235.14577518492791</v>
      </c>
      <c r="M33" s="121">
        <f>'Calc2 BYR'!M82</f>
        <v>251.17401032607629</v>
      </c>
      <c r="N33" s="121">
        <f>'Calc2 BYR'!N82</f>
        <v>267.62458211677341</v>
      </c>
      <c r="O33" s="113"/>
      <c r="P33" s="113"/>
      <c r="Q33" s="113"/>
      <c r="R33" s="113"/>
      <c r="S33" s="113"/>
      <c r="T33" s="115"/>
      <c r="U33" s="295">
        <f t="shared" si="3"/>
        <v>1343.8871349917863</v>
      </c>
    </row>
    <row r="34" spans="1:21" s="117" customFormat="1" ht="17.399999999999999">
      <c r="A34" s="110"/>
      <c r="B34" s="118" t="s">
        <v>145</v>
      </c>
      <c r="C34" s="118"/>
      <c r="D34" s="113"/>
      <c r="E34" s="113" t="str">
        <f>'Calc2 BYR'!E116</f>
        <v>Water: CIS outturn ratio</v>
      </c>
      <c r="F34" s="113"/>
      <c r="G34" s="301">
        <f>'Calc2 BYR'!G116</f>
        <v>108.11085049442532</v>
      </c>
      <c r="H34" s="287"/>
      <c r="I34" s="120"/>
      <c r="J34" s="121"/>
      <c r="K34" s="121"/>
      <c r="L34" s="121"/>
      <c r="M34" s="121"/>
      <c r="N34" s="121"/>
      <c r="O34" s="113"/>
      <c r="P34" s="113"/>
      <c r="Q34" s="113"/>
      <c r="R34" s="113"/>
      <c r="S34" s="113"/>
      <c r="T34" s="115"/>
      <c r="U34" s="296"/>
    </row>
    <row r="35" spans="1:21" s="117" customFormat="1" ht="17.399999999999999">
      <c r="A35" s="110"/>
      <c r="B35" s="118"/>
      <c r="C35" s="118"/>
      <c r="D35" s="113"/>
      <c r="E35" s="113"/>
      <c r="F35" s="113"/>
      <c r="G35" s="113"/>
      <c r="H35" s="120"/>
      <c r="I35" s="120"/>
      <c r="J35" s="121"/>
      <c r="K35" s="121"/>
      <c r="L35" s="121"/>
      <c r="M35" s="121"/>
      <c r="N35" s="121"/>
      <c r="O35" s="113"/>
      <c r="P35" s="113"/>
      <c r="Q35" s="113"/>
      <c r="R35" s="113"/>
      <c r="S35" s="113"/>
      <c r="T35" s="115"/>
      <c r="U35" s="294"/>
    </row>
    <row r="36" spans="1:21" s="117" customFormat="1" ht="17.399999999999999">
      <c r="A36" s="110"/>
      <c r="B36" s="111">
        <v>1.3</v>
      </c>
      <c r="C36" s="112"/>
      <c r="D36" s="113"/>
      <c r="E36" s="105" t="s">
        <v>322</v>
      </c>
      <c r="F36" s="105"/>
      <c r="G36" s="113"/>
      <c r="H36" s="113"/>
      <c r="I36" s="113"/>
      <c r="J36" s="114"/>
      <c r="K36" s="114"/>
      <c r="L36" s="114"/>
      <c r="M36" s="114"/>
      <c r="N36" s="114"/>
      <c r="O36" s="113"/>
      <c r="P36" s="113"/>
      <c r="Q36" s="113"/>
      <c r="R36" s="113"/>
      <c r="S36" s="113"/>
      <c r="T36" s="115"/>
      <c r="U36" s="294"/>
    </row>
    <row r="37" spans="1:21" s="117" customFormat="1" ht="17.399999999999999">
      <c r="A37" s="110"/>
      <c r="B37" s="118" t="s">
        <v>151</v>
      </c>
      <c r="C37" s="119"/>
      <c r="D37" s="113"/>
      <c r="E37" s="113" t="str">
        <f>'Calc2 BYR'!E124</f>
        <v>Water: Total reward/(penalty)</v>
      </c>
      <c r="F37" s="113"/>
      <c r="G37" s="113"/>
      <c r="H37" s="120"/>
      <c r="I37" s="120"/>
      <c r="J37" s="121"/>
      <c r="K37" s="121"/>
      <c r="L37" s="121"/>
      <c r="M37" s="121"/>
      <c r="N37" s="121"/>
      <c r="O37" s="113"/>
      <c r="P37" s="113"/>
      <c r="Q37" s="113"/>
      <c r="R37" s="113"/>
      <c r="S37" s="113"/>
      <c r="T37" s="115"/>
      <c r="U37" s="295">
        <f>'Calc2 BYR'!P124</f>
        <v>-36.942504375104058</v>
      </c>
    </row>
    <row r="38" spans="1:21" s="117" customFormat="1" ht="17.399999999999999">
      <c r="A38" s="110"/>
      <c r="B38" s="118" t="s">
        <v>152</v>
      </c>
      <c r="C38" s="119"/>
      <c r="D38" s="113"/>
      <c r="E38" s="113" t="str">
        <f>'Calc2 BYR'!E127</f>
        <v>Water: Additional income (applied at FD)</v>
      </c>
      <c r="F38" s="113"/>
      <c r="G38" s="113"/>
      <c r="H38" s="113"/>
      <c r="I38" s="113"/>
      <c r="J38" s="121">
        <f>'Calc2 BYR'!J127</f>
        <v>-6.4040346411921103</v>
      </c>
      <c r="K38" s="121">
        <f>'Calc2 BYR'!K127</f>
        <v>-9.3120659362126101</v>
      </c>
      <c r="L38" s="121">
        <f>'Calc2 BYR'!L127</f>
        <v>-8.4414031297668295</v>
      </c>
      <c r="M38" s="121">
        <f>'Calc2 BYR'!M127</f>
        <v>-7.9153618865700501</v>
      </c>
      <c r="N38" s="121">
        <f>'Calc2 BYR'!N127</f>
        <v>-6.2416587606791998</v>
      </c>
      <c r="O38" s="113"/>
      <c r="P38" s="113"/>
      <c r="Q38" s="113"/>
      <c r="R38" s="113"/>
      <c r="S38" s="113"/>
      <c r="T38" s="115"/>
      <c r="U38" s="295">
        <f t="shared" ref="U38" si="4">SUM(J38:N38)</f>
        <v>-38.314524354420797</v>
      </c>
    </row>
    <row r="39" spans="1:21" s="117" customFormat="1" ht="17.399999999999999">
      <c r="A39" s="110"/>
      <c r="B39" s="118" t="s">
        <v>153</v>
      </c>
      <c r="C39" s="119"/>
      <c r="D39" s="113"/>
      <c r="E39" s="113" t="str">
        <f>'Calc2 BYR'!E187</f>
        <v>Water: Ex post reward/penalty</v>
      </c>
      <c r="F39" s="113"/>
      <c r="G39" s="113"/>
      <c r="H39" s="120"/>
      <c r="I39" s="120"/>
      <c r="J39" s="121"/>
      <c r="K39" s="121"/>
      <c r="L39" s="121"/>
      <c r="M39" s="121"/>
      <c r="N39" s="121"/>
      <c r="O39" s="113"/>
      <c r="P39" s="113"/>
      <c r="Q39" s="113"/>
      <c r="R39" s="113"/>
      <c r="S39" s="113"/>
      <c r="T39" s="115"/>
      <c r="U39" s="295">
        <f>SUM('Calc2 BYR'!J187:N187)</f>
        <v>1.3720199793167396</v>
      </c>
    </row>
    <row r="40" spans="1:21" s="117" customFormat="1" ht="17.399999999999999">
      <c r="A40" s="110"/>
      <c r="B40" s="119"/>
      <c r="C40" s="119"/>
      <c r="D40" s="113"/>
      <c r="E40" s="113"/>
      <c r="F40" s="113"/>
      <c r="G40" s="120"/>
      <c r="H40" s="120"/>
      <c r="I40" s="120"/>
      <c r="J40" s="121"/>
      <c r="K40" s="121"/>
      <c r="L40" s="121"/>
      <c r="M40" s="121"/>
      <c r="N40" s="121"/>
      <c r="O40" s="113"/>
      <c r="P40" s="113"/>
      <c r="Q40" s="113"/>
      <c r="R40" s="113"/>
      <c r="S40" s="113"/>
      <c r="T40" s="115"/>
      <c r="U40" s="294"/>
    </row>
    <row r="41" spans="1:21" s="117" customFormat="1" ht="17.399999999999999">
      <c r="A41" s="110"/>
      <c r="B41" s="119"/>
      <c r="C41" s="119"/>
      <c r="D41" s="113"/>
      <c r="E41" s="113"/>
      <c r="F41" s="113"/>
      <c r="G41" s="120"/>
      <c r="H41" s="120"/>
      <c r="I41" s="120"/>
      <c r="J41" s="121"/>
      <c r="K41" s="121"/>
      <c r="L41" s="121"/>
      <c r="M41" s="121"/>
      <c r="N41" s="121"/>
      <c r="O41" s="113"/>
      <c r="P41" s="113"/>
      <c r="Q41" s="113"/>
      <c r="R41" s="113"/>
      <c r="S41" s="113"/>
      <c r="T41" s="115"/>
      <c r="U41" s="294"/>
    </row>
    <row r="42" spans="1:21" s="109" customFormat="1" ht="18" customHeight="1">
      <c r="A42" s="102"/>
      <c r="B42" s="103">
        <v>2</v>
      </c>
      <c r="C42" s="104"/>
      <c r="D42" s="104"/>
      <c r="E42" s="105" t="s">
        <v>325</v>
      </c>
      <c r="F42" s="105"/>
      <c r="G42" s="104"/>
      <c r="H42" s="104"/>
      <c r="I42" s="104"/>
      <c r="J42" s="106"/>
      <c r="K42" s="106"/>
      <c r="L42" s="106"/>
      <c r="M42" s="106"/>
      <c r="N42" s="106"/>
      <c r="O42" s="104"/>
      <c r="P42" s="104"/>
      <c r="Q42" s="104"/>
      <c r="R42" s="104"/>
      <c r="S42" s="104"/>
      <c r="T42" s="115"/>
      <c r="U42" s="293"/>
    </row>
    <row r="43" spans="1:21" s="109" customFormat="1" ht="18" customHeight="1">
      <c r="A43" s="102"/>
      <c r="B43" s="104"/>
      <c r="C43" s="104"/>
      <c r="D43" s="104"/>
      <c r="E43" s="104"/>
      <c r="F43" s="104"/>
      <c r="G43" s="104"/>
      <c r="H43" s="104"/>
      <c r="I43" s="104"/>
      <c r="J43" s="106"/>
      <c r="K43" s="106"/>
      <c r="L43" s="106"/>
      <c r="M43" s="106"/>
      <c r="N43" s="106"/>
      <c r="O43" s="104"/>
      <c r="P43" s="104"/>
      <c r="Q43" s="104"/>
      <c r="R43" s="104"/>
      <c r="S43" s="104"/>
      <c r="T43" s="115"/>
      <c r="U43" s="293"/>
    </row>
    <row r="44" spans="1:21" s="117" customFormat="1" ht="17.399999999999999">
      <c r="A44" s="110"/>
      <c r="B44" s="111">
        <v>2.1</v>
      </c>
      <c r="C44" s="112"/>
      <c r="D44" s="113"/>
      <c r="E44" s="105" t="s">
        <v>302</v>
      </c>
      <c r="F44" s="105"/>
      <c r="G44" s="113"/>
      <c r="H44" s="113"/>
      <c r="I44" s="113"/>
      <c r="J44" s="114"/>
      <c r="K44" s="114"/>
      <c r="L44" s="114"/>
      <c r="M44" s="114"/>
      <c r="N44" s="114"/>
      <c r="O44" s="113"/>
      <c r="P44" s="113"/>
      <c r="Q44" s="113"/>
      <c r="R44" s="113"/>
      <c r="S44" s="113"/>
      <c r="T44" s="115"/>
      <c r="U44" s="294"/>
    </row>
    <row r="45" spans="1:21" s="117" customFormat="1" ht="17.399999999999999">
      <c r="A45" s="110"/>
      <c r="B45" s="118" t="s">
        <v>326</v>
      </c>
      <c r="C45" s="119"/>
      <c r="D45" s="113"/>
      <c r="E45" s="124" t="str">
        <f>'Calc2 BYR'!E66</f>
        <v>Sewerage: Company bid capex (gross of adjustments)</v>
      </c>
      <c r="F45" s="124"/>
      <c r="G45" s="113"/>
      <c r="H45" s="120"/>
      <c r="I45" s="120"/>
      <c r="J45" s="121">
        <f>'Calc2 BYR'!J66</f>
        <v>698.40912459999993</v>
      </c>
      <c r="K45" s="121">
        <f>'Calc2 BYR'!K66</f>
        <v>859.96959281049408</v>
      </c>
      <c r="L45" s="121">
        <f>'Calc2 BYR'!L66</f>
        <v>705.77840135646102</v>
      </c>
      <c r="M45" s="121">
        <f>'Calc2 BYR'!M66</f>
        <v>589.08432094065495</v>
      </c>
      <c r="N45" s="121">
        <f>'Calc2 BYR'!N66</f>
        <v>474.60351798527</v>
      </c>
      <c r="O45" s="113"/>
      <c r="P45" s="113"/>
      <c r="Q45" s="113"/>
      <c r="R45" s="113"/>
      <c r="S45" s="113"/>
      <c r="T45" s="115"/>
      <c r="U45" s="295">
        <f>SUM(J45:N45)</f>
        <v>3327.8449576928801</v>
      </c>
    </row>
    <row r="46" spans="1:21" s="117" customFormat="1" ht="17.399999999999999">
      <c r="A46" s="110"/>
      <c r="B46" s="118" t="s">
        <v>327</v>
      </c>
      <c r="C46" s="119"/>
      <c r="D46" s="113"/>
      <c r="E46" s="124" t="str">
        <f>'Calc2 BYR'!E67</f>
        <v>Sewerage: Baseline capex (gross of adjustments)</v>
      </c>
      <c r="F46" s="124"/>
      <c r="G46" s="113"/>
      <c r="H46" s="120"/>
      <c r="I46" s="120"/>
      <c r="J46" s="121">
        <f>'Calc2 BYR'!J67</f>
        <v>654.4741276462189</v>
      </c>
      <c r="K46" s="121">
        <f>'Calc2 BYR'!K67</f>
        <v>813.72587748593742</v>
      </c>
      <c r="L46" s="121">
        <f>'Calc2 BYR'!L67</f>
        <v>647.34730617292348</v>
      </c>
      <c r="M46" s="121">
        <f>'Calc2 BYR'!M67</f>
        <v>538.43439234787206</v>
      </c>
      <c r="N46" s="121">
        <f>'Calc2 BYR'!N67</f>
        <v>428.08639768691978</v>
      </c>
      <c r="O46" s="113"/>
      <c r="P46" s="113"/>
      <c r="Q46" s="113"/>
      <c r="R46" s="113"/>
      <c r="S46" s="113"/>
      <c r="T46" s="115"/>
      <c r="U46" s="295">
        <f t="shared" ref="U46:U47" si="5">SUM(J46:N46)</f>
        <v>3082.0681013398716</v>
      </c>
    </row>
    <row r="47" spans="1:21" s="117" customFormat="1" ht="17.399999999999999">
      <c r="A47" s="110"/>
      <c r="B47" s="118" t="s">
        <v>328</v>
      </c>
      <c r="C47" s="119"/>
      <c r="D47" s="113"/>
      <c r="E47" s="124" t="str">
        <f>'Calc2 BYR'!E68</f>
        <v>Sewerage: Allowance capex (gross of adjustments)</v>
      </c>
      <c r="F47" s="124"/>
      <c r="G47" s="113"/>
      <c r="H47" s="286"/>
      <c r="I47" s="120"/>
      <c r="J47" s="121">
        <f>'Calc2 BYR'!J68</f>
        <v>667.52174602844536</v>
      </c>
      <c r="K47" s="121">
        <f>'Calc2 BYR'!K68</f>
        <v>829.94834414839056</v>
      </c>
      <c r="L47" s="121">
        <f>'Calc2 BYR'!L68</f>
        <v>660.25284400080284</v>
      </c>
      <c r="M47" s="121">
        <f>'Calc2 BYR'!M68</f>
        <v>549.16863863578442</v>
      </c>
      <c r="N47" s="121">
        <f>'Calc2 BYR'!N68</f>
        <v>436.62074261470025</v>
      </c>
      <c r="O47" s="113"/>
      <c r="P47" s="113"/>
      <c r="Q47" s="113"/>
      <c r="R47" s="113"/>
      <c r="S47" s="113"/>
      <c r="T47" s="115"/>
      <c r="U47" s="295">
        <f t="shared" si="5"/>
        <v>3143.5123154281237</v>
      </c>
    </row>
    <row r="48" spans="1:21" s="117" customFormat="1" ht="17.399999999999999">
      <c r="A48" s="110"/>
      <c r="B48" s="118" t="s">
        <v>329</v>
      </c>
      <c r="C48" s="119"/>
      <c r="D48" s="113"/>
      <c r="E48" s="124" t="str">
        <f>'Calc2 BYR'!E99</f>
        <v>Sewerage: CIS bid ratio</v>
      </c>
      <c r="F48" s="124"/>
      <c r="G48" s="301">
        <f>'Calc2 BYR'!G99</f>
        <v>107.97441355193162</v>
      </c>
      <c r="H48" s="120"/>
      <c r="I48" s="120"/>
      <c r="J48" s="121"/>
      <c r="K48" s="121"/>
      <c r="L48" s="121"/>
      <c r="M48" s="121"/>
      <c r="N48" s="121"/>
      <c r="O48" s="113"/>
      <c r="P48" s="113"/>
      <c r="Q48" s="113"/>
      <c r="R48" s="113"/>
      <c r="S48" s="113"/>
      <c r="T48" s="115"/>
      <c r="U48" s="296"/>
    </row>
    <row r="49" spans="1:21" s="117" customFormat="1" ht="17.399999999999999">
      <c r="A49" s="110"/>
      <c r="B49" s="118"/>
      <c r="C49" s="119"/>
      <c r="D49" s="113"/>
      <c r="E49" s="124"/>
      <c r="F49" s="124"/>
      <c r="G49" s="113"/>
      <c r="H49" s="120"/>
      <c r="I49" s="120"/>
      <c r="J49" s="121"/>
      <c r="K49" s="121"/>
      <c r="L49" s="121"/>
      <c r="M49" s="121"/>
      <c r="N49" s="121"/>
      <c r="O49" s="113"/>
      <c r="P49" s="113"/>
      <c r="Q49" s="113"/>
      <c r="R49" s="113"/>
      <c r="S49" s="113"/>
      <c r="T49" s="115"/>
      <c r="U49" s="294"/>
    </row>
    <row r="50" spans="1:21" s="117" customFormat="1" ht="17.399999999999999">
      <c r="A50" s="110"/>
      <c r="B50" s="118" t="s">
        <v>330</v>
      </c>
      <c r="C50" s="119"/>
      <c r="D50" s="113"/>
      <c r="E50" s="113" t="str">
        <f>'Calc2 BYR'!E70</f>
        <v>Sewerage: Adjustments to company bid capex</v>
      </c>
      <c r="F50" s="113"/>
      <c r="G50" s="113"/>
      <c r="H50" s="120"/>
      <c r="I50" s="120"/>
      <c r="J50" s="121">
        <f>'Calc2 BYR'!J70</f>
        <v>-17.156358278341699</v>
      </c>
      <c r="K50" s="121">
        <f>'Calc2 BYR'!K70</f>
        <v>-26.582998571509499</v>
      </c>
      <c r="L50" s="121">
        <f>'Calc2 BYR'!L70</f>
        <v>-28.3931551164079</v>
      </c>
      <c r="M50" s="121">
        <f>'Calc2 BYR'!M70</f>
        <v>-3.0895359311430202</v>
      </c>
      <c r="N50" s="121">
        <f>'Calc2 BYR'!N70</f>
        <v>-50.507862365210002</v>
      </c>
      <c r="O50" s="113"/>
      <c r="P50" s="113"/>
      <c r="Q50" s="113"/>
      <c r="R50" s="113"/>
      <c r="S50" s="113"/>
      <c r="T50" s="115"/>
      <c r="U50" s="295">
        <f t="shared" ref="U50:U51" si="6">SUM(J50:N50)</f>
        <v>-125.72991026261212</v>
      </c>
    </row>
    <row r="51" spans="1:21" s="117" customFormat="1" ht="17.399999999999999">
      <c r="A51" s="110"/>
      <c r="B51" s="118" t="s">
        <v>331</v>
      </c>
      <c r="C51" s="119"/>
      <c r="D51" s="113"/>
      <c r="E51" s="113" t="str">
        <f>'Calc2 BYR'!E71</f>
        <v>Sewerage: Adjustments to baseline capex</v>
      </c>
      <c r="F51" s="113"/>
      <c r="G51" s="113"/>
      <c r="H51" s="120"/>
      <c r="I51" s="120"/>
      <c r="J51" s="121">
        <f>'Calc2 BYR'!J71</f>
        <v>-17.156358278341699</v>
      </c>
      <c r="K51" s="121">
        <f>'Calc2 BYR'!K71</f>
        <v>-26.683323202252598</v>
      </c>
      <c r="L51" s="121">
        <f>'Calc2 BYR'!L71</f>
        <v>-28.819971940258799</v>
      </c>
      <c r="M51" s="121">
        <f>'Calc2 BYR'!M71</f>
        <v>-13.3758874236997</v>
      </c>
      <c r="N51" s="121">
        <f>'Calc2 BYR'!N71</f>
        <v>-65.956232686673843</v>
      </c>
      <c r="O51" s="113"/>
      <c r="P51" s="113"/>
      <c r="Q51" s="113"/>
      <c r="R51" s="113"/>
      <c r="S51" s="113"/>
      <c r="T51" s="115"/>
      <c r="U51" s="295">
        <f t="shared" si="6"/>
        <v>-151.99177353122661</v>
      </c>
    </row>
    <row r="52" spans="1:21" s="117" customFormat="1" ht="17.399999999999999">
      <c r="A52" s="110"/>
      <c r="B52" s="118"/>
      <c r="C52" s="119"/>
      <c r="D52" s="113"/>
      <c r="E52" s="113"/>
      <c r="F52" s="113"/>
      <c r="G52" s="113"/>
      <c r="H52" s="120"/>
      <c r="I52" s="120"/>
      <c r="J52" s="121"/>
      <c r="K52" s="121"/>
      <c r="L52" s="121"/>
      <c r="M52" s="121"/>
      <c r="N52" s="121"/>
      <c r="O52" s="113"/>
      <c r="P52" s="113"/>
      <c r="Q52" s="113"/>
      <c r="R52" s="113"/>
      <c r="S52" s="113"/>
      <c r="T52" s="115"/>
      <c r="U52" s="294"/>
    </row>
    <row r="53" spans="1:21" s="117" customFormat="1" ht="17.399999999999999">
      <c r="A53" s="110"/>
      <c r="B53" s="118" t="s">
        <v>332</v>
      </c>
      <c r="C53" s="119"/>
      <c r="D53" s="113"/>
      <c r="E53" s="113" t="str">
        <f>'Calc2 BYR'!E73</f>
        <v>Sewerage: Company bid capex (net of logging and IDoK)</v>
      </c>
      <c r="F53" s="113"/>
      <c r="G53" s="113"/>
      <c r="H53" s="120"/>
      <c r="I53" s="120"/>
      <c r="J53" s="121">
        <f>'Calc2 BYR'!J73</f>
        <v>681.25276632165821</v>
      </c>
      <c r="K53" s="121">
        <f>'Calc2 BYR'!K73</f>
        <v>833.38659423898457</v>
      </c>
      <c r="L53" s="121">
        <f>'Calc2 BYR'!L73</f>
        <v>677.38524624005311</v>
      </c>
      <c r="M53" s="121">
        <f>'Calc2 BYR'!M73</f>
        <v>585.99478500951193</v>
      </c>
      <c r="N53" s="121">
        <f>'Calc2 BYR'!N73</f>
        <v>424.09565562006003</v>
      </c>
      <c r="O53" s="113"/>
      <c r="P53" s="113"/>
      <c r="Q53" s="113"/>
      <c r="R53" s="113"/>
      <c r="S53" s="113"/>
      <c r="T53" s="115"/>
      <c r="U53" s="295">
        <f t="shared" ref="U53:U55" si="7">SUM(J53:N53)</f>
        <v>3202.1150474302676</v>
      </c>
    </row>
    <row r="54" spans="1:21" s="117" customFormat="1" ht="17.399999999999999">
      <c r="A54" s="110"/>
      <c r="B54" s="118" t="s">
        <v>333</v>
      </c>
      <c r="C54" s="119"/>
      <c r="D54" s="113"/>
      <c r="E54" s="113" t="str">
        <f>'Calc2 BYR'!E74</f>
        <v>Sewerage: Baseline capex (net of logging, IDoK and shortfalls)</v>
      </c>
      <c r="F54" s="113"/>
      <c r="G54" s="113"/>
      <c r="H54" s="120"/>
      <c r="I54" s="120"/>
      <c r="J54" s="121">
        <f>'Calc2 BYR'!J74</f>
        <v>637.31776936787719</v>
      </c>
      <c r="K54" s="121">
        <f>'Calc2 BYR'!K74</f>
        <v>787.04255428368481</v>
      </c>
      <c r="L54" s="121">
        <f>'Calc2 BYR'!L74</f>
        <v>618.52733423266466</v>
      </c>
      <c r="M54" s="121">
        <f>'Calc2 BYR'!M74</f>
        <v>525.05850492417233</v>
      </c>
      <c r="N54" s="121">
        <f>'Calc2 BYR'!N74</f>
        <v>362.13016500024594</v>
      </c>
      <c r="O54" s="113"/>
      <c r="P54" s="113"/>
      <c r="Q54" s="113"/>
      <c r="R54" s="113"/>
      <c r="S54" s="113"/>
      <c r="T54" s="115"/>
      <c r="U54" s="295">
        <f t="shared" si="7"/>
        <v>2930.0763278086447</v>
      </c>
    </row>
    <row r="55" spans="1:21" s="117" customFormat="1" ht="17.399999999999999">
      <c r="A55" s="110"/>
      <c r="B55" s="118" t="s">
        <v>334</v>
      </c>
      <c r="C55" s="119"/>
      <c r="D55" s="113"/>
      <c r="E55" s="113" t="str">
        <f>'Calc2 BYR'!E75</f>
        <v>Sewerage: Allowance capex (net of adjustments)</v>
      </c>
      <c r="F55" s="113"/>
      <c r="G55" s="113"/>
      <c r="H55" s="120"/>
      <c r="I55" s="120"/>
      <c r="J55" s="121">
        <f>'Calc2 BYR'!J75</f>
        <v>652.1104821314907</v>
      </c>
      <c r="K55" s="121">
        <f>'Calc2 BYR'!K75</f>
        <v>805.31051258933007</v>
      </c>
      <c r="L55" s="121">
        <f>'Calc2 BYR'!L75</f>
        <v>632.88390426965339</v>
      </c>
      <c r="M55" s="121">
        <f>'Calc2 BYR'!M75</f>
        <v>537.2455802275008</v>
      </c>
      <c r="N55" s="121">
        <f>'Calc2 BYR'!N75</f>
        <v>370.53552849607598</v>
      </c>
      <c r="O55" s="113"/>
      <c r="P55" s="113"/>
      <c r="Q55" s="113"/>
      <c r="R55" s="113"/>
      <c r="S55" s="113"/>
      <c r="T55" s="115"/>
      <c r="U55" s="295">
        <f t="shared" si="7"/>
        <v>2998.086007714051</v>
      </c>
    </row>
    <row r="56" spans="1:21" s="117" customFormat="1" ht="17.399999999999999">
      <c r="A56" s="110"/>
      <c r="B56" s="118" t="s">
        <v>335</v>
      </c>
      <c r="C56" s="119"/>
      <c r="D56" s="113"/>
      <c r="E56" s="113" t="str">
        <f>'Calc2 BYR'!E110</f>
        <v>Sewerage: Restated CIS bid ratio</v>
      </c>
      <c r="F56" s="113"/>
      <c r="G56" s="301">
        <f>'Calc2 BYR'!G110</f>
        <v>109.28435607768199</v>
      </c>
      <c r="H56" s="120"/>
      <c r="I56" s="120"/>
      <c r="J56" s="121"/>
      <c r="K56" s="121"/>
      <c r="L56" s="121"/>
      <c r="M56" s="121"/>
      <c r="N56" s="121"/>
      <c r="O56" s="113"/>
      <c r="P56" s="113"/>
      <c r="Q56" s="113"/>
      <c r="R56" s="113"/>
      <c r="S56" s="113"/>
      <c r="T56" s="115"/>
      <c r="U56" s="296"/>
    </row>
    <row r="57" spans="1:21" s="117" customFormat="1" ht="17.399999999999999">
      <c r="A57" s="110"/>
      <c r="B57" s="118"/>
      <c r="C57" s="119"/>
      <c r="D57" s="113"/>
      <c r="E57" s="113"/>
      <c r="F57" s="113"/>
      <c r="G57" s="113"/>
      <c r="H57" s="120"/>
      <c r="I57" s="120"/>
      <c r="J57" s="121"/>
      <c r="K57" s="121"/>
      <c r="L57" s="121"/>
      <c r="M57" s="121"/>
      <c r="N57" s="121"/>
      <c r="O57" s="113"/>
      <c r="P57" s="113"/>
      <c r="Q57" s="113"/>
      <c r="R57" s="113"/>
      <c r="S57" s="113"/>
      <c r="T57" s="115"/>
      <c r="U57" s="294"/>
    </row>
    <row r="58" spans="1:21" s="117" customFormat="1" ht="17.399999999999999">
      <c r="A58" s="110"/>
      <c r="B58" s="111">
        <v>2.2000000000000002</v>
      </c>
      <c r="C58" s="112"/>
      <c r="D58" s="113"/>
      <c r="E58" s="105" t="s">
        <v>303</v>
      </c>
      <c r="F58" s="105"/>
      <c r="G58" s="113"/>
      <c r="H58" s="113"/>
      <c r="I58" s="113"/>
      <c r="J58" s="114"/>
      <c r="K58" s="114"/>
      <c r="L58" s="114"/>
      <c r="M58" s="114"/>
      <c r="N58" s="114"/>
      <c r="O58" s="113"/>
      <c r="P58" s="113"/>
      <c r="Q58" s="113"/>
      <c r="R58" s="113"/>
      <c r="S58" s="113"/>
      <c r="T58" s="115"/>
      <c r="U58" s="294"/>
    </row>
    <row r="59" spans="1:21" s="117" customFormat="1" ht="17.399999999999999">
      <c r="A59" s="110"/>
      <c r="B59" s="118" t="s">
        <v>336</v>
      </c>
      <c r="C59" s="119"/>
      <c r="D59" s="113"/>
      <c r="E59" s="113" t="str">
        <f>'Calc2 BYR'!E84&amp;" (adjusted for actual NI)"</f>
        <v>Sewerage: Company bid capex (adjusted for actual NI)</v>
      </c>
      <c r="F59" s="113"/>
      <c r="G59" s="113"/>
      <c r="H59" s="120"/>
      <c r="I59" s="120"/>
      <c r="J59" s="121">
        <f>'Calc2 BYR'!J84</f>
        <v>605.33108603904168</v>
      </c>
      <c r="K59" s="121">
        <f>'Calc2 BYR'!K84</f>
        <v>723.55166285303778</v>
      </c>
      <c r="L59" s="121">
        <f>'Calc2 BYR'!L84</f>
        <v>588.64359974681975</v>
      </c>
      <c r="M59" s="121">
        <f>'Calc2 BYR'!M84</f>
        <v>516.43397570806769</v>
      </c>
      <c r="N59" s="121">
        <f>'Calc2 BYR'!N84</f>
        <v>377.25287925417115</v>
      </c>
      <c r="O59" s="113"/>
      <c r="P59" s="113"/>
      <c r="Q59" s="113"/>
      <c r="R59" s="113"/>
      <c r="S59" s="113"/>
      <c r="T59" s="115"/>
      <c r="U59" s="295">
        <f t="shared" ref="U59:U62" si="8">SUM(J59:N59)</f>
        <v>2811.213203601138</v>
      </c>
    </row>
    <row r="60" spans="1:21" s="117" customFormat="1" ht="17.399999999999999">
      <c r="A60" s="110"/>
      <c r="B60" s="118" t="s">
        <v>337</v>
      </c>
      <c r="C60" s="118"/>
      <c r="D60" s="113"/>
      <c r="E60" s="113" t="str">
        <f>'Calc2 BYR'!E85&amp;" (adjusted for actual NI)"</f>
        <v>Sewerage: Baseline capex (adjusted for actual NI)</v>
      </c>
      <c r="F60" s="113"/>
      <c r="G60" s="113"/>
      <c r="H60" s="120"/>
      <c r="I60" s="120"/>
      <c r="J60" s="121">
        <f>'Calc2 BYR'!J85</f>
        <v>566.29239036555191</v>
      </c>
      <c r="K60" s="121">
        <f>'Calc2 BYR'!K85</f>
        <v>683.31546586500588</v>
      </c>
      <c r="L60" s="121">
        <f>'Calc2 BYR'!L85</f>
        <v>537.49643734562881</v>
      </c>
      <c r="M60" s="121">
        <f>'Calc2 BYR'!M85</f>
        <v>462.73116777468056</v>
      </c>
      <c r="N60" s="121">
        <f>'Calc2 BYR'!N85</f>
        <v>322.13168326704476</v>
      </c>
      <c r="O60" s="113"/>
      <c r="P60" s="113"/>
      <c r="Q60" s="113"/>
      <c r="R60" s="113"/>
      <c r="S60" s="113"/>
      <c r="T60" s="115"/>
      <c r="U60" s="295">
        <f t="shared" si="8"/>
        <v>2571.9671446179118</v>
      </c>
    </row>
    <row r="61" spans="1:21" s="117" customFormat="1" ht="17.399999999999999">
      <c r="A61" s="110"/>
      <c r="B61" s="118" t="s">
        <v>338</v>
      </c>
      <c r="C61" s="118"/>
      <c r="D61" s="113"/>
      <c r="E61" s="113" t="str">
        <f>'Calc2 BYR'!E86&amp;" (adjusted for actual NI)"</f>
        <v>Sewerage: Allowance capex (adjusted for actual NI)</v>
      </c>
      <c r="F61" s="113"/>
      <c r="G61" s="113"/>
      <c r="H61" s="120"/>
      <c r="I61" s="120"/>
      <c r="J61" s="121">
        <f>'Calc2 BYR'!J86</f>
        <v>579.43654085614071</v>
      </c>
      <c r="K61" s="121">
        <f>'Calc2 BYR'!K86</f>
        <v>699.17582611120054</v>
      </c>
      <c r="L61" s="121">
        <f>'Calc2 BYR'!L86</f>
        <v>549.97220813263459</v>
      </c>
      <c r="M61" s="121">
        <f>'Calc2 BYR'!M86</f>
        <v>473.47157009933494</v>
      </c>
      <c r="N61" s="121">
        <f>'Calc2 BYR'!N86</f>
        <v>329.60864639543053</v>
      </c>
      <c r="O61" s="113"/>
      <c r="P61" s="113"/>
      <c r="Q61" s="113"/>
      <c r="R61" s="113"/>
      <c r="S61" s="113"/>
      <c r="T61" s="115"/>
      <c r="U61" s="295">
        <f t="shared" si="8"/>
        <v>2631.6647915947415</v>
      </c>
    </row>
    <row r="62" spans="1:21" s="117" customFormat="1" ht="17.399999999999999">
      <c r="A62" s="110"/>
      <c r="B62" s="118" t="s">
        <v>339</v>
      </c>
      <c r="C62" s="118"/>
      <c r="D62" s="113"/>
      <c r="E62" s="113" t="str">
        <f>'Calc2 BYR'!E87&amp;" (adjusted for actual NI)"</f>
        <v>Sewerage: Actual capex (adjusted for actual NI)</v>
      </c>
      <c r="F62" s="113"/>
      <c r="G62" s="113"/>
      <c r="H62" s="120"/>
      <c r="I62" s="120"/>
      <c r="J62" s="121">
        <f>'Calc2 BYR'!J87</f>
        <v>516.38523078811454</v>
      </c>
      <c r="K62" s="121">
        <f>'Calc2 BYR'!K87</f>
        <v>585.62048966644477</v>
      </c>
      <c r="L62" s="121">
        <f>'Calc2 BYR'!L87</f>
        <v>492.89275436076286</v>
      </c>
      <c r="M62" s="121">
        <f>'Calc2 BYR'!M87</f>
        <v>505.76409768713376</v>
      </c>
      <c r="N62" s="121">
        <f>'Calc2 BYR'!N87</f>
        <v>474.14505440106382</v>
      </c>
      <c r="O62" s="113"/>
      <c r="P62" s="113"/>
      <c r="Q62" s="113"/>
      <c r="R62" s="113"/>
      <c r="S62" s="113"/>
      <c r="T62" s="115"/>
      <c r="U62" s="295">
        <f t="shared" si="8"/>
        <v>2574.80762690352</v>
      </c>
    </row>
    <row r="63" spans="1:21" s="117" customFormat="1" ht="17.399999999999999">
      <c r="A63" s="110"/>
      <c r="B63" s="118" t="s">
        <v>340</v>
      </c>
      <c r="C63" s="118"/>
      <c r="D63" s="113"/>
      <c r="E63" s="113" t="str">
        <f>'Calc2 BYR'!E119</f>
        <v>Sewerage: CIS outturn ratio</v>
      </c>
      <c r="F63" s="113"/>
      <c r="G63" s="301">
        <f>'Calc2 BYR'!G119</f>
        <v>100.11044006886138</v>
      </c>
      <c r="H63" s="287"/>
      <c r="I63" s="120"/>
      <c r="J63" s="121"/>
      <c r="K63" s="121"/>
      <c r="L63" s="121"/>
      <c r="M63" s="121"/>
      <c r="N63" s="121"/>
      <c r="O63" s="113"/>
      <c r="P63" s="113"/>
      <c r="Q63" s="113"/>
      <c r="R63" s="113"/>
      <c r="S63" s="113"/>
      <c r="T63" s="115"/>
      <c r="U63" s="296"/>
    </row>
    <row r="64" spans="1:21" s="117" customFormat="1" ht="17.399999999999999">
      <c r="A64" s="110"/>
      <c r="B64" s="118"/>
      <c r="C64" s="118"/>
      <c r="D64" s="113"/>
      <c r="E64" s="113"/>
      <c r="F64" s="113"/>
      <c r="G64" s="113"/>
      <c r="H64" s="120"/>
      <c r="I64" s="120"/>
      <c r="J64" s="121"/>
      <c r="K64" s="121"/>
      <c r="L64" s="121"/>
      <c r="M64" s="121"/>
      <c r="N64" s="121"/>
      <c r="O64" s="113"/>
      <c r="P64" s="113"/>
      <c r="Q64" s="113"/>
      <c r="R64" s="113"/>
      <c r="S64" s="113"/>
      <c r="T64" s="115"/>
      <c r="U64" s="294"/>
    </row>
    <row r="65" spans="1:24" s="117" customFormat="1" ht="17.399999999999999">
      <c r="A65" s="110"/>
      <c r="B65" s="111">
        <v>2.2999999999999998</v>
      </c>
      <c r="C65" s="112"/>
      <c r="D65" s="113"/>
      <c r="E65" s="105" t="s">
        <v>322</v>
      </c>
      <c r="F65" s="105"/>
      <c r="G65" s="113"/>
      <c r="H65" s="113"/>
      <c r="I65" s="113"/>
      <c r="J65" s="114"/>
      <c r="K65" s="114"/>
      <c r="L65" s="114"/>
      <c r="M65" s="114"/>
      <c r="N65" s="114"/>
      <c r="O65" s="113"/>
      <c r="P65" s="113"/>
      <c r="Q65" s="113"/>
      <c r="R65" s="113"/>
      <c r="S65" s="113"/>
      <c r="T65" s="115"/>
      <c r="U65" s="294"/>
    </row>
    <row r="66" spans="1:24" s="117" customFormat="1" ht="17.399999999999999">
      <c r="A66" s="110"/>
      <c r="B66" s="118" t="s">
        <v>341</v>
      </c>
      <c r="C66" s="119"/>
      <c r="D66" s="113"/>
      <c r="E66" s="113" t="str">
        <f>'Calc2 BYR'!E125</f>
        <v>Sewerage: Total reward/(penalty)</v>
      </c>
      <c r="F66" s="113"/>
      <c r="G66" s="113"/>
      <c r="H66" s="120"/>
      <c r="I66" s="120"/>
      <c r="J66" s="121"/>
      <c r="K66" s="121"/>
      <c r="L66" s="121"/>
      <c r="M66" s="121"/>
      <c r="N66" s="121"/>
      <c r="O66" s="113"/>
      <c r="P66" s="113"/>
      <c r="Q66" s="113"/>
      <c r="R66" s="113"/>
      <c r="S66" s="113"/>
      <c r="T66" s="115"/>
      <c r="U66" s="295">
        <f>'Calc2 BYR'!P125</f>
        <v>-3.0091419075021122</v>
      </c>
    </row>
    <row r="67" spans="1:24" s="117" customFormat="1" ht="17.399999999999999">
      <c r="A67" s="110"/>
      <c r="B67" s="118" t="s">
        <v>342</v>
      </c>
      <c r="C67" s="119"/>
      <c r="D67" s="113"/>
      <c r="E67" s="113" t="str">
        <f>'Calc2 BYR'!E128</f>
        <v>Sewerage: Additional income (applied at FD)</v>
      </c>
      <c r="F67" s="113"/>
      <c r="G67" s="113"/>
      <c r="H67" s="113"/>
      <c r="I67" s="113"/>
      <c r="J67" s="121">
        <f>'Calc2 BYR'!J128</f>
        <v>-4.4345210389061096</v>
      </c>
      <c r="K67" s="121">
        <f>'Calc2 BYR'!K128</f>
        <v>-5.5135632887299098</v>
      </c>
      <c r="L67" s="121">
        <f>'Calc2 BYR'!L128</f>
        <v>-4.38623182711172</v>
      </c>
      <c r="M67" s="121">
        <f>'Calc2 BYR'!M128</f>
        <v>-3.6482704817140701</v>
      </c>
      <c r="N67" s="121">
        <f>'Calc2 BYR'!N128</f>
        <v>-2.90058545757877</v>
      </c>
      <c r="O67" s="113"/>
      <c r="P67" s="113"/>
      <c r="Q67" s="113"/>
      <c r="R67" s="113"/>
      <c r="S67" s="113"/>
      <c r="T67" s="115"/>
      <c r="U67" s="295">
        <f t="shared" ref="U67" si="9">SUM(J67:N67)</f>
        <v>-20.883172094040582</v>
      </c>
    </row>
    <row r="68" spans="1:24" s="117" customFormat="1" ht="17.399999999999999">
      <c r="A68" s="110"/>
      <c r="B68" s="118" t="s">
        <v>343</v>
      </c>
      <c r="C68" s="119"/>
      <c r="D68" s="113"/>
      <c r="E68" s="113" t="str">
        <f>'Calc2 BYR'!E188</f>
        <v>Sewerage: Ex post reward/penalty</v>
      </c>
      <c r="F68" s="113"/>
      <c r="G68" s="113"/>
      <c r="H68" s="120"/>
      <c r="I68" s="120"/>
      <c r="J68" s="121"/>
      <c r="K68" s="121"/>
      <c r="L68" s="121"/>
      <c r="M68" s="121"/>
      <c r="N68" s="121"/>
      <c r="O68" s="113"/>
      <c r="P68" s="113"/>
      <c r="Q68" s="113"/>
      <c r="R68" s="113"/>
      <c r="S68" s="113"/>
      <c r="T68" s="115"/>
      <c r="U68" s="295">
        <f>SUM('Calc2 BYR'!J188:N188)</f>
        <v>17.874030186538473</v>
      </c>
    </row>
    <row r="69" spans="1:24" s="117" customFormat="1" ht="17.399999999999999">
      <c r="A69" s="110"/>
      <c r="B69" s="118"/>
      <c r="C69" s="119"/>
      <c r="D69" s="113"/>
      <c r="E69" s="113"/>
      <c r="F69" s="113"/>
      <c r="G69" s="113"/>
      <c r="H69" s="120"/>
      <c r="I69" s="120"/>
      <c r="J69" s="121"/>
      <c r="K69" s="121"/>
      <c r="L69" s="121"/>
      <c r="M69" s="121"/>
      <c r="N69" s="121"/>
      <c r="O69" s="113"/>
      <c r="P69" s="113"/>
      <c r="Q69" s="113"/>
      <c r="R69" s="113"/>
      <c r="S69" s="113"/>
      <c r="T69" s="115"/>
      <c r="U69" s="295"/>
    </row>
    <row r="70" spans="1:24" s="117" customFormat="1" ht="17.399999999999999">
      <c r="A70" s="126"/>
      <c r="B70" s="297"/>
      <c r="C70" s="297"/>
      <c r="D70" s="127"/>
      <c r="E70" s="127"/>
      <c r="F70" s="127"/>
      <c r="G70" s="298"/>
      <c r="H70" s="298"/>
      <c r="I70" s="298"/>
      <c r="J70" s="299"/>
      <c r="K70" s="299"/>
      <c r="L70" s="299"/>
      <c r="M70" s="299"/>
      <c r="N70" s="299"/>
      <c r="O70" s="127"/>
      <c r="P70" s="127"/>
      <c r="Q70" s="127"/>
      <c r="R70" s="127"/>
      <c r="S70" s="127"/>
      <c r="T70" s="129"/>
      <c r="U70" s="300"/>
    </row>
    <row r="71" spans="1:24" s="117" customFormat="1" ht="17.399999999999999">
      <c r="A71" s="110"/>
      <c r="B71" s="119"/>
      <c r="C71" s="119"/>
      <c r="D71" s="113"/>
      <c r="E71" s="113"/>
      <c r="F71" s="113"/>
      <c r="G71" s="113"/>
      <c r="H71" s="113"/>
      <c r="I71" s="113"/>
      <c r="J71" s="113"/>
      <c r="K71" s="113"/>
      <c r="L71" s="113"/>
      <c r="M71" s="113"/>
      <c r="N71" s="113"/>
      <c r="O71" s="113"/>
      <c r="P71" s="113"/>
      <c r="Q71" s="113"/>
      <c r="R71" s="113"/>
      <c r="S71" s="113"/>
      <c r="T71" s="113"/>
      <c r="U71" s="113"/>
    </row>
    <row r="72" spans="1:24" s="117" customFormat="1" ht="17.399999999999999">
      <c r="A72" s="110"/>
      <c r="B72" s="119"/>
      <c r="C72" s="119"/>
      <c r="D72" s="113"/>
      <c r="E72" s="113"/>
      <c r="F72" s="113"/>
      <c r="G72" s="113"/>
      <c r="H72" s="113"/>
      <c r="I72" s="113"/>
      <c r="J72" s="113"/>
      <c r="K72" s="113"/>
      <c r="L72" s="113"/>
      <c r="M72" s="113"/>
      <c r="N72" s="113"/>
      <c r="O72" s="113"/>
      <c r="P72" s="113"/>
      <c r="Q72" s="113"/>
      <c r="R72" s="113"/>
      <c r="S72" s="113"/>
      <c r="T72" s="113"/>
      <c r="U72" s="113"/>
      <c r="V72" s="113"/>
      <c r="W72" s="113"/>
      <c r="X72" s="113"/>
    </row>
    <row r="73" spans="1:24" s="117" customFormat="1" ht="17.399999999999999">
      <c r="A73" s="110"/>
      <c r="B73" s="119"/>
      <c r="C73" s="119"/>
      <c r="D73" s="113"/>
      <c r="E73" s="113"/>
      <c r="F73" s="113"/>
      <c r="G73" s="113"/>
      <c r="H73" s="113"/>
      <c r="I73" s="113"/>
      <c r="J73" s="113"/>
      <c r="K73" s="113"/>
      <c r="L73" s="113"/>
      <c r="M73" s="113"/>
      <c r="N73" s="113"/>
      <c r="O73" s="113"/>
      <c r="P73" s="113"/>
      <c r="Q73" s="113"/>
      <c r="R73" s="113"/>
      <c r="S73" s="113"/>
      <c r="T73" s="113"/>
      <c r="U73" s="113"/>
      <c r="V73" s="113"/>
      <c r="W73" s="113"/>
      <c r="X73" s="113"/>
    </row>
    <row r="74" spans="1:24" s="117" customFormat="1" ht="17.399999999999999">
      <c r="A74" s="110"/>
      <c r="B74" s="119"/>
      <c r="C74" s="119"/>
      <c r="D74" s="113"/>
      <c r="E74" s="113"/>
      <c r="F74" s="113"/>
      <c r="G74" s="113"/>
      <c r="H74" s="113"/>
      <c r="I74" s="113"/>
      <c r="J74" s="113"/>
      <c r="K74" s="113"/>
      <c r="L74" s="113"/>
      <c r="M74" s="113"/>
      <c r="N74" s="113"/>
      <c r="O74" s="113"/>
      <c r="P74" s="113"/>
      <c r="Q74" s="113"/>
      <c r="R74" s="113"/>
      <c r="S74" s="113"/>
      <c r="T74" s="113"/>
      <c r="U74" s="113"/>
      <c r="V74" s="113"/>
      <c r="W74" s="113"/>
      <c r="X74" s="113"/>
    </row>
    <row r="75" spans="1:24" s="117" customFormat="1" ht="17.399999999999999">
      <c r="A75" s="110"/>
      <c r="B75" s="119"/>
      <c r="C75" s="119"/>
      <c r="D75" s="113"/>
      <c r="E75" s="113"/>
      <c r="F75" s="113"/>
      <c r="G75" s="113"/>
      <c r="H75" s="113"/>
      <c r="I75" s="113"/>
      <c r="J75" s="113"/>
      <c r="K75" s="113"/>
      <c r="L75" s="113"/>
      <c r="M75" s="113"/>
      <c r="N75" s="113"/>
      <c r="O75" s="113"/>
      <c r="P75" s="113"/>
      <c r="Q75" s="113"/>
      <c r="R75" s="113"/>
      <c r="S75" s="113"/>
      <c r="T75" s="113"/>
      <c r="U75" s="113"/>
      <c r="V75" s="113"/>
      <c r="W75" s="113"/>
      <c r="X75" s="113"/>
    </row>
    <row r="76" spans="1:24" s="117" customFormat="1" ht="17.399999999999999">
      <c r="A76" s="110"/>
      <c r="B76" s="119"/>
      <c r="C76" s="119"/>
      <c r="D76" s="113"/>
      <c r="E76" s="113"/>
      <c r="F76" s="113"/>
      <c r="G76" s="113"/>
      <c r="H76" s="113"/>
      <c r="I76" s="113"/>
      <c r="J76" s="113"/>
      <c r="K76" s="113"/>
      <c r="L76" s="113"/>
      <c r="M76" s="113"/>
      <c r="N76" s="113"/>
      <c r="O76" s="113"/>
      <c r="P76" s="113"/>
      <c r="Q76" s="113"/>
      <c r="R76" s="113"/>
      <c r="S76" s="113"/>
      <c r="T76" s="113"/>
      <c r="U76" s="113"/>
      <c r="V76" s="113"/>
      <c r="W76" s="113"/>
      <c r="X76" s="113"/>
    </row>
    <row r="77" spans="1:24" s="117" customFormat="1" ht="17.399999999999999">
      <c r="A77" s="110"/>
      <c r="B77" s="119"/>
      <c r="C77" s="119"/>
      <c r="D77" s="113"/>
      <c r="E77" s="113"/>
      <c r="F77" s="113"/>
      <c r="G77" s="113"/>
      <c r="H77" s="113"/>
      <c r="I77" s="113"/>
      <c r="J77" s="113"/>
      <c r="K77" s="113"/>
      <c r="L77" s="113"/>
      <c r="M77" s="113"/>
      <c r="N77" s="113"/>
      <c r="O77" s="113"/>
      <c r="P77" s="113"/>
      <c r="Q77" s="113"/>
      <c r="R77" s="113"/>
      <c r="S77" s="113"/>
      <c r="T77" s="113"/>
      <c r="U77" s="113"/>
      <c r="V77" s="113"/>
      <c r="W77" s="113"/>
      <c r="X77" s="113"/>
    </row>
    <row r="78" spans="1:24" s="117" customFormat="1" ht="17.399999999999999">
      <c r="A78" s="110"/>
      <c r="B78" s="119"/>
      <c r="C78" s="118"/>
      <c r="D78" s="113"/>
      <c r="E78" s="113"/>
      <c r="F78" s="113"/>
      <c r="G78" s="113"/>
      <c r="H78" s="113"/>
      <c r="I78" s="113"/>
      <c r="J78" s="113"/>
      <c r="K78" s="113"/>
      <c r="L78" s="113"/>
      <c r="M78" s="113"/>
      <c r="N78" s="113"/>
      <c r="O78" s="113"/>
      <c r="P78" s="113"/>
      <c r="Q78" s="113"/>
      <c r="R78" s="113"/>
      <c r="S78" s="113"/>
      <c r="T78" s="113"/>
      <c r="U78" s="113"/>
      <c r="V78" s="113"/>
      <c r="W78" s="113"/>
      <c r="X78" s="113"/>
    </row>
    <row r="79" spans="1:24" s="117" customFormat="1" ht="17.399999999999999">
      <c r="A79" s="110"/>
      <c r="B79" s="118"/>
      <c r="C79" s="118"/>
      <c r="D79" s="113"/>
      <c r="E79" s="113"/>
      <c r="F79" s="113"/>
      <c r="G79" s="113"/>
      <c r="H79" s="113"/>
      <c r="I79" s="113"/>
      <c r="J79" s="113"/>
      <c r="K79" s="113"/>
      <c r="L79" s="113"/>
      <c r="M79" s="113"/>
      <c r="N79" s="113"/>
      <c r="O79" s="113"/>
      <c r="P79" s="113"/>
      <c r="Q79" s="113"/>
      <c r="R79" s="113"/>
      <c r="S79" s="113"/>
      <c r="T79" s="113"/>
      <c r="U79" s="113"/>
      <c r="V79" s="113"/>
      <c r="W79" s="113"/>
      <c r="X79" s="113"/>
    </row>
    <row r="80" spans="1:24" s="117" customFormat="1" ht="17.399999999999999">
      <c r="A80" s="110"/>
      <c r="B80" s="111"/>
      <c r="C80" s="112"/>
      <c r="D80" s="113"/>
      <c r="E80" s="105"/>
      <c r="F80" s="105"/>
      <c r="G80" s="113"/>
      <c r="H80" s="113"/>
      <c r="I80" s="113"/>
      <c r="J80" s="113"/>
      <c r="K80" s="113"/>
      <c r="L80" s="113"/>
      <c r="M80" s="113"/>
      <c r="N80" s="113"/>
      <c r="O80" s="113"/>
      <c r="P80" s="113"/>
      <c r="Q80" s="113"/>
      <c r="R80" s="113"/>
      <c r="S80" s="113"/>
      <c r="T80" s="113"/>
      <c r="U80" s="113"/>
      <c r="V80" s="113"/>
      <c r="W80" s="113"/>
      <c r="X80" s="113"/>
    </row>
    <row r="81" spans="1:21" s="117" customFormat="1" ht="17.399999999999999">
      <c r="A81" s="110"/>
      <c r="B81" s="119"/>
      <c r="C81" s="119"/>
      <c r="D81" s="113"/>
      <c r="E81" s="113"/>
      <c r="F81" s="113"/>
      <c r="G81" s="113"/>
      <c r="H81" s="113"/>
      <c r="I81" s="113"/>
      <c r="J81" s="113"/>
      <c r="K81" s="113"/>
      <c r="L81" s="113"/>
      <c r="M81" s="113"/>
      <c r="N81" s="113"/>
      <c r="O81" s="113"/>
      <c r="P81" s="113"/>
      <c r="Q81" s="113"/>
      <c r="R81" s="113"/>
      <c r="S81" s="113"/>
      <c r="T81" s="41"/>
      <c r="U81" s="288"/>
    </row>
    <row r="82" spans="1:21" s="117" customFormat="1" ht="17.399999999999999">
      <c r="A82" s="110"/>
      <c r="B82" s="119"/>
      <c r="C82" s="119"/>
      <c r="D82" s="113"/>
      <c r="E82" s="113"/>
      <c r="F82" s="113"/>
      <c r="G82" s="113"/>
      <c r="H82" s="113"/>
      <c r="I82" s="113"/>
      <c r="J82" s="113"/>
      <c r="K82" s="113"/>
      <c r="L82" s="113"/>
      <c r="M82" s="113"/>
      <c r="N82" s="113"/>
      <c r="O82" s="113"/>
      <c r="P82" s="113"/>
      <c r="Q82" s="113"/>
      <c r="R82" s="113"/>
      <c r="S82" s="113"/>
      <c r="T82" s="41"/>
      <c r="U82" s="289"/>
    </row>
    <row r="83" spans="1:21" s="117" customFormat="1" ht="17.399999999999999">
      <c r="A83" s="110"/>
      <c r="B83" s="119"/>
      <c r="C83" s="119"/>
      <c r="D83" s="113"/>
      <c r="E83" s="113"/>
      <c r="F83" s="113"/>
      <c r="G83" s="113"/>
      <c r="H83" s="113"/>
      <c r="I83" s="113"/>
      <c r="J83" s="113"/>
      <c r="K83" s="113"/>
      <c r="L83" s="113"/>
      <c r="M83" s="113"/>
      <c r="N83" s="113"/>
      <c r="O83" s="113"/>
      <c r="P83" s="113"/>
      <c r="Q83" s="113"/>
      <c r="R83" s="113"/>
      <c r="S83" s="113"/>
      <c r="T83" s="41"/>
      <c r="U83" s="289"/>
    </row>
    <row r="84" spans="1:21" s="117" customFormat="1" ht="17.399999999999999">
      <c r="A84" s="110"/>
      <c r="B84" s="119"/>
      <c r="C84" s="119"/>
      <c r="D84" s="113"/>
      <c r="E84" s="113"/>
      <c r="F84" s="113"/>
      <c r="G84" s="113"/>
      <c r="H84" s="113"/>
      <c r="I84" s="113"/>
      <c r="J84" s="113"/>
      <c r="K84" s="113"/>
      <c r="L84" s="113"/>
      <c r="M84" s="113"/>
      <c r="N84" s="113"/>
      <c r="O84" s="113"/>
      <c r="P84" s="113"/>
      <c r="Q84" s="113"/>
      <c r="R84" s="113"/>
      <c r="S84" s="113"/>
      <c r="T84" s="41"/>
      <c r="U84" s="289"/>
    </row>
    <row r="85" spans="1:21" s="117" customFormat="1" ht="17.399999999999999">
      <c r="A85" s="110"/>
      <c r="B85" s="119"/>
      <c r="C85" s="119"/>
      <c r="D85" s="113"/>
      <c r="E85" s="113"/>
      <c r="F85" s="113"/>
      <c r="G85" s="113"/>
      <c r="H85" s="113"/>
      <c r="I85" s="113"/>
      <c r="J85" s="113"/>
      <c r="K85" s="113"/>
      <c r="L85" s="113"/>
      <c r="M85" s="113"/>
      <c r="N85" s="113"/>
      <c r="O85" s="113"/>
      <c r="P85" s="113"/>
      <c r="Q85" s="113"/>
      <c r="R85" s="113"/>
      <c r="S85" s="113"/>
      <c r="T85" s="41"/>
      <c r="U85" s="289"/>
    </row>
    <row r="86" spans="1:21" s="117" customFormat="1" ht="17.399999999999999">
      <c r="A86" s="110"/>
      <c r="B86" s="119"/>
      <c r="C86" s="119"/>
      <c r="D86" s="113"/>
      <c r="E86" s="113"/>
      <c r="F86" s="113"/>
      <c r="G86" s="113"/>
      <c r="H86" s="113"/>
      <c r="I86" s="113"/>
      <c r="J86" s="113"/>
      <c r="K86" s="113"/>
      <c r="L86" s="113"/>
      <c r="M86" s="113"/>
      <c r="N86" s="113"/>
      <c r="O86" s="113"/>
      <c r="P86" s="113"/>
      <c r="Q86" s="113"/>
      <c r="R86" s="113"/>
      <c r="S86" s="113"/>
      <c r="T86" s="41"/>
      <c r="U86" s="289"/>
    </row>
    <row r="87" spans="1:21" s="117" customFormat="1" ht="17.399999999999999">
      <c r="A87" s="110"/>
      <c r="B87" s="119"/>
      <c r="C87" s="119"/>
      <c r="D87" s="113"/>
      <c r="E87" s="113"/>
      <c r="F87" s="113"/>
      <c r="G87" s="113"/>
      <c r="H87" s="113"/>
      <c r="I87" s="113"/>
      <c r="J87" s="113"/>
      <c r="K87" s="113"/>
      <c r="L87" s="113"/>
      <c r="M87" s="113"/>
      <c r="N87" s="113"/>
      <c r="O87" s="113"/>
      <c r="P87" s="113"/>
      <c r="Q87" s="113"/>
      <c r="R87" s="113"/>
      <c r="S87" s="113"/>
      <c r="T87" s="41"/>
      <c r="U87" s="289"/>
    </row>
    <row r="88" spans="1:21" s="117" customFormat="1" ht="17.399999999999999">
      <c r="A88" s="110"/>
      <c r="B88" s="119"/>
      <c r="C88" s="119"/>
      <c r="D88" s="113"/>
      <c r="E88" s="113"/>
      <c r="F88" s="113"/>
      <c r="G88" s="113"/>
      <c r="H88" s="113"/>
      <c r="I88" s="113"/>
      <c r="J88" s="113"/>
      <c r="K88" s="113"/>
      <c r="L88" s="113"/>
      <c r="M88" s="113"/>
      <c r="N88" s="113"/>
      <c r="O88" s="113"/>
      <c r="P88" s="113"/>
      <c r="Q88" s="113"/>
      <c r="R88" s="113"/>
      <c r="S88" s="113"/>
      <c r="T88" s="41"/>
      <c r="U88" s="289"/>
    </row>
    <row r="89" spans="1:21" s="117" customFormat="1" ht="17.399999999999999">
      <c r="A89" s="110"/>
      <c r="B89" s="119"/>
      <c r="C89" s="119"/>
      <c r="D89" s="113"/>
      <c r="E89" s="113"/>
      <c r="F89" s="113"/>
      <c r="G89" s="113"/>
      <c r="H89" s="113"/>
      <c r="I89" s="113"/>
      <c r="J89" s="113"/>
      <c r="K89" s="113"/>
      <c r="L89" s="113"/>
      <c r="M89" s="113"/>
      <c r="N89" s="113"/>
      <c r="O89" s="113"/>
      <c r="P89" s="113"/>
      <c r="Q89" s="113"/>
      <c r="R89" s="113"/>
      <c r="S89" s="113"/>
      <c r="T89" s="41"/>
      <c r="U89" s="289"/>
    </row>
    <row r="90" spans="1:21" s="117" customFormat="1" ht="17.399999999999999">
      <c r="A90" s="110"/>
      <c r="B90" s="119"/>
      <c r="C90" s="119"/>
      <c r="D90" s="113"/>
      <c r="E90" s="113"/>
      <c r="F90" s="113"/>
      <c r="G90" s="113"/>
      <c r="H90" s="113"/>
      <c r="I90" s="113"/>
      <c r="J90" s="113"/>
      <c r="K90" s="113"/>
      <c r="L90" s="113"/>
      <c r="M90" s="113"/>
      <c r="N90" s="113"/>
      <c r="O90" s="113"/>
      <c r="P90" s="113"/>
      <c r="Q90" s="113"/>
      <c r="R90" s="113"/>
      <c r="S90" s="113"/>
      <c r="T90" s="41"/>
      <c r="U90" s="289"/>
    </row>
    <row r="91" spans="1:21" s="117" customFormat="1" ht="17.399999999999999">
      <c r="A91" s="110"/>
      <c r="B91" s="119"/>
      <c r="C91" s="119"/>
      <c r="D91" s="113"/>
      <c r="E91" s="113"/>
      <c r="F91" s="113"/>
      <c r="G91" s="113"/>
      <c r="H91" s="113"/>
      <c r="I91" s="113"/>
      <c r="J91" s="113"/>
      <c r="K91" s="113"/>
      <c r="L91" s="113"/>
      <c r="M91" s="113"/>
      <c r="N91" s="113"/>
      <c r="O91" s="113"/>
      <c r="P91" s="113"/>
      <c r="Q91" s="113"/>
      <c r="R91" s="113"/>
      <c r="S91" s="113"/>
      <c r="T91" s="41"/>
      <c r="U91" s="289"/>
    </row>
    <row r="92" spans="1:21" s="117" customFormat="1" ht="17.399999999999999">
      <c r="A92" s="110"/>
      <c r="B92" s="119"/>
      <c r="C92" s="119"/>
      <c r="D92" s="113"/>
      <c r="E92" s="113"/>
      <c r="F92" s="113"/>
      <c r="G92" s="113"/>
      <c r="H92" s="113"/>
      <c r="I92" s="113"/>
      <c r="J92" s="113"/>
      <c r="K92" s="113"/>
      <c r="L92" s="113"/>
      <c r="M92" s="113"/>
      <c r="N92" s="113"/>
      <c r="O92" s="113"/>
      <c r="P92" s="113"/>
      <c r="Q92" s="113"/>
      <c r="R92" s="113"/>
      <c r="S92" s="113"/>
      <c r="T92" s="41"/>
      <c r="U92" s="289"/>
    </row>
    <row r="93" spans="1:21" s="117" customFormat="1" ht="17.399999999999999">
      <c r="A93" s="110"/>
      <c r="B93" s="119"/>
      <c r="C93" s="119"/>
      <c r="D93" s="113"/>
      <c r="E93" s="113"/>
      <c r="F93" s="113"/>
      <c r="G93" s="113"/>
      <c r="H93" s="113"/>
      <c r="I93" s="113"/>
      <c r="J93" s="113"/>
      <c r="K93" s="113"/>
      <c r="L93" s="113"/>
      <c r="M93" s="113"/>
      <c r="N93" s="113"/>
      <c r="O93" s="113"/>
      <c r="P93" s="113"/>
      <c r="Q93" s="113"/>
      <c r="R93" s="113"/>
      <c r="S93" s="113"/>
      <c r="T93" s="41"/>
      <c r="U93" s="289"/>
    </row>
    <row r="94" spans="1:21" s="117" customFormat="1" ht="17.399999999999999">
      <c r="A94" s="110"/>
      <c r="B94" s="119"/>
      <c r="C94" s="119"/>
      <c r="D94" s="113"/>
      <c r="E94" s="113"/>
      <c r="F94" s="113"/>
      <c r="G94" s="113"/>
      <c r="H94" s="113"/>
      <c r="I94" s="113"/>
      <c r="J94" s="113"/>
      <c r="K94" s="113"/>
      <c r="L94" s="113"/>
      <c r="M94" s="113"/>
      <c r="N94" s="113"/>
      <c r="O94" s="113"/>
      <c r="P94" s="113"/>
      <c r="Q94" s="113"/>
      <c r="R94" s="113"/>
      <c r="S94" s="113"/>
      <c r="T94" s="41"/>
      <c r="U94" s="289"/>
    </row>
    <row r="95" spans="1:21" s="117" customFormat="1" ht="17.399999999999999">
      <c r="A95" s="110"/>
      <c r="B95" s="119"/>
      <c r="C95" s="118"/>
      <c r="D95" s="113"/>
      <c r="E95" s="113"/>
      <c r="F95" s="113"/>
      <c r="G95" s="113"/>
      <c r="H95" s="113"/>
      <c r="I95" s="113"/>
      <c r="J95" s="113"/>
      <c r="K95" s="113"/>
      <c r="L95" s="113"/>
      <c r="M95" s="113"/>
      <c r="N95" s="113"/>
      <c r="O95" s="113"/>
      <c r="P95" s="113"/>
      <c r="Q95" s="113"/>
      <c r="R95" s="113"/>
      <c r="S95" s="113"/>
      <c r="T95" s="41"/>
      <c r="U95" s="289"/>
    </row>
    <row r="96" spans="1:21" s="117" customFormat="1" ht="17.399999999999999">
      <c r="A96" s="110"/>
      <c r="B96" s="118"/>
      <c r="C96" s="118"/>
      <c r="D96" s="113"/>
      <c r="E96" s="113"/>
      <c r="F96" s="113"/>
      <c r="G96" s="113"/>
      <c r="H96" s="113"/>
      <c r="I96" s="113"/>
      <c r="J96" s="113"/>
      <c r="K96" s="113"/>
      <c r="L96" s="113"/>
      <c r="M96" s="113"/>
      <c r="N96" s="113"/>
      <c r="O96" s="113"/>
      <c r="P96" s="113"/>
      <c r="Q96" s="113"/>
      <c r="R96" s="113"/>
      <c r="S96" s="113"/>
      <c r="T96" s="41"/>
      <c r="U96" s="289"/>
    </row>
    <row r="97" spans="1:21" s="117" customFormat="1" ht="17.399999999999999">
      <c r="A97" s="110"/>
      <c r="B97" s="112"/>
      <c r="C97" s="112"/>
      <c r="D97" s="113"/>
      <c r="E97" s="105"/>
      <c r="F97" s="105"/>
      <c r="G97" s="113"/>
      <c r="H97" s="113"/>
      <c r="I97" s="113"/>
      <c r="J97" s="113"/>
      <c r="K97" s="113"/>
      <c r="L97" s="113"/>
      <c r="M97" s="113"/>
      <c r="N97" s="113"/>
      <c r="O97" s="113"/>
      <c r="P97" s="113"/>
      <c r="Q97" s="113"/>
      <c r="R97" s="113"/>
      <c r="S97" s="113"/>
      <c r="T97" s="41"/>
      <c r="U97" s="289"/>
    </row>
    <row r="98" spans="1:21" s="117" customFormat="1" ht="17.399999999999999">
      <c r="A98" s="110"/>
      <c r="B98" s="113"/>
      <c r="C98" s="113"/>
      <c r="D98" s="113"/>
      <c r="E98" s="113"/>
      <c r="F98" s="113"/>
      <c r="G98" s="113"/>
      <c r="H98" s="113"/>
      <c r="I98" s="113"/>
      <c r="J98" s="113"/>
      <c r="K98" s="113"/>
      <c r="L98" s="113"/>
      <c r="M98" s="113"/>
      <c r="N98" s="113"/>
      <c r="O98" s="113"/>
      <c r="P98" s="113"/>
      <c r="Q98" s="113"/>
      <c r="R98" s="113"/>
      <c r="S98" s="113"/>
      <c r="T98" s="41"/>
      <c r="U98" s="289"/>
    </row>
    <row r="99" spans="1:21" s="117" customFormat="1" ht="17.399999999999999">
      <c r="A99" s="110"/>
      <c r="B99" s="119"/>
      <c r="C99" s="119"/>
      <c r="D99" s="113"/>
      <c r="E99" s="113"/>
      <c r="F99" s="113"/>
      <c r="G99" s="113"/>
      <c r="H99" s="113"/>
      <c r="I99" s="113"/>
      <c r="J99" s="113"/>
      <c r="K99" s="113"/>
      <c r="L99" s="113"/>
      <c r="M99" s="113"/>
      <c r="N99" s="113"/>
      <c r="O99" s="113"/>
      <c r="P99" s="113"/>
      <c r="Q99" s="113"/>
      <c r="R99" s="113"/>
      <c r="S99" s="113"/>
      <c r="T99" s="41"/>
      <c r="U99" s="289"/>
    </row>
    <row r="100" spans="1:21" s="117" customFormat="1" ht="17.399999999999999">
      <c r="A100" s="110"/>
      <c r="B100" s="119"/>
      <c r="C100" s="119"/>
      <c r="D100" s="113"/>
      <c r="E100" s="113"/>
      <c r="F100" s="113"/>
      <c r="G100" s="113"/>
      <c r="H100" s="113"/>
      <c r="I100" s="113"/>
      <c r="J100" s="113"/>
      <c r="K100" s="113"/>
      <c r="L100" s="113"/>
      <c r="M100" s="113"/>
      <c r="N100" s="113"/>
      <c r="O100" s="113"/>
      <c r="P100" s="113"/>
      <c r="Q100" s="113"/>
      <c r="R100" s="113"/>
      <c r="S100" s="113"/>
      <c r="T100" s="41"/>
      <c r="U100" s="289"/>
    </row>
    <row r="101" spans="1:21" s="117" customFormat="1" ht="17.399999999999999">
      <c r="A101" s="110"/>
      <c r="B101" s="119"/>
      <c r="C101" s="119"/>
      <c r="D101" s="113"/>
      <c r="E101" s="113"/>
      <c r="F101" s="113"/>
      <c r="G101" s="113"/>
      <c r="H101" s="113"/>
      <c r="I101" s="113"/>
      <c r="J101" s="113"/>
      <c r="K101" s="113"/>
      <c r="L101" s="113"/>
      <c r="M101" s="113"/>
      <c r="N101" s="113"/>
      <c r="O101" s="113"/>
      <c r="P101" s="113"/>
      <c r="Q101" s="113"/>
      <c r="R101" s="113"/>
      <c r="S101" s="113"/>
      <c r="T101" s="41"/>
      <c r="U101" s="289"/>
    </row>
    <row r="102" spans="1:21" s="117" customFormat="1" ht="17.399999999999999">
      <c r="A102" s="110"/>
      <c r="B102" s="119"/>
      <c r="C102" s="119"/>
      <c r="D102" s="113"/>
      <c r="E102" s="113"/>
      <c r="F102" s="113"/>
      <c r="G102" s="113"/>
      <c r="H102" s="113"/>
      <c r="I102" s="113"/>
      <c r="J102" s="113"/>
      <c r="K102" s="113"/>
      <c r="L102" s="113"/>
      <c r="M102" s="113"/>
      <c r="N102" s="113"/>
      <c r="O102" s="113"/>
      <c r="P102" s="113"/>
      <c r="Q102" s="113"/>
      <c r="R102" s="113"/>
      <c r="S102" s="113"/>
      <c r="T102" s="41"/>
      <c r="U102" s="289"/>
    </row>
    <row r="103" spans="1:21" s="117" customFormat="1" ht="17.399999999999999">
      <c r="A103" s="110"/>
      <c r="B103" s="119"/>
      <c r="C103" s="119"/>
      <c r="D103" s="113"/>
      <c r="E103" s="113"/>
      <c r="F103" s="113"/>
      <c r="G103" s="113"/>
      <c r="H103" s="113"/>
      <c r="I103" s="113"/>
      <c r="J103" s="113"/>
      <c r="K103" s="113"/>
      <c r="L103" s="113"/>
      <c r="M103" s="113"/>
      <c r="N103" s="113"/>
      <c r="O103" s="113"/>
      <c r="P103" s="113"/>
      <c r="Q103" s="113"/>
      <c r="R103" s="113"/>
      <c r="S103" s="113"/>
      <c r="T103"/>
      <c r="U103" s="289"/>
    </row>
    <row r="104" spans="1:21" s="41" customFormat="1" ht="17.399999999999999">
      <c r="G104" s="113"/>
      <c r="H104" s="113"/>
      <c r="I104" s="113"/>
      <c r="J104" s="113"/>
      <c r="K104" s="113"/>
      <c r="L104" s="113"/>
      <c r="M104" s="113"/>
      <c r="N104" s="113"/>
      <c r="O104" s="113"/>
      <c r="P104" s="113"/>
      <c r="Q104" s="113"/>
      <c r="R104" s="113"/>
      <c r="S104" s="113"/>
      <c r="T104"/>
      <c r="U104" s="290"/>
    </row>
    <row r="105" spans="1:21" s="41" customFormat="1" ht="17.399999999999999">
      <c r="T105"/>
      <c r="U105" s="290"/>
    </row>
    <row r="106" spans="1:21" s="41" customFormat="1" ht="17.399999999999999">
      <c r="T106"/>
      <c r="U106" s="290"/>
    </row>
    <row r="107" spans="1:21" s="41" customFormat="1" ht="17.399999999999999">
      <c r="T107"/>
      <c r="U107" s="290"/>
    </row>
    <row r="108" spans="1:21" s="41" customFormat="1" ht="17.399999999999999">
      <c r="T108"/>
      <c r="U108" s="290"/>
    </row>
    <row r="109" spans="1:21" s="41" customFormat="1" ht="17.399999999999999">
      <c r="T109"/>
      <c r="U109" s="290"/>
    </row>
    <row r="110" spans="1:21" s="41" customFormat="1" ht="17.399999999999999">
      <c r="T110"/>
      <c r="U110" s="290"/>
    </row>
    <row r="111" spans="1:21" s="41" customFormat="1" ht="17.399999999999999">
      <c r="T111"/>
      <c r="U111" s="290"/>
    </row>
    <row r="112" spans="1:21" s="41" customFormat="1" ht="17.399999999999999">
      <c r="T112"/>
      <c r="U112" s="290"/>
    </row>
    <row r="113" spans="20:21" s="41" customFormat="1" ht="17.399999999999999">
      <c r="T113"/>
      <c r="U113" s="290"/>
    </row>
    <row r="114" spans="20:21" s="41" customFormat="1" ht="17.399999999999999">
      <c r="T114"/>
      <c r="U114" s="290"/>
    </row>
    <row r="115" spans="20:21" s="41" customFormat="1" ht="17.399999999999999">
      <c r="T115"/>
      <c r="U115" s="290"/>
    </row>
    <row r="116" spans="20:21" s="41" customFormat="1" ht="17.399999999999999">
      <c r="T116"/>
      <c r="U116" s="290"/>
    </row>
    <row r="117" spans="20:21" s="41" customFormat="1" ht="17.399999999999999">
      <c r="T117"/>
      <c r="U117" s="290"/>
    </row>
    <row r="118" spans="20:21" s="41" customFormat="1" ht="17.399999999999999">
      <c r="T118"/>
      <c r="U118" s="290"/>
    </row>
    <row r="119" spans="20:21" s="41" customFormat="1" ht="17.399999999999999">
      <c r="T119"/>
      <c r="U119" s="290"/>
    </row>
    <row r="120" spans="20:21" s="41" customFormat="1" ht="17.399999999999999">
      <c r="T120"/>
      <c r="U120" s="290"/>
    </row>
    <row r="121" spans="20:21" s="41" customFormat="1" ht="17.399999999999999">
      <c r="T121"/>
      <c r="U121" s="290"/>
    </row>
    <row r="122" spans="20:21" s="41" customFormat="1" ht="17.399999999999999">
      <c r="T122"/>
      <c r="U122" s="290"/>
    </row>
    <row r="123" spans="20:21" s="41" customFormat="1" ht="17.399999999999999">
      <c r="T123"/>
      <c r="U123" s="290"/>
    </row>
    <row r="124" spans="20:21" s="41" customFormat="1" ht="17.399999999999999">
      <c r="T124"/>
      <c r="U124" s="290"/>
    </row>
  </sheetData>
  <pageMargins left="0.70866141732283472" right="0.70866141732283472" top="0.74803149606299213" bottom="0.74803149606299213" header="0.31496062992125984" footer="0.31496062992125984"/>
  <pageSetup paperSize="9" scale="39" orientation="landscape" r:id="rId1"/>
  <headerFooter>
    <oddFooter>&amp;LPL14L012 CIS v3.5
Ofwat, February 2016</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A45"/>
  <sheetViews>
    <sheetView showGridLines="0" zoomScale="60" zoomScaleNormal="60" workbookViewId="0">
      <pane xSplit="6" ySplit="11" topLeftCell="G12" activePane="bottomRight" state="frozen"/>
      <selection activeCell="A3" sqref="A3"/>
      <selection pane="topRight" activeCell="A3" sqref="A3"/>
      <selection pane="bottomLeft" activeCell="A3" sqref="A3"/>
      <selection pane="bottomRight" activeCell="A3" sqref="A3"/>
    </sheetView>
  </sheetViews>
  <sheetFormatPr defaultRowHeight="13.2"/>
  <cols>
    <col min="1" max="1" width="1.88671875" customWidth="1"/>
    <col min="3" max="3" width="18.109375" bestFit="1" customWidth="1"/>
    <col min="4" max="4" width="0" hidden="1" customWidth="1"/>
    <col min="5" max="5" width="125.44140625" customWidth="1"/>
    <col min="6" max="7" width="21.6640625" customWidth="1"/>
    <col min="8" max="9" width="21.6640625" hidden="1" customWidth="1"/>
    <col min="10" max="14" width="21.6640625" customWidth="1"/>
    <col min="15" max="15" width="20.6640625" customWidth="1"/>
    <col min="16" max="17" width="20.6640625" hidden="1" customWidth="1"/>
    <col min="18" max="19" width="9" hidden="1" customWidth="1"/>
    <col min="20" max="20" width="3.109375" customWidth="1"/>
    <col min="21" max="21" width="19.109375" customWidth="1"/>
    <col min="23" max="28" width="11.33203125" customWidth="1"/>
  </cols>
  <sheetData>
    <row r="1" spans="1:27" ht="26.85" customHeight="1">
      <c r="A1" s="492"/>
      <c r="B1" s="493"/>
      <c r="C1" s="493"/>
      <c r="D1" s="493"/>
      <c r="E1" s="493"/>
      <c r="F1" s="493"/>
      <c r="G1" s="493"/>
      <c r="H1" s="493"/>
      <c r="I1" s="493"/>
      <c r="J1" s="493"/>
      <c r="K1" s="493"/>
      <c r="L1" s="493"/>
      <c r="M1" s="493"/>
      <c r="N1" s="493"/>
      <c r="O1" s="493"/>
      <c r="P1" s="493"/>
      <c r="Q1" s="493"/>
      <c r="R1" s="493"/>
      <c r="S1" s="493"/>
      <c r="T1" s="493"/>
      <c r="U1" s="494"/>
    </row>
    <row r="2" spans="1:27" ht="26.85" customHeight="1">
      <c r="A2" s="495"/>
      <c r="B2" s="496"/>
      <c r="C2" s="496"/>
      <c r="D2" s="496"/>
      <c r="E2" s="510" t="str">
        <f>IF('Input BYR'!G150="","",'Input BYR'!G150)</f>
        <v>TMS Blind year update with corrected approach to RCV indexation</v>
      </c>
      <c r="F2" s="510"/>
      <c r="G2" s="496"/>
      <c r="H2" s="496"/>
      <c r="I2" s="496"/>
      <c r="J2" s="496"/>
      <c r="K2" s="496"/>
      <c r="L2" s="496"/>
      <c r="M2" s="496"/>
      <c r="N2" s="496"/>
      <c r="O2" s="496"/>
      <c r="P2" s="496"/>
      <c r="Q2" s="496"/>
      <c r="R2" s="496"/>
      <c r="S2" s="496"/>
      <c r="T2" s="496"/>
      <c r="U2" s="498"/>
    </row>
    <row r="3" spans="1:27" ht="26.85" customHeight="1">
      <c r="A3" s="495"/>
      <c r="B3" s="496"/>
      <c r="C3" s="496"/>
      <c r="D3" s="496"/>
      <c r="E3" s="497"/>
      <c r="F3" s="497"/>
      <c r="G3" s="496"/>
      <c r="H3" s="496"/>
      <c r="I3" s="496"/>
      <c r="J3" s="496"/>
      <c r="K3" s="496"/>
      <c r="L3" s="496"/>
      <c r="M3" s="496"/>
      <c r="N3" s="496"/>
      <c r="O3" s="496"/>
      <c r="P3" s="496"/>
      <c r="Q3" s="496"/>
      <c r="R3" s="496"/>
      <c r="S3" s="496"/>
      <c r="T3" s="496"/>
      <c r="U3" s="498"/>
    </row>
    <row r="4" spans="1:27" ht="35.25" customHeight="1">
      <c r="A4" s="495"/>
      <c r="B4" s="496"/>
      <c r="C4" s="496"/>
      <c r="D4" s="496"/>
      <c r="E4" s="496"/>
      <c r="F4" s="496"/>
      <c r="G4" s="496"/>
      <c r="H4" s="496"/>
      <c r="I4" s="496"/>
      <c r="J4" s="496"/>
      <c r="K4" s="496"/>
      <c r="L4" s="496"/>
      <c r="M4" s="499" t="s">
        <v>79</v>
      </c>
      <c r="N4" s="500" t="s">
        <v>100</v>
      </c>
      <c r="O4" s="500"/>
      <c r="P4" s="500"/>
      <c r="Q4" s="500"/>
      <c r="R4" s="500"/>
      <c r="S4" s="500"/>
      <c r="T4" s="500"/>
      <c r="U4" s="501"/>
    </row>
    <row r="5" spans="1:27" ht="26.85" customHeight="1">
      <c r="A5" s="495"/>
      <c r="B5" s="496"/>
      <c r="C5" s="496"/>
      <c r="D5" s="496"/>
      <c r="E5" s="511" t="s">
        <v>127</v>
      </c>
      <c r="F5" s="511"/>
      <c r="G5" s="496"/>
      <c r="H5" s="496"/>
      <c r="I5" s="496"/>
      <c r="J5" s="496"/>
      <c r="K5" s="496"/>
      <c r="L5" s="496"/>
      <c r="M5" s="496"/>
      <c r="N5" s="502" t="s">
        <v>415</v>
      </c>
      <c r="O5" s="496"/>
      <c r="P5" s="496"/>
      <c r="Q5" s="496"/>
      <c r="R5" s="496"/>
      <c r="S5" s="496"/>
      <c r="T5" s="496"/>
      <c r="U5" s="498"/>
    </row>
    <row r="6" spans="1:27" ht="26.85" customHeight="1">
      <c r="A6" s="495"/>
      <c r="B6" s="496"/>
      <c r="C6" s="496"/>
      <c r="D6" s="496"/>
      <c r="E6" s="503"/>
      <c r="F6" s="503"/>
      <c r="G6" s="496"/>
      <c r="H6" s="496"/>
      <c r="I6" s="496"/>
      <c r="J6" s="496"/>
      <c r="K6" s="496"/>
      <c r="L6" s="496"/>
      <c r="M6" s="496"/>
      <c r="N6" s="496"/>
      <c r="O6" s="496"/>
      <c r="P6" s="496"/>
      <c r="Q6" s="496"/>
      <c r="R6" s="496"/>
      <c r="S6" s="496"/>
      <c r="T6" s="496"/>
      <c r="U6" s="498"/>
    </row>
    <row r="7" spans="1:27" ht="26.85" customHeight="1">
      <c r="A7" s="495"/>
      <c r="B7" s="496"/>
      <c r="C7" s="496"/>
      <c r="D7" s="496"/>
      <c r="E7" s="496"/>
      <c r="F7" s="496"/>
      <c r="G7" s="496"/>
      <c r="H7" s="496"/>
      <c r="I7" s="496"/>
      <c r="J7" s="496"/>
      <c r="K7" s="496"/>
      <c r="L7" s="496"/>
      <c r="M7" s="496"/>
      <c r="N7" s="496"/>
      <c r="O7" s="496"/>
      <c r="P7" s="496"/>
      <c r="Q7" s="496"/>
      <c r="R7" s="496"/>
      <c r="S7" s="496"/>
      <c r="T7" s="496"/>
      <c r="U7" s="498"/>
    </row>
    <row r="8" spans="1:27" ht="26.85" customHeight="1">
      <c r="A8" s="495"/>
      <c r="B8" s="496"/>
      <c r="C8" s="496"/>
      <c r="D8" s="496"/>
      <c r="E8" s="496"/>
      <c r="F8" s="496"/>
      <c r="G8" s="496"/>
      <c r="H8" s="496"/>
      <c r="I8" s="496"/>
      <c r="J8" s="496"/>
      <c r="K8" s="496"/>
      <c r="L8" s="496"/>
      <c r="M8" s="496"/>
      <c r="N8" s="496"/>
      <c r="O8" s="496"/>
      <c r="P8" s="496"/>
      <c r="Q8" s="496"/>
      <c r="R8" s="496"/>
      <c r="S8" s="496"/>
      <c r="T8" s="496"/>
      <c r="U8" s="498"/>
    </row>
    <row r="9" spans="1:27" s="19" customFormat="1" ht="26.85" customHeight="1">
      <c r="A9" s="504" t="s">
        <v>20</v>
      </c>
      <c r="B9" s="521"/>
      <c r="C9" s="505"/>
      <c r="D9" s="506" t="s">
        <v>22</v>
      </c>
      <c r="E9" s="507"/>
      <c r="F9" s="507"/>
      <c r="G9" s="508"/>
      <c r="H9" s="508"/>
      <c r="I9" s="508"/>
      <c r="J9" s="508"/>
      <c r="K9" s="508"/>
      <c r="L9" s="508"/>
      <c r="M9" s="508"/>
      <c r="N9" s="508"/>
      <c r="O9" s="508"/>
      <c r="P9" s="508"/>
      <c r="Q9" s="508"/>
      <c r="R9" s="508"/>
      <c r="S9" s="508"/>
      <c r="T9" s="508"/>
      <c r="U9" s="509"/>
      <c r="V9" s="30"/>
      <c r="W9" s="2"/>
      <c r="X9" s="2"/>
      <c r="Y9" s="2"/>
      <c r="Z9" s="2"/>
      <c r="AA9" s="2"/>
    </row>
    <row r="10" spans="1:27" ht="17.399999999999999">
      <c r="A10" s="43"/>
      <c r="B10" s="44"/>
      <c r="C10" s="45"/>
      <c r="D10" s="46"/>
      <c r="E10" s="47"/>
      <c r="F10" s="47"/>
      <c r="G10" s="49"/>
      <c r="H10" s="49"/>
      <c r="I10" s="49"/>
      <c r="J10" s="50"/>
      <c r="K10" s="50"/>
      <c r="L10" s="50"/>
      <c r="M10" s="50"/>
      <c r="N10" s="50"/>
      <c r="O10" s="49"/>
      <c r="P10" s="49"/>
      <c r="Q10" s="49"/>
      <c r="R10" s="49"/>
      <c r="S10" s="49"/>
      <c r="T10" s="49"/>
      <c r="U10" s="51"/>
      <c r="V10" s="30"/>
      <c r="W10" s="2"/>
      <c r="X10" s="2"/>
      <c r="Y10" s="2"/>
      <c r="Z10" s="2"/>
      <c r="AA10" s="2"/>
    </row>
    <row r="11" spans="1:27" ht="17.399999999999999">
      <c r="A11" s="52" t="s">
        <v>25</v>
      </c>
      <c r="B11" s="7"/>
      <c r="C11" s="8"/>
      <c r="D11" s="9" t="s">
        <v>26</v>
      </c>
      <c r="E11" s="10"/>
      <c r="F11" s="10"/>
      <c r="G11" s="40" t="s">
        <v>28</v>
      </c>
      <c r="H11" s="40" t="s">
        <v>29</v>
      </c>
      <c r="I11" s="40" t="s">
        <v>30</v>
      </c>
      <c r="J11" s="512" t="s">
        <v>31</v>
      </c>
      <c r="K11" s="512" t="s">
        <v>32</v>
      </c>
      <c r="L11" s="512" t="s">
        <v>33</v>
      </c>
      <c r="M11" s="512" t="s">
        <v>34</v>
      </c>
      <c r="N11" s="512" t="s">
        <v>35</v>
      </c>
      <c r="O11" s="512" t="s">
        <v>165</v>
      </c>
      <c r="P11" s="487"/>
      <c r="Q11" s="487"/>
      <c r="R11" s="487"/>
      <c r="S11" s="487"/>
      <c r="T11" s="513"/>
      <c r="U11" s="514" t="s">
        <v>59</v>
      </c>
      <c r="V11" s="30"/>
      <c r="W11" s="2"/>
      <c r="X11" s="2"/>
      <c r="Y11" s="11"/>
      <c r="Z11" s="12"/>
      <c r="AA11" s="12"/>
    </row>
    <row r="12" spans="1:27" ht="17.25" customHeight="1">
      <c r="A12" s="27"/>
      <c r="B12" s="19"/>
      <c r="C12" s="19"/>
      <c r="D12" s="19"/>
      <c r="E12" s="19"/>
      <c r="F12" s="19"/>
      <c r="G12" s="19"/>
      <c r="H12" s="19"/>
      <c r="I12" s="19"/>
      <c r="J12" s="65"/>
      <c r="K12" s="65"/>
      <c r="L12" s="65"/>
      <c r="M12" s="65"/>
      <c r="N12" s="65"/>
      <c r="O12" s="19"/>
      <c r="P12" s="19"/>
      <c r="Q12" s="19"/>
      <c r="R12" s="19"/>
      <c r="S12" s="19"/>
      <c r="T12" s="86"/>
      <c r="U12" s="26"/>
    </row>
    <row r="13" spans="1:27" s="42" customFormat="1" ht="17.25" customHeight="1">
      <c r="A13" s="53"/>
      <c r="B13" s="54"/>
      <c r="C13" s="64" t="str">
        <f>'Calc2 BYR'!C149</f>
        <v>C00056_L012BY</v>
      </c>
      <c r="D13" s="54"/>
      <c r="E13" s="54" t="str">
        <f>'Calc2 BYR'!E149</f>
        <v>Water: Ex post RCV adjustment</v>
      </c>
      <c r="F13" s="54"/>
      <c r="G13" s="55"/>
      <c r="H13" s="55"/>
      <c r="I13" s="55"/>
      <c r="J13" s="92"/>
      <c r="K13" s="92"/>
      <c r="L13" s="92"/>
      <c r="M13" s="92"/>
      <c r="N13" s="92"/>
      <c r="O13" s="93">
        <f>'Calc2 BYR'!P149</f>
        <v>-139.89319753949229</v>
      </c>
      <c r="P13" s="54"/>
      <c r="Q13" s="54"/>
      <c r="R13" s="54"/>
      <c r="S13" s="54"/>
      <c r="T13" s="87"/>
      <c r="U13" s="295"/>
      <c r="W13" s="89"/>
      <c r="X13" s="89"/>
      <c r="Y13" s="89"/>
      <c r="Z13" s="89"/>
      <c r="AA13" s="89"/>
    </row>
    <row r="14" spans="1:27" s="42" customFormat="1" ht="17.25" customHeight="1">
      <c r="A14" s="53"/>
      <c r="B14" s="54"/>
      <c r="C14" s="64" t="str">
        <f>'Calc2 BYR'!C153</f>
        <v>C00057_L012BY</v>
      </c>
      <c r="D14" s="54"/>
      <c r="E14" s="54" t="str">
        <f>'Calc2 BYR'!E153</f>
        <v>Sewerage: Ex post RCV adjustment</v>
      </c>
      <c r="F14" s="54"/>
      <c r="G14" s="55"/>
      <c r="H14" s="55"/>
      <c r="I14" s="55"/>
      <c r="J14" s="92"/>
      <c r="K14" s="92"/>
      <c r="L14" s="92"/>
      <c r="M14" s="92"/>
      <c r="N14" s="92"/>
      <c r="O14" s="93">
        <f>'Calc2 BYR'!P153</f>
        <v>-503.16118878883799</v>
      </c>
      <c r="P14" s="54"/>
      <c r="Q14" s="54"/>
      <c r="R14" s="54"/>
      <c r="S14" s="54"/>
      <c r="T14" s="87"/>
      <c r="U14" s="85"/>
      <c r="W14" s="89"/>
      <c r="X14" s="89"/>
      <c r="Y14" s="89"/>
      <c r="Z14" s="89"/>
      <c r="AA14" s="89"/>
    </row>
    <row r="15" spans="1:27" s="42" customFormat="1" ht="17.25" customHeight="1">
      <c r="A15" s="53"/>
      <c r="B15" s="54"/>
      <c r="C15" s="64"/>
      <c r="D15" s="54"/>
      <c r="E15" s="54"/>
      <c r="F15" s="54"/>
      <c r="G15" s="55"/>
      <c r="H15" s="55"/>
      <c r="I15" s="55"/>
      <c r="J15" s="92"/>
      <c r="K15" s="92"/>
      <c r="L15" s="92"/>
      <c r="M15" s="92"/>
      <c r="N15" s="92"/>
      <c r="O15" s="93"/>
      <c r="P15" s="54"/>
      <c r="Q15" s="54"/>
      <c r="R15" s="54"/>
      <c r="S15" s="54"/>
      <c r="T15" s="87"/>
      <c r="U15" s="85"/>
      <c r="W15" s="89"/>
      <c r="X15" s="89"/>
      <c r="Y15" s="89"/>
      <c r="Z15" s="89"/>
      <c r="AA15" s="89"/>
    </row>
    <row r="16" spans="1:27" s="42" customFormat="1" ht="17.25" customHeight="1">
      <c r="A16" s="53"/>
      <c r="B16" s="54"/>
      <c r="C16" s="64"/>
      <c r="D16" s="54"/>
      <c r="E16" s="54" t="str">
        <f>'Calc2 BYR'!E193</f>
        <v>Water: Future value of ex post revenue adjustment of prior year annual adjustments</v>
      </c>
      <c r="F16" s="54"/>
      <c r="G16" s="55"/>
      <c r="H16" s="55"/>
      <c r="I16" s="55"/>
      <c r="J16" s="92"/>
      <c r="K16" s="92"/>
      <c r="L16" s="92"/>
      <c r="M16" s="92"/>
      <c r="N16" s="92"/>
      <c r="O16" s="93">
        <f>'Calc2 BYR'!P193</f>
        <v>-13.644806516711384</v>
      </c>
      <c r="P16" s="54"/>
      <c r="Q16" s="54"/>
      <c r="R16" s="54"/>
      <c r="S16" s="54"/>
      <c r="T16" s="87"/>
      <c r="U16" s="85"/>
      <c r="W16" s="89"/>
      <c r="X16" s="89"/>
      <c r="Y16" s="89"/>
      <c r="Z16" s="89"/>
      <c r="AA16" s="89"/>
    </row>
    <row r="17" spans="1:27" s="42" customFormat="1" ht="17.25" customHeight="1">
      <c r="A17" s="53"/>
      <c r="B17" s="54"/>
      <c r="C17" s="64"/>
      <c r="D17" s="54"/>
      <c r="E17" s="54" t="str">
        <f>'Calc2 BYR'!E194</f>
        <v>Sewerage: Future value of ex post revenue adjustment of prior year annual adjustments</v>
      </c>
      <c r="F17" s="54"/>
      <c r="G17" s="55"/>
      <c r="H17" s="55"/>
      <c r="I17" s="55"/>
      <c r="J17" s="92"/>
      <c r="K17" s="92"/>
      <c r="L17" s="92"/>
      <c r="M17" s="92"/>
      <c r="N17" s="92"/>
      <c r="O17" s="93">
        <f>'Calc2 BYR'!P194</f>
        <v>-76.717878924657157</v>
      </c>
      <c r="P17" s="54"/>
      <c r="Q17" s="54"/>
      <c r="R17" s="54"/>
      <c r="S17" s="54"/>
      <c r="T17" s="87"/>
      <c r="U17" s="85"/>
      <c r="W17" s="89"/>
      <c r="X17" s="89"/>
      <c r="Y17" s="89"/>
      <c r="Z17" s="89"/>
      <c r="AA17" s="89"/>
    </row>
    <row r="18" spans="1:27" s="42" customFormat="1" ht="17.25" customHeight="1">
      <c r="A18" s="53"/>
      <c r="B18" s="54"/>
      <c r="C18" s="64"/>
      <c r="D18" s="54"/>
      <c r="E18" s="54"/>
      <c r="F18" s="54"/>
      <c r="G18" s="55"/>
      <c r="H18" s="55"/>
      <c r="I18" s="55"/>
      <c r="J18" s="92"/>
      <c r="K18" s="92"/>
      <c r="L18" s="92"/>
      <c r="M18" s="92"/>
      <c r="N18" s="92"/>
      <c r="O18" s="93"/>
      <c r="P18" s="54"/>
      <c r="Q18" s="54"/>
      <c r="R18" s="54"/>
      <c r="S18" s="54"/>
      <c r="T18" s="87"/>
      <c r="U18" s="529"/>
      <c r="W18" s="89"/>
      <c r="X18" s="89"/>
      <c r="Y18" s="89"/>
      <c r="Z18" s="89"/>
      <c r="AA18" s="89"/>
    </row>
    <row r="19" spans="1:27" s="42" customFormat="1" ht="17.25" customHeight="1">
      <c r="A19" s="53"/>
      <c r="B19" s="54"/>
      <c r="C19" s="64"/>
      <c r="D19" s="54"/>
      <c r="E19" s="54" t="str">
        <f>'Calc2 BYR'!E196</f>
        <v>Water: Future value of ex post revenue adjustment of prior year annual adjustments (2012-13 prices)</v>
      </c>
      <c r="F19" s="54"/>
      <c r="G19" s="55"/>
      <c r="H19" s="55"/>
      <c r="I19" s="55"/>
      <c r="J19" s="92"/>
      <c r="K19" s="92"/>
      <c r="L19" s="92"/>
      <c r="M19" s="92"/>
      <c r="N19" s="92"/>
      <c r="O19" s="93">
        <f>'Calc2 BYR'!P196</f>
        <v>-16.005160166879563</v>
      </c>
      <c r="P19" s="54"/>
      <c r="Q19" s="54"/>
      <c r="R19" s="54"/>
      <c r="S19" s="54"/>
      <c r="T19" s="87"/>
      <c r="U19" s="529"/>
      <c r="W19" s="89"/>
      <c r="X19" s="89"/>
      <c r="Y19" s="89"/>
      <c r="Z19" s="89"/>
      <c r="AA19" s="89"/>
    </row>
    <row r="20" spans="1:27" s="42" customFormat="1" ht="17.25" customHeight="1">
      <c r="A20" s="53"/>
      <c r="B20" s="54"/>
      <c r="C20" s="64"/>
      <c r="D20" s="54"/>
      <c r="E20" s="54" t="str">
        <f>'Calc2 BYR'!E197</f>
        <v>Sewerage: Future value of ex post revenue adjustment of prior year annual adjustments (2012-13 prices)</v>
      </c>
      <c r="F20" s="54"/>
      <c r="G20" s="55"/>
      <c r="H20" s="55"/>
      <c r="I20" s="55"/>
      <c r="J20" s="92"/>
      <c r="K20" s="92"/>
      <c r="L20" s="92"/>
      <c r="M20" s="92"/>
      <c r="N20" s="92"/>
      <c r="O20" s="93">
        <f>'Calc2 BYR'!P197</f>
        <v>-89.988959414600103</v>
      </c>
      <c r="P20" s="54"/>
      <c r="Q20" s="54"/>
      <c r="R20" s="54"/>
      <c r="S20" s="54"/>
      <c r="T20" s="87"/>
      <c r="U20" s="529"/>
      <c r="W20" s="89"/>
      <c r="X20" s="89"/>
      <c r="Y20" s="89"/>
      <c r="Z20" s="89"/>
      <c r="AA20" s="89"/>
    </row>
    <row r="21" spans="1:27" s="42" customFormat="1" ht="17.25" customHeight="1">
      <c r="A21" s="53"/>
      <c r="B21" s="54"/>
      <c r="C21" s="64"/>
      <c r="D21" s="54"/>
      <c r="E21" s="54"/>
      <c r="F21" s="54"/>
      <c r="G21" s="55"/>
      <c r="H21" s="55"/>
      <c r="I21" s="55"/>
      <c r="J21" s="92"/>
      <c r="K21" s="92"/>
      <c r="L21" s="92"/>
      <c r="M21" s="92"/>
      <c r="N21" s="92"/>
      <c r="O21" s="93"/>
      <c r="P21" s="54"/>
      <c r="Q21" s="54"/>
      <c r="R21" s="54"/>
      <c r="S21" s="54"/>
      <c r="T21" s="87"/>
      <c r="U21" s="85"/>
      <c r="W21" s="89"/>
      <c r="X21" s="89"/>
      <c r="Y21" s="89"/>
      <c r="Z21" s="89"/>
      <c r="AA21" s="89"/>
    </row>
    <row r="22" spans="1:27" s="42" customFormat="1" ht="17.25" customHeight="1">
      <c r="A22" s="56"/>
      <c r="B22" s="57"/>
      <c r="C22" s="57"/>
      <c r="D22" s="57"/>
      <c r="E22" s="57"/>
      <c r="F22" s="57"/>
      <c r="G22" s="57"/>
      <c r="H22" s="57"/>
      <c r="I22" s="57"/>
      <c r="J22" s="66"/>
      <c r="K22" s="66"/>
      <c r="L22" s="66"/>
      <c r="M22" s="66"/>
      <c r="N22" s="66"/>
      <c r="O22" s="57"/>
      <c r="P22" s="57"/>
      <c r="Q22" s="57"/>
      <c r="R22" s="57"/>
      <c r="S22" s="57"/>
      <c r="T22" s="88"/>
      <c r="U22" s="58"/>
    </row>
    <row r="23" spans="1:27" s="42" customFormat="1" ht="17.399999999999999">
      <c r="E23" s="94"/>
      <c r="F23" s="94"/>
    </row>
    <row r="24" spans="1:27" s="42" customFormat="1" ht="17.399999999999999"/>
    <row r="25" spans="1:27" s="42" customFormat="1" ht="17.399999999999999"/>
    <row r="26" spans="1:27" s="42" customFormat="1" ht="17.399999999999999"/>
    <row r="27" spans="1:27" s="42" customFormat="1" ht="17.399999999999999"/>
    <row r="28" spans="1:27" s="42" customFormat="1" ht="17.399999999999999"/>
    <row r="29" spans="1:27" s="42" customFormat="1" ht="17.399999999999999"/>
    <row r="30" spans="1:27" s="42" customFormat="1" ht="17.399999999999999"/>
    <row r="31" spans="1:27" s="42" customFormat="1" ht="17.399999999999999"/>
    <row r="32" spans="1:27" s="42" customFormat="1" ht="17.399999999999999"/>
    <row r="33" s="42" customFormat="1" ht="17.399999999999999"/>
    <row r="34" s="42" customFormat="1" ht="17.399999999999999"/>
    <row r="35" s="42" customFormat="1" ht="17.399999999999999"/>
    <row r="36" s="41" customFormat="1" ht="17.399999999999999"/>
    <row r="37" s="41" customFormat="1" ht="17.399999999999999"/>
    <row r="38" s="41" customFormat="1" ht="17.399999999999999"/>
    <row r="39" s="41" customFormat="1" ht="17.399999999999999"/>
    <row r="40" s="41" customFormat="1" ht="17.399999999999999"/>
    <row r="41" s="41" customFormat="1" ht="17.399999999999999"/>
    <row r="42" s="41" customFormat="1" ht="17.399999999999999"/>
    <row r="43" s="41" customFormat="1" ht="17.399999999999999"/>
    <row r="44" s="41" customFormat="1" ht="17.399999999999999"/>
    <row r="45" s="41" customFormat="1" ht="17.399999999999999"/>
  </sheetData>
  <pageMargins left="0.70866141732283472" right="0.70866141732283472" top="0.74803149606299213" bottom="0.74803149606299213" header="0.31496062992125984" footer="0.31496062992125984"/>
  <pageSetup paperSize="9" scale="38" fitToHeight="0" orientation="landscape" r:id="rId1"/>
  <headerFooter>
    <oddFooter>&amp;LPL14L012 CIS v3.5
Ofwat, February 2016</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X30"/>
  <sheetViews>
    <sheetView topLeftCell="Z1" zoomScale="80" zoomScaleNormal="80" workbookViewId="0">
      <pane ySplit="2" topLeftCell="A3" activePane="bottomLeft" state="frozen"/>
      <selection activeCell="A3" sqref="A3"/>
      <selection pane="bottomLeft" activeCell="AZ8" sqref="AZ8"/>
    </sheetView>
  </sheetViews>
  <sheetFormatPr defaultRowHeight="13.2"/>
  <cols>
    <col min="1" max="1" width="8.6640625" customWidth="1"/>
    <col min="2" max="2" width="13.21875" bestFit="1" customWidth="1"/>
    <col min="3" max="3" width="24.88671875" customWidth="1"/>
    <col min="4" max="4" width="2.6640625" customWidth="1"/>
    <col min="5" max="5" width="18.6640625" customWidth="1"/>
    <col min="6" max="13" width="7.6640625" customWidth="1"/>
    <col min="24" max="31" width="9.6640625" customWidth="1"/>
    <col min="33" max="33" width="16" bestFit="1" customWidth="1"/>
    <col min="43" max="50" width="9.6640625" customWidth="1"/>
  </cols>
  <sheetData>
    <row r="1" spans="1:50" ht="25.05" customHeight="1">
      <c r="A1" s="548"/>
      <c r="B1" s="548"/>
      <c r="C1" s="548"/>
      <c r="D1" s="548"/>
      <c r="E1" s="548"/>
      <c r="F1" s="782" t="s">
        <v>758</v>
      </c>
      <c r="G1" s="782"/>
      <c r="H1" s="782"/>
      <c r="I1" s="782"/>
      <c r="J1" s="782"/>
      <c r="K1" s="782"/>
      <c r="L1" s="782"/>
      <c r="M1" s="782"/>
      <c r="O1" s="781" t="s">
        <v>759</v>
      </c>
      <c r="P1" s="781"/>
      <c r="Q1" s="781"/>
      <c r="R1" s="781"/>
      <c r="S1" s="781"/>
      <c r="T1" s="781"/>
      <c r="U1" s="781"/>
      <c r="V1" s="781"/>
      <c r="X1" s="779" t="s">
        <v>762</v>
      </c>
      <c r="Y1" s="779"/>
      <c r="Z1" s="779"/>
      <c r="AA1" s="779"/>
      <c r="AB1" s="779"/>
      <c r="AC1" s="779"/>
      <c r="AD1" s="779"/>
      <c r="AE1" s="779"/>
      <c r="AH1" s="780" t="s">
        <v>760</v>
      </c>
      <c r="AI1" s="780"/>
      <c r="AJ1" s="780"/>
      <c r="AK1" s="780"/>
      <c r="AL1" s="780"/>
      <c r="AM1" s="780"/>
      <c r="AN1" s="780"/>
      <c r="AO1" s="780"/>
      <c r="AQ1" s="779" t="s">
        <v>761</v>
      </c>
      <c r="AR1" s="779"/>
      <c r="AS1" s="779"/>
      <c r="AT1" s="779"/>
      <c r="AU1" s="779"/>
      <c r="AV1" s="779"/>
      <c r="AW1" s="779"/>
      <c r="AX1" s="779"/>
    </row>
    <row r="2" spans="1:50">
      <c r="A2" s="549" t="s">
        <v>492</v>
      </c>
      <c r="B2" s="549" t="s">
        <v>493</v>
      </c>
      <c r="C2" s="549" t="s">
        <v>494</v>
      </c>
      <c r="D2" s="549" t="s">
        <v>495</v>
      </c>
      <c r="E2" s="549" t="s">
        <v>496</v>
      </c>
      <c r="F2" s="549" t="s">
        <v>35</v>
      </c>
      <c r="G2" s="549" t="s">
        <v>165</v>
      </c>
      <c r="H2" s="549" t="s">
        <v>540</v>
      </c>
      <c r="I2" s="549" t="s">
        <v>541</v>
      </c>
      <c r="J2" s="549" t="s">
        <v>542</v>
      </c>
      <c r="K2" s="549" t="s">
        <v>543</v>
      </c>
      <c r="L2" s="549" t="s">
        <v>59</v>
      </c>
      <c r="M2" s="549" t="s">
        <v>576</v>
      </c>
      <c r="O2" s="549" t="s">
        <v>35</v>
      </c>
      <c r="P2" s="549" t="s">
        <v>165</v>
      </c>
      <c r="Q2" s="549" t="s">
        <v>540</v>
      </c>
      <c r="R2" s="549" t="s">
        <v>541</v>
      </c>
      <c r="S2" s="549" t="s">
        <v>542</v>
      </c>
      <c r="T2" s="549" t="s">
        <v>543</v>
      </c>
      <c r="U2" s="549" t="s">
        <v>59</v>
      </c>
      <c r="V2" s="549" t="s">
        <v>576</v>
      </c>
      <c r="X2" s="549" t="s">
        <v>35</v>
      </c>
      <c r="Y2" s="549" t="s">
        <v>165</v>
      </c>
      <c r="Z2" s="549" t="s">
        <v>540</v>
      </c>
      <c r="AA2" s="549" t="s">
        <v>541</v>
      </c>
      <c r="AB2" s="549" t="s">
        <v>542</v>
      </c>
      <c r="AC2" s="549" t="s">
        <v>543</v>
      </c>
      <c r="AD2" s="549" t="s">
        <v>59</v>
      </c>
      <c r="AE2" s="549" t="s">
        <v>576</v>
      </c>
      <c r="AH2" s="549" t="s">
        <v>35</v>
      </c>
      <c r="AI2" s="549" t="s">
        <v>165</v>
      </c>
      <c r="AJ2" s="549" t="s">
        <v>540</v>
      </c>
      <c r="AK2" s="549" t="s">
        <v>541</v>
      </c>
      <c r="AL2" s="549" t="s">
        <v>542</v>
      </c>
      <c r="AM2" s="549" t="s">
        <v>543</v>
      </c>
      <c r="AN2" s="549" t="s">
        <v>59</v>
      </c>
      <c r="AO2" s="549" t="s">
        <v>576</v>
      </c>
      <c r="AQ2" s="549" t="s">
        <v>35</v>
      </c>
      <c r="AR2" s="549" t="s">
        <v>165</v>
      </c>
      <c r="AS2" s="549" t="s">
        <v>540</v>
      </c>
      <c r="AT2" s="549" t="s">
        <v>541</v>
      </c>
      <c r="AU2" s="549" t="s">
        <v>542</v>
      </c>
      <c r="AV2" s="549" t="s">
        <v>543</v>
      </c>
      <c r="AW2" s="549" t="s">
        <v>59</v>
      </c>
      <c r="AX2" s="549" t="s">
        <v>576</v>
      </c>
    </row>
    <row r="3" spans="1:50">
      <c r="A3" s="548"/>
      <c r="B3" s="548"/>
      <c r="C3" s="548"/>
      <c r="D3" s="548"/>
      <c r="E3" s="548"/>
      <c r="F3" s="548"/>
      <c r="O3" s="548"/>
      <c r="X3" s="548"/>
      <c r="AH3" s="548"/>
    </row>
    <row r="4" spans="1:50" s="547" customFormat="1">
      <c r="A4"/>
      <c r="B4" s="550" t="s">
        <v>482</v>
      </c>
      <c r="C4" s="551" t="s">
        <v>502</v>
      </c>
      <c r="D4" s="547" t="s">
        <v>497</v>
      </c>
      <c r="E4" s="547" t="s">
        <v>505</v>
      </c>
      <c r="F4" s="687">
        <f>VLOOKUP($B4,Calc!$C$1:$P$219,14,FALSE)</f>
        <v>-64.497547613718979</v>
      </c>
      <c r="G4" s="571"/>
      <c r="H4" s="571"/>
      <c r="I4" s="571"/>
      <c r="J4" s="571"/>
      <c r="K4" s="571"/>
      <c r="L4" s="571"/>
      <c r="M4" s="571"/>
      <c r="O4" s="552">
        <f>VLOOKUP($B4,'Calc2 FD'!$C$1:$P$219,14,FALSE)</f>
        <v>-150.94164013572868</v>
      </c>
      <c r="P4" s="571"/>
      <c r="Q4" s="571"/>
      <c r="R4" s="571"/>
      <c r="S4" s="571"/>
      <c r="T4" s="571"/>
      <c r="U4" s="571"/>
      <c r="V4" s="571"/>
      <c r="X4" s="690">
        <f>O4-F4</f>
        <v>-86.444092522009697</v>
      </c>
      <c r="Y4" s="691"/>
      <c r="Z4" s="691"/>
      <c r="AA4" s="691"/>
      <c r="AB4" s="691"/>
      <c r="AC4" s="691"/>
      <c r="AD4" s="691"/>
      <c r="AE4" s="691"/>
      <c r="AG4" s="550" t="s">
        <v>711</v>
      </c>
      <c r="AH4" s="696">
        <f>VLOOKUP($AG4,'Calc2 BYR'!$C$1:$P$219,14,FALSE)</f>
        <v>-139.89319753949229</v>
      </c>
      <c r="AI4" s="571"/>
      <c r="AJ4" s="571"/>
      <c r="AK4" s="571"/>
      <c r="AL4" s="571"/>
      <c r="AM4" s="571"/>
      <c r="AN4" s="571"/>
      <c r="AO4" s="571"/>
      <c r="AQ4" s="690">
        <f>AH4-O4</f>
        <v>11.048442596236384</v>
      </c>
      <c r="AR4" s="691"/>
      <c r="AS4" s="691"/>
      <c r="AT4" s="691"/>
      <c r="AU4" s="691"/>
      <c r="AV4" s="691"/>
      <c r="AW4" s="691"/>
      <c r="AX4" s="691"/>
    </row>
    <row r="5" spans="1:50" s="547" customFormat="1">
      <c r="A5"/>
      <c r="B5" s="550" t="s">
        <v>483</v>
      </c>
      <c r="C5" s="551" t="s">
        <v>503</v>
      </c>
      <c r="D5" s="547" t="s">
        <v>497</v>
      </c>
      <c r="E5" s="547" t="s">
        <v>505</v>
      </c>
      <c r="F5" s="687">
        <f>VLOOKUP($B5,Calc!$C$1:$P$219,14,FALSE)</f>
        <v>-331.51246931709801</v>
      </c>
      <c r="G5" s="566"/>
      <c r="H5" s="566"/>
      <c r="I5" s="566"/>
      <c r="J5" s="566"/>
      <c r="K5" s="566"/>
      <c r="L5" s="571"/>
      <c r="M5" s="571"/>
      <c r="O5" s="552">
        <f>VLOOKUP($B5,'Calc2 FD'!$C$1:$P$219,14,FALSE)</f>
        <v>-507.13387690120248</v>
      </c>
      <c r="P5" s="566"/>
      <c r="Q5" s="566"/>
      <c r="R5" s="566"/>
      <c r="S5" s="566"/>
      <c r="T5" s="566"/>
      <c r="U5" s="571"/>
      <c r="V5" s="571"/>
      <c r="X5" s="690">
        <f>O5-F5</f>
        <v>-175.62140758410447</v>
      </c>
      <c r="Y5" s="692"/>
      <c r="Z5" s="692"/>
      <c r="AA5" s="692"/>
      <c r="AB5" s="692"/>
      <c r="AC5" s="692"/>
      <c r="AD5" s="691"/>
      <c r="AE5" s="691"/>
      <c r="AG5" s="550" t="s">
        <v>712</v>
      </c>
      <c r="AH5" s="696">
        <f>VLOOKUP($AG5,'Calc2 BYR'!$C$1:$P$219,14,FALSE)</f>
        <v>-503.16118878883799</v>
      </c>
      <c r="AI5" s="566"/>
      <c r="AJ5" s="566"/>
      <c r="AK5" s="566"/>
      <c r="AL5" s="566"/>
      <c r="AM5" s="566"/>
      <c r="AN5" s="571"/>
      <c r="AO5" s="571"/>
      <c r="AQ5" s="690">
        <f>AH5-O5</f>
        <v>3.9726881123644944</v>
      </c>
      <c r="AR5" s="692"/>
      <c r="AS5" s="692"/>
      <c r="AT5" s="692"/>
      <c r="AU5" s="692"/>
      <c r="AV5" s="692"/>
      <c r="AW5" s="691"/>
      <c r="AX5" s="691"/>
    </row>
    <row r="6" spans="1:50" s="547" customFormat="1">
      <c r="B6" s="553" t="s">
        <v>484</v>
      </c>
      <c r="C6" s="547" t="s">
        <v>411</v>
      </c>
      <c r="D6" s="547" t="s">
        <v>497</v>
      </c>
      <c r="E6" s="547" t="s">
        <v>505</v>
      </c>
      <c r="F6" s="571"/>
      <c r="G6" s="687">
        <f>VLOOKUP($B6,Profiling!$C$1:$V$159,16,FALSE)</f>
        <v>-3.2288801091952974</v>
      </c>
      <c r="H6" s="687">
        <f>VLOOKUP($B6,Profiling!$C$1:$V$159,17,FALSE)</f>
        <v>-3.2288801091952974</v>
      </c>
      <c r="I6" s="687">
        <f>VLOOKUP($B6,Profiling!$C$1:$V$159,18,FALSE)</f>
        <v>-3.2288801091952974</v>
      </c>
      <c r="J6" s="687">
        <f>VLOOKUP($B6,Profiling!$C$1:$V$159,19,FALSE)</f>
        <v>-3.2288801091952974</v>
      </c>
      <c r="K6" s="687">
        <f>VLOOKUP($B6,Profiling!$C$1:$V$159,20,FALSE)</f>
        <v>-3.2288801091952974</v>
      </c>
      <c r="L6" s="571"/>
      <c r="M6" s="571"/>
      <c r="O6" s="571"/>
      <c r="P6" s="633">
        <f>VLOOKUP($B6,'Profiling2 FD'!$C$1:$V$159,16,FALSE)</f>
        <v>-3.2288801091952974</v>
      </c>
      <c r="Q6" s="552">
        <f>VLOOKUP($B6,'Profiling2 FD'!$C$1:$V$159,17,FALSE)</f>
        <v>-3.2288801091952974</v>
      </c>
      <c r="R6" s="552">
        <f>VLOOKUP($B6,'Profiling2 FD'!$C$1:$V$159,18,FALSE)</f>
        <v>-3.2288801091952974</v>
      </c>
      <c r="S6" s="552">
        <f>VLOOKUP($B6,'Profiling2 FD'!$C$1:$V$159,19,FALSE)</f>
        <v>-3.2288801091952974</v>
      </c>
      <c r="T6" s="552">
        <f>VLOOKUP($B6,'Profiling2 FD'!$C$1:$V$159,20,FALSE)</f>
        <v>-3.2288801091952974</v>
      </c>
      <c r="U6" s="571"/>
      <c r="V6" s="571"/>
      <c r="X6" s="691"/>
      <c r="Y6" s="690">
        <f t="shared" ref="Y6:AC7" si="0">P6-G6</f>
        <v>0</v>
      </c>
      <c r="Z6" s="690">
        <f t="shared" si="0"/>
        <v>0</v>
      </c>
      <c r="AA6" s="690">
        <f t="shared" si="0"/>
        <v>0</v>
      </c>
      <c r="AB6" s="690">
        <f t="shared" si="0"/>
        <v>0</v>
      </c>
      <c r="AC6" s="690">
        <f t="shared" si="0"/>
        <v>0</v>
      </c>
      <c r="AD6" s="691"/>
      <c r="AE6" s="691"/>
      <c r="AG6" s="553" t="s">
        <v>713</v>
      </c>
      <c r="AH6" s="571"/>
      <c r="AI6" s="696">
        <f>VLOOKUP($AG6,'Profiling2 BYR'!$C$1:$V$159,16,FALSE)</f>
        <v>-3.4313612896003316</v>
      </c>
      <c r="AJ6" s="696">
        <f>VLOOKUP($AG6,'Profiling2 BYR'!$C$1:$V$159,17,FALSE)</f>
        <v>-3.4313612896003316</v>
      </c>
      <c r="AK6" s="696">
        <f>VLOOKUP($AG6,'Profiling2 BYR'!$C$1:$V$159,18,FALSE)</f>
        <v>-3.4313612896003316</v>
      </c>
      <c r="AL6" s="696">
        <f>VLOOKUP($AG6,'Profiling2 BYR'!$C$1:$V$159,19,FALSE)</f>
        <v>-3.4313612896003316</v>
      </c>
      <c r="AM6" s="696">
        <f>VLOOKUP($AG6,'Profiling2 BYR'!$C$1:$V$159,20,FALSE)</f>
        <v>-3.4313612896003316</v>
      </c>
      <c r="AN6" s="571"/>
      <c r="AO6" s="571"/>
      <c r="AQ6" s="691"/>
      <c r="AR6" s="690">
        <f>AI6-P6</f>
        <v>-0.20248118040503416</v>
      </c>
      <c r="AS6" s="690">
        <f t="shared" ref="AS6:AS7" si="1">AJ6-Q6</f>
        <v>-0.20248118040503416</v>
      </c>
      <c r="AT6" s="690">
        <f t="shared" ref="AT6:AT7" si="2">AK6-R6</f>
        <v>-0.20248118040503416</v>
      </c>
      <c r="AU6" s="690">
        <f t="shared" ref="AU6:AU7" si="3">AL6-S6</f>
        <v>-0.20248118040503416</v>
      </c>
      <c r="AV6" s="690">
        <f t="shared" ref="AV6:AV7" si="4">AM6-T6</f>
        <v>-0.20248118040503416</v>
      </c>
      <c r="AW6" s="691"/>
      <c r="AX6" s="691"/>
    </row>
    <row r="7" spans="1:50" s="547" customFormat="1">
      <c r="B7" s="553" t="s">
        <v>498</v>
      </c>
      <c r="C7" s="547" t="s">
        <v>412</v>
      </c>
      <c r="D7" s="547" t="s">
        <v>497</v>
      </c>
      <c r="E7" s="547" t="s">
        <v>505</v>
      </c>
      <c r="F7" s="571"/>
      <c r="G7" s="687">
        <f>VLOOKUP($B7,Profiling!$C$1:$V$159,16,FALSE)</f>
        <v>-15.504804607265003</v>
      </c>
      <c r="H7" s="687">
        <f>VLOOKUP($B7,Profiling!$C$1:$V$159,17,FALSE)</f>
        <v>-15.504804607265003</v>
      </c>
      <c r="I7" s="687">
        <f>VLOOKUP($B7,Profiling!$C$1:$V$159,18,FALSE)</f>
        <v>-15.504804607265003</v>
      </c>
      <c r="J7" s="687">
        <f>VLOOKUP($B7,Profiling!$C$1:$V$159,19,FALSE)</f>
        <v>-15.504804607265003</v>
      </c>
      <c r="K7" s="687">
        <f>VLOOKUP($B7,Profiling!$C$1:$V$159,20,FALSE)</f>
        <v>-15.504804607265003</v>
      </c>
      <c r="L7" s="571"/>
      <c r="M7" s="571"/>
      <c r="O7" s="571"/>
      <c r="P7" s="552">
        <f>VLOOKUP($B7,'Profiling2 FD'!$C$1:$V$159,16,FALSE)</f>
        <v>-15.504804607265003</v>
      </c>
      <c r="Q7" s="552">
        <f>VLOOKUP($B7,'Profiling2 FD'!$C$1:$V$159,17,FALSE)</f>
        <v>-15.504804607265003</v>
      </c>
      <c r="R7" s="552">
        <f>VLOOKUP($B7,'Profiling2 FD'!$C$1:$V$159,18,FALSE)</f>
        <v>-15.504804607265003</v>
      </c>
      <c r="S7" s="552">
        <f>VLOOKUP($B7,'Profiling2 FD'!$C$1:$V$159,19,FALSE)</f>
        <v>-15.504804607265003</v>
      </c>
      <c r="T7" s="552">
        <f>VLOOKUP($B7,'Profiling2 FD'!$C$1:$V$159,20,FALSE)</f>
        <v>-15.504804607265003</v>
      </c>
      <c r="U7" s="571"/>
      <c r="V7" s="571"/>
      <c r="X7" s="691"/>
      <c r="Y7" s="690">
        <f t="shared" si="0"/>
        <v>0</v>
      </c>
      <c r="Z7" s="690">
        <f t="shared" si="0"/>
        <v>0</v>
      </c>
      <c r="AA7" s="690">
        <f t="shared" si="0"/>
        <v>0</v>
      </c>
      <c r="AB7" s="690">
        <f t="shared" si="0"/>
        <v>0</v>
      </c>
      <c r="AC7" s="690">
        <f t="shared" si="0"/>
        <v>0</v>
      </c>
      <c r="AD7" s="691"/>
      <c r="AE7" s="691"/>
      <c r="AG7" s="553" t="s">
        <v>714</v>
      </c>
      <c r="AH7" s="571"/>
      <c r="AI7" s="696">
        <f>VLOOKUP($AG7,'Profiling2 BYR'!$C$1:$V$159,16,FALSE)</f>
        <v>-19.292817354346798</v>
      </c>
      <c r="AJ7" s="696">
        <f>VLOOKUP($AG7,'Profiling2 BYR'!$C$1:$V$159,17,FALSE)</f>
        <v>-19.292817354346798</v>
      </c>
      <c r="AK7" s="696">
        <f>VLOOKUP($AG7,'Profiling2 BYR'!$C$1:$V$159,18,FALSE)</f>
        <v>-19.292817354346798</v>
      </c>
      <c r="AL7" s="696">
        <f>VLOOKUP($AG7,'Profiling2 BYR'!$C$1:$V$159,19,FALSE)</f>
        <v>-19.292817354346798</v>
      </c>
      <c r="AM7" s="696">
        <f>VLOOKUP($AG7,'Profiling2 BYR'!$C$1:$V$159,20,FALSE)</f>
        <v>-19.292817354346798</v>
      </c>
      <c r="AN7" s="571"/>
      <c r="AO7" s="571"/>
      <c r="AQ7" s="691"/>
      <c r="AR7" s="690">
        <f>AI7-P7</f>
        <v>-3.7880127470817957</v>
      </c>
      <c r="AS7" s="690">
        <f t="shared" si="1"/>
        <v>-3.7880127470817957</v>
      </c>
      <c r="AT7" s="690">
        <f t="shared" si="2"/>
        <v>-3.7880127470817957</v>
      </c>
      <c r="AU7" s="690">
        <f t="shared" si="3"/>
        <v>-3.7880127470817957</v>
      </c>
      <c r="AV7" s="690">
        <f t="shared" si="4"/>
        <v>-3.7880127470817957</v>
      </c>
      <c r="AW7" s="691"/>
      <c r="AX7" s="691"/>
    </row>
    <row r="8" spans="1:50">
      <c r="A8" s="656"/>
      <c r="B8" s="654" t="s">
        <v>577</v>
      </c>
      <c r="C8" s="657" t="s">
        <v>575</v>
      </c>
      <c r="D8" s="657" t="s">
        <v>522</v>
      </c>
      <c r="E8" s="657" t="s">
        <v>505</v>
      </c>
      <c r="F8" s="568"/>
      <c r="G8" s="568"/>
      <c r="H8" s="568"/>
      <c r="I8" s="568"/>
      <c r="J8" s="568"/>
      <c r="K8" s="568"/>
      <c r="L8" s="568"/>
      <c r="M8" s="688">
        <f>'Input FD'!O153</f>
        <v>3.5999999999999997E-2</v>
      </c>
      <c r="O8" s="568"/>
      <c r="P8" s="568"/>
      <c r="Q8" s="568"/>
      <c r="R8" s="568"/>
      <c r="S8" s="568"/>
      <c r="T8" s="568"/>
      <c r="U8" s="568"/>
      <c r="V8" s="653">
        <f>'Input FD'!O153</f>
        <v>3.5999999999999997E-2</v>
      </c>
      <c r="X8" s="693"/>
      <c r="Y8" s="693"/>
      <c r="Z8" s="693"/>
      <c r="AA8" s="693"/>
      <c r="AB8" s="693"/>
      <c r="AC8" s="693"/>
      <c r="AD8" s="693"/>
      <c r="AE8" s="694">
        <f>V8-M8</f>
        <v>0</v>
      </c>
      <c r="AG8" s="654" t="s">
        <v>715</v>
      </c>
      <c r="AH8" s="568"/>
      <c r="AI8" s="568"/>
      <c r="AJ8" s="568"/>
      <c r="AK8" s="568"/>
      <c r="AL8" s="568"/>
      <c r="AM8" s="568"/>
      <c r="AN8" s="568"/>
      <c r="AO8" s="697">
        <f>'Input BYR'!$O$153</f>
        <v>3.5999999999999997E-2</v>
      </c>
      <c r="AQ8" s="693"/>
      <c r="AR8" s="693"/>
      <c r="AS8" s="693"/>
      <c r="AT8" s="693"/>
      <c r="AU8" s="693"/>
      <c r="AV8" s="693"/>
      <c r="AW8" s="693"/>
      <c r="AX8" s="694">
        <f>AO8-V8</f>
        <v>0</v>
      </c>
    </row>
    <row r="9" spans="1:50">
      <c r="B9" s="654" t="s">
        <v>583</v>
      </c>
      <c r="C9" t="s">
        <v>175</v>
      </c>
      <c r="D9" s="547" t="s">
        <v>55</v>
      </c>
      <c r="E9" s="657" t="s">
        <v>505</v>
      </c>
      <c r="F9" s="570"/>
      <c r="G9" s="570"/>
      <c r="H9" s="570"/>
      <c r="I9" s="570"/>
      <c r="J9" s="570"/>
      <c r="K9" s="570"/>
      <c r="L9" s="689">
        <f>VLOOKUP($B9,Calc!$C$1:$P$219,5,FALSE)</f>
        <v>125.26368929866103</v>
      </c>
      <c r="M9" s="570"/>
      <c r="O9" s="570"/>
      <c r="P9" s="570"/>
      <c r="Q9" s="570"/>
      <c r="R9" s="570"/>
      <c r="S9" s="570"/>
      <c r="T9" s="570"/>
      <c r="U9" s="663">
        <f>VLOOKUP($B9,'Calc2 FD'!$C$1:$P$219,5,FALSE)</f>
        <v>125.26368929866103</v>
      </c>
      <c r="V9" s="570"/>
      <c r="X9" s="695"/>
      <c r="Y9" s="695"/>
      <c r="Z9" s="695"/>
      <c r="AA9" s="695"/>
      <c r="AB9" s="695"/>
      <c r="AC9" s="695"/>
      <c r="AD9" s="690">
        <f t="shared" ref="AD9:AD30" si="5">U9-L9</f>
        <v>0</v>
      </c>
      <c r="AE9" s="695"/>
      <c r="AG9" s="654" t="s">
        <v>716</v>
      </c>
      <c r="AH9" s="570"/>
      <c r="AI9" s="570"/>
      <c r="AJ9" s="570"/>
      <c r="AK9" s="570"/>
      <c r="AL9" s="570"/>
      <c r="AM9" s="570"/>
      <c r="AN9" s="698">
        <f>VLOOKUP($AG9,'Calc2 BYR'!$C$1:$P$219,5,FALSE)</f>
        <v>125.26368929866103</v>
      </c>
      <c r="AO9" s="570"/>
      <c r="AQ9" s="695"/>
      <c r="AR9" s="695"/>
      <c r="AS9" s="695"/>
      <c r="AT9" s="695"/>
      <c r="AU9" s="695"/>
      <c r="AV9" s="695"/>
      <c r="AW9" s="690">
        <f>AN9-U9</f>
        <v>0</v>
      </c>
      <c r="AX9" s="695"/>
    </row>
    <row r="10" spans="1:50">
      <c r="B10" s="654" t="s">
        <v>584</v>
      </c>
      <c r="C10" t="s">
        <v>312</v>
      </c>
      <c r="D10" s="547" t="s">
        <v>55</v>
      </c>
      <c r="E10" s="657" t="s">
        <v>505</v>
      </c>
      <c r="F10" s="570"/>
      <c r="G10" s="570"/>
      <c r="H10" s="570"/>
      <c r="I10" s="570"/>
      <c r="J10" s="570"/>
      <c r="K10" s="570"/>
      <c r="L10" s="689">
        <f>VLOOKUP($B10,Calc!$C$1:$P$219,5,FALSE)</f>
        <v>125.69957463674039</v>
      </c>
      <c r="M10" s="570"/>
      <c r="O10" s="570"/>
      <c r="P10" s="570"/>
      <c r="Q10" s="570"/>
      <c r="R10" s="570"/>
      <c r="S10" s="570"/>
      <c r="T10" s="570"/>
      <c r="U10" s="663">
        <f>VLOOKUP($B10,'Calc2 FD'!$C$1:$P$219,5,FALSE)</f>
        <v>125.69957463674039</v>
      </c>
      <c r="V10" s="570"/>
      <c r="X10" s="695"/>
      <c r="Y10" s="695"/>
      <c r="Z10" s="695"/>
      <c r="AA10" s="695"/>
      <c r="AB10" s="695"/>
      <c r="AC10" s="695"/>
      <c r="AD10" s="690">
        <f t="shared" si="5"/>
        <v>0</v>
      </c>
      <c r="AE10" s="695"/>
      <c r="AG10" s="654" t="s">
        <v>717</v>
      </c>
      <c r="AH10" s="570"/>
      <c r="AI10" s="570"/>
      <c r="AJ10" s="570"/>
      <c r="AK10" s="570"/>
      <c r="AL10" s="570"/>
      <c r="AM10" s="570"/>
      <c r="AN10" s="698">
        <f>VLOOKUP($AG10,'Calc2 BYR'!$C$1:$P$219,5,FALSE)</f>
        <v>125.89244466459381</v>
      </c>
      <c r="AO10" s="570"/>
      <c r="AQ10" s="695"/>
      <c r="AR10" s="695"/>
      <c r="AS10" s="695"/>
      <c r="AT10" s="695"/>
      <c r="AU10" s="695"/>
      <c r="AV10" s="695"/>
      <c r="AW10" s="690">
        <f t="shared" ref="AW10:AW29" si="6">AN10-U10</f>
        <v>0.19287002785341656</v>
      </c>
      <c r="AX10" s="695"/>
    </row>
    <row r="11" spans="1:50">
      <c r="B11" s="654" t="s">
        <v>585</v>
      </c>
      <c r="C11" t="s">
        <v>304</v>
      </c>
      <c r="D11" s="547" t="s">
        <v>55</v>
      </c>
      <c r="E11" s="657" t="s">
        <v>505</v>
      </c>
      <c r="F11" s="570"/>
      <c r="G11" s="570"/>
      <c r="H11" s="570"/>
      <c r="I11" s="570"/>
      <c r="J11" s="570"/>
      <c r="K11" s="570"/>
      <c r="L11" s="689">
        <f>VLOOKUP($B11,Calc!$C$1:$P$219,5,FALSE)</f>
        <v>107.54451285591679</v>
      </c>
      <c r="M11" s="570"/>
      <c r="O11" s="570"/>
      <c r="P11" s="570"/>
      <c r="Q11" s="570"/>
      <c r="R11" s="570"/>
      <c r="S11" s="570"/>
      <c r="T11" s="570"/>
      <c r="U11" s="663">
        <f>VLOOKUP($B11,'Calc2 FD'!$C$1:$P$219,5,FALSE)</f>
        <v>107.54451285591679</v>
      </c>
      <c r="V11" s="570"/>
      <c r="X11" s="695"/>
      <c r="Y11" s="695"/>
      <c r="Z11" s="695"/>
      <c r="AA11" s="695"/>
      <c r="AB11" s="695"/>
      <c r="AC11" s="695"/>
      <c r="AD11" s="690">
        <f t="shared" si="5"/>
        <v>0</v>
      </c>
      <c r="AE11" s="695"/>
      <c r="AG11" s="654" t="s">
        <v>718</v>
      </c>
      <c r="AH11" s="570"/>
      <c r="AI11" s="570"/>
      <c r="AJ11" s="570"/>
      <c r="AK11" s="570"/>
      <c r="AL11" s="570"/>
      <c r="AM11" s="570"/>
      <c r="AN11" s="698">
        <f>VLOOKUP($AG11,'Calc2 BYR'!$C$1:$P$219,5,FALSE)</f>
        <v>108.11085049442532</v>
      </c>
      <c r="AO11" s="570"/>
      <c r="AQ11" s="695"/>
      <c r="AR11" s="695"/>
      <c r="AS11" s="695"/>
      <c r="AT11" s="695"/>
      <c r="AU11" s="695"/>
      <c r="AV11" s="695"/>
      <c r="AW11" s="690">
        <f t="shared" si="6"/>
        <v>0.56633763850852858</v>
      </c>
      <c r="AX11" s="695"/>
    </row>
    <row r="12" spans="1:50">
      <c r="B12" s="654" t="s">
        <v>586</v>
      </c>
      <c r="C12" t="s">
        <v>83</v>
      </c>
      <c r="D12" s="547" t="s">
        <v>55</v>
      </c>
      <c r="E12" s="657" t="s">
        <v>505</v>
      </c>
      <c r="F12" s="570"/>
      <c r="G12" s="570"/>
      <c r="H12" s="570"/>
      <c r="I12" s="570"/>
      <c r="J12" s="570"/>
      <c r="K12" s="570"/>
      <c r="L12" s="689">
        <f>VLOOKUP($B12,Calc!$C$1:$P$219,5,FALSE)</f>
        <v>-2.8846112670875206</v>
      </c>
      <c r="M12" s="570"/>
      <c r="O12" s="570"/>
      <c r="P12" s="570"/>
      <c r="Q12" s="570"/>
      <c r="R12" s="570"/>
      <c r="S12" s="570"/>
      <c r="T12" s="570"/>
      <c r="U12" s="663">
        <f>VLOOKUP($B12,'Calc2 FD'!$C$1:$P$219,5,FALSE)</f>
        <v>-2.8846112670875206</v>
      </c>
      <c r="V12" s="570"/>
      <c r="X12" s="695"/>
      <c r="Y12" s="695"/>
      <c r="Z12" s="695"/>
      <c r="AA12" s="695"/>
      <c r="AB12" s="695"/>
      <c r="AC12" s="695"/>
      <c r="AD12" s="690">
        <f t="shared" si="5"/>
        <v>0</v>
      </c>
      <c r="AE12" s="695"/>
      <c r="AG12" s="654" t="s">
        <v>719</v>
      </c>
      <c r="AH12" s="570"/>
      <c r="AI12" s="570"/>
      <c r="AJ12" s="570"/>
      <c r="AK12" s="570"/>
      <c r="AL12" s="570"/>
      <c r="AM12" s="570"/>
      <c r="AN12" s="698">
        <f>VLOOKUP($AG12,'Calc2 BYR'!$C$1:$P$219,5,FALSE)</f>
        <v>-2.9718906174445512</v>
      </c>
      <c r="AO12" s="570"/>
      <c r="AQ12" s="695"/>
      <c r="AR12" s="695"/>
      <c r="AS12" s="695"/>
      <c r="AT12" s="695"/>
      <c r="AU12" s="695"/>
      <c r="AV12" s="695"/>
      <c r="AW12" s="690">
        <f t="shared" si="6"/>
        <v>-8.7279350357030605E-2</v>
      </c>
      <c r="AX12" s="695"/>
    </row>
    <row r="13" spans="1:50">
      <c r="B13" s="654" t="s">
        <v>587</v>
      </c>
      <c r="C13" t="s">
        <v>176</v>
      </c>
      <c r="D13" s="547" t="s">
        <v>55</v>
      </c>
      <c r="E13" s="657" t="s">
        <v>505</v>
      </c>
      <c r="F13" s="570"/>
      <c r="G13" s="570"/>
      <c r="H13" s="570"/>
      <c r="I13" s="570"/>
      <c r="J13" s="570"/>
      <c r="K13" s="570"/>
      <c r="L13" s="689">
        <f>VLOOKUP($B13,Calc!$C$1:$P$219,5,FALSE)</f>
        <v>107.97441355193162</v>
      </c>
      <c r="M13" s="570"/>
      <c r="O13" s="570"/>
      <c r="P13" s="570"/>
      <c r="Q13" s="570"/>
      <c r="R13" s="570"/>
      <c r="S13" s="570"/>
      <c r="T13" s="570"/>
      <c r="U13" s="663">
        <f>VLOOKUP($B13,'Calc2 FD'!$C$1:$P$219,5,FALSE)</f>
        <v>107.97441355193162</v>
      </c>
      <c r="V13" s="570"/>
      <c r="X13" s="695"/>
      <c r="Y13" s="695"/>
      <c r="Z13" s="695"/>
      <c r="AA13" s="695"/>
      <c r="AB13" s="695"/>
      <c r="AC13" s="695"/>
      <c r="AD13" s="690">
        <f t="shared" si="5"/>
        <v>0</v>
      </c>
      <c r="AE13" s="695"/>
      <c r="AG13" s="654" t="s">
        <v>720</v>
      </c>
      <c r="AH13" s="570"/>
      <c r="AI13" s="570"/>
      <c r="AJ13" s="570"/>
      <c r="AK13" s="570"/>
      <c r="AL13" s="570"/>
      <c r="AM13" s="570"/>
      <c r="AN13" s="698">
        <f>VLOOKUP($AG13,'Calc2 BYR'!$C$1:$P$219,5,FALSE)</f>
        <v>107.97441355193162</v>
      </c>
      <c r="AO13" s="570"/>
      <c r="AQ13" s="695"/>
      <c r="AR13" s="695"/>
      <c r="AS13" s="695"/>
      <c r="AT13" s="695"/>
      <c r="AU13" s="695"/>
      <c r="AV13" s="695"/>
      <c r="AW13" s="690">
        <f t="shared" si="6"/>
        <v>0</v>
      </c>
      <c r="AX13" s="695"/>
    </row>
    <row r="14" spans="1:50">
      <c r="B14" s="654" t="s">
        <v>588</v>
      </c>
      <c r="C14" t="s">
        <v>313</v>
      </c>
      <c r="D14" s="547" t="s">
        <v>55</v>
      </c>
      <c r="E14" s="657" t="s">
        <v>505</v>
      </c>
      <c r="F14" s="570"/>
      <c r="G14" s="570"/>
      <c r="H14" s="570"/>
      <c r="I14" s="570"/>
      <c r="J14" s="570"/>
      <c r="K14" s="570"/>
      <c r="L14" s="689">
        <f>VLOOKUP($B14,Calc!$C$1:$P$219,5,FALSE)</f>
        <v>125.29186026948203</v>
      </c>
      <c r="M14" s="570"/>
      <c r="O14" s="570"/>
      <c r="P14" s="570"/>
      <c r="Q14" s="570"/>
      <c r="R14" s="570"/>
      <c r="S14" s="570"/>
      <c r="T14" s="570"/>
      <c r="U14" s="663">
        <f>VLOOKUP($B14,'Calc2 FD'!$C$1:$P$219,5,FALSE)</f>
        <v>125.29186026948203</v>
      </c>
      <c r="V14" s="570"/>
      <c r="X14" s="695"/>
      <c r="Y14" s="695"/>
      <c r="Z14" s="695"/>
      <c r="AA14" s="695"/>
      <c r="AB14" s="695"/>
      <c r="AC14" s="695"/>
      <c r="AD14" s="690">
        <f t="shared" si="5"/>
        <v>0</v>
      </c>
      <c r="AE14" s="695"/>
      <c r="AG14" s="654" t="s">
        <v>721</v>
      </c>
      <c r="AH14" s="570"/>
      <c r="AI14" s="570"/>
      <c r="AJ14" s="570"/>
      <c r="AK14" s="570"/>
      <c r="AL14" s="570"/>
      <c r="AM14" s="570"/>
      <c r="AN14" s="698">
        <f>VLOOKUP($AG14,'Calc2 BYR'!$C$1:$P$219,5,FALSE)</f>
        <v>109.28435607768199</v>
      </c>
      <c r="AO14" s="570"/>
      <c r="AQ14" s="695"/>
      <c r="AR14" s="695"/>
      <c r="AS14" s="695"/>
      <c r="AT14" s="695"/>
      <c r="AU14" s="695"/>
      <c r="AV14" s="695"/>
      <c r="AW14" s="690">
        <f t="shared" si="6"/>
        <v>-16.007504191800038</v>
      </c>
      <c r="AX14" s="695"/>
    </row>
    <row r="15" spans="1:50">
      <c r="B15" s="654" t="s">
        <v>589</v>
      </c>
      <c r="C15" t="s">
        <v>305</v>
      </c>
      <c r="D15" s="547" t="s">
        <v>55</v>
      </c>
      <c r="E15" s="657" t="s">
        <v>505</v>
      </c>
      <c r="F15" s="570"/>
      <c r="G15" s="570"/>
      <c r="H15" s="570"/>
      <c r="I15" s="570"/>
      <c r="J15" s="570"/>
      <c r="K15" s="570"/>
      <c r="L15" s="689">
        <f>VLOOKUP($B15,Calc!$C$1:$P$219,5,FALSE)</f>
        <v>99.986514878912544</v>
      </c>
      <c r="M15" s="570"/>
      <c r="O15" s="570"/>
      <c r="P15" s="570"/>
      <c r="Q15" s="570"/>
      <c r="R15" s="570"/>
      <c r="S15" s="570"/>
      <c r="T15" s="570"/>
      <c r="U15" s="663">
        <f>VLOOKUP($B15,'Calc2 FD'!$C$1:$P$219,5,FALSE)</f>
        <v>99.986514878912544</v>
      </c>
      <c r="V15" s="570"/>
      <c r="X15" s="695"/>
      <c r="Y15" s="695"/>
      <c r="Z15" s="695"/>
      <c r="AA15" s="695"/>
      <c r="AB15" s="695"/>
      <c r="AC15" s="695"/>
      <c r="AD15" s="690">
        <f t="shared" si="5"/>
        <v>0</v>
      </c>
      <c r="AE15" s="695"/>
      <c r="AG15" s="654" t="s">
        <v>722</v>
      </c>
      <c r="AH15" s="570"/>
      <c r="AI15" s="570"/>
      <c r="AJ15" s="570"/>
      <c r="AK15" s="570"/>
      <c r="AL15" s="570"/>
      <c r="AM15" s="570"/>
      <c r="AN15" s="698">
        <f>VLOOKUP($AG15,'Calc2 BYR'!$C$1:$P$219,5,FALSE)</f>
        <v>100.11044006886138</v>
      </c>
      <c r="AO15" s="570"/>
      <c r="AQ15" s="695"/>
      <c r="AR15" s="695"/>
      <c r="AS15" s="695"/>
      <c r="AT15" s="695"/>
      <c r="AU15" s="695"/>
      <c r="AV15" s="695"/>
      <c r="AW15" s="690">
        <f t="shared" si="6"/>
        <v>0.12392518994883517</v>
      </c>
      <c r="AX15" s="695"/>
    </row>
    <row r="16" spans="1:50">
      <c r="B16" s="22" t="s">
        <v>590</v>
      </c>
      <c r="C16" t="s">
        <v>84</v>
      </c>
      <c r="D16" s="547" t="s">
        <v>55</v>
      </c>
      <c r="E16" s="657" t="s">
        <v>505</v>
      </c>
      <c r="F16" s="570"/>
      <c r="G16" s="570"/>
      <c r="H16" s="570"/>
      <c r="I16" s="570"/>
      <c r="J16" s="570"/>
      <c r="K16" s="570"/>
      <c r="L16" s="689">
        <f>VLOOKUP($B16,Calc!$C$1:$P$219,5,FALSE)</f>
        <v>0.42206188691591762</v>
      </c>
      <c r="M16" s="570"/>
      <c r="O16" s="570"/>
      <c r="P16" s="570"/>
      <c r="Q16" s="570"/>
      <c r="R16" s="570"/>
      <c r="S16" s="570"/>
      <c r="T16" s="570"/>
      <c r="U16" s="663">
        <f>VLOOKUP($B16,'Calc2 FD'!$C$1:$P$219,5,FALSE)</f>
        <v>0.42206188691591762</v>
      </c>
      <c r="V16" s="570"/>
      <c r="X16" s="695"/>
      <c r="Y16" s="695"/>
      <c r="Z16" s="695"/>
      <c r="AA16" s="695"/>
      <c r="AB16" s="695"/>
      <c r="AC16" s="695"/>
      <c r="AD16" s="690">
        <f t="shared" si="5"/>
        <v>0</v>
      </c>
      <c r="AE16" s="695"/>
      <c r="AG16" s="22" t="s">
        <v>723</v>
      </c>
      <c r="AH16" s="570"/>
      <c r="AI16" s="570"/>
      <c r="AJ16" s="570"/>
      <c r="AK16" s="570"/>
      <c r="AL16" s="570"/>
      <c r="AM16" s="570"/>
      <c r="AN16" s="698">
        <f>VLOOKUP($AG16,'Calc2 BYR'!$C$1:$P$219,5,FALSE)</f>
        <v>-0.11699768069740046</v>
      </c>
      <c r="AO16" s="570"/>
      <c r="AQ16" s="695"/>
      <c r="AR16" s="695"/>
      <c r="AS16" s="695"/>
      <c r="AT16" s="695"/>
      <c r="AU16" s="695"/>
      <c r="AV16" s="695"/>
      <c r="AW16" s="690">
        <f t="shared" si="6"/>
        <v>-0.53905956761331808</v>
      </c>
      <c r="AX16" s="695"/>
    </row>
    <row r="17" spans="2:50">
      <c r="B17" s="22" t="s">
        <v>591</v>
      </c>
      <c r="C17" t="s">
        <v>605</v>
      </c>
      <c r="D17" s="547" t="s">
        <v>497</v>
      </c>
      <c r="E17" s="547" t="s">
        <v>505</v>
      </c>
      <c r="F17" s="566"/>
      <c r="G17" s="566"/>
      <c r="H17" s="566"/>
      <c r="I17" s="566"/>
      <c r="J17" s="566"/>
      <c r="K17" s="566"/>
      <c r="L17" s="687">
        <f>VLOOKUP($B17,Calc!$C$1:$P$219,14,FALSE)</f>
        <v>-75.654688006328144</v>
      </c>
      <c r="M17" s="566"/>
      <c r="O17" s="566"/>
      <c r="P17" s="566"/>
      <c r="Q17" s="566"/>
      <c r="R17" s="566"/>
      <c r="S17" s="566"/>
      <c r="T17" s="566"/>
      <c r="U17" s="552">
        <f>VLOOKUP($B17,'Calc2 FD'!$C$1:$P$219,14,FALSE)</f>
        <v>-177.05235492090299</v>
      </c>
      <c r="V17" s="566"/>
      <c r="X17" s="692"/>
      <c r="Y17" s="692"/>
      <c r="Z17" s="692"/>
      <c r="AA17" s="692"/>
      <c r="AB17" s="692"/>
      <c r="AC17" s="692"/>
      <c r="AD17" s="690">
        <f t="shared" si="5"/>
        <v>-101.39766691457484</v>
      </c>
      <c r="AE17" s="692"/>
      <c r="AG17" s="22" t="s">
        <v>724</v>
      </c>
      <c r="AH17" s="566"/>
      <c r="AI17" s="566"/>
      <c r="AJ17" s="566"/>
      <c r="AK17" s="566"/>
      <c r="AL17" s="566"/>
      <c r="AM17" s="566"/>
      <c r="AN17" s="696">
        <f>VLOOKUP($AG17,'Calc2 BYR'!$C$1:$P$219,14,FALSE)</f>
        <v>-164.0926919802256</v>
      </c>
      <c r="AO17" s="566"/>
      <c r="AQ17" s="692"/>
      <c r="AR17" s="692"/>
      <c r="AS17" s="692"/>
      <c r="AT17" s="692"/>
      <c r="AU17" s="692"/>
      <c r="AV17" s="692"/>
      <c r="AW17" s="690">
        <f t="shared" si="6"/>
        <v>12.95966294067739</v>
      </c>
      <c r="AX17" s="692"/>
    </row>
    <row r="18" spans="2:50">
      <c r="B18" s="22" t="s">
        <v>592</v>
      </c>
      <c r="C18" t="s">
        <v>323</v>
      </c>
      <c r="D18" s="547" t="s">
        <v>497</v>
      </c>
      <c r="E18" s="547" t="s">
        <v>505</v>
      </c>
      <c r="F18" s="566"/>
      <c r="G18" s="566"/>
      <c r="H18" s="566"/>
      <c r="I18" s="566"/>
      <c r="J18" s="566"/>
      <c r="K18" s="566"/>
      <c r="L18" s="687">
        <f>VLOOKUP($B18,Calc!$C$1:$P$219,14,FALSE)</f>
        <v>-41.934287993156367</v>
      </c>
      <c r="M18" s="566"/>
      <c r="O18" s="566"/>
      <c r="P18" s="566"/>
      <c r="Q18" s="566"/>
      <c r="R18" s="566"/>
      <c r="S18" s="566"/>
      <c r="T18" s="566"/>
      <c r="U18" s="552">
        <f>VLOOKUP($B18,'Calc2 FD'!$C$1:$P$219,14,FALSE)</f>
        <v>-41.934287993156367</v>
      </c>
      <c r="V18" s="566"/>
      <c r="X18" s="692"/>
      <c r="Y18" s="692"/>
      <c r="Z18" s="692"/>
      <c r="AA18" s="692"/>
      <c r="AB18" s="692"/>
      <c r="AC18" s="692"/>
      <c r="AD18" s="690">
        <f t="shared" si="5"/>
        <v>0</v>
      </c>
      <c r="AE18" s="692"/>
      <c r="AG18" s="22" t="s">
        <v>725</v>
      </c>
      <c r="AH18" s="566"/>
      <c r="AI18" s="566"/>
      <c r="AJ18" s="566"/>
      <c r="AK18" s="566"/>
      <c r="AL18" s="566"/>
      <c r="AM18" s="566"/>
      <c r="AN18" s="696">
        <f>VLOOKUP($AG18,'Calc2 BYR'!$C$1:$P$219,14,FALSE)</f>
        <v>-43.333021891152114</v>
      </c>
      <c r="AO18" s="566"/>
      <c r="AQ18" s="692"/>
      <c r="AR18" s="692"/>
      <c r="AS18" s="692"/>
      <c r="AT18" s="692"/>
      <c r="AU18" s="692"/>
      <c r="AV18" s="692"/>
      <c r="AW18" s="690">
        <f t="shared" si="6"/>
        <v>-1.3987338979957471</v>
      </c>
      <c r="AX18" s="692"/>
    </row>
    <row r="19" spans="2:50">
      <c r="B19" s="22" t="s">
        <v>593</v>
      </c>
      <c r="C19" t="s">
        <v>72</v>
      </c>
      <c r="D19" s="547" t="s">
        <v>497</v>
      </c>
      <c r="E19" s="547" t="s">
        <v>505</v>
      </c>
      <c r="F19" s="566"/>
      <c r="G19" s="566"/>
      <c r="H19" s="566"/>
      <c r="I19" s="566"/>
      <c r="J19" s="566"/>
      <c r="K19" s="566"/>
      <c r="L19" s="687">
        <f>VLOOKUP($B19,Calc!$C$1:$P$219,14,FALSE)</f>
        <v>-44.942381429832892</v>
      </c>
      <c r="M19" s="566"/>
      <c r="O19" s="566"/>
      <c r="P19" s="566"/>
      <c r="Q19" s="566"/>
      <c r="R19" s="566"/>
      <c r="S19" s="566"/>
      <c r="T19" s="566"/>
      <c r="U19" s="552">
        <f>VLOOKUP($B19,'Calc2 FD'!$C$1:$P$219,14,FALSE)</f>
        <v>-44.942381429832892</v>
      </c>
      <c r="V19" s="566"/>
      <c r="X19" s="692"/>
      <c r="Y19" s="692"/>
      <c r="Z19" s="692"/>
      <c r="AA19" s="692"/>
      <c r="AB19" s="692"/>
      <c r="AC19" s="692"/>
      <c r="AD19" s="690">
        <f t="shared" si="5"/>
        <v>0</v>
      </c>
      <c r="AE19" s="692"/>
      <c r="AG19" s="22" t="s">
        <v>726</v>
      </c>
      <c r="AH19" s="566"/>
      <c r="AI19" s="566"/>
      <c r="AJ19" s="566"/>
      <c r="AK19" s="566"/>
      <c r="AL19" s="566"/>
      <c r="AM19" s="566"/>
      <c r="AN19" s="696">
        <f>VLOOKUP($AG19,'Calc2 BYR'!$C$1:$P$219,14,FALSE)</f>
        <v>-44.942381429832892</v>
      </c>
      <c r="AO19" s="566"/>
      <c r="AQ19" s="692"/>
      <c r="AR19" s="692"/>
      <c r="AS19" s="692"/>
      <c r="AT19" s="692"/>
      <c r="AU19" s="692"/>
      <c r="AV19" s="692"/>
      <c r="AW19" s="690">
        <f t="shared" si="6"/>
        <v>0</v>
      </c>
      <c r="AX19" s="692"/>
    </row>
    <row r="20" spans="2:50">
      <c r="B20" s="22" t="s">
        <v>594</v>
      </c>
      <c r="C20" t="s">
        <v>244</v>
      </c>
      <c r="D20" s="547" t="s">
        <v>497</v>
      </c>
      <c r="E20" s="547" t="s">
        <v>505</v>
      </c>
      <c r="F20" s="566"/>
      <c r="G20" s="566"/>
      <c r="H20" s="566"/>
      <c r="I20" s="566"/>
      <c r="J20" s="566"/>
      <c r="K20" s="566"/>
      <c r="L20" s="687">
        <f>VLOOKUP($B20,Calc!$C$1:$P$219,14,FALSE)</f>
        <v>3.0080934366765284</v>
      </c>
      <c r="M20" s="566"/>
      <c r="O20" s="566"/>
      <c r="P20" s="566"/>
      <c r="Q20" s="566"/>
      <c r="R20" s="566"/>
      <c r="S20" s="566"/>
      <c r="T20" s="566"/>
      <c r="U20" s="552">
        <f>VLOOKUP($B20,'Calc2 FD'!$C$1:$P$219,14,FALSE)</f>
        <v>3.0080934366765284</v>
      </c>
      <c r="V20" s="566"/>
      <c r="X20" s="692"/>
      <c r="Y20" s="692"/>
      <c r="Z20" s="692"/>
      <c r="AA20" s="692"/>
      <c r="AB20" s="692"/>
      <c r="AC20" s="692"/>
      <c r="AD20" s="690">
        <f t="shared" si="5"/>
        <v>0</v>
      </c>
      <c r="AE20" s="692"/>
      <c r="AG20" s="22" t="s">
        <v>727</v>
      </c>
      <c r="AH20" s="566"/>
      <c r="AI20" s="566"/>
      <c r="AJ20" s="566"/>
      <c r="AK20" s="566"/>
      <c r="AL20" s="566"/>
      <c r="AM20" s="566"/>
      <c r="AN20" s="696">
        <f>VLOOKUP($AG20,'Calc2 BYR'!$C$1:$P$219,14,FALSE)</f>
        <v>1.6093595386807849</v>
      </c>
      <c r="AO20" s="566"/>
      <c r="AQ20" s="692"/>
      <c r="AR20" s="692"/>
      <c r="AS20" s="692"/>
      <c r="AT20" s="692"/>
      <c r="AU20" s="692"/>
      <c r="AV20" s="692"/>
      <c r="AW20" s="690">
        <f t="shared" si="6"/>
        <v>-1.3987338979957435</v>
      </c>
      <c r="AX20" s="692"/>
    </row>
    <row r="21" spans="2:50">
      <c r="B21" s="22" t="s">
        <v>595</v>
      </c>
      <c r="C21" t="s">
        <v>248</v>
      </c>
      <c r="D21" s="547" t="s">
        <v>497</v>
      </c>
      <c r="E21" s="547" t="s">
        <v>505</v>
      </c>
      <c r="F21" s="566"/>
      <c r="G21" s="566"/>
      <c r="H21" s="566"/>
      <c r="I21" s="566"/>
      <c r="J21" s="566"/>
      <c r="K21" s="566"/>
      <c r="L21" s="687">
        <f>VLOOKUP($B21,Calc!$C$1:$P$219,14,FALSE)</f>
        <v>-18.186230640184018</v>
      </c>
      <c r="M21" s="566"/>
      <c r="O21" s="566"/>
      <c r="P21" s="566"/>
      <c r="Q21" s="566"/>
      <c r="R21" s="566"/>
      <c r="S21" s="566"/>
      <c r="T21" s="566"/>
      <c r="U21" s="552">
        <f>VLOOKUP($B21,'Calc2 FD'!$C$1:$P$219,14,FALSE)</f>
        <v>-18.186230640184018</v>
      </c>
      <c r="V21" s="566"/>
      <c r="X21" s="692"/>
      <c r="Y21" s="692"/>
      <c r="Z21" s="692"/>
      <c r="AA21" s="692"/>
      <c r="AB21" s="692"/>
      <c r="AC21" s="692"/>
      <c r="AD21" s="690">
        <f t="shared" si="5"/>
        <v>0</v>
      </c>
      <c r="AE21" s="692"/>
      <c r="AG21" s="22" t="s">
        <v>728</v>
      </c>
      <c r="AH21" s="566"/>
      <c r="AI21" s="566"/>
      <c r="AJ21" s="566"/>
      <c r="AK21" s="566"/>
      <c r="AL21" s="566"/>
      <c r="AM21" s="566"/>
      <c r="AN21" s="696">
        <f>VLOOKUP($AG21,'Calc2 BYR'!$C$1:$P$219,14,FALSE)</f>
        <v>-17.586292748594559</v>
      </c>
      <c r="AO21" s="566"/>
      <c r="AQ21" s="692"/>
      <c r="AR21" s="692"/>
      <c r="AS21" s="692"/>
      <c r="AT21" s="692"/>
      <c r="AU21" s="692"/>
      <c r="AV21" s="692"/>
      <c r="AW21" s="690">
        <f t="shared" si="6"/>
        <v>0.59993789158945887</v>
      </c>
      <c r="AX21" s="692"/>
    </row>
    <row r="22" spans="2:50">
      <c r="B22" s="22" t="s">
        <v>596</v>
      </c>
      <c r="C22" t="s">
        <v>606</v>
      </c>
      <c r="D22" s="547" t="s">
        <v>497</v>
      </c>
      <c r="E22" s="547" t="s">
        <v>505</v>
      </c>
      <c r="F22" s="566"/>
      <c r="G22" s="566"/>
      <c r="H22" s="566"/>
      <c r="I22" s="566"/>
      <c r="J22" s="566"/>
      <c r="K22" s="566"/>
      <c r="L22" s="687">
        <f>VLOOKUP($B22,Calc!$C$1:$P$219,14,FALSE)</f>
        <v>-15.178137203507491</v>
      </c>
      <c r="M22" s="566"/>
      <c r="O22" s="566"/>
      <c r="P22" s="566"/>
      <c r="Q22" s="566"/>
      <c r="R22" s="566"/>
      <c r="S22" s="566"/>
      <c r="T22" s="566"/>
      <c r="U22" s="552">
        <f>VLOOKUP($B22,'Calc2 FD'!$C$1:$P$219,14,FALSE)</f>
        <v>-15.178137203507491</v>
      </c>
      <c r="V22" s="566"/>
      <c r="X22" s="692"/>
      <c r="Y22" s="692"/>
      <c r="Z22" s="692"/>
      <c r="AA22" s="692"/>
      <c r="AB22" s="692"/>
      <c r="AC22" s="692"/>
      <c r="AD22" s="690">
        <f t="shared" si="5"/>
        <v>0</v>
      </c>
      <c r="AE22" s="692"/>
      <c r="AG22" s="22" t="s">
        <v>729</v>
      </c>
      <c r="AH22" s="566"/>
      <c r="AI22" s="566"/>
      <c r="AJ22" s="566"/>
      <c r="AK22" s="566"/>
      <c r="AL22" s="566"/>
      <c r="AM22" s="566"/>
      <c r="AN22" s="696">
        <f>VLOOKUP($AG22,'Calc2 BYR'!$C$1:$P$219,14,FALSE)</f>
        <v>-15.976933209913772</v>
      </c>
      <c r="AO22" s="566"/>
      <c r="AQ22" s="692"/>
      <c r="AR22" s="692"/>
      <c r="AS22" s="692"/>
      <c r="AT22" s="692"/>
      <c r="AU22" s="692"/>
      <c r="AV22" s="692"/>
      <c r="AW22" s="690">
        <f t="shared" si="6"/>
        <v>-0.79879600640628112</v>
      </c>
      <c r="AX22" s="692"/>
    </row>
    <row r="23" spans="2:50">
      <c r="B23" s="22" t="s">
        <v>597</v>
      </c>
      <c r="C23" t="s">
        <v>610</v>
      </c>
      <c r="D23" s="547" t="s">
        <v>497</v>
      </c>
      <c r="E23" s="547" t="s">
        <v>505</v>
      </c>
      <c r="F23" s="566"/>
      <c r="G23" s="566"/>
      <c r="H23" s="566"/>
      <c r="I23" s="566"/>
      <c r="J23" s="566"/>
      <c r="K23" s="566"/>
      <c r="L23" s="687">
        <f>VLOOKUP($B23,Calc!$C$1:$P$219,14,FALSE)</f>
        <v>-15.060711754238387</v>
      </c>
      <c r="M23" s="566"/>
      <c r="O23" s="566"/>
      <c r="P23" s="566"/>
      <c r="Q23" s="566"/>
      <c r="R23" s="566"/>
      <c r="S23" s="566"/>
      <c r="T23" s="566"/>
      <c r="U23" s="552">
        <f>VLOOKUP($B23,'Calc2 FD'!$C$1:$P$219,14,FALSE)</f>
        <v>-15.060711754238387</v>
      </c>
      <c r="V23" s="566"/>
      <c r="X23" s="692"/>
      <c r="Y23" s="692"/>
      <c r="Z23" s="692"/>
      <c r="AA23" s="692"/>
      <c r="AB23" s="692"/>
      <c r="AC23" s="692"/>
      <c r="AD23" s="690">
        <f t="shared" si="5"/>
        <v>0</v>
      </c>
      <c r="AE23" s="692"/>
      <c r="AG23" s="22" t="s">
        <v>730</v>
      </c>
      <c r="AH23" s="566"/>
      <c r="AI23" s="566"/>
      <c r="AJ23" s="566"/>
      <c r="AK23" s="566"/>
      <c r="AL23" s="566"/>
      <c r="AM23" s="566"/>
      <c r="AN23" s="696">
        <f>VLOOKUP($AG23,'Calc2 BYR'!$C$1:$P$219,14,FALSE)</f>
        <v>-16.005160166879563</v>
      </c>
      <c r="AO23" s="566"/>
      <c r="AQ23" s="692"/>
      <c r="AR23" s="692"/>
      <c r="AS23" s="692"/>
      <c r="AT23" s="692"/>
      <c r="AU23" s="692"/>
      <c r="AV23" s="692"/>
      <c r="AW23" s="690">
        <f t="shared" si="6"/>
        <v>-0.94444841264117585</v>
      </c>
      <c r="AX23" s="692"/>
    </row>
    <row r="24" spans="2:50">
      <c r="B24" s="22" t="s">
        <v>598</v>
      </c>
      <c r="C24" t="s">
        <v>607</v>
      </c>
      <c r="D24" s="547" t="s">
        <v>497</v>
      </c>
      <c r="E24" s="547" t="s">
        <v>505</v>
      </c>
      <c r="F24" s="566"/>
      <c r="G24" s="566"/>
      <c r="H24" s="566"/>
      <c r="I24" s="566"/>
      <c r="J24" s="566"/>
      <c r="K24" s="566"/>
      <c r="L24" s="687">
        <f>VLOOKUP($B24,Calc!$C$1:$P$219,14,FALSE)</f>
        <v>-388.85931890932437</v>
      </c>
      <c r="M24" s="566"/>
      <c r="O24" s="566"/>
      <c r="P24" s="566"/>
      <c r="Q24" s="566"/>
      <c r="R24" s="566"/>
      <c r="S24" s="566"/>
      <c r="T24" s="566"/>
      <c r="U24" s="552">
        <f>VLOOKUP($B24,'Calc2 FD'!$C$1:$P$219,14,FALSE)</f>
        <v>-594.86068314075271</v>
      </c>
      <c r="V24" s="566"/>
      <c r="X24" s="692"/>
      <c r="Y24" s="692"/>
      <c r="Z24" s="692"/>
      <c r="AA24" s="692"/>
      <c r="AB24" s="692"/>
      <c r="AC24" s="692"/>
      <c r="AD24" s="690">
        <f t="shared" si="5"/>
        <v>-206.00136423142834</v>
      </c>
      <c r="AE24" s="692"/>
      <c r="AG24" s="22" t="s">
        <v>731</v>
      </c>
      <c r="AH24" s="566"/>
      <c r="AI24" s="566"/>
      <c r="AJ24" s="566"/>
      <c r="AK24" s="566"/>
      <c r="AL24" s="566"/>
      <c r="AM24" s="566"/>
      <c r="AN24" s="696">
        <f>VLOOKUP($AG24,'Calc2 BYR'!$C$1:$P$219,14,FALSE)</f>
        <v>-590.20077759694175</v>
      </c>
      <c r="AO24" s="566"/>
      <c r="AQ24" s="692"/>
      <c r="AR24" s="692"/>
      <c r="AS24" s="692"/>
      <c r="AT24" s="692"/>
      <c r="AU24" s="692"/>
      <c r="AV24" s="692"/>
      <c r="AW24" s="690">
        <f t="shared" si="6"/>
        <v>4.6599055438109644</v>
      </c>
      <c r="AX24" s="692"/>
    </row>
    <row r="25" spans="2:50">
      <c r="B25" s="22" t="s">
        <v>599</v>
      </c>
      <c r="C25" t="s">
        <v>324</v>
      </c>
      <c r="D25" s="547" t="s">
        <v>497</v>
      </c>
      <c r="E25" s="547" t="s">
        <v>505</v>
      </c>
      <c r="F25" s="566"/>
      <c r="G25" s="566"/>
      <c r="H25" s="566"/>
      <c r="I25" s="566"/>
      <c r="J25" s="566"/>
      <c r="K25" s="566"/>
      <c r="L25" s="687">
        <f>VLOOKUP($B25,Calc!$C$1:$P$219,14,FALSE)</f>
        <v>12.729212647767104</v>
      </c>
      <c r="M25" s="566"/>
      <c r="O25" s="566"/>
      <c r="P25" s="566"/>
      <c r="Q25" s="566"/>
      <c r="R25" s="566"/>
      <c r="S25" s="566"/>
      <c r="T25" s="566"/>
      <c r="U25" s="552">
        <f>VLOOKUP($B25,'Calc2 FD'!$C$1:$P$219,14,FALSE)</f>
        <v>12.729212647767104</v>
      </c>
      <c r="V25" s="566"/>
      <c r="X25" s="692"/>
      <c r="Y25" s="692"/>
      <c r="Z25" s="692"/>
      <c r="AA25" s="692"/>
      <c r="AB25" s="692"/>
      <c r="AC25" s="692"/>
      <c r="AD25" s="690">
        <f t="shared" si="5"/>
        <v>0</v>
      </c>
      <c r="AE25" s="692"/>
      <c r="AG25" s="22" t="s">
        <v>732</v>
      </c>
      <c r="AH25" s="566"/>
      <c r="AI25" s="566"/>
      <c r="AJ25" s="566"/>
      <c r="AK25" s="566"/>
      <c r="AL25" s="566"/>
      <c r="AM25" s="566"/>
      <c r="AN25" s="696">
        <f>VLOOKUP($AG25,'Calc2 BYR'!$C$1:$P$219,14,FALSE)</f>
        <v>-3.5296798188713745</v>
      </c>
      <c r="AO25" s="566"/>
      <c r="AQ25" s="692"/>
      <c r="AR25" s="692"/>
      <c r="AS25" s="692"/>
      <c r="AT25" s="692"/>
      <c r="AU25" s="692"/>
      <c r="AV25" s="692"/>
      <c r="AW25" s="690">
        <f t="shared" si="6"/>
        <v>-16.258892466638478</v>
      </c>
      <c r="AX25" s="692"/>
    </row>
    <row r="26" spans="2:50">
      <c r="B26" s="22" t="s">
        <v>600</v>
      </c>
      <c r="C26" t="s">
        <v>73</v>
      </c>
      <c r="D26" s="547" t="s">
        <v>497</v>
      </c>
      <c r="E26" s="547" t="s">
        <v>505</v>
      </c>
      <c r="F26" s="566"/>
      <c r="G26" s="566"/>
      <c r="H26" s="566"/>
      <c r="I26" s="566"/>
      <c r="J26" s="566"/>
      <c r="K26" s="566"/>
      <c r="L26" s="687">
        <f>VLOOKUP($B26,Calc!$C$1:$P$219,14,FALSE)</f>
        <v>-24.495658018182436</v>
      </c>
      <c r="M26" s="566"/>
      <c r="O26" s="566"/>
      <c r="P26" s="566"/>
      <c r="Q26" s="566"/>
      <c r="R26" s="566"/>
      <c r="S26" s="566"/>
      <c r="T26" s="566"/>
      <c r="U26" s="552">
        <f>VLOOKUP($B26,'Calc2 FD'!$C$1:$P$219,14,FALSE)</f>
        <v>-24.495658018182436</v>
      </c>
      <c r="V26" s="566"/>
      <c r="X26" s="692"/>
      <c r="Y26" s="692"/>
      <c r="Z26" s="692"/>
      <c r="AA26" s="692"/>
      <c r="AB26" s="692"/>
      <c r="AC26" s="692"/>
      <c r="AD26" s="690">
        <f t="shared" si="5"/>
        <v>0</v>
      </c>
      <c r="AE26" s="692"/>
      <c r="AG26" s="22" t="s">
        <v>733</v>
      </c>
      <c r="AH26" s="566"/>
      <c r="AI26" s="566"/>
      <c r="AJ26" s="566"/>
      <c r="AK26" s="566"/>
      <c r="AL26" s="566"/>
      <c r="AM26" s="566"/>
      <c r="AN26" s="696">
        <f>VLOOKUP($AG26,'Calc2 BYR'!$C$1:$P$219,14,FALSE)</f>
        <v>-24.495658018182436</v>
      </c>
      <c r="AO26" s="566"/>
      <c r="AQ26" s="692"/>
      <c r="AR26" s="692"/>
      <c r="AS26" s="692"/>
      <c r="AT26" s="692"/>
      <c r="AU26" s="692"/>
      <c r="AV26" s="692"/>
      <c r="AW26" s="690">
        <f t="shared" si="6"/>
        <v>0</v>
      </c>
      <c r="AX26" s="692"/>
    </row>
    <row r="27" spans="2:50">
      <c r="B27" s="22" t="s">
        <v>601</v>
      </c>
      <c r="C27" t="s">
        <v>245</v>
      </c>
      <c r="D27" s="547" t="s">
        <v>497</v>
      </c>
      <c r="E27" s="547" t="s">
        <v>505</v>
      </c>
      <c r="F27" s="566"/>
      <c r="G27" s="566"/>
      <c r="H27" s="566"/>
      <c r="I27" s="566"/>
      <c r="J27" s="566"/>
      <c r="K27" s="566"/>
      <c r="L27" s="687">
        <f>VLOOKUP($B27,Calc!$C$1:$P$219,14,FALSE)</f>
        <v>37.224870665949538</v>
      </c>
      <c r="M27" s="566"/>
      <c r="O27" s="566"/>
      <c r="P27" s="566"/>
      <c r="Q27" s="566"/>
      <c r="R27" s="566"/>
      <c r="S27" s="566"/>
      <c r="T27" s="566"/>
      <c r="U27" s="552">
        <f>VLOOKUP($B27,'Calc2 FD'!$C$1:$P$219,14,FALSE)</f>
        <v>37.224870665949538</v>
      </c>
      <c r="V27" s="566"/>
      <c r="X27" s="692"/>
      <c r="Y27" s="692"/>
      <c r="Z27" s="692"/>
      <c r="AA27" s="692"/>
      <c r="AB27" s="692"/>
      <c r="AC27" s="692"/>
      <c r="AD27" s="690">
        <f t="shared" si="5"/>
        <v>0</v>
      </c>
      <c r="AE27" s="692"/>
      <c r="AG27" s="22" t="s">
        <v>734</v>
      </c>
      <c r="AH27" s="566"/>
      <c r="AI27" s="566"/>
      <c r="AJ27" s="566"/>
      <c r="AK27" s="566"/>
      <c r="AL27" s="566"/>
      <c r="AM27" s="566"/>
      <c r="AN27" s="696">
        <f>VLOOKUP($AG27,'Calc2 BYR'!$C$1:$P$219,14,FALSE)</f>
        <v>20.965978199311067</v>
      </c>
      <c r="AO27" s="566"/>
      <c r="AQ27" s="692"/>
      <c r="AR27" s="692"/>
      <c r="AS27" s="692"/>
      <c r="AT27" s="692"/>
      <c r="AU27" s="692"/>
      <c r="AV27" s="692"/>
      <c r="AW27" s="690">
        <f t="shared" si="6"/>
        <v>-16.258892466638471</v>
      </c>
      <c r="AX27" s="692"/>
    </row>
    <row r="28" spans="2:50">
      <c r="B28" s="22" t="s">
        <v>602</v>
      </c>
      <c r="C28" t="s">
        <v>249</v>
      </c>
      <c r="D28" s="547" t="s">
        <v>497</v>
      </c>
      <c r="E28" s="547" t="s">
        <v>505</v>
      </c>
      <c r="F28" s="566"/>
      <c r="G28" s="566"/>
      <c r="H28" s="566"/>
      <c r="I28" s="566"/>
      <c r="J28" s="566"/>
      <c r="K28" s="566"/>
      <c r="L28" s="687">
        <f>VLOOKUP($B28,Calc!$C$1:$P$219,14,FALSE)</f>
        <v>-106.69550539458747</v>
      </c>
      <c r="M28" s="566"/>
      <c r="O28" s="566"/>
      <c r="P28" s="566"/>
      <c r="Q28" s="566"/>
      <c r="R28" s="566"/>
      <c r="S28" s="566"/>
      <c r="T28" s="566"/>
      <c r="U28" s="552">
        <f>VLOOKUP($B28,'Calc2 FD'!$C$1:$P$219,14,FALSE)</f>
        <v>-106.69550539458747</v>
      </c>
      <c r="V28" s="566"/>
      <c r="X28" s="692"/>
      <c r="Y28" s="692"/>
      <c r="Z28" s="692"/>
      <c r="AA28" s="692"/>
      <c r="AB28" s="692"/>
      <c r="AC28" s="692"/>
      <c r="AD28" s="690">
        <f t="shared" si="5"/>
        <v>0</v>
      </c>
      <c r="AE28" s="692"/>
      <c r="AG28" s="22" t="s">
        <v>735</v>
      </c>
      <c r="AH28" s="566"/>
      <c r="AI28" s="566"/>
      <c r="AJ28" s="566"/>
      <c r="AK28" s="566"/>
      <c r="AL28" s="566"/>
      <c r="AM28" s="566"/>
      <c r="AN28" s="696">
        <f>VLOOKUP($AG28,'Calc2 BYR'!$C$1:$P$219,14,FALSE)</f>
        <v>-106.1424710054379</v>
      </c>
      <c r="AO28" s="566"/>
      <c r="AQ28" s="692"/>
      <c r="AR28" s="692"/>
      <c r="AS28" s="692"/>
      <c r="AT28" s="692"/>
      <c r="AU28" s="692"/>
      <c r="AV28" s="692"/>
      <c r="AW28" s="690">
        <f t="shared" si="6"/>
        <v>0.55303438914957326</v>
      </c>
      <c r="AX28" s="692"/>
    </row>
    <row r="29" spans="2:50">
      <c r="B29" s="22" t="s">
        <v>603</v>
      </c>
      <c r="C29" t="s">
        <v>608</v>
      </c>
      <c r="D29" s="547" t="s">
        <v>497</v>
      </c>
      <c r="E29" s="547" t="s">
        <v>505</v>
      </c>
      <c r="F29" s="566"/>
      <c r="G29" s="566"/>
      <c r="H29" s="566"/>
      <c r="I29" s="566"/>
      <c r="J29" s="566"/>
      <c r="K29" s="566"/>
      <c r="L29" s="687">
        <f>VLOOKUP($B29,Calc!$C$1:$P$219,14,FALSE)</f>
        <v>-69.470634728637918</v>
      </c>
      <c r="M29" s="566"/>
      <c r="O29" s="566"/>
      <c r="P29" s="566"/>
      <c r="Q29" s="566"/>
      <c r="R29" s="566"/>
      <c r="S29" s="566"/>
      <c r="T29" s="566"/>
      <c r="U29" s="552">
        <f>VLOOKUP($B29,'Calc2 FD'!$C$1:$P$219,14,FALSE)</f>
        <v>-69.470634728637918</v>
      </c>
      <c r="V29" s="566"/>
      <c r="X29" s="692"/>
      <c r="Y29" s="692"/>
      <c r="Z29" s="692"/>
      <c r="AA29" s="692"/>
      <c r="AB29" s="692"/>
      <c r="AC29" s="692"/>
      <c r="AD29" s="690">
        <f t="shared" si="5"/>
        <v>0</v>
      </c>
      <c r="AE29" s="692"/>
      <c r="AG29" s="22" t="s">
        <v>736</v>
      </c>
      <c r="AH29" s="566"/>
      <c r="AI29" s="566"/>
      <c r="AJ29" s="566"/>
      <c r="AK29" s="566"/>
      <c r="AL29" s="566"/>
      <c r="AM29" s="566"/>
      <c r="AN29" s="696">
        <f>VLOOKUP($AG29,'Calc2 BYR'!$C$1:$P$219,14,FALSE)</f>
        <v>-85.176492806126845</v>
      </c>
      <c r="AO29" s="566"/>
      <c r="AQ29" s="692"/>
      <c r="AR29" s="692"/>
      <c r="AS29" s="692"/>
      <c r="AT29" s="692"/>
      <c r="AU29" s="692"/>
      <c r="AV29" s="692"/>
      <c r="AW29" s="690">
        <f t="shared" si="6"/>
        <v>-15.705858077488926</v>
      </c>
      <c r="AX29" s="692"/>
    </row>
    <row r="30" spans="2:50">
      <c r="B30" s="22" t="s">
        <v>611</v>
      </c>
      <c r="C30" t="s">
        <v>609</v>
      </c>
      <c r="D30" s="547" t="s">
        <v>497</v>
      </c>
      <c r="E30" s="547" t="s">
        <v>505</v>
      </c>
      <c r="F30" s="566"/>
      <c r="G30" s="566"/>
      <c r="H30" s="566"/>
      <c r="I30" s="566"/>
      <c r="J30" s="566"/>
      <c r="K30" s="566"/>
      <c r="L30" s="687">
        <f>VLOOKUP($B30,Calc!$C$1:$P$219,14,FALSE)</f>
        <v>-72.320242653420109</v>
      </c>
      <c r="M30" s="566"/>
      <c r="O30" s="566"/>
      <c r="P30" s="566"/>
      <c r="Q30" s="566"/>
      <c r="R30" s="566"/>
      <c r="S30" s="566"/>
      <c r="T30" s="566"/>
      <c r="U30" s="552">
        <f>VLOOKUP($B30,'Calc2 FD'!$C$1:$P$219,14,FALSE)</f>
        <v>-72.320242653420109</v>
      </c>
      <c r="V30" s="566"/>
      <c r="X30" s="692"/>
      <c r="Y30" s="692"/>
      <c r="Z30" s="692"/>
      <c r="AA30" s="692"/>
      <c r="AB30" s="692"/>
      <c r="AC30" s="692"/>
      <c r="AD30" s="690">
        <f t="shared" si="5"/>
        <v>0</v>
      </c>
      <c r="AE30" s="692"/>
      <c r="AG30" s="22" t="s">
        <v>737</v>
      </c>
      <c r="AH30" s="566"/>
      <c r="AI30" s="566"/>
      <c r="AJ30" s="566"/>
      <c r="AK30" s="566"/>
      <c r="AL30" s="566"/>
      <c r="AM30" s="566"/>
      <c r="AN30" s="696">
        <f>VLOOKUP($AG30,'Calc2 BYR'!$C$1:$P$219,14,FALSE)</f>
        <v>-89.988959414600103</v>
      </c>
      <c r="AO30" s="566"/>
      <c r="AQ30" s="692"/>
      <c r="AR30" s="692"/>
      <c r="AS30" s="692"/>
      <c r="AT30" s="692"/>
      <c r="AU30" s="692"/>
      <c r="AV30" s="692"/>
      <c r="AW30" s="690">
        <f>AN30-U30</f>
        <v>-17.668716761179994</v>
      </c>
      <c r="AX30" s="692"/>
    </row>
  </sheetData>
  <sheetProtection sort="0"/>
  <mergeCells count="5">
    <mergeCell ref="AQ1:AX1"/>
    <mergeCell ref="X1:AE1"/>
    <mergeCell ref="AH1:AO1"/>
    <mergeCell ref="O1:V1"/>
    <mergeCell ref="F1:M1"/>
  </mergeCells>
  <pageMargins left="0.70866141732283472" right="0.70866141732283472" top="0.74803149606299213" bottom="0.74803149606299213" header="0.31496062992125984" footer="0.31496062992125984"/>
  <pageSetup paperSize="8" scale="41" fitToHeight="0" orientation="landscape" r:id="rId1"/>
  <headerFooter>
    <oddFooter>&amp;LPL14L012 CIS v3.5
Ofwat, February 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22"/>
  <sheetViews>
    <sheetView zoomScaleNormal="100" workbookViewId="0">
      <pane xSplit="1" ySplit="4" topLeftCell="B5" activePane="bottomRight" state="frozen"/>
      <selection activeCell="A3" sqref="A3"/>
      <selection pane="topRight" activeCell="A3" sqref="A3"/>
      <selection pane="bottomLeft" activeCell="A3" sqref="A3"/>
      <selection pane="bottomRight" activeCell="A3" sqref="A3"/>
    </sheetView>
  </sheetViews>
  <sheetFormatPr defaultRowHeight="13.2"/>
  <cols>
    <col min="1" max="1" width="19.33203125" style="525" customWidth="1"/>
  </cols>
  <sheetData>
    <row r="1" spans="1:15" s="436" customFormat="1">
      <c r="A1" s="522" t="s">
        <v>255</v>
      </c>
      <c r="B1" s="522">
        <v>80</v>
      </c>
      <c r="C1" s="526">
        <v>85</v>
      </c>
      <c r="D1" s="526">
        <v>90</v>
      </c>
      <c r="E1" s="526">
        <v>95</v>
      </c>
      <c r="F1" s="526">
        <v>100</v>
      </c>
      <c r="G1" s="526">
        <v>105</v>
      </c>
      <c r="H1" s="526">
        <v>110</v>
      </c>
      <c r="I1" s="526">
        <v>115</v>
      </c>
      <c r="J1" s="526">
        <v>120</v>
      </c>
      <c r="K1" s="526">
        <v>130</v>
      </c>
      <c r="L1" s="527">
        <v>140</v>
      </c>
      <c r="M1" s="527">
        <v>150</v>
      </c>
      <c r="N1" s="527">
        <v>160</v>
      </c>
      <c r="O1" s="528">
        <v>170</v>
      </c>
    </row>
    <row r="2" spans="1:15" s="109" customFormat="1">
      <c r="A2" s="523" t="s">
        <v>52</v>
      </c>
      <c r="B2" s="258">
        <f>IF(B1&gt;'Input FD'!$O$146,'Input FD'!$O$135+'Input FD'!$O$134*'Input FD'!$O$146,IF(B1&gt;100,'Input FD'!$O$135+'Input FD'!$O$134*B1,'Input FD'!$O$126+'Input FD'!$O$125*B1))</f>
        <v>0.45000000000000007</v>
      </c>
      <c r="C2" s="259">
        <f>IF(C1&gt;'Input FD'!$O$146,'Input FD'!$O$135+'Input FD'!$O$134*'Input FD'!$O$146,IF(C1&gt;100,'Input FD'!$O$135+'Input FD'!$O$134*C1,'Input FD'!$O$126+'Input FD'!$O$125*C1))</f>
        <v>0.41250000000000009</v>
      </c>
      <c r="D2" s="259">
        <f>IF(D1&gt;'Input FD'!$O$146,'Input FD'!$O$135+'Input FD'!$O$134*'Input FD'!$O$146,IF(D1&gt;100,'Input FD'!$O$135+'Input FD'!$O$134*D1,'Input FD'!$O$126+'Input FD'!$O$125*D1))</f>
        <v>0.37500000000000011</v>
      </c>
      <c r="E2" s="259">
        <f>IF(E1&gt;'Input FD'!$O$146,'Input FD'!$O$135+'Input FD'!$O$134*'Input FD'!$O$146,IF(E1&gt;100,'Input FD'!$O$135+'Input FD'!$O$134*E1,'Input FD'!$O$126+'Input FD'!$O$125*E1))</f>
        <v>0.33750000000000002</v>
      </c>
      <c r="F2" s="259">
        <f>IF(F1&gt;'Input FD'!$O$146,'Input FD'!$O$135+'Input FD'!$O$134*'Input FD'!$O$146,IF(F1&gt;100,'Input FD'!$O$135+'Input FD'!$O$134*F1,'Input FD'!$O$126+'Input FD'!$O$125*F1))</f>
        <v>0.30000000000000004</v>
      </c>
      <c r="G2" s="259">
        <f>IF(G1&gt;'Input FD'!$O$146,'Input FD'!$O$135+'Input FD'!$O$134*'Input FD'!$O$146,IF(G1&gt;100,'Input FD'!$O$135+'Input FD'!$O$134*G1,'Input FD'!$O$126+'Input FD'!$O$125*G1))</f>
        <v>0.27500000000000002</v>
      </c>
      <c r="H2" s="259">
        <f>IF(H1&gt;'Input FD'!$O$146,'Input FD'!$O$135+'Input FD'!$O$134*'Input FD'!$O$146,IF(H1&gt;100,'Input FD'!$O$135+'Input FD'!$O$134*H1,'Input FD'!$O$126+'Input FD'!$O$125*H1))</f>
        <v>0.25</v>
      </c>
      <c r="I2" s="259">
        <f>IF(I1&gt;'Input FD'!$O$146,'Input FD'!$O$135+'Input FD'!$O$134*'Input FD'!$O$146,IF(I1&gt;100,'Input FD'!$O$135+'Input FD'!$O$134*I1,'Input FD'!$O$126+'Input FD'!$O$125*I1))</f>
        <v>0.22499999999999998</v>
      </c>
      <c r="J2" s="259">
        <f>IF(J1&gt;'Input FD'!$O$146,'Input FD'!$O$135+'Input FD'!$O$134*'Input FD'!$O$146,IF(J1&gt;100,'Input FD'!$O$135+'Input FD'!$O$134*J1,'Input FD'!$O$126+'Input FD'!$O$125*J1))</f>
        <v>0.20000000000000007</v>
      </c>
      <c r="K2" s="259">
        <f>IF(K1&gt;'Input FD'!$O$146,'Input FD'!$O$135+'Input FD'!$O$134*'Input FD'!$O$146,IF(K1&gt;100,'Input FD'!$O$135+'Input FD'!$O$134*K1,'Input FD'!$O$126+'Input FD'!$O$125*K1))</f>
        <v>0.15000000000000002</v>
      </c>
      <c r="L2" s="259">
        <f>IF(L1&gt;'Input FD'!$O$146,'Input FD'!$O$135+'Input FD'!$O$134*'Input FD'!$O$146,IF(L1&gt;100,'Input FD'!$O$135+'Input FD'!$O$134*L1,'Input FD'!$O$126+'Input FD'!$O$125*L1))</f>
        <v>0.15000000000000002</v>
      </c>
      <c r="M2" s="259">
        <f>IF(M1&gt;'Input FD'!$O$146,'Input FD'!$O$135+'Input FD'!$O$134*'Input FD'!$O$146,IF(M1&gt;100,'Input FD'!$O$135+'Input FD'!$O$134*M1,'Input FD'!$O$126+'Input FD'!$O$125*M1))</f>
        <v>0.15000000000000002</v>
      </c>
      <c r="N2" s="259">
        <f>IF(N1&gt;'Input FD'!$O$146,'Input FD'!$O$135+'Input FD'!$O$134*'Input FD'!$O$146,IF(N1&gt;100,'Input FD'!$O$135+'Input FD'!$O$134*N1,'Input FD'!$O$126+'Input FD'!$O$125*N1))</f>
        <v>0.15000000000000002</v>
      </c>
      <c r="O2" s="260">
        <f>IF(O1&gt;'Input FD'!$O$146,'Input FD'!$O$135+'Input FD'!$O$134*'Input FD'!$O$146,IF(O1&gt;100,'Input FD'!$O$135+'Input FD'!$O$134*O1,'Input FD'!$O$126+'Input FD'!$O$125*O1))</f>
        <v>0.15000000000000002</v>
      </c>
    </row>
    <row r="3" spans="1:15" s="109" customFormat="1">
      <c r="A3" s="523" t="s">
        <v>51</v>
      </c>
      <c r="B3" s="258">
        <f>IF(B1&gt;'Input FD'!$O$146,'Input FD'!$O$137+'Input FD'!$O$136*'Input FD'!$O$146,IF(B1&gt;100,'Input FD'!$O$137+'Input FD'!$O$136*B1,'Input FD'!$O$128+'Input FD'!$O$127*B1))</f>
        <v>95</v>
      </c>
      <c r="C3" s="259">
        <f>IF(C1&gt;'Input FD'!$O$146,'Input FD'!$O$137+'Input FD'!$O$136*'Input FD'!$O$146,IF(C1&gt;100,'Input FD'!$O$137+'Input FD'!$O$136*C1,'Input FD'!$O$128+'Input FD'!$O$127*C1))</f>
        <v>96.25</v>
      </c>
      <c r="D3" s="259">
        <f>IF(D1&gt;'Input FD'!$O$146,'Input FD'!$O$137+'Input FD'!$O$136*'Input FD'!$O$146,IF(D1&gt;100,'Input FD'!$O$137+'Input FD'!$O$136*D1,'Input FD'!$O$128+'Input FD'!$O$127*D1))</f>
        <v>97.5</v>
      </c>
      <c r="E3" s="259">
        <f>IF(E1&gt;'Input FD'!$O$146,'Input FD'!$O$137+'Input FD'!$O$136*'Input FD'!$O$146,IF(E1&gt;100,'Input FD'!$O$137+'Input FD'!$O$136*E1,'Input FD'!$O$128+'Input FD'!$O$127*E1))</f>
        <v>98.75</v>
      </c>
      <c r="F3" s="259">
        <f>IF(F1&gt;'Input FD'!$O$146,'Input FD'!$O$137+'Input FD'!$O$136*'Input FD'!$O$146,IF(F1&gt;100,'Input FD'!$O$137+'Input FD'!$O$136*F1,'Input FD'!$O$128+'Input FD'!$O$127*F1))</f>
        <v>100</v>
      </c>
      <c r="G3" s="259">
        <f>IF(G1&gt;'Input FD'!$O$146,'Input FD'!$O$137+'Input FD'!$O$136*'Input FD'!$O$146,IF(G1&gt;100,'Input FD'!$O$137+'Input FD'!$O$136*G1,'Input FD'!$O$128+'Input FD'!$O$127*G1))</f>
        <v>101.25</v>
      </c>
      <c r="H3" s="259">
        <f>IF(H1&gt;'Input FD'!$O$146,'Input FD'!$O$137+'Input FD'!$O$136*'Input FD'!$O$146,IF(H1&gt;100,'Input FD'!$O$137+'Input FD'!$O$136*H1,'Input FD'!$O$128+'Input FD'!$O$127*H1))</f>
        <v>102.5</v>
      </c>
      <c r="I3" s="259">
        <f>IF(I1&gt;'Input FD'!$O$146,'Input FD'!$O$137+'Input FD'!$O$136*'Input FD'!$O$146,IF(I1&gt;100,'Input FD'!$O$137+'Input FD'!$O$136*I1,'Input FD'!$O$128+'Input FD'!$O$127*I1))</f>
        <v>103.75</v>
      </c>
      <c r="J3" s="259">
        <f>IF(J1&gt;'Input FD'!$O$146,'Input FD'!$O$137+'Input FD'!$O$136*'Input FD'!$O$146,IF(J1&gt;100,'Input FD'!$O$137+'Input FD'!$O$136*J1,'Input FD'!$O$128+'Input FD'!$O$127*J1))</f>
        <v>105</v>
      </c>
      <c r="K3" s="259">
        <f>IF(K1&gt;'Input FD'!$O$146,'Input FD'!$O$137+'Input FD'!$O$136*'Input FD'!$O$146,IF(K1&gt;100,'Input FD'!$O$137+'Input FD'!$O$136*K1,'Input FD'!$O$128+'Input FD'!$O$127*K1))</f>
        <v>107.5</v>
      </c>
      <c r="L3" s="259">
        <f>IF(L1&gt;'Input FD'!$O$146,'Input FD'!$O$137+'Input FD'!$O$136*'Input FD'!$O$146,IF(L1&gt;100,'Input FD'!$O$137+'Input FD'!$O$136*L1,'Input FD'!$O$128+'Input FD'!$O$127*L1))</f>
        <v>107.5</v>
      </c>
      <c r="M3" s="259">
        <f>IF(M1&gt;'Input FD'!$O$146,'Input FD'!$O$137+'Input FD'!$O$136*'Input FD'!$O$146,IF(M1&gt;100,'Input FD'!$O$137+'Input FD'!$O$136*M1,'Input FD'!$O$128+'Input FD'!$O$127*M1))</f>
        <v>107.5</v>
      </c>
      <c r="N3" s="259">
        <f>IF(N1&gt;'Input FD'!$O$146,'Input FD'!$O$137+'Input FD'!$O$136*'Input FD'!$O$146,IF(N1&gt;100,'Input FD'!$O$137+'Input FD'!$O$136*N1,'Input FD'!$O$128+'Input FD'!$O$127*N1))</f>
        <v>107.5</v>
      </c>
      <c r="O3" s="260">
        <f>IF(O1&gt;'Input FD'!$O$146,'Input FD'!$O$137+'Input FD'!$O$136*'Input FD'!$O$146,IF(O1&gt;100,'Input FD'!$O$137+'Input FD'!$O$136*O1,'Input FD'!$O$128+'Input FD'!$O$127*O1))</f>
        <v>107.5</v>
      </c>
    </row>
    <row r="4" spans="1:15" s="109" customFormat="1">
      <c r="A4" s="523" t="s">
        <v>53</v>
      </c>
      <c r="B4" s="265">
        <f>IF(B1&gt;'Input FD'!$O$146,'Input FD'!$O$140+'Input FD'!$O$139*'Input FD'!$O$146+'Input FD'!$O$138*'Input FD'!$O$146^2-(B1-'Input FD'!$O$146)*'Input FD'!$O$143,IF(B1&gt;100,'Input FD'!$O$140+'Input FD'!$O$139*B1+'Input FD'!$O$138*B1^2,'Input FD'!$O$131+'Input FD'!$O$130*B1+'Input FD'!$O$129*B1^2))</f>
        <v>1</v>
      </c>
      <c r="C4" s="264">
        <f>IF(C1&gt;'Input FD'!$O$146,'Input FD'!$O$140+'Input FD'!$O$139*'Input FD'!$O$146+'Input FD'!$O$138*'Input FD'!$O$146^2-(C1-'Input FD'!$O$146)*'Input FD'!$O$143,IF(C1&gt;100,'Input FD'!$O$140+'Input FD'!$O$139*C1+'Input FD'!$O$138*C1^2,'Input FD'!$O$131+'Input FD'!$O$130*C1+'Input FD'!$O$129*C1^2))</f>
        <v>0.89062499999999645</v>
      </c>
      <c r="D4" s="264">
        <f>IF(D1&gt;'Input FD'!$O$146,'Input FD'!$O$140+'Input FD'!$O$139*'Input FD'!$O$146+'Input FD'!$O$138*'Input FD'!$O$146^2-(D1-'Input FD'!$O$146)*'Input FD'!$O$143,IF(D1&gt;100,'Input FD'!$O$140+'Input FD'!$O$139*D1+'Input FD'!$O$138*D1^2,'Input FD'!$O$131+'Input FD'!$O$130*D1+'Input FD'!$O$129*D1^2))</f>
        <v>0.68749999999999645</v>
      </c>
      <c r="E4" s="264">
        <f>IF(E1&gt;'Input FD'!$O$146,'Input FD'!$O$140+'Input FD'!$O$139*'Input FD'!$O$146+'Input FD'!$O$138*'Input FD'!$O$146^2-(E1-'Input FD'!$O$146)*'Input FD'!$O$143,IF(E1&gt;100,'Input FD'!$O$140+'Input FD'!$O$139*E1+'Input FD'!$O$138*E1^2,'Input FD'!$O$131+'Input FD'!$O$130*E1+'Input FD'!$O$129*E1^2))</f>
        <v>0.39062499999999645</v>
      </c>
      <c r="F4" s="264">
        <f>IF(F1&gt;'Input FD'!$O$146,'Input FD'!$O$140+'Input FD'!$O$139*'Input FD'!$O$146+'Input FD'!$O$138*'Input FD'!$O$146^2-(F1-'Input FD'!$O$146)*'Input FD'!$O$143,IF(F1&gt;100,'Input FD'!$O$140+'Input FD'!$O$139*F1+'Input FD'!$O$138*F1^2,'Input FD'!$O$131+'Input FD'!$O$130*F1+'Input FD'!$O$129*F1^2))</f>
        <v>-3.5527136788005009E-15</v>
      </c>
      <c r="G4" s="264">
        <f>IF(G1&gt;'Input FD'!$O$146,'Input FD'!$O$140+'Input FD'!$O$139*'Input FD'!$O$146+'Input FD'!$O$138*'Input FD'!$O$146^2-(G1-'Input FD'!$O$146)*'Input FD'!$O$143,IF(G1&gt;100,'Input FD'!$O$140+'Input FD'!$O$139*G1+'Input FD'!$O$138*G1^2,'Input FD'!$O$131+'Input FD'!$O$130*G1+'Input FD'!$O$129*G1^2))</f>
        <v>-0.40625</v>
      </c>
      <c r="H4" s="264">
        <f>IF(H1&gt;'Input FD'!$O$146,'Input FD'!$O$140+'Input FD'!$O$139*'Input FD'!$O$146+'Input FD'!$O$138*'Input FD'!$O$146^2-(H1-'Input FD'!$O$146)*'Input FD'!$O$143,IF(H1&gt;100,'Input FD'!$O$140+'Input FD'!$O$139*H1+'Input FD'!$O$138*H1^2,'Input FD'!$O$131+'Input FD'!$O$130*H1+'Input FD'!$O$129*H1^2))</f>
        <v>-0.875</v>
      </c>
      <c r="I4" s="264">
        <f>IF(I1&gt;'Input FD'!$O$146,'Input FD'!$O$140+'Input FD'!$O$139*'Input FD'!$O$146+'Input FD'!$O$138*'Input FD'!$O$146^2-(I1-'Input FD'!$O$146)*'Input FD'!$O$143,IF(I1&gt;100,'Input FD'!$O$140+'Input FD'!$O$139*I1+'Input FD'!$O$138*I1^2,'Input FD'!$O$131+'Input FD'!$O$130*I1+'Input FD'!$O$129*I1^2))</f>
        <v>-1.40625</v>
      </c>
      <c r="J4" s="264">
        <f>IF(J1&gt;'Input FD'!$O$146,'Input FD'!$O$140+'Input FD'!$O$139*'Input FD'!$O$146+'Input FD'!$O$138*'Input FD'!$O$146^2-(J1-'Input FD'!$O$146)*'Input FD'!$O$143,IF(J1&gt;100,'Input FD'!$O$140+'Input FD'!$O$139*J1+'Input FD'!$O$138*J1^2,'Input FD'!$O$131+'Input FD'!$O$130*J1+'Input FD'!$O$129*J1^2))</f>
        <v>-2</v>
      </c>
      <c r="K4" s="264">
        <f>IF(K1&gt;'Input FD'!$O$146,'Input FD'!$O$140+'Input FD'!$O$139*'Input FD'!$O$146+'Input FD'!$O$138*'Input FD'!$O$146^2-(K1-'Input FD'!$O$146)*'Input FD'!$O$143,IF(K1&gt;100,'Input FD'!$O$140+'Input FD'!$O$139*K1+'Input FD'!$O$138*K1^2,'Input FD'!$O$131+'Input FD'!$O$130*K1+'Input FD'!$O$129*K1^2))</f>
        <v>-3.375</v>
      </c>
      <c r="L4" s="268">
        <f>IF(L1&gt;'Input FD'!$O$146,'Input FD'!$O$140+'Input FD'!$O$139*'Input FD'!$O$146+'Input FD'!$O$138*'Input FD'!$O$146^2-(L1-'Input FD'!$O$146)*'Input FD'!$O$143,IF(L1&gt;100,'Input FD'!$O$140+'Input FD'!$O$139*L1+'Input FD'!$O$138*L1^2,'Input FD'!$O$131+'Input FD'!$O$130*L1+'Input FD'!$O$129*L1^2))</f>
        <v>-3.875</v>
      </c>
      <c r="M4" s="268">
        <f>IF(M1&gt;'Input FD'!$O$146,'Input FD'!$O$140+'Input FD'!$O$139*'Input FD'!$O$146+'Input FD'!$O$138*'Input FD'!$O$146^2-(M1-'Input FD'!$O$146)*'Input FD'!$O$143,IF(M1&gt;100,'Input FD'!$O$140+'Input FD'!$O$139*M1+'Input FD'!$O$138*M1^2,'Input FD'!$O$131+'Input FD'!$O$130*M1+'Input FD'!$O$129*M1^2))</f>
        <v>-4.375</v>
      </c>
      <c r="N4" s="268">
        <f>IF(N1&gt;'Input FD'!$O$146,'Input FD'!$O$140+'Input FD'!$O$139*'Input FD'!$O$146+'Input FD'!$O$138*'Input FD'!$O$146^2-(N1-'Input FD'!$O$146)*'Input FD'!$O$143,IF(N1&gt;100,'Input FD'!$O$140+'Input FD'!$O$139*N1+'Input FD'!$O$138*N1^2,'Input FD'!$O$131+'Input FD'!$O$130*N1+'Input FD'!$O$129*N1^2))</f>
        <v>-4.875</v>
      </c>
      <c r="O4" s="271">
        <f>IF(O1&gt;'Input FD'!$O$146,'Input FD'!$O$140+'Input FD'!$O$139*'Input FD'!$O$146+'Input FD'!$O$138*'Input FD'!$O$146^2-(O1-'Input FD'!$O$146)*'Input FD'!$O$143,IF(O1&gt;100,'Input FD'!$O$140+'Input FD'!$O$139*O1+'Input FD'!$O$138*O1^2,'Input FD'!$O$131+'Input FD'!$O$130*O1+'Input FD'!$O$129*O1^2))</f>
        <v>-5.375</v>
      </c>
    </row>
    <row r="5" spans="1:15" s="109" customFormat="1" ht="12.75" customHeight="1">
      <c r="A5" s="522">
        <v>70</v>
      </c>
      <c r="B5" s="261">
        <f t="shared" ref="B5:O19" si="0">(B$3-$A5)*B$2+B$4</f>
        <v>12.250000000000002</v>
      </c>
      <c r="C5" s="262">
        <f t="shared" si="0"/>
        <v>11.718749999999998</v>
      </c>
      <c r="D5" s="262">
        <f t="shared" si="0"/>
        <v>11</v>
      </c>
      <c r="E5" s="262">
        <f t="shared" si="0"/>
        <v>10.093749999999996</v>
      </c>
      <c r="F5" s="262">
        <f t="shared" si="0"/>
        <v>8.9999999999999982</v>
      </c>
      <c r="G5" s="262">
        <f t="shared" si="0"/>
        <v>8.1875</v>
      </c>
      <c r="H5" s="262">
        <f t="shared" si="0"/>
        <v>7.25</v>
      </c>
      <c r="I5" s="262">
        <f t="shared" si="0"/>
        <v>6.1874999999999991</v>
      </c>
      <c r="J5" s="262">
        <f t="shared" si="0"/>
        <v>5.0000000000000027</v>
      </c>
      <c r="K5" s="262">
        <f t="shared" si="0"/>
        <v>2.2500000000000009</v>
      </c>
      <c r="L5" s="264">
        <f t="shared" si="0"/>
        <v>1.7500000000000009</v>
      </c>
      <c r="M5" s="264">
        <f t="shared" si="0"/>
        <v>1.2500000000000009</v>
      </c>
      <c r="N5" s="264">
        <f t="shared" si="0"/>
        <v>0.75000000000000089</v>
      </c>
      <c r="O5" s="272">
        <f t="shared" si="0"/>
        <v>0.25000000000000089</v>
      </c>
    </row>
    <row r="6" spans="1:15" s="109" customFormat="1">
      <c r="A6" s="523">
        <v>80</v>
      </c>
      <c r="B6" s="263">
        <f t="shared" si="0"/>
        <v>7.7500000000000009</v>
      </c>
      <c r="C6" s="264">
        <f t="shared" si="0"/>
        <v>7.5937499999999982</v>
      </c>
      <c r="D6" s="264">
        <f t="shared" si="0"/>
        <v>7.2499999999999982</v>
      </c>
      <c r="E6" s="264">
        <f t="shared" si="0"/>
        <v>6.7187499999999964</v>
      </c>
      <c r="F6" s="264">
        <f t="shared" si="0"/>
        <v>5.9999999999999973</v>
      </c>
      <c r="G6" s="264">
        <f t="shared" si="0"/>
        <v>5.4375000000000009</v>
      </c>
      <c r="H6" s="264">
        <f t="shared" si="0"/>
        <v>4.75</v>
      </c>
      <c r="I6" s="264">
        <f t="shared" si="0"/>
        <v>3.9374999999999991</v>
      </c>
      <c r="J6" s="264">
        <f t="shared" si="0"/>
        <v>3.0000000000000018</v>
      </c>
      <c r="K6" s="264">
        <f t="shared" si="0"/>
        <v>0.75000000000000089</v>
      </c>
      <c r="L6" s="264">
        <f t="shared" si="0"/>
        <v>0.25000000000000089</v>
      </c>
      <c r="M6" s="264">
        <f t="shared" si="0"/>
        <v>-0.24999999999999911</v>
      </c>
      <c r="N6" s="264">
        <f t="shared" si="0"/>
        <v>-0.74999999999999911</v>
      </c>
      <c r="O6" s="272">
        <f t="shared" si="0"/>
        <v>-1.2499999999999991</v>
      </c>
    </row>
    <row r="7" spans="1:15" s="109" customFormat="1">
      <c r="A7" s="523">
        <v>85</v>
      </c>
      <c r="B7" s="265">
        <f t="shared" si="0"/>
        <v>5.5000000000000009</v>
      </c>
      <c r="C7" s="266">
        <f t="shared" si="0"/>
        <v>5.5312499999999973</v>
      </c>
      <c r="D7" s="264">
        <f t="shared" si="0"/>
        <v>5.3749999999999982</v>
      </c>
      <c r="E7" s="264">
        <f t="shared" si="0"/>
        <v>5.0312499999999964</v>
      </c>
      <c r="F7" s="264">
        <f t="shared" si="0"/>
        <v>4.4999999999999973</v>
      </c>
      <c r="G7" s="264">
        <f t="shared" si="0"/>
        <v>4.0625</v>
      </c>
      <c r="H7" s="264">
        <f t="shared" si="0"/>
        <v>3.5</v>
      </c>
      <c r="I7" s="264">
        <f t="shared" si="0"/>
        <v>2.8125</v>
      </c>
      <c r="J7" s="264">
        <f t="shared" si="0"/>
        <v>2.0000000000000018</v>
      </c>
      <c r="K7" s="264">
        <f t="shared" si="0"/>
        <v>0</v>
      </c>
      <c r="L7" s="264">
        <f t="shared" si="0"/>
        <v>-0.49999999999999956</v>
      </c>
      <c r="M7" s="264">
        <f t="shared" si="0"/>
        <v>-0.99999999999999956</v>
      </c>
      <c r="N7" s="264">
        <f t="shared" si="0"/>
        <v>-1.4999999999999996</v>
      </c>
      <c r="O7" s="272">
        <f t="shared" si="0"/>
        <v>-1.9999999999999996</v>
      </c>
    </row>
    <row r="8" spans="1:15" s="109" customFormat="1">
      <c r="A8" s="523">
        <v>90</v>
      </c>
      <c r="B8" s="265">
        <f t="shared" si="0"/>
        <v>3.2500000000000004</v>
      </c>
      <c r="C8" s="264">
        <f t="shared" si="0"/>
        <v>3.4687499999999969</v>
      </c>
      <c r="D8" s="266">
        <f t="shared" si="0"/>
        <v>3.4999999999999973</v>
      </c>
      <c r="E8" s="264">
        <f t="shared" si="0"/>
        <v>3.3437499999999964</v>
      </c>
      <c r="F8" s="264">
        <f t="shared" si="0"/>
        <v>2.9999999999999969</v>
      </c>
      <c r="G8" s="264">
        <f t="shared" si="0"/>
        <v>2.6875000000000004</v>
      </c>
      <c r="H8" s="264">
        <f t="shared" si="0"/>
        <v>2.25</v>
      </c>
      <c r="I8" s="264">
        <f t="shared" si="0"/>
        <v>1.6874999999999996</v>
      </c>
      <c r="J8" s="264">
        <f t="shared" si="0"/>
        <v>1.0000000000000009</v>
      </c>
      <c r="K8" s="264">
        <f t="shared" si="0"/>
        <v>-0.74999999999999956</v>
      </c>
      <c r="L8" s="264">
        <f t="shared" si="0"/>
        <v>-1.2499999999999996</v>
      </c>
      <c r="M8" s="264">
        <f t="shared" si="0"/>
        <v>-1.7499999999999996</v>
      </c>
      <c r="N8" s="264">
        <f t="shared" si="0"/>
        <v>-2.2499999999999996</v>
      </c>
      <c r="O8" s="272">
        <f t="shared" si="0"/>
        <v>-2.7499999999999996</v>
      </c>
    </row>
    <row r="9" spans="1:15" s="109" customFormat="1">
      <c r="A9" s="523">
        <v>95</v>
      </c>
      <c r="B9" s="265">
        <f t="shared" si="0"/>
        <v>1</v>
      </c>
      <c r="C9" s="264">
        <f t="shared" si="0"/>
        <v>1.4062499999999964</v>
      </c>
      <c r="D9" s="264">
        <f t="shared" si="0"/>
        <v>1.6249999999999967</v>
      </c>
      <c r="E9" s="266">
        <f t="shared" si="0"/>
        <v>1.6562499999999964</v>
      </c>
      <c r="F9" s="264">
        <f t="shared" si="0"/>
        <v>1.4999999999999967</v>
      </c>
      <c r="G9" s="264">
        <f t="shared" si="0"/>
        <v>1.3125000000000002</v>
      </c>
      <c r="H9" s="264">
        <f t="shared" si="0"/>
        <v>1</v>
      </c>
      <c r="I9" s="264">
        <f t="shared" si="0"/>
        <v>0.56249999999999978</v>
      </c>
      <c r="J9" s="264">
        <f t="shared" si="0"/>
        <v>0</v>
      </c>
      <c r="K9" s="264">
        <f t="shared" si="0"/>
        <v>-1.4999999999999998</v>
      </c>
      <c r="L9" s="264">
        <f t="shared" si="0"/>
        <v>-1.9999999999999998</v>
      </c>
      <c r="M9" s="264">
        <f t="shared" si="0"/>
        <v>-2.5</v>
      </c>
      <c r="N9" s="264">
        <f t="shared" si="0"/>
        <v>-3</v>
      </c>
      <c r="O9" s="272">
        <f t="shared" si="0"/>
        <v>-3.5</v>
      </c>
    </row>
    <row r="10" spans="1:15" s="109" customFormat="1">
      <c r="A10" s="523">
        <v>100</v>
      </c>
      <c r="B10" s="265">
        <f t="shared" si="0"/>
        <v>-1.2500000000000004</v>
      </c>
      <c r="C10" s="264">
        <f t="shared" si="0"/>
        <v>-0.656250000000004</v>
      </c>
      <c r="D10" s="264">
        <f t="shared" si="0"/>
        <v>-0.25000000000000377</v>
      </c>
      <c r="E10" s="264">
        <f t="shared" si="0"/>
        <v>-3.1250000000003553E-2</v>
      </c>
      <c r="F10" s="266">
        <f t="shared" si="0"/>
        <v>-3.5527136788005009E-15</v>
      </c>
      <c r="G10" s="264">
        <f t="shared" si="0"/>
        <v>-6.25E-2</v>
      </c>
      <c r="H10" s="264">
        <f t="shared" si="0"/>
        <v>-0.25</v>
      </c>
      <c r="I10" s="264">
        <f t="shared" si="0"/>
        <v>-0.56250000000000011</v>
      </c>
      <c r="J10" s="264">
        <f t="shared" si="0"/>
        <v>-0.99999999999999956</v>
      </c>
      <c r="K10" s="264">
        <f t="shared" si="0"/>
        <v>-2.25</v>
      </c>
      <c r="L10" s="264">
        <f t="shared" si="0"/>
        <v>-2.75</v>
      </c>
      <c r="M10" s="264">
        <f t="shared" si="0"/>
        <v>-3.25</v>
      </c>
      <c r="N10" s="264">
        <f t="shared" si="0"/>
        <v>-3.75</v>
      </c>
      <c r="O10" s="272">
        <f t="shared" si="0"/>
        <v>-4.25</v>
      </c>
    </row>
    <row r="11" spans="1:15" s="109" customFormat="1">
      <c r="A11" s="523">
        <v>105</v>
      </c>
      <c r="B11" s="265">
        <f t="shared" si="0"/>
        <v>-3.5000000000000009</v>
      </c>
      <c r="C11" s="264">
        <f t="shared" si="0"/>
        <v>-2.7187500000000044</v>
      </c>
      <c r="D11" s="264">
        <f t="shared" si="0"/>
        <v>-2.1250000000000044</v>
      </c>
      <c r="E11" s="264">
        <f t="shared" si="0"/>
        <v>-1.7187500000000036</v>
      </c>
      <c r="F11" s="264">
        <f t="shared" si="0"/>
        <v>-1.5000000000000038</v>
      </c>
      <c r="G11" s="266">
        <f t="shared" si="0"/>
        <v>-1.4375</v>
      </c>
      <c r="H11" s="264">
        <f t="shared" si="0"/>
        <v>-1.5</v>
      </c>
      <c r="I11" s="264">
        <f t="shared" si="0"/>
        <v>-1.6875</v>
      </c>
      <c r="J11" s="264">
        <f t="shared" si="0"/>
        <v>-2</v>
      </c>
      <c r="K11" s="264">
        <f t="shared" si="0"/>
        <v>-3</v>
      </c>
      <c r="L11" s="264">
        <f t="shared" si="0"/>
        <v>-3.5</v>
      </c>
      <c r="M11" s="264">
        <f t="shared" si="0"/>
        <v>-4</v>
      </c>
      <c r="N11" s="264">
        <f t="shared" si="0"/>
        <v>-4.5</v>
      </c>
      <c r="O11" s="272">
        <f t="shared" si="0"/>
        <v>-5</v>
      </c>
    </row>
    <row r="12" spans="1:15" s="109" customFormat="1">
      <c r="A12" s="523">
        <v>110</v>
      </c>
      <c r="B12" s="265">
        <f t="shared" si="0"/>
        <v>-5.7500000000000009</v>
      </c>
      <c r="C12" s="264">
        <f t="shared" si="0"/>
        <v>-4.7812500000000044</v>
      </c>
      <c r="D12" s="264">
        <f t="shared" si="0"/>
        <v>-4.0000000000000053</v>
      </c>
      <c r="E12" s="264">
        <f t="shared" si="0"/>
        <v>-3.406250000000004</v>
      </c>
      <c r="F12" s="264">
        <f t="shared" si="0"/>
        <v>-3.000000000000004</v>
      </c>
      <c r="G12" s="264">
        <f t="shared" si="0"/>
        <v>-2.8125</v>
      </c>
      <c r="H12" s="266">
        <f t="shared" si="0"/>
        <v>-2.75</v>
      </c>
      <c r="I12" s="264">
        <f t="shared" si="0"/>
        <v>-2.8125</v>
      </c>
      <c r="J12" s="264">
        <f t="shared" si="0"/>
        <v>-3.0000000000000004</v>
      </c>
      <c r="K12" s="264">
        <f t="shared" si="0"/>
        <v>-3.75</v>
      </c>
      <c r="L12" s="264">
        <f t="shared" si="0"/>
        <v>-4.25</v>
      </c>
      <c r="M12" s="264">
        <f t="shared" si="0"/>
        <v>-4.75</v>
      </c>
      <c r="N12" s="264">
        <f t="shared" si="0"/>
        <v>-5.25</v>
      </c>
      <c r="O12" s="272">
        <f t="shared" si="0"/>
        <v>-5.75</v>
      </c>
    </row>
    <row r="13" spans="1:15" s="109" customFormat="1">
      <c r="A13" s="523">
        <v>115</v>
      </c>
      <c r="B13" s="265">
        <f t="shared" si="0"/>
        <v>-8.0000000000000018</v>
      </c>
      <c r="C13" s="264">
        <f t="shared" si="0"/>
        <v>-6.8437500000000053</v>
      </c>
      <c r="D13" s="264">
        <f t="shared" si="0"/>
        <v>-5.8750000000000053</v>
      </c>
      <c r="E13" s="264">
        <f t="shared" si="0"/>
        <v>-5.0937500000000036</v>
      </c>
      <c r="F13" s="264">
        <f t="shared" si="0"/>
        <v>-4.5000000000000044</v>
      </c>
      <c r="G13" s="264">
        <f t="shared" si="0"/>
        <v>-4.1875</v>
      </c>
      <c r="H13" s="264">
        <f t="shared" si="0"/>
        <v>-4</v>
      </c>
      <c r="I13" s="266">
        <f t="shared" si="0"/>
        <v>-3.9374999999999996</v>
      </c>
      <c r="J13" s="264">
        <f t="shared" si="0"/>
        <v>-4.0000000000000009</v>
      </c>
      <c r="K13" s="264">
        <f t="shared" si="0"/>
        <v>-4.5</v>
      </c>
      <c r="L13" s="264">
        <f t="shared" si="0"/>
        <v>-5</v>
      </c>
      <c r="M13" s="264">
        <f t="shared" si="0"/>
        <v>-5.5</v>
      </c>
      <c r="N13" s="264">
        <f t="shared" si="0"/>
        <v>-6</v>
      </c>
      <c r="O13" s="272">
        <f t="shared" si="0"/>
        <v>-6.5</v>
      </c>
    </row>
    <row r="14" spans="1:15" s="109" customFormat="1">
      <c r="A14" s="523">
        <v>120</v>
      </c>
      <c r="B14" s="265">
        <f t="shared" si="0"/>
        <v>-10.250000000000002</v>
      </c>
      <c r="C14" s="264">
        <f t="shared" si="0"/>
        <v>-8.9062500000000053</v>
      </c>
      <c r="D14" s="264">
        <f t="shared" si="0"/>
        <v>-7.7500000000000053</v>
      </c>
      <c r="E14" s="264">
        <f t="shared" si="0"/>
        <v>-6.7812500000000044</v>
      </c>
      <c r="F14" s="264">
        <f t="shared" si="0"/>
        <v>-6.0000000000000044</v>
      </c>
      <c r="G14" s="264">
        <f t="shared" si="0"/>
        <v>-5.5625</v>
      </c>
      <c r="H14" s="264">
        <f t="shared" si="0"/>
        <v>-5.25</v>
      </c>
      <c r="I14" s="264">
        <f t="shared" si="0"/>
        <v>-5.0625</v>
      </c>
      <c r="J14" s="266">
        <f t="shared" si="0"/>
        <v>-5.0000000000000009</v>
      </c>
      <c r="K14" s="264">
        <f t="shared" si="0"/>
        <v>-5.25</v>
      </c>
      <c r="L14" s="264">
        <f t="shared" si="0"/>
        <v>-5.75</v>
      </c>
      <c r="M14" s="264">
        <f t="shared" si="0"/>
        <v>-6.25</v>
      </c>
      <c r="N14" s="264">
        <f t="shared" si="0"/>
        <v>-6.75</v>
      </c>
      <c r="O14" s="272">
        <f t="shared" si="0"/>
        <v>-7.25</v>
      </c>
    </row>
    <row r="15" spans="1:15" s="109" customFormat="1">
      <c r="A15" s="523">
        <v>130</v>
      </c>
      <c r="B15" s="265">
        <f t="shared" si="0"/>
        <v>-14.750000000000002</v>
      </c>
      <c r="C15" s="264">
        <f t="shared" si="0"/>
        <v>-13.031250000000007</v>
      </c>
      <c r="D15" s="264">
        <f t="shared" si="0"/>
        <v>-11.500000000000007</v>
      </c>
      <c r="E15" s="264">
        <f t="shared" si="0"/>
        <v>-10.156250000000004</v>
      </c>
      <c r="F15" s="264">
        <f t="shared" si="0"/>
        <v>-9.0000000000000053</v>
      </c>
      <c r="G15" s="264">
        <f t="shared" si="0"/>
        <v>-8.3125</v>
      </c>
      <c r="H15" s="264">
        <f t="shared" si="0"/>
        <v>-7.75</v>
      </c>
      <c r="I15" s="264">
        <f t="shared" si="0"/>
        <v>-7.3124999999999991</v>
      </c>
      <c r="J15" s="264">
        <f t="shared" si="0"/>
        <v>-7.0000000000000018</v>
      </c>
      <c r="K15" s="266">
        <f t="shared" si="0"/>
        <v>-6.75</v>
      </c>
      <c r="L15" s="264">
        <f t="shared" si="0"/>
        <v>-7.25</v>
      </c>
      <c r="M15" s="264">
        <f t="shared" si="0"/>
        <v>-7.75</v>
      </c>
      <c r="N15" s="264">
        <f t="shared" si="0"/>
        <v>-8.25</v>
      </c>
      <c r="O15" s="272">
        <f t="shared" si="0"/>
        <v>-8.75</v>
      </c>
    </row>
    <row r="16" spans="1:15" s="109" customFormat="1">
      <c r="A16" s="523">
        <v>140</v>
      </c>
      <c r="B16" s="265">
        <f t="shared" si="0"/>
        <v>-19.250000000000004</v>
      </c>
      <c r="C16" s="264">
        <f t="shared" si="0"/>
        <v>-17.156250000000007</v>
      </c>
      <c r="D16" s="264">
        <f t="shared" si="0"/>
        <v>-15.250000000000009</v>
      </c>
      <c r="E16" s="264">
        <f t="shared" si="0"/>
        <v>-13.531250000000005</v>
      </c>
      <c r="F16" s="264">
        <f t="shared" si="0"/>
        <v>-12.000000000000005</v>
      </c>
      <c r="G16" s="264">
        <f t="shared" si="0"/>
        <v>-11.0625</v>
      </c>
      <c r="H16" s="264">
        <f t="shared" si="0"/>
        <v>-10.25</v>
      </c>
      <c r="I16" s="264">
        <f t="shared" si="0"/>
        <v>-9.5625</v>
      </c>
      <c r="J16" s="264">
        <f t="shared" si="0"/>
        <v>-9.0000000000000036</v>
      </c>
      <c r="K16" s="264">
        <f t="shared" si="0"/>
        <v>-8.25</v>
      </c>
      <c r="L16" s="266">
        <f t="shared" si="0"/>
        <v>-8.75</v>
      </c>
      <c r="M16" s="264">
        <f t="shared" si="0"/>
        <v>-9.25</v>
      </c>
      <c r="N16" s="264">
        <f t="shared" si="0"/>
        <v>-9.75</v>
      </c>
      <c r="O16" s="272">
        <f t="shared" si="0"/>
        <v>-10.25</v>
      </c>
    </row>
    <row r="17" spans="1:15" s="109" customFormat="1">
      <c r="A17" s="523">
        <v>150</v>
      </c>
      <c r="B17" s="265">
        <f t="shared" si="0"/>
        <v>-23.750000000000004</v>
      </c>
      <c r="C17" s="264">
        <f t="shared" si="0"/>
        <v>-21.281250000000007</v>
      </c>
      <c r="D17" s="264">
        <f t="shared" si="0"/>
        <v>-19.000000000000011</v>
      </c>
      <c r="E17" s="264">
        <f t="shared" si="0"/>
        <v>-16.906250000000004</v>
      </c>
      <c r="F17" s="264">
        <f t="shared" si="0"/>
        <v>-15.000000000000005</v>
      </c>
      <c r="G17" s="264">
        <f t="shared" si="0"/>
        <v>-13.812500000000002</v>
      </c>
      <c r="H17" s="264">
        <f t="shared" si="0"/>
        <v>-12.75</v>
      </c>
      <c r="I17" s="264">
        <f t="shared" si="0"/>
        <v>-11.812499999999998</v>
      </c>
      <c r="J17" s="264">
        <f t="shared" si="0"/>
        <v>-11.000000000000004</v>
      </c>
      <c r="K17" s="264">
        <f t="shared" si="0"/>
        <v>-9.75</v>
      </c>
      <c r="L17" s="264">
        <f t="shared" si="0"/>
        <v>-10.25</v>
      </c>
      <c r="M17" s="266">
        <f t="shared" si="0"/>
        <v>-10.75</v>
      </c>
      <c r="N17" s="264">
        <f t="shared" si="0"/>
        <v>-11.25</v>
      </c>
      <c r="O17" s="272">
        <f t="shared" si="0"/>
        <v>-11.75</v>
      </c>
    </row>
    <row r="18" spans="1:15" s="109" customFormat="1">
      <c r="A18" s="523">
        <v>160</v>
      </c>
      <c r="B18" s="265">
        <f t="shared" si="0"/>
        <v>-28.250000000000004</v>
      </c>
      <c r="C18" s="264">
        <f t="shared" si="0"/>
        <v>-25.406250000000011</v>
      </c>
      <c r="D18" s="264">
        <f t="shared" si="0"/>
        <v>-22.750000000000011</v>
      </c>
      <c r="E18" s="264">
        <f t="shared" si="0"/>
        <v>-20.281250000000004</v>
      </c>
      <c r="F18" s="264">
        <f t="shared" si="0"/>
        <v>-18.000000000000007</v>
      </c>
      <c r="G18" s="264">
        <f t="shared" si="0"/>
        <v>-16.5625</v>
      </c>
      <c r="H18" s="264">
        <f t="shared" si="0"/>
        <v>-15.25</v>
      </c>
      <c r="I18" s="264">
        <f t="shared" si="0"/>
        <v>-14.062499999999998</v>
      </c>
      <c r="J18" s="264">
        <f t="shared" si="0"/>
        <v>-13.000000000000004</v>
      </c>
      <c r="K18" s="264">
        <f t="shared" si="0"/>
        <v>-11.25</v>
      </c>
      <c r="L18" s="264">
        <f t="shared" si="0"/>
        <v>-11.75</v>
      </c>
      <c r="M18" s="264">
        <f t="shared" si="0"/>
        <v>-12.25</v>
      </c>
      <c r="N18" s="266">
        <f t="shared" si="0"/>
        <v>-12.75</v>
      </c>
      <c r="O18" s="272">
        <f t="shared" si="0"/>
        <v>-13.25</v>
      </c>
    </row>
    <row r="19" spans="1:15" s="109" customFormat="1">
      <c r="A19" s="524">
        <v>170</v>
      </c>
      <c r="B19" s="267">
        <f t="shared" si="0"/>
        <v>-32.750000000000007</v>
      </c>
      <c r="C19" s="268">
        <f t="shared" si="0"/>
        <v>-29.531250000000011</v>
      </c>
      <c r="D19" s="268">
        <f t="shared" si="0"/>
        <v>-26.500000000000011</v>
      </c>
      <c r="E19" s="268">
        <f t="shared" si="0"/>
        <v>-23.656250000000004</v>
      </c>
      <c r="F19" s="268">
        <f t="shared" si="0"/>
        <v>-21.000000000000007</v>
      </c>
      <c r="G19" s="268">
        <f t="shared" si="0"/>
        <v>-19.3125</v>
      </c>
      <c r="H19" s="268">
        <f t="shared" si="0"/>
        <v>-17.75</v>
      </c>
      <c r="I19" s="268">
        <f t="shared" si="0"/>
        <v>-16.3125</v>
      </c>
      <c r="J19" s="268">
        <f t="shared" si="0"/>
        <v>-15.000000000000004</v>
      </c>
      <c r="K19" s="268">
        <f t="shared" si="0"/>
        <v>-12.750000000000002</v>
      </c>
      <c r="L19" s="268">
        <f t="shared" si="0"/>
        <v>-13.250000000000002</v>
      </c>
      <c r="M19" s="268">
        <f t="shared" si="0"/>
        <v>-13.750000000000002</v>
      </c>
      <c r="N19" s="268">
        <f t="shared" si="0"/>
        <v>-14.250000000000002</v>
      </c>
      <c r="O19" s="269">
        <f t="shared" si="0"/>
        <v>-14.750000000000002</v>
      </c>
    </row>
    <row r="20" spans="1:15" s="109" customFormat="1">
      <c r="A20" s="436"/>
      <c r="K20" s="104"/>
      <c r="L20" s="279"/>
    </row>
    <row r="21" spans="1:15">
      <c r="K21" s="19"/>
      <c r="L21" s="280"/>
      <c r="M21" s="280"/>
    </row>
    <row r="22" spans="1:15">
      <c r="K22" s="19"/>
    </row>
  </sheetData>
  <phoneticPr fontId="12" type="noConversion"/>
  <pageMargins left="0.74803149606299213" right="0.74803149606299213" top="0.98425196850393704" bottom="0.98425196850393704" header="0.51181102362204722" footer="0.51181102362204722"/>
  <pageSetup paperSize="9" scale="92" orientation="landscape" r:id="rId1"/>
  <headerFooter alignWithMargins="0">
    <oddHeader>&amp;C&amp;"Arial,Bold"&amp;14&amp;K04+000CIS matrix</oddHeader>
    <oddFooter>&amp;LPL14L012 CIS</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57"/>
  <sheetViews>
    <sheetView tabSelected="1" zoomScale="70" zoomScaleNormal="70" workbookViewId="0">
      <pane ySplit="2" topLeftCell="A3" activePane="bottomLeft" state="frozen"/>
      <selection activeCell="A3" sqref="A3"/>
      <selection pane="bottomLeft" activeCell="A3" sqref="A3"/>
    </sheetView>
  </sheetViews>
  <sheetFormatPr defaultRowHeight="13.2"/>
  <cols>
    <col min="1" max="1" width="8.6640625" customWidth="1"/>
    <col min="2" max="2" width="12.33203125" customWidth="1"/>
    <col min="3" max="3" width="42" customWidth="1"/>
    <col min="4" max="4" width="3.5546875" customWidth="1"/>
    <col min="5" max="5" width="28.21875" customWidth="1"/>
    <col min="6" max="6" width="8.21875" bestFit="1" customWidth="1"/>
    <col min="7" max="10" width="8.21875" customWidth="1"/>
    <col min="11" max="11" width="8.5546875" customWidth="1"/>
    <col min="12" max="12" width="8.21875" bestFit="1" customWidth="1"/>
    <col min="13" max="13" width="8.5546875" customWidth="1"/>
  </cols>
  <sheetData>
    <row r="1" spans="1:13">
      <c r="A1" s="548"/>
      <c r="B1" s="548"/>
      <c r="C1" s="548" t="s">
        <v>820</v>
      </c>
      <c r="D1" s="548"/>
      <c r="E1" s="548"/>
      <c r="F1" s="685"/>
    </row>
    <row r="2" spans="1:13">
      <c r="A2" s="549" t="s">
        <v>492</v>
      </c>
      <c r="B2" s="549" t="s">
        <v>493</v>
      </c>
      <c r="C2" s="549" t="s">
        <v>494</v>
      </c>
      <c r="D2" s="549" t="s">
        <v>495</v>
      </c>
      <c r="E2" s="549" t="s">
        <v>496</v>
      </c>
      <c r="F2" s="549" t="s">
        <v>35</v>
      </c>
      <c r="G2" s="549" t="s">
        <v>165</v>
      </c>
      <c r="H2" s="549" t="s">
        <v>540</v>
      </c>
      <c r="I2" s="549" t="s">
        <v>541</v>
      </c>
      <c r="J2" s="549" t="s">
        <v>542</v>
      </c>
      <c r="K2" s="549" t="s">
        <v>543</v>
      </c>
      <c r="L2" s="549" t="s">
        <v>59</v>
      </c>
      <c r="M2" s="549" t="s">
        <v>576</v>
      </c>
    </row>
    <row r="3" spans="1:13">
      <c r="A3" s="548"/>
      <c r="B3" s="548"/>
      <c r="C3" s="548"/>
      <c r="D3" s="548"/>
      <c r="E3" s="548"/>
      <c r="F3" s="548"/>
    </row>
    <row r="4" spans="1:13" s="547" customFormat="1">
      <c r="A4"/>
      <c r="B4" s="550" t="s">
        <v>482</v>
      </c>
      <c r="C4" s="547" t="s">
        <v>502</v>
      </c>
      <c r="D4" s="547" t="s">
        <v>497</v>
      </c>
      <c r="E4" t="s">
        <v>742</v>
      </c>
      <c r="F4" s="552">
        <f>VLOOKUP($B4,'Calc2 FD'!$C$1:$P$219,14,FALSE)</f>
        <v>-150.94164013572868</v>
      </c>
      <c r="G4" s="686"/>
      <c r="H4" s="571"/>
      <c r="I4" s="571"/>
      <c r="J4" s="571"/>
      <c r="K4" s="571"/>
      <c r="L4" s="571"/>
      <c r="M4" s="571"/>
    </row>
    <row r="5" spans="1:13" s="547" customFormat="1">
      <c r="A5"/>
      <c r="B5" s="550" t="s">
        <v>483</v>
      </c>
      <c r="C5" s="547" t="s">
        <v>503</v>
      </c>
      <c r="D5" s="547" t="s">
        <v>497</v>
      </c>
      <c r="E5" t="s">
        <v>742</v>
      </c>
      <c r="F5" s="552">
        <f>VLOOKUP($B5,'Calc2 FD'!$C$1:$P$219,14,FALSE)</f>
        <v>-507.13387690120248</v>
      </c>
      <c r="G5" s="686"/>
      <c r="H5" s="566"/>
      <c r="I5" s="566"/>
      <c r="J5" s="566"/>
      <c r="K5" s="566"/>
      <c r="L5" s="571"/>
      <c r="M5" s="571"/>
    </row>
    <row r="6" spans="1:13" s="547" customFormat="1">
      <c r="B6" s="553" t="s">
        <v>484</v>
      </c>
      <c r="C6" s="547" t="s">
        <v>411</v>
      </c>
      <c r="D6" s="547" t="s">
        <v>497</v>
      </c>
      <c r="E6" t="s">
        <v>742</v>
      </c>
      <c r="F6" s="571"/>
      <c r="G6" s="633">
        <f>VLOOKUP($B6,'Profiling2 FD'!$C$1:$V$159,16,FALSE)</f>
        <v>-3.2288801091952974</v>
      </c>
      <c r="H6" s="552">
        <f>VLOOKUP($B6,'Profiling2 FD'!$C$1:$V$159,17,FALSE)</f>
        <v>-3.2288801091952974</v>
      </c>
      <c r="I6" s="552">
        <f>VLOOKUP($B6,'Profiling2 FD'!$C$1:$V$159,18,FALSE)</f>
        <v>-3.2288801091952974</v>
      </c>
      <c r="J6" s="552">
        <f>VLOOKUP($B6,'Profiling2 FD'!$C$1:$V$159,19,FALSE)</f>
        <v>-3.2288801091952974</v>
      </c>
      <c r="K6" s="552">
        <f>VLOOKUP($B6,'Profiling2 FD'!$C$1:$V$159,20,FALSE)</f>
        <v>-3.2288801091952974</v>
      </c>
      <c r="L6" s="686"/>
      <c r="M6" s="571"/>
    </row>
    <row r="7" spans="1:13" s="547" customFormat="1">
      <c r="B7" s="553" t="s">
        <v>498</v>
      </c>
      <c r="C7" s="547" t="s">
        <v>412</v>
      </c>
      <c r="D7" s="547" t="s">
        <v>497</v>
      </c>
      <c r="E7" t="s">
        <v>742</v>
      </c>
      <c r="F7" s="571"/>
      <c r="G7" s="552">
        <f>VLOOKUP($B7,'Profiling2 FD'!$C$1:$V$159,16,FALSE)</f>
        <v>-15.504804607265003</v>
      </c>
      <c r="H7" s="552">
        <f>VLOOKUP($B7,'Profiling2 FD'!$C$1:$V$159,17,FALSE)</f>
        <v>-15.504804607265003</v>
      </c>
      <c r="I7" s="552">
        <f>VLOOKUP($B7,'Profiling2 FD'!$C$1:$V$159,18,FALSE)</f>
        <v>-15.504804607265003</v>
      </c>
      <c r="J7" s="552">
        <f>VLOOKUP($B7,'Profiling2 FD'!$C$1:$V$159,19,FALSE)</f>
        <v>-15.504804607265003</v>
      </c>
      <c r="K7" s="552">
        <f>VLOOKUP($B7,'Profiling2 FD'!$C$1:$V$159,20,FALSE)</f>
        <v>-15.504804607265003</v>
      </c>
      <c r="L7" s="686"/>
      <c r="M7" s="571"/>
    </row>
    <row r="8" spans="1:13">
      <c r="A8" s="656"/>
      <c r="B8" s="654" t="s">
        <v>577</v>
      </c>
      <c r="C8" s="657" t="s">
        <v>575</v>
      </c>
      <c r="D8" s="657" t="s">
        <v>522</v>
      </c>
      <c r="E8" t="s">
        <v>742</v>
      </c>
      <c r="F8" s="568"/>
      <c r="G8" s="568"/>
      <c r="H8" s="568"/>
      <c r="I8" s="568"/>
      <c r="J8" s="568"/>
      <c r="K8" s="568"/>
      <c r="L8" s="568"/>
      <c r="M8" s="653">
        <f>'Input FD'!O153</f>
        <v>3.5999999999999997E-2</v>
      </c>
    </row>
    <row r="9" spans="1:13">
      <c r="B9" s="654" t="s">
        <v>583</v>
      </c>
      <c r="C9" t="s">
        <v>175</v>
      </c>
      <c r="D9" s="547" t="s">
        <v>55</v>
      </c>
      <c r="E9" t="s">
        <v>742</v>
      </c>
      <c r="F9" s="570"/>
      <c r="G9" s="570"/>
      <c r="H9" s="570"/>
      <c r="I9" s="570"/>
      <c r="J9" s="570"/>
      <c r="K9" s="570"/>
      <c r="L9" s="663">
        <f>VLOOKUP($B9,'Calc2 FD'!$C$1:$P$219,5,FALSE)</f>
        <v>125.26368929866103</v>
      </c>
      <c r="M9" s="703"/>
    </row>
    <row r="10" spans="1:13">
      <c r="B10" s="654" t="s">
        <v>584</v>
      </c>
      <c r="C10" t="s">
        <v>312</v>
      </c>
      <c r="D10" s="547" t="s">
        <v>55</v>
      </c>
      <c r="E10" t="s">
        <v>742</v>
      </c>
      <c r="F10" s="570"/>
      <c r="G10" s="570"/>
      <c r="H10" s="570"/>
      <c r="I10" s="570"/>
      <c r="J10" s="570"/>
      <c r="K10" s="570"/>
      <c r="L10" s="663">
        <f>VLOOKUP($B10,'Calc2 FD'!$C$1:$P$219,5,FALSE)</f>
        <v>125.69957463674039</v>
      </c>
      <c r="M10" s="703"/>
    </row>
    <row r="11" spans="1:13">
      <c r="B11" s="654" t="s">
        <v>585</v>
      </c>
      <c r="C11" t="s">
        <v>304</v>
      </c>
      <c r="D11" s="547" t="s">
        <v>55</v>
      </c>
      <c r="E11" t="s">
        <v>742</v>
      </c>
      <c r="F11" s="570"/>
      <c r="G11" s="570"/>
      <c r="H11" s="570"/>
      <c r="I11" s="570"/>
      <c r="J11" s="570"/>
      <c r="K11" s="570"/>
      <c r="L11" s="663">
        <f>VLOOKUP($B11,'Calc2 FD'!$C$1:$P$219,5,FALSE)</f>
        <v>107.54451285591679</v>
      </c>
      <c r="M11" s="703"/>
    </row>
    <row r="12" spans="1:13">
      <c r="B12" s="654" t="s">
        <v>586</v>
      </c>
      <c r="C12" t="s">
        <v>83</v>
      </c>
      <c r="D12" s="547" t="s">
        <v>55</v>
      </c>
      <c r="E12" t="s">
        <v>742</v>
      </c>
      <c r="F12" s="570"/>
      <c r="G12" s="570"/>
      <c r="H12" s="570"/>
      <c r="I12" s="570"/>
      <c r="J12" s="570"/>
      <c r="K12" s="570"/>
      <c r="L12" s="663">
        <f>VLOOKUP($B12,'Calc2 FD'!$C$1:$P$219,5,FALSE)</f>
        <v>-2.8846112670875206</v>
      </c>
      <c r="M12" s="703"/>
    </row>
    <row r="13" spans="1:13">
      <c r="B13" s="654" t="s">
        <v>587</v>
      </c>
      <c r="C13" t="s">
        <v>176</v>
      </c>
      <c r="D13" s="547" t="s">
        <v>55</v>
      </c>
      <c r="E13" t="s">
        <v>742</v>
      </c>
      <c r="F13" s="570"/>
      <c r="G13" s="570"/>
      <c r="H13" s="570"/>
      <c r="I13" s="570"/>
      <c r="J13" s="570"/>
      <c r="K13" s="570"/>
      <c r="L13" s="663">
        <f>VLOOKUP($B13,'Calc2 FD'!$C$1:$P$219,5,FALSE)</f>
        <v>107.97441355193162</v>
      </c>
      <c r="M13" s="703"/>
    </row>
    <row r="14" spans="1:13">
      <c r="B14" s="654" t="s">
        <v>588</v>
      </c>
      <c r="C14" t="s">
        <v>313</v>
      </c>
      <c r="D14" s="547" t="s">
        <v>55</v>
      </c>
      <c r="E14" t="s">
        <v>742</v>
      </c>
      <c r="F14" s="570"/>
      <c r="G14" s="570"/>
      <c r="H14" s="570"/>
      <c r="I14" s="570"/>
      <c r="J14" s="570"/>
      <c r="K14" s="570"/>
      <c r="L14" s="663">
        <f>VLOOKUP($B14,'Calc2 FD'!$C$1:$P$219,5,FALSE)</f>
        <v>125.29186026948203</v>
      </c>
      <c r="M14" s="703"/>
    </row>
    <row r="15" spans="1:13">
      <c r="B15" s="654" t="s">
        <v>589</v>
      </c>
      <c r="C15" t="s">
        <v>305</v>
      </c>
      <c r="D15" s="547" t="s">
        <v>55</v>
      </c>
      <c r="E15" t="s">
        <v>742</v>
      </c>
      <c r="F15" s="570"/>
      <c r="G15" s="570"/>
      <c r="H15" s="570"/>
      <c r="I15" s="570"/>
      <c r="J15" s="570"/>
      <c r="K15" s="570"/>
      <c r="L15" s="663">
        <f>VLOOKUP($B15,'Calc2 FD'!$C$1:$P$219,5,FALSE)</f>
        <v>99.986514878912544</v>
      </c>
      <c r="M15" s="703"/>
    </row>
    <row r="16" spans="1:13">
      <c r="B16" s="22" t="s">
        <v>590</v>
      </c>
      <c r="C16" t="s">
        <v>84</v>
      </c>
      <c r="D16" s="547" t="s">
        <v>55</v>
      </c>
      <c r="E16" t="s">
        <v>742</v>
      </c>
      <c r="F16" s="570"/>
      <c r="G16" s="570"/>
      <c r="H16" s="570"/>
      <c r="I16" s="570"/>
      <c r="J16" s="570"/>
      <c r="K16" s="570"/>
      <c r="L16" s="663">
        <f>VLOOKUP($B16,'Calc2 FD'!$C$1:$P$219,5,FALSE)</f>
        <v>0.42206188691591762</v>
      </c>
      <c r="M16" s="703"/>
    </row>
    <row r="17" spans="1:13">
      <c r="B17" s="22" t="s">
        <v>591</v>
      </c>
      <c r="C17" t="s">
        <v>605</v>
      </c>
      <c r="D17" s="547" t="s">
        <v>497</v>
      </c>
      <c r="E17" t="s">
        <v>742</v>
      </c>
      <c r="F17" s="566"/>
      <c r="G17" s="566"/>
      <c r="H17" s="566"/>
      <c r="I17" s="566"/>
      <c r="J17" s="566"/>
      <c r="K17" s="566"/>
      <c r="L17" s="552">
        <f>VLOOKUP($B17,'Calc2 FD'!$C$1:$P$219,14,FALSE)</f>
        <v>-177.05235492090299</v>
      </c>
      <c r="M17" s="686"/>
    </row>
    <row r="18" spans="1:13">
      <c r="B18" s="22" t="s">
        <v>592</v>
      </c>
      <c r="C18" t="s">
        <v>323</v>
      </c>
      <c r="D18" s="547" t="s">
        <v>497</v>
      </c>
      <c r="E18" t="s">
        <v>742</v>
      </c>
      <c r="F18" s="566"/>
      <c r="G18" s="566"/>
      <c r="H18" s="566"/>
      <c r="I18" s="566"/>
      <c r="J18" s="566"/>
      <c r="K18" s="566"/>
      <c r="L18" s="552">
        <f>VLOOKUP($B18,'Calc2 FD'!$C$1:$P$219,14,FALSE)</f>
        <v>-41.934287993156367</v>
      </c>
      <c r="M18" s="686"/>
    </row>
    <row r="19" spans="1:13">
      <c r="B19" s="22" t="s">
        <v>593</v>
      </c>
      <c r="C19" t="s">
        <v>72</v>
      </c>
      <c r="D19" s="547" t="s">
        <v>497</v>
      </c>
      <c r="E19" t="s">
        <v>742</v>
      </c>
      <c r="F19" s="566"/>
      <c r="G19" s="566"/>
      <c r="H19" s="566"/>
      <c r="I19" s="566"/>
      <c r="J19" s="566"/>
      <c r="K19" s="566"/>
      <c r="L19" s="552">
        <f>VLOOKUP($B19,'Calc2 FD'!$C$1:$P$219,14,FALSE)</f>
        <v>-44.942381429832892</v>
      </c>
      <c r="M19" s="686"/>
    </row>
    <row r="20" spans="1:13">
      <c r="B20" s="22" t="s">
        <v>594</v>
      </c>
      <c r="C20" t="s">
        <v>244</v>
      </c>
      <c r="D20" s="547" t="s">
        <v>497</v>
      </c>
      <c r="E20" t="s">
        <v>742</v>
      </c>
      <c r="F20" s="566"/>
      <c r="G20" s="566"/>
      <c r="H20" s="566"/>
      <c r="I20" s="566"/>
      <c r="J20" s="566"/>
      <c r="K20" s="566"/>
      <c r="L20" s="552">
        <f>VLOOKUP($B20,'Calc2 FD'!$C$1:$P$219,14,FALSE)</f>
        <v>3.0080934366765284</v>
      </c>
      <c r="M20" s="686"/>
    </row>
    <row r="21" spans="1:13">
      <c r="B21" s="22" t="s">
        <v>595</v>
      </c>
      <c r="C21" t="s">
        <v>248</v>
      </c>
      <c r="D21" s="547" t="s">
        <v>497</v>
      </c>
      <c r="E21" t="s">
        <v>742</v>
      </c>
      <c r="F21" s="566"/>
      <c r="G21" s="566"/>
      <c r="H21" s="566"/>
      <c r="I21" s="566"/>
      <c r="J21" s="566"/>
      <c r="K21" s="566"/>
      <c r="L21" s="552">
        <f>VLOOKUP($B21,'Calc2 FD'!$C$1:$P$219,14,FALSE)</f>
        <v>-18.186230640184018</v>
      </c>
      <c r="M21" s="686"/>
    </row>
    <row r="22" spans="1:13">
      <c r="B22" s="22" t="s">
        <v>596</v>
      </c>
      <c r="C22" t="s">
        <v>606</v>
      </c>
      <c r="D22" s="547" t="s">
        <v>497</v>
      </c>
      <c r="E22" t="s">
        <v>742</v>
      </c>
      <c r="F22" s="566"/>
      <c r="G22" s="566"/>
      <c r="H22" s="566"/>
      <c r="I22" s="566"/>
      <c r="J22" s="566"/>
      <c r="K22" s="566"/>
      <c r="L22" s="552">
        <f>VLOOKUP($B22,'Calc2 FD'!$C$1:$P$219,14,FALSE)</f>
        <v>-15.178137203507491</v>
      </c>
      <c r="M22" s="686"/>
    </row>
    <row r="23" spans="1:13">
      <c r="B23" s="22" t="s">
        <v>597</v>
      </c>
      <c r="C23" t="s">
        <v>610</v>
      </c>
      <c r="D23" s="547" t="s">
        <v>497</v>
      </c>
      <c r="E23" t="s">
        <v>742</v>
      </c>
      <c r="F23" s="566"/>
      <c r="G23" s="566"/>
      <c r="H23" s="566"/>
      <c r="I23" s="566"/>
      <c r="J23" s="566"/>
      <c r="K23" s="566"/>
      <c r="L23" s="552">
        <f>VLOOKUP($B23,'Calc2 FD'!$C$1:$P$219,14,FALSE)</f>
        <v>-15.060711754238387</v>
      </c>
      <c r="M23" s="686"/>
    </row>
    <row r="24" spans="1:13">
      <c r="B24" s="22" t="s">
        <v>598</v>
      </c>
      <c r="C24" t="s">
        <v>607</v>
      </c>
      <c r="D24" s="547" t="s">
        <v>497</v>
      </c>
      <c r="E24" t="s">
        <v>742</v>
      </c>
      <c r="F24" s="566"/>
      <c r="G24" s="566"/>
      <c r="H24" s="566"/>
      <c r="I24" s="566"/>
      <c r="J24" s="566"/>
      <c r="K24" s="566"/>
      <c r="L24" s="552">
        <f>VLOOKUP($B24,'Calc2 FD'!$C$1:$P$219,14,FALSE)</f>
        <v>-594.86068314075271</v>
      </c>
      <c r="M24" s="686"/>
    </row>
    <row r="25" spans="1:13">
      <c r="B25" s="22" t="s">
        <v>599</v>
      </c>
      <c r="C25" t="s">
        <v>324</v>
      </c>
      <c r="D25" s="547" t="s">
        <v>497</v>
      </c>
      <c r="E25" t="s">
        <v>742</v>
      </c>
      <c r="F25" s="566"/>
      <c r="G25" s="566"/>
      <c r="H25" s="566"/>
      <c r="I25" s="566"/>
      <c r="J25" s="566"/>
      <c r="K25" s="566"/>
      <c r="L25" s="552">
        <f>VLOOKUP($B25,'Calc2 FD'!$C$1:$P$219,14,FALSE)</f>
        <v>12.729212647767104</v>
      </c>
      <c r="M25" s="686"/>
    </row>
    <row r="26" spans="1:13">
      <c r="B26" s="22" t="s">
        <v>600</v>
      </c>
      <c r="C26" t="s">
        <v>73</v>
      </c>
      <c r="D26" s="547" t="s">
        <v>497</v>
      </c>
      <c r="E26" t="s">
        <v>742</v>
      </c>
      <c r="F26" s="566"/>
      <c r="G26" s="566"/>
      <c r="H26" s="566"/>
      <c r="I26" s="566"/>
      <c r="J26" s="566"/>
      <c r="K26" s="566"/>
      <c r="L26" s="552">
        <f>VLOOKUP($B26,'Calc2 FD'!$C$1:$P$219,14,FALSE)</f>
        <v>-24.495658018182436</v>
      </c>
      <c r="M26" s="686"/>
    </row>
    <row r="27" spans="1:13">
      <c r="B27" s="22" t="s">
        <v>601</v>
      </c>
      <c r="C27" t="s">
        <v>245</v>
      </c>
      <c r="D27" s="547" t="s">
        <v>497</v>
      </c>
      <c r="E27" t="s">
        <v>742</v>
      </c>
      <c r="F27" s="566"/>
      <c r="G27" s="566"/>
      <c r="H27" s="566"/>
      <c r="I27" s="566"/>
      <c r="J27" s="566"/>
      <c r="K27" s="566"/>
      <c r="L27" s="552">
        <f>VLOOKUP($B27,'Calc2 FD'!$C$1:$P$219,14,FALSE)</f>
        <v>37.224870665949538</v>
      </c>
      <c r="M27" s="686"/>
    </row>
    <row r="28" spans="1:13">
      <c r="B28" s="22" t="s">
        <v>602</v>
      </c>
      <c r="C28" t="s">
        <v>249</v>
      </c>
      <c r="D28" s="547" t="s">
        <v>497</v>
      </c>
      <c r="E28" t="s">
        <v>742</v>
      </c>
      <c r="F28" s="566"/>
      <c r="G28" s="566"/>
      <c r="H28" s="566"/>
      <c r="I28" s="566"/>
      <c r="J28" s="566"/>
      <c r="K28" s="566"/>
      <c r="L28" s="552">
        <f>VLOOKUP($B28,'Calc2 FD'!$C$1:$P$219,14,FALSE)</f>
        <v>-106.69550539458747</v>
      </c>
      <c r="M28" s="686"/>
    </row>
    <row r="29" spans="1:13">
      <c r="B29" s="22" t="s">
        <v>603</v>
      </c>
      <c r="C29" t="s">
        <v>608</v>
      </c>
      <c r="D29" s="547" t="s">
        <v>497</v>
      </c>
      <c r="E29" t="s">
        <v>742</v>
      </c>
      <c r="F29" s="566"/>
      <c r="G29" s="566"/>
      <c r="H29" s="566"/>
      <c r="I29" s="566"/>
      <c r="J29" s="566"/>
      <c r="K29" s="566"/>
      <c r="L29" s="552">
        <f>VLOOKUP($B29,'Calc2 FD'!$C$1:$P$219,14,FALSE)</f>
        <v>-69.470634728637918</v>
      </c>
      <c r="M29" s="686"/>
    </row>
    <row r="30" spans="1:13">
      <c r="B30" s="22" t="s">
        <v>611</v>
      </c>
      <c r="C30" t="s">
        <v>609</v>
      </c>
      <c r="D30" s="547" t="s">
        <v>497</v>
      </c>
      <c r="E30" t="s">
        <v>742</v>
      </c>
      <c r="F30" s="566"/>
      <c r="G30" s="566"/>
      <c r="H30" s="566"/>
      <c r="I30" s="566"/>
      <c r="J30" s="566"/>
      <c r="K30" s="566"/>
      <c r="L30" s="552">
        <f>VLOOKUP($B30,'Calc2 FD'!$C$1:$P$219,14,FALSE)</f>
        <v>-72.320242653420109</v>
      </c>
      <c r="M30" s="686"/>
    </row>
    <row r="31" spans="1:13" s="547" customFormat="1">
      <c r="A31"/>
      <c r="B31" s="550" t="s">
        <v>711</v>
      </c>
      <c r="C31" s="547" t="s">
        <v>502</v>
      </c>
      <c r="D31" s="547" t="s">
        <v>497</v>
      </c>
      <c r="E31" t="s">
        <v>742</v>
      </c>
      <c r="F31" s="552">
        <f>VLOOKUP($B31,'Calc2 BYR'!$C$1:$P$219,14,FALSE)</f>
        <v>-139.89319753949229</v>
      </c>
      <c r="G31" s="686"/>
      <c r="H31" s="571"/>
      <c r="I31" s="571"/>
      <c r="J31" s="571"/>
      <c r="K31" s="571"/>
      <c r="L31" s="571"/>
      <c r="M31" s="571"/>
    </row>
    <row r="32" spans="1:13" s="547" customFormat="1">
      <c r="A32"/>
      <c r="B32" s="550" t="s">
        <v>712</v>
      </c>
      <c r="C32" s="547" t="s">
        <v>503</v>
      </c>
      <c r="D32" s="547" t="s">
        <v>497</v>
      </c>
      <c r="E32" t="s">
        <v>742</v>
      </c>
      <c r="F32" s="552">
        <f>VLOOKUP($B32,'Calc2 BYR'!$C$1:$P$219,14,FALSE)</f>
        <v>-503.16118878883799</v>
      </c>
      <c r="G32" s="686"/>
      <c r="H32" s="566"/>
      <c r="I32" s="566"/>
      <c r="J32" s="566"/>
      <c r="K32" s="566"/>
      <c r="L32" s="571"/>
      <c r="M32" s="571"/>
    </row>
    <row r="33" spans="1:13" s="547" customFormat="1">
      <c r="B33" s="553" t="s">
        <v>713</v>
      </c>
      <c r="C33" s="547" t="s">
        <v>411</v>
      </c>
      <c r="D33" s="547" t="s">
        <v>497</v>
      </c>
      <c r="E33" t="s">
        <v>742</v>
      </c>
      <c r="F33" s="571"/>
      <c r="G33" s="633">
        <f>VLOOKUP($B33,'Profiling2 BYR'!$C$1:$V$159,16,FALSE)</f>
        <v>-3.4313612896003316</v>
      </c>
      <c r="H33" s="552">
        <f>VLOOKUP($B33,'Profiling2 BYR'!$C$1:$V$159,17,FALSE)</f>
        <v>-3.4313612896003316</v>
      </c>
      <c r="I33" s="552">
        <f>VLOOKUP($B33,'Profiling2 BYR'!$C$1:$V$159,18,FALSE)</f>
        <v>-3.4313612896003316</v>
      </c>
      <c r="J33" s="552">
        <f>VLOOKUP($B33,'Profiling2 BYR'!$C$1:$V$159,19,FALSE)</f>
        <v>-3.4313612896003316</v>
      </c>
      <c r="K33" s="552">
        <f>VLOOKUP($B33,'Profiling2 BYR'!$C$1:$V$159,20,FALSE)</f>
        <v>-3.4313612896003316</v>
      </c>
      <c r="L33" s="686"/>
      <c r="M33" s="571"/>
    </row>
    <row r="34" spans="1:13" s="547" customFormat="1">
      <c r="B34" s="553" t="s">
        <v>714</v>
      </c>
      <c r="C34" s="547" t="s">
        <v>412</v>
      </c>
      <c r="D34" s="547" t="s">
        <v>497</v>
      </c>
      <c r="E34" t="s">
        <v>742</v>
      </c>
      <c r="F34" s="571"/>
      <c r="G34" s="552">
        <f>VLOOKUP($B34,'Profiling2 BYR'!$C$1:$V$159,16,FALSE)</f>
        <v>-19.292817354346798</v>
      </c>
      <c r="H34" s="552">
        <f>VLOOKUP($B34,'Profiling2 BYR'!$C$1:$V$159,17,FALSE)</f>
        <v>-19.292817354346798</v>
      </c>
      <c r="I34" s="552">
        <f>VLOOKUP($B34,'Profiling2 BYR'!$C$1:$V$159,18,FALSE)</f>
        <v>-19.292817354346798</v>
      </c>
      <c r="J34" s="552">
        <f>VLOOKUP($B34,'Profiling2 BYR'!$C$1:$V$159,19,FALSE)</f>
        <v>-19.292817354346798</v>
      </c>
      <c r="K34" s="552">
        <f>VLOOKUP($B34,'Profiling2 BYR'!$C$1:$V$159,20,FALSE)</f>
        <v>-19.292817354346798</v>
      </c>
      <c r="L34" s="686"/>
      <c r="M34" s="571"/>
    </row>
    <row r="35" spans="1:13">
      <c r="A35" s="656"/>
      <c r="B35" s="654" t="s">
        <v>715</v>
      </c>
      <c r="C35" s="657" t="s">
        <v>575</v>
      </c>
      <c r="D35" s="657" t="s">
        <v>522</v>
      </c>
      <c r="E35" t="s">
        <v>742</v>
      </c>
      <c r="F35" s="568"/>
      <c r="G35" s="568"/>
      <c r="H35" s="568"/>
      <c r="I35" s="568"/>
      <c r="J35" s="568"/>
      <c r="K35" s="568"/>
      <c r="L35" s="568"/>
      <c r="M35" s="653">
        <f>'Input BYR'!$O$153</f>
        <v>3.5999999999999997E-2</v>
      </c>
    </row>
    <row r="36" spans="1:13">
      <c r="B36" s="654" t="s">
        <v>716</v>
      </c>
      <c r="C36" t="s">
        <v>175</v>
      </c>
      <c r="D36" s="547" t="s">
        <v>55</v>
      </c>
      <c r="E36" t="s">
        <v>742</v>
      </c>
      <c r="F36" s="570"/>
      <c r="G36" s="570"/>
      <c r="H36" s="570"/>
      <c r="I36" s="570"/>
      <c r="J36" s="570"/>
      <c r="K36" s="570"/>
      <c r="L36" s="663">
        <f>VLOOKUP($B36,'Calc2 BYR'!$C$1:$P$219,5,FALSE)</f>
        <v>125.26368929866103</v>
      </c>
      <c r="M36" s="703"/>
    </row>
    <row r="37" spans="1:13">
      <c r="B37" s="654" t="s">
        <v>717</v>
      </c>
      <c r="C37" t="s">
        <v>312</v>
      </c>
      <c r="D37" s="547" t="s">
        <v>55</v>
      </c>
      <c r="E37" t="s">
        <v>742</v>
      </c>
      <c r="F37" s="570"/>
      <c r="G37" s="570"/>
      <c r="H37" s="570"/>
      <c r="I37" s="570"/>
      <c r="J37" s="570"/>
      <c r="K37" s="570"/>
      <c r="L37" s="663">
        <f>VLOOKUP($B37,'Calc2 BYR'!$C$1:$P$219,5,FALSE)</f>
        <v>125.89244466459381</v>
      </c>
      <c r="M37" s="703"/>
    </row>
    <row r="38" spans="1:13">
      <c r="B38" s="654" t="s">
        <v>718</v>
      </c>
      <c r="C38" t="s">
        <v>304</v>
      </c>
      <c r="D38" s="547" t="s">
        <v>55</v>
      </c>
      <c r="E38" t="s">
        <v>742</v>
      </c>
      <c r="F38" s="570"/>
      <c r="G38" s="570"/>
      <c r="H38" s="570"/>
      <c r="I38" s="570"/>
      <c r="J38" s="570"/>
      <c r="K38" s="570"/>
      <c r="L38" s="663">
        <f>VLOOKUP($B38,'Calc2 BYR'!$C$1:$P$219,5,FALSE)</f>
        <v>108.11085049442532</v>
      </c>
      <c r="M38" s="703"/>
    </row>
    <row r="39" spans="1:13">
      <c r="B39" s="654" t="s">
        <v>719</v>
      </c>
      <c r="C39" t="s">
        <v>83</v>
      </c>
      <c r="D39" s="547" t="s">
        <v>55</v>
      </c>
      <c r="E39" t="s">
        <v>742</v>
      </c>
      <c r="F39" s="570"/>
      <c r="G39" s="570"/>
      <c r="H39" s="570"/>
      <c r="I39" s="570"/>
      <c r="J39" s="570"/>
      <c r="K39" s="570"/>
      <c r="L39" s="663">
        <f>VLOOKUP($B39,'Calc2 BYR'!$C$1:$P$219,5,FALSE)</f>
        <v>-2.9718906174445512</v>
      </c>
      <c r="M39" s="703"/>
    </row>
    <row r="40" spans="1:13">
      <c r="B40" s="654" t="s">
        <v>720</v>
      </c>
      <c r="C40" t="s">
        <v>176</v>
      </c>
      <c r="D40" s="547" t="s">
        <v>55</v>
      </c>
      <c r="E40" t="s">
        <v>742</v>
      </c>
      <c r="F40" s="570"/>
      <c r="G40" s="570"/>
      <c r="H40" s="570"/>
      <c r="I40" s="570"/>
      <c r="J40" s="570"/>
      <c r="K40" s="570"/>
      <c r="L40" s="663">
        <f>VLOOKUP($B40,'Calc2 BYR'!$C$1:$P$219,5,FALSE)</f>
        <v>107.97441355193162</v>
      </c>
      <c r="M40" s="703"/>
    </row>
    <row r="41" spans="1:13">
      <c r="B41" s="654" t="s">
        <v>721</v>
      </c>
      <c r="C41" t="s">
        <v>313</v>
      </c>
      <c r="D41" s="547" t="s">
        <v>55</v>
      </c>
      <c r="E41" t="s">
        <v>742</v>
      </c>
      <c r="F41" s="570"/>
      <c r="G41" s="570"/>
      <c r="H41" s="570"/>
      <c r="I41" s="570"/>
      <c r="J41" s="570"/>
      <c r="K41" s="570"/>
      <c r="L41" s="663">
        <f>VLOOKUP($B41,'Calc2 BYR'!$C$1:$P$219,5,FALSE)</f>
        <v>109.28435607768199</v>
      </c>
      <c r="M41" s="703"/>
    </row>
    <row r="42" spans="1:13">
      <c r="B42" s="654" t="s">
        <v>722</v>
      </c>
      <c r="C42" t="s">
        <v>305</v>
      </c>
      <c r="D42" s="547" t="s">
        <v>55</v>
      </c>
      <c r="E42" t="s">
        <v>742</v>
      </c>
      <c r="F42" s="570"/>
      <c r="G42" s="570"/>
      <c r="H42" s="570"/>
      <c r="I42" s="570"/>
      <c r="J42" s="570"/>
      <c r="K42" s="570"/>
      <c r="L42" s="663">
        <f>VLOOKUP($B42,'Calc2 BYR'!$C$1:$P$219,5,FALSE)</f>
        <v>100.11044006886138</v>
      </c>
      <c r="M42" s="703"/>
    </row>
    <row r="43" spans="1:13">
      <c r="B43" s="22" t="s">
        <v>723</v>
      </c>
      <c r="C43" t="s">
        <v>84</v>
      </c>
      <c r="D43" s="547" t="s">
        <v>55</v>
      </c>
      <c r="E43" t="s">
        <v>742</v>
      </c>
      <c r="F43" s="570"/>
      <c r="G43" s="570"/>
      <c r="H43" s="570"/>
      <c r="I43" s="570"/>
      <c r="J43" s="570"/>
      <c r="K43" s="570"/>
      <c r="L43" s="663">
        <f>VLOOKUP($B43,'Calc2 BYR'!$C$1:$P$219,5,FALSE)</f>
        <v>-0.11699768069740046</v>
      </c>
      <c r="M43" s="703"/>
    </row>
    <row r="44" spans="1:13">
      <c r="B44" s="22" t="s">
        <v>724</v>
      </c>
      <c r="C44" t="s">
        <v>605</v>
      </c>
      <c r="D44" s="547" t="s">
        <v>497</v>
      </c>
      <c r="E44" t="s">
        <v>742</v>
      </c>
      <c r="F44" s="566"/>
      <c r="G44" s="566"/>
      <c r="H44" s="566"/>
      <c r="I44" s="566"/>
      <c r="J44" s="566"/>
      <c r="K44" s="566"/>
      <c r="L44" s="552">
        <f>VLOOKUP($B44,'Calc2 BYR'!$C$1:$P$219,14,FALSE)</f>
        <v>-164.0926919802256</v>
      </c>
      <c r="M44" s="686"/>
    </row>
    <row r="45" spans="1:13">
      <c r="B45" s="22" t="s">
        <v>725</v>
      </c>
      <c r="C45" t="s">
        <v>323</v>
      </c>
      <c r="D45" s="547" t="s">
        <v>497</v>
      </c>
      <c r="E45" t="s">
        <v>742</v>
      </c>
      <c r="F45" s="566"/>
      <c r="G45" s="566"/>
      <c r="H45" s="566"/>
      <c r="I45" s="566"/>
      <c r="J45" s="566"/>
      <c r="K45" s="566"/>
      <c r="L45" s="552">
        <f>VLOOKUP($B45,'Calc2 BYR'!$C$1:$P$219,14,FALSE)</f>
        <v>-43.333021891152114</v>
      </c>
      <c r="M45" s="686"/>
    </row>
    <row r="46" spans="1:13">
      <c r="B46" s="22" t="s">
        <v>726</v>
      </c>
      <c r="C46" t="s">
        <v>72</v>
      </c>
      <c r="D46" s="547" t="s">
        <v>497</v>
      </c>
      <c r="E46" t="s">
        <v>742</v>
      </c>
      <c r="F46" s="566"/>
      <c r="G46" s="566"/>
      <c r="H46" s="566"/>
      <c r="I46" s="566"/>
      <c r="J46" s="566"/>
      <c r="K46" s="566"/>
      <c r="L46" s="552">
        <f>VLOOKUP($B46,'Calc2 BYR'!$C$1:$P$219,14,FALSE)</f>
        <v>-44.942381429832892</v>
      </c>
      <c r="M46" s="686"/>
    </row>
    <row r="47" spans="1:13">
      <c r="B47" s="22" t="s">
        <v>727</v>
      </c>
      <c r="C47" t="s">
        <v>244</v>
      </c>
      <c r="D47" s="547" t="s">
        <v>497</v>
      </c>
      <c r="E47" t="s">
        <v>742</v>
      </c>
      <c r="F47" s="566"/>
      <c r="G47" s="566"/>
      <c r="H47" s="566"/>
      <c r="I47" s="566"/>
      <c r="J47" s="566"/>
      <c r="K47" s="566"/>
      <c r="L47" s="552">
        <f>VLOOKUP($B47,'Calc2 BYR'!$C$1:$P$219,14,FALSE)</f>
        <v>1.6093595386807849</v>
      </c>
      <c r="M47" s="686"/>
    </row>
    <row r="48" spans="1:13">
      <c r="B48" s="22" t="s">
        <v>728</v>
      </c>
      <c r="C48" t="s">
        <v>248</v>
      </c>
      <c r="D48" s="547" t="s">
        <v>497</v>
      </c>
      <c r="E48" t="s">
        <v>742</v>
      </c>
      <c r="F48" s="566"/>
      <c r="G48" s="566"/>
      <c r="H48" s="566"/>
      <c r="I48" s="566"/>
      <c r="J48" s="566"/>
      <c r="K48" s="566"/>
      <c r="L48" s="552">
        <f>VLOOKUP($B48,'Calc2 BYR'!$C$1:$P$219,14,FALSE)</f>
        <v>-17.586292748594559</v>
      </c>
      <c r="M48" s="686"/>
    </row>
    <row r="49" spans="2:13">
      <c r="B49" s="22" t="s">
        <v>729</v>
      </c>
      <c r="C49" t="s">
        <v>606</v>
      </c>
      <c r="D49" s="547" t="s">
        <v>497</v>
      </c>
      <c r="E49" t="s">
        <v>742</v>
      </c>
      <c r="F49" s="566"/>
      <c r="G49" s="566"/>
      <c r="H49" s="566"/>
      <c r="I49" s="566"/>
      <c r="J49" s="566"/>
      <c r="K49" s="566"/>
      <c r="L49" s="552">
        <f>VLOOKUP($B49,'Calc2 BYR'!$C$1:$P$219,14,FALSE)</f>
        <v>-15.976933209913772</v>
      </c>
      <c r="M49" s="686"/>
    </row>
    <row r="50" spans="2:13">
      <c r="B50" s="22" t="s">
        <v>730</v>
      </c>
      <c r="C50" t="s">
        <v>610</v>
      </c>
      <c r="D50" s="547" t="s">
        <v>497</v>
      </c>
      <c r="E50" t="s">
        <v>742</v>
      </c>
      <c r="F50" s="566"/>
      <c r="G50" s="566"/>
      <c r="H50" s="566"/>
      <c r="I50" s="566"/>
      <c r="J50" s="566"/>
      <c r="K50" s="566"/>
      <c r="L50" s="552">
        <f>VLOOKUP($B50,'Calc2 BYR'!$C$1:$P$219,14,FALSE)</f>
        <v>-16.005160166879563</v>
      </c>
      <c r="M50" s="686"/>
    </row>
    <row r="51" spans="2:13">
      <c r="B51" s="22" t="s">
        <v>731</v>
      </c>
      <c r="C51" t="s">
        <v>607</v>
      </c>
      <c r="D51" s="547" t="s">
        <v>497</v>
      </c>
      <c r="E51" t="s">
        <v>742</v>
      </c>
      <c r="F51" s="566"/>
      <c r="G51" s="566"/>
      <c r="H51" s="566"/>
      <c r="I51" s="566"/>
      <c r="J51" s="566"/>
      <c r="K51" s="566"/>
      <c r="L51" s="552">
        <f>VLOOKUP($B51,'Calc2 BYR'!$C$1:$P$219,14,FALSE)</f>
        <v>-590.20077759694175</v>
      </c>
      <c r="M51" s="686"/>
    </row>
    <row r="52" spans="2:13">
      <c r="B52" s="22" t="s">
        <v>732</v>
      </c>
      <c r="C52" t="s">
        <v>324</v>
      </c>
      <c r="D52" s="547" t="s">
        <v>497</v>
      </c>
      <c r="E52" t="s">
        <v>742</v>
      </c>
      <c r="F52" s="566"/>
      <c r="G52" s="566"/>
      <c r="H52" s="566"/>
      <c r="I52" s="566"/>
      <c r="J52" s="566"/>
      <c r="K52" s="566"/>
      <c r="L52" s="552">
        <f>VLOOKUP($B52,'Calc2 BYR'!$C$1:$P$219,14,FALSE)</f>
        <v>-3.5296798188713745</v>
      </c>
      <c r="M52" s="686"/>
    </row>
    <row r="53" spans="2:13">
      <c r="B53" s="22" t="s">
        <v>733</v>
      </c>
      <c r="C53" t="s">
        <v>73</v>
      </c>
      <c r="D53" s="547" t="s">
        <v>497</v>
      </c>
      <c r="E53" t="s">
        <v>742</v>
      </c>
      <c r="F53" s="566"/>
      <c r="G53" s="566"/>
      <c r="H53" s="566"/>
      <c r="I53" s="566"/>
      <c r="J53" s="566"/>
      <c r="K53" s="566"/>
      <c r="L53" s="552">
        <f>VLOOKUP($B53,'Calc2 BYR'!$C$1:$P$219,14,FALSE)</f>
        <v>-24.495658018182436</v>
      </c>
      <c r="M53" s="686"/>
    </row>
    <row r="54" spans="2:13">
      <c r="B54" s="22" t="s">
        <v>734</v>
      </c>
      <c r="C54" t="s">
        <v>245</v>
      </c>
      <c r="D54" s="547" t="s">
        <v>497</v>
      </c>
      <c r="E54" t="s">
        <v>742</v>
      </c>
      <c r="F54" s="566"/>
      <c r="G54" s="566"/>
      <c r="H54" s="566"/>
      <c r="I54" s="566"/>
      <c r="J54" s="566"/>
      <c r="K54" s="566"/>
      <c r="L54" s="552">
        <f>VLOOKUP($B54,'Calc2 BYR'!$C$1:$P$219,14,FALSE)</f>
        <v>20.965978199311067</v>
      </c>
      <c r="M54" s="686"/>
    </row>
    <row r="55" spans="2:13">
      <c r="B55" s="22" t="s">
        <v>735</v>
      </c>
      <c r="C55" t="s">
        <v>249</v>
      </c>
      <c r="D55" s="547" t="s">
        <v>497</v>
      </c>
      <c r="E55" t="s">
        <v>742</v>
      </c>
      <c r="F55" s="566"/>
      <c r="G55" s="566"/>
      <c r="H55" s="566"/>
      <c r="I55" s="566"/>
      <c r="J55" s="566"/>
      <c r="K55" s="566"/>
      <c r="L55" s="552">
        <f>VLOOKUP($B55,'Calc2 BYR'!$C$1:$P$219,14,FALSE)</f>
        <v>-106.1424710054379</v>
      </c>
      <c r="M55" s="686"/>
    </row>
    <row r="56" spans="2:13">
      <c r="B56" s="22" t="s">
        <v>736</v>
      </c>
      <c r="C56" t="s">
        <v>608</v>
      </c>
      <c r="D56" s="547" t="s">
        <v>497</v>
      </c>
      <c r="E56" t="s">
        <v>742</v>
      </c>
      <c r="F56" s="566"/>
      <c r="G56" s="566"/>
      <c r="H56" s="566"/>
      <c r="I56" s="566"/>
      <c r="J56" s="566"/>
      <c r="K56" s="566"/>
      <c r="L56" s="552">
        <f>VLOOKUP($B56,'Calc2 BYR'!$C$1:$P$219,14,FALSE)</f>
        <v>-85.176492806126845</v>
      </c>
      <c r="M56" s="686"/>
    </row>
    <row r="57" spans="2:13">
      <c r="B57" s="22" t="s">
        <v>737</v>
      </c>
      <c r="C57" t="s">
        <v>609</v>
      </c>
      <c r="D57" s="547" t="s">
        <v>497</v>
      </c>
      <c r="E57" t="s">
        <v>742</v>
      </c>
      <c r="F57" s="566"/>
      <c r="G57" s="566"/>
      <c r="H57" s="566"/>
      <c r="I57" s="566"/>
      <c r="J57" s="566"/>
      <c r="K57" s="566"/>
      <c r="L57" s="552">
        <f>VLOOKUP($B57,'Calc2 BYR'!$C$1:$P$219,14,FALSE)</f>
        <v>-89.988959414600103</v>
      </c>
      <c r="M57" s="686"/>
    </row>
  </sheetData>
  <sheetProtection sort="0"/>
  <pageMargins left="0.70866141732283472" right="0.70866141732283472" top="0.74803149606299213" bottom="0.74803149606299213" header="0.31496062992125984" footer="0.31496062992125984"/>
  <pageSetup paperSize="9" scale="66" fitToHeight="0" orientation="landscape" r:id="rId1"/>
  <headerFooter>
    <oddFooter>&amp;LPL14L012 CIS v3.5
Ofwat, February 2016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showGridLines="0" workbookViewId="0">
      <selection activeCell="A3" sqref="A3"/>
    </sheetView>
  </sheetViews>
  <sheetFormatPr defaultRowHeight="13.2"/>
  <sheetData>
    <row r="1" spans="1:2">
      <c r="A1" t="s">
        <v>738</v>
      </c>
      <c r="B1" t="s">
        <v>739</v>
      </c>
    </row>
  </sheetData>
  <pageMargins left="0.70866141732283472" right="0.70866141732283472" top="0.74803149606299213" bottom="0.74803149606299213" header="0.31496062992125984" footer="0.31496062992125984"/>
  <pageSetup paperSize="9" orientation="landscape" r:id="rId1"/>
  <headerFooter>
    <oddFooter>&amp;LPL14L012 CIS v3.5
Ofwat, February 2016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B12" sqref="B12"/>
    </sheetView>
  </sheetViews>
  <sheetFormatPr defaultRowHeight="13.2"/>
  <cols>
    <col min="1" max="1" width="25.6640625" bestFit="1" customWidth="1"/>
    <col min="2" max="2" width="40" bestFit="1" customWidth="1"/>
  </cols>
  <sheetData>
    <row r="1" spans="1:2">
      <c r="A1" t="s">
        <v>777</v>
      </c>
      <c r="B1" t="s">
        <v>778</v>
      </c>
    </row>
    <row r="2" spans="1:2">
      <c r="A2" t="s">
        <v>779</v>
      </c>
      <c r="B2" t="s">
        <v>824</v>
      </c>
    </row>
    <row r="3" spans="1:2">
      <c r="A3" t="s">
        <v>775</v>
      </c>
      <c r="B3" t="s">
        <v>776</v>
      </c>
    </row>
    <row r="4" spans="1:2">
      <c r="A4" t="s">
        <v>782</v>
      </c>
      <c r="B4" t="s">
        <v>783</v>
      </c>
    </row>
    <row r="5" spans="1:2">
      <c r="A5" t="s">
        <v>784</v>
      </c>
      <c r="B5" t="s">
        <v>785</v>
      </c>
    </row>
    <row r="6" spans="1:2">
      <c r="A6" t="s">
        <v>786</v>
      </c>
      <c r="B6" t="s">
        <v>787</v>
      </c>
    </row>
    <row r="7" spans="1:2">
      <c r="A7" t="s">
        <v>788</v>
      </c>
      <c r="B7" t="s">
        <v>789</v>
      </c>
    </row>
    <row r="8" spans="1:2">
      <c r="A8" t="s">
        <v>790</v>
      </c>
      <c r="B8" t="s">
        <v>787</v>
      </c>
    </row>
    <row r="9" spans="1:2">
      <c r="A9" t="s">
        <v>791</v>
      </c>
      <c r="B9" t="s">
        <v>789</v>
      </c>
    </row>
    <row r="10" spans="1:2">
      <c r="A10" t="s">
        <v>792</v>
      </c>
      <c r="B10" t="s">
        <v>793</v>
      </c>
    </row>
    <row r="11" spans="1:2">
      <c r="A11" t="s">
        <v>794</v>
      </c>
      <c r="B11" t="s">
        <v>795</v>
      </c>
    </row>
    <row r="12" spans="1:2">
      <c r="A12" t="s">
        <v>796</v>
      </c>
      <c r="B12" t="s">
        <v>797</v>
      </c>
    </row>
    <row r="13" spans="1:2">
      <c r="A13" t="s">
        <v>798</v>
      </c>
      <c r="B13" t="s">
        <v>799</v>
      </c>
    </row>
    <row r="14" spans="1:2">
      <c r="A14" t="s">
        <v>800</v>
      </c>
      <c r="B14" t="s">
        <v>801</v>
      </c>
    </row>
    <row r="15" spans="1:2">
      <c r="A15" t="s">
        <v>802</v>
      </c>
      <c r="B15" t="s">
        <v>803</v>
      </c>
    </row>
    <row r="16" spans="1:2">
      <c r="A16" t="s">
        <v>804</v>
      </c>
      <c r="B16" t="s">
        <v>805</v>
      </c>
    </row>
    <row r="17" spans="1:2">
      <c r="A17" t="s">
        <v>806</v>
      </c>
      <c r="B17" t="s">
        <v>803</v>
      </c>
    </row>
    <row r="18" spans="1:2">
      <c r="A18" t="s">
        <v>807</v>
      </c>
      <c r="B18" t="s">
        <v>803</v>
      </c>
    </row>
    <row r="19" spans="1:2">
      <c r="A19" t="s">
        <v>808</v>
      </c>
      <c r="B19" t="s">
        <v>809</v>
      </c>
    </row>
    <row r="20" spans="1:2">
      <c r="A20" t="s">
        <v>810</v>
      </c>
      <c r="B20" t="s">
        <v>811</v>
      </c>
    </row>
    <row r="21" spans="1:2">
      <c r="A21" t="s">
        <v>813</v>
      </c>
      <c r="B21" t="s">
        <v>814</v>
      </c>
    </row>
    <row r="22" spans="1:2">
      <c r="A22" t="s">
        <v>815</v>
      </c>
      <c r="B22" t="s">
        <v>799</v>
      </c>
    </row>
    <row r="23" spans="1:2">
      <c r="A23" t="s">
        <v>816</v>
      </c>
      <c r="B23" t="s">
        <v>823</v>
      </c>
    </row>
    <row r="24" spans="1:2">
      <c r="A24" t="s">
        <v>817</v>
      </c>
      <c r="B24" t="s">
        <v>818</v>
      </c>
    </row>
    <row r="25" spans="1:2">
      <c r="A25" t="s">
        <v>819</v>
      </c>
      <c r="B25" t="s">
        <v>805</v>
      </c>
    </row>
    <row r="26" spans="1:2">
      <c r="A26" t="s">
        <v>821</v>
      </c>
      <c r="B26" t="s">
        <v>825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
  <sheetViews>
    <sheetView workbookViewId="0">
      <selection activeCell="A34" sqref="A1:XFD1048576"/>
    </sheetView>
  </sheetViews>
  <sheetFormatPr defaultRowHeight="13.2"/>
  <cols>
    <col min="1" max="1" width="4.6640625" customWidth="1"/>
    <col min="2" max="2" width="12.33203125" customWidth="1"/>
    <col min="3" max="3" width="39.6640625" customWidth="1"/>
    <col min="4" max="4" width="3.44140625" customWidth="1"/>
    <col min="5" max="5" width="28.21875" customWidth="1"/>
    <col min="6" max="15" width="7.6640625" customWidth="1"/>
  </cols>
  <sheetData>
    <row r="1" spans="1:15">
      <c r="C1" t="s">
        <v>780</v>
      </c>
    </row>
    <row r="2" spans="1:15">
      <c r="A2" t="s">
        <v>492</v>
      </c>
      <c r="B2" t="s">
        <v>493</v>
      </c>
      <c r="C2" t="s">
        <v>494</v>
      </c>
      <c r="D2" t="s">
        <v>495</v>
      </c>
      <c r="E2" t="s">
        <v>496</v>
      </c>
      <c r="F2" t="s">
        <v>28</v>
      </c>
      <c r="G2" t="s">
        <v>29</v>
      </c>
      <c r="H2" t="s">
        <v>30</v>
      </c>
      <c r="I2" t="s">
        <v>31</v>
      </c>
      <c r="J2" t="s">
        <v>32</v>
      </c>
      <c r="K2" t="s">
        <v>33</v>
      </c>
      <c r="L2" t="s">
        <v>34</v>
      </c>
      <c r="M2" t="s">
        <v>35</v>
      </c>
      <c r="N2" t="s">
        <v>59</v>
      </c>
      <c r="O2" t="s">
        <v>576</v>
      </c>
    </row>
    <row r="4" spans="1:15">
      <c r="A4" t="s">
        <v>822</v>
      </c>
      <c r="B4" t="s">
        <v>451</v>
      </c>
      <c r="C4" t="s">
        <v>177</v>
      </c>
      <c r="D4" t="s">
        <v>497</v>
      </c>
      <c r="E4" t="s">
        <v>742</v>
      </c>
      <c r="F4" s="566"/>
      <c r="G4" s="566"/>
      <c r="H4" s="566"/>
      <c r="I4" s="566">
        <v>103.470908642818</v>
      </c>
      <c r="J4" s="566">
        <v>132.99800637627399</v>
      </c>
      <c r="K4" s="566">
        <v>111.563416483532</v>
      </c>
      <c r="L4" s="566">
        <v>129.981643721457</v>
      </c>
      <c r="M4" s="566">
        <v>124.476495414871</v>
      </c>
      <c r="N4" s="566"/>
      <c r="O4" s="566"/>
    </row>
    <row r="5" spans="1:15">
      <c r="A5" t="s">
        <v>822</v>
      </c>
      <c r="B5" t="s">
        <v>452</v>
      </c>
      <c r="C5" t="s">
        <v>178</v>
      </c>
      <c r="D5" t="s">
        <v>497</v>
      </c>
      <c r="E5" t="s">
        <v>742</v>
      </c>
      <c r="F5" s="566"/>
      <c r="G5" s="566"/>
      <c r="H5" s="566"/>
      <c r="I5" s="566">
        <v>113.913414843349</v>
      </c>
      <c r="J5" s="566">
        <v>166.357511332</v>
      </c>
      <c r="K5" s="566">
        <v>140.887898901509</v>
      </c>
      <c r="L5" s="566">
        <v>118.387980577061</v>
      </c>
      <c r="M5" s="566">
        <v>84.269135592107304</v>
      </c>
      <c r="N5" s="566"/>
      <c r="O5" s="566"/>
    </row>
    <row r="6" spans="1:15">
      <c r="A6" t="s">
        <v>822</v>
      </c>
      <c r="B6" t="s">
        <v>453</v>
      </c>
      <c r="C6" t="s">
        <v>123</v>
      </c>
      <c r="D6" t="s">
        <v>497</v>
      </c>
      <c r="E6" t="s">
        <v>742</v>
      </c>
      <c r="F6" s="566"/>
      <c r="G6" s="566"/>
      <c r="H6" s="566"/>
      <c r="I6" s="566">
        <v>107.772134616793</v>
      </c>
      <c r="J6" s="566">
        <v>128.94885703399399</v>
      </c>
      <c r="K6" s="566">
        <v>39.916639210552901</v>
      </c>
      <c r="L6" s="566">
        <v>28.593380651569401</v>
      </c>
      <c r="M6" s="566">
        <v>15.432786951569399</v>
      </c>
      <c r="N6" s="566"/>
      <c r="O6" s="566"/>
    </row>
    <row r="7" spans="1:15">
      <c r="A7" t="s">
        <v>822</v>
      </c>
      <c r="B7" t="s">
        <v>454</v>
      </c>
      <c r="C7" t="s">
        <v>122</v>
      </c>
      <c r="D7" t="s">
        <v>497</v>
      </c>
      <c r="E7" t="s">
        <v>742</v>
      </c>
      <c r="F7" s="566"/>
      <c r="G7" s="566"/>
      <c r="H7" s="566"/>
      <c r="I7" s="566">
        <v>68.677982659469805</v>
      </c>
      <c r="J7" s="566">
        <v>79.775220134809601</v>
      </c>
      <c r="K7" s="566">
        <v>52.664264101835997</v>
      </c>
      <c r="L7" s="566">
        <v>42.8514853069493</v>
      </c>
      <c r="M7" s="566">
        <v>32.973380172967403</v>
      </c>
      <c r="N7" s="566"/>
      <c r="O7" s="566"/>
    </row>
    <row r="8" spans="1:15">
      <c r="A8" t="s">
        <v>822</v>
      </c>
      <c r="B8" t="s">
        <v>455</v>
      </c>
      <c r="C8" t="s">
        <v>190</v>
      </c>
      <c r="D8" t="s">
        <v>497</v>
      </c>
      <c r="E8" t="s">
        <v>742</v>
      </c>
      <c r="F8" s="566"/>
      <c r="G8" s="566"/>
      <c r="H8" s="566"/>
      <c r="I8" s="566">
        <v>5.7140000000000004</v>
      </c>
      <c r="J8" s="566">
        <v>7.7889999999999997</v>
      </c>
      <c r="K8" s="566">
        <v>8.3089999999999993</v>
      </c>
      <c r="L8" s="566">
        <v>9.66</v>
      </c>
      <c r="M8" s="566">
        <v>9.9890000000000008</v>
      </c>
      <c r="N8" s="566"/>
      <c r="O8" s="566"/>
    </row>
    <row r="9" spans="1:15">
      <c r="A9" t="s">
        <v>822</v>
      </c>
      <c r="B9" t="s">
        <v>456</v>
      </c>
      <c r="C9" t="s">
        <v>220</v>
      </c>
      <c r="D9" t="s">
        <v>497</v>
      </c>
      <c r="E9" t="s">
        <v>742</v>
      </c>
      <c r="F9" s="566"/>
      <c r="G9" s="566"/>
      <c r="H9" s="566"/>
      <c r="I9" s="566">
        <v>0</v>
      </c>
      <c r="J9" s="566">
        <v>0</v>
      </c>
      <c r="K9" s="566">
        <v>0</v>
      </c>
      <c r="L9" s="566">
        <v>0</v>
      </c>
      <c r="M9" s="566">
        <v>0</v>
      </c>
      <c r="N9" s="566"/>
      <c r="O9" s="566"/>
    </row>
    <row r="10" spans="1:15">
      <c r="A10" t="s">
        <v>822</v>
      </c>
      <c r="B10" t="s">
        <v>457</v>
      </c>
      <c r="C10" t="s">
        <v>221</v>
      </c>
      <c r="D10" t="s">
        <v>497</v>
      </c>
      <c r="E10" t="s">
        <v>742</v>
      </c>
      <c r="F10" s="566"/>
      <c r="G10" s="566"/>
      <c r="H10" s="566"/>
      <c r="I10" s="566">
        <v>0</v>
      </c>
      <c r="J10" s="566">
        <v>0</v>
      </c>
      <c r="K10" s="566">
        <v>0</v>
      </c>
      <c r="L10" s="566">
        <v>0</v>
      </c>
      <c r="M10" s="566">
        <v>0</v>
      </c>
      <c r="N10" s="566"/>
      <c r="O10" s="566"/>
    </row>
    <row r="11" spans="1:15">
      <c r="A11" t="s">
        <v>822</v>
      </c>
      <c r="B11" t="s">
        <v>458</v>
      </c>
      <c r="C11" t="s">
        <v>416</v>
      </c>
      <c r="D11" t="s">
        <v>497</v>
      </c>
      <c r="E11" t="s">
        <v>742</v>
      </c>
      <c r="F11" s="566"/>
      <c r="G11" s="566"/>
      <c r="H11" s="566"/>
      <c r="I11" s="566">
        <v>0</v>
      </c>
      <c r="J11" s="566">
        <v>0</v>
      </c>
      <c r="K11" s="566">
        <v>0</v>
      </c>
      <c r="L11" s="566">
        <v>0</v>
      </c>
      <c r="M11" s="566">
        <v>0</v>
      </c>
      <c r="N11" s="566"/>
      <c r="O11" s="566"/>
    </row>
    <row r="12" spans="1:15">
      <c r="A12" t="s">
        <v>822</v>
      </c>
      <c r="B12" t="s">
        <v>444</v>
      </c>
      <c r="C12" t="s">
        <v>179</v>
      </c>
      <c r="D12" t="s">
        <v>497</v>
      </c>
      <c r="E12" t="s">
        <v>742</v>
      </c>
      <c r="F12" s="566"/>
      <c r="G12" s="566"/>
      <c r="H12" s="566"/>
      <c r="I12" s="566">
        <v>42.720897600000001</v>
      </c>
      <c r="J12" s="566">
        <v>38.648853000000003</v>
      </c>
      <c r="K12" s="566">
        <v>45.982225700000001</v>
      </c>
      <c r="L12" s="566">
        <v>47.438052999999996</v>
      </c>
      <c r="M12" s="566">
        <v>47.2990274</v>
      </c>
      <c r="N12" s="566"/>
      <c r="O12" s="566"/>
    </row>
    <row r="13" spans="1:15">
      <c r="A13" t="s">
        <v>822</v>
      </c>
      <c r="B13" t="s">
        <v>445</v>
      </c>
      <c r="C13" t="s">
        <v>180</v>
      </c>
      <c r="D13" t="s">
        <v>497</v>
      </c>
      <c r="E13" t="s">
        <v>742</v>
      </c>
      <c r="F13" s="566"/>
      <c r="G13" s="566"/>
      <c r="H13" s="566"/>
      <c r="I13" s="566">
        <v>174.42350429999999</v>
      </c>
      <c r="J13" s="566">
        <v>249.0989931</v>
      </c>
      <c r="K13" s="566">
        <v>148.0181566</v>
      </c>
      <c r="L13" s="566">
        <v>158.6278312</v>
      </c>
      <c r="M13" s="566">
        <v>122.76039400000001</v>
      </c>
      <c r="N13" s="566"/>
      <c r="O13" s="566"/>
    </row>
    <row r="14" spans="1:15">
      <c r="A14" t="s">
        <v>822</v>
      </c>
      <c r="B14" t="s">
        <v>446</v>
      </c>
      <c r="C14" t="s">
        <v>124</v>
      </c>
      <c r="D14" t="s">
        <v>497</v>
      </c>
      <c r="E14" t="s">
        <v>742</v>
      </c>
      <c r="F14" s="566"/>
      <c r="G14" s="566"/>
      <c r="H14" s="566"/>
      <c r="I14" s="566">
        <v>63.993343000000003</v>
      </c>
      <c r="J14" s="566">
        <v>107.633421</v>
      </c>
      <c r="K14" s="566">
        <v>138.6957151</v>
      </c>
      <c r="L14" s="566">
        <v>121.4034858</v>
      </c>
      <c r="M14" s="566">
        <v>114.6391064</v>
      </c>
      <c r="N14" s="566"/>
      <c r="O14" s="566"/>
    </row>
    <row r="15" spans="1:15">
      <c r="A15" t="s">
        <v>822</v>
      </c>
      <c r="B15" t="s">
        <v>447</v>
      </c>
      <c r="C15" t="s">
        <v>125</v>
      </c>
      <c r="D15" t="s">
        <v>497</v>
      </c>
      <c r="E15" t="s">
        <v>742</v>
      </c>
      <c r="F15" s="566"/>
      <c r="G15" s="566"/>
      <c r="H15" s="566"/>
      <c r="I15" s="566">
        <v>286.69337969999998</v>
      </c>
      <c r="J15" s="566">
        <v>323.45532571049398</v>
      </c>
      <c r="K15" s="566">
        <v>274.44730395646098</v>
      </c>
      <c r="L15" s="566">
        <v>174.79395094065501</v>
      </c>
      <c r="M15" s="566">
        <v>122.67399018527</v>
      </c>
      <c r="N15" s="566"/>
      <c r="O15" s="566"/>
    </row>
    <row r="16" spans="1:15">
      <c r="A16" t="s">
        <v>822</v>
      </c>
      <c r="B16" t="s">
        <v>448</v>
      </c>
      <c r="C16" t="s">
        <v>191</v>
      </c>
      <c r="D16" t="s">
        <v>497</v>
      </c>
      <c r="E16" t="s">
        <v>742</v>
      </c>
      <c r="F16" s="566"/>
      <c r="G16" s="566"/>
      <c r="H16" s="566"/>
      <c r="I16" s="566">
        <v>9.1329999999999991</v>
      </c>
      <c r="J16" s="566">
        <v>12.135</v>
      </c>
      <c r="K16" s="566">
        <v>13.163</v>
      </c>
      <c r="L16" s="566">
        <v>15.06</v>
      </c>
      <c r="M16" s="566">
        <v>15.964</v>
      </c>
      <c r="N16" s="566"/>
      <c r="O16" s="566"/>
    </row>
    <row r="17" spans="1:15">
      <c r="A17" t="s">
        <v>822</v>
      </c>
      <c r="B17" t="s">
        <v>449</v>
      </c>
      <c r="C17" t="s">
        <v>222</v>
      </c>
      <c r="D17" t="s">
        <v>497</v>
      </c>
      <c r="E17" t="s">
        <v>742</v>
      </c>
      <c r="F17" s="566"/>
      <c r="G17" s="566"/>
      <c r="H17" s="566"/>
      <c r="I17" s="566">
        <v>124.684</v>
      </c>
      <c r="J17" s="566">
        <v>136.78299999999999</v>
      </c>
      <c r="K17" s="566">
        <v>99.774000000000001</v>
      </c>
      <c r="L17" s="566">
        <v>90.923000000000002</v>
      </c>
      <c r="M17" s="566">
        <v>74.247</v>
      </c>
      <c r="N17" s="566"/>
      <c r="O17" s="566"/>
    </row>
    <row r="18" spans="1:15">
      <c r="A18" t="s">
        <v>822</v>
      </c>
      <c r="B18" t="s">
        <v>450</v>
      </c>
      <c r="C18" t="s">
        <v>223</v>
      </c>
      <c r="D18" t="s">
        <v>497</v>
      </c>
      <c r="E18" t="s">
        <v>742</v>
      </c>
      <c r="F18" s="566"/>
      <c r="G18" s="566"/>
      <c r="H18" s="566"/>
      <c r="I18" s="566">
        <v>15.026999999999999</v>
      </c>
      <c r="J18" s="566">
        <v>16.484999999999999</v>
      </c>
      <c r="K18" s="566">
        <v>12.023999999999999</v>
      </c>
      <c r="L18" s="566">
        <v>10.958</v>
      </c>
      <c r="M18" s="566">
        <v>8.9480000000000004</v>
      </c>
      <c r="N18" s="566"/>
      <c r="O18" s="566"/>
    </row>
    <row r="19" spans="1:15">
      <c r="A19" t="s">
        <v>822</v>
      </c>
      <c r="B19" t="s">
        <v>443</v>
      </c>
      <c r="C19" t="s">
        <v>417</v>
      </c>
      <c r="D19" t="s">
        <v>497</v>
      </c>
      <c r="E19" t="s">
        <v>742</v>
      </c>
      <c r="F19" s="566"/>
      <c r="G19" s="566"/>
      <c r="H19" s="566"/>
      <c r="I19" s="566">
        <v>0</v>
      </c>
      <c r="J19" s="566">
        <v>0</v>
      </c>
      <c r="K19" s="566">
        <v>0</v>
      </c>
      <c r="L19" s="566">
        <v>0</v>
      </c>
      <c r="M19" s="566">
        <v>0</v>
      </c>
      <c r="N19" s="566"/>
      <c r="O19" s="566"/>
    </row>
    <row r="20" spans="1:15">
      <c r="A20" t="s">
        <v>822</v>
      </c>
      <c r="B20" t="s">
        <v>528</v>
      </c>
      <c r="C20" t="s">
        <v>511</v>
      </c>
      <c r="D20" t="s">
        <v>497</v>
      </c>
      <c r="E20" t="s">
        <v>742</v>
      </c>
      <c r="F20" s="566">
        <v>129.22800000000001</v>
      </c>
      <c r="G20" s="566">
        <v>68.825052688756102</v>
      </c>
      <c r="H20" s="566">
        <v>41.512999999999998</v>
      </c>
      <c r="I20" s="566">
        <v>87.234824625137904</v>
      </c>
      <c r="J20" s="566">
        <v>116.24143844602401</v>
      </c>
      <c r="K20" s="566">
        <v>100.113592207853</v>
      </c>
      <c r="L20" s="566">
        <v>118.78149153639799</v>
      </c>
      <c r="M20" s="566">
        <v>113.233114207279</v>
      </c>
      <c r="N20" s="566"/>
      <c r="O20" s="566"/>
    </row>
    <row r="21" spans="1:15">
      <c r="A21" t="s">
        <v>822</v>
      </c>
      <c r="B21" t="s">
        <v>529</v>
      </c>
      <c r="C21" t="s">
        <v>512</v>
      </c>
      <c r="D21" t="s">
        <v>497</v>
      </c>
      <c r="E21" t="s">
        <v>742</v>
      </c>
      <c r="F21" s="566">
        <v>89.679999999999893</v>
      </c>
      <c r="G21" s="566">
        <v>86.437733177417101</v>
      </c>
      <c r="H21" s="566">
        <v>124.527999999999</v>
      </c>
      <c r="I21" s="566">
        <v>99.545006652130994</v>
      </c>
      <c r="J21" s="566">
        <v>150.844562776717</v>
      </c>
      <c r="K21" s="566">
        <v>134.191808450297</v>
      </c>
      <c r="L21" s="566">
        <v>113.33852173593</v>
      </c>
      <c r="M21" s="566">
        <v>80.167266017515203</v>
      </c>
      <c r="N21" s="566"/>
      <c r="O21" s="566"/>
    </row>
    <row r="22" spans="1:15">
      <c r="A22" t="s">
        <v>822</v>
      </c>
      <c r="B22" t="s">
        <v>1</v>
      </c>
      <c r="C22" t="s">
        <v>513</v>
      </c>
      <c r="D22" t="s">
        <v>497</v>
      </c>
      <c r="E22" t="s">
        <v>742</v>
      </c>
      <c r="F22" s="566">
        <v>148.318228814664</v>
      </c>
      <c r="G22" s="566">
        <v>157.45694686508901</v>
      </c>
      <c r="H22" s="566">
        <v>209.48780798834599</v>
      </c>
      <c r="I22" s="566">
        <v>14.6630093946795</v>
      </c>
      <c r="J22" s="566">
        <v>28.3972202217724</v>
      </c>
      <c r="K22" s="566">
        <v>35.886578219887397</v>
      </c>
      <c r="L22" s="566">
        <v>24.7722318520544</v>
      </c>
      <c r="M22" s="566">
        <v>12.2079348953171</v>
      </c>
      <c r="N22" s="566"/>
      <c r="O22" s="566"/>
    </row>
    <row r="23" spans="1:15">
      <c r="A23" t="s">
        <v>822</v>
      </c>
      <c r="B23" t="s">
        <v>5</v>
      </c>
      <c r="C23" t="s">
        <v>514</v>
      </c>
      <c r="D23" t="s">
        <v>497</v>
      </c>
      <c r="E23" t="s">
        <v>742</v>
      </c>
      <c r="F23" s="566">
        <v>133.49027118533499</v>
      </c>
      <c r="G23" s="566">
        <v>190.04275795372001</v>
      </c>
      <c r="H23" s="566">
        <v>106.159192011653</v>
      </c>
      <c r="I23" s="566">
        <v>36.395993577846603</v>
      </c>
      <c r="J23" s="566">
        <v>50.356710850691897</v>
      </c>
      <c r="K23" s="566">
        <v>43.3124901487842</v>
      </c>
      <c r="L23" s="566">
        <v>37.075628137562802</v>
      </c>
      <c r="M23" s="566">
        <v>26.200056726643101</v>
      </c>
      <c r="N23" s="566"/>
      <c r="O23" s="566"/>
    </row>
    <row r="24" spans="1:15">
      <c r="A24" t="s">
        <v>822</v>
      </c>
      <c r="B24" t="s">
        <v>441</v>
      </c>
      <c r="C24" t="s">
        <v>224</v>
      </c>
      <c r="D24" t="s">
        <v>497</v>
      </c>
      <c r="E24" t="s">
        <v>742</v>
      </c>
      <c r="F24" s="566"/>
      <c r="G24" s="566"/>
      <c r="H24" s="566"/>
      <c r="I24" s="566">
        <v>0</v>
      </c>
      <c r="J24" s="566">
        <v>0</v>
      </c>
      <c r="K24" s="566">
        <v>0</v>
      </c>
      <c r="L24" s="566">
        <v>0</v>
      </c>
      <c r="M24" s="566">
        <v>0</v>
      </c>
      <c r="N24" s="566"/>
      <c r="O24" s="566"/>
    </row>
    <row r="25" spans="1:15">
      <c r="A25" t="s">
        <v>822</v>
      </c>
      <c r="B25" t="s">
        <v>442</v>
      </c>
      <c r="C25" t="s">
        <v>225</v>
      </c>
      <c r="D25" t="s">
        <v>497</v>
      </c>
      <c r="E25" t="s">
        <v>742</v>
      </c>
      <c r="F25" s="566"/>
      <c r="G25" s="566"/>
      <c r="H25" s="566"/>
      <c r="I25" s="566">
        <v>0</v>
      </c>
      <c r="J25" s="566">
        <v>0</v>
      </c>
      <c r="K25" s="566">
        <v>0</v>
      </c>
      <c r="L25" s="566">
        <v>0</v>
      </c>
      <c r="M25" s="566">
        <v>0</v>
      </c>
      <c r="N25" s="566"/>
      <c r="O25" s="566"/>
    </row>
    <row r="26" spans="1:15">
      <c r="A26" t="s">
        <v>822</v>
      </c>
      <c r="B26" t="s">
        <v>530</v>
      </c>
      <c r="C26" t="s">
        <v>515</v>
      </c>
      <c r="D26" t="s">
        <v>497</v>
      </c>
      <c r="E26" t="s">
        <v>742</v>
      </c>
      <c r="F26" s="566">
        <v>46.938000000000002</v>
      </c>
      <c r="G26" s="566">
        <v>36.938546015364302</v>
      </c>
      <c r="H26" s="566">
        <v>41.335999999999999</v>
      </c>
      <c r="I26" s="566">
        <v>38.865761372709599</v>
      </c>
      <c r="J26" s="566">
        <v>35.781513546488704</v>
      </c>
      <c r="K26" s="566">
        <v>43.532020009209504</v>
      </c>
      <c r="L26" s="566">
        <v>45.321577742291701</v>
      </c>
      <c r="M26" s="566">
        <v>44.6772327147224</v>
      </c>
      <c r="N26" s="566"/>
      <c r="O26" s="566"/>
    </row>
    <row r="27" spans="1:15">
      <c r="A27" t="s">
        <v>822</v>
      </c>
      <c r="B27" t="s">
        <v>531</v>
      </c>
      <c r="C27" t="s">
        <v>512</v>
      </c>
      <c r="D27" t="s">
        <v>497</v>
      </c>
      <c r="E27" t="s">
        <v>742</v>
      </c>
      <c r="F27" s="566">
        <v>189.768</v>
      </c>
      <c r="G27" s="566">
        <v>147.06511589076101</v>
      </c>
      <c r="H27" s="566">
        <v>64.978015096612395</v>
      </c>
      <c r="I27" s="566">
        <v>147.81277901553301</v>
      </c>
      <c r="J27" s="566">
        <v>221.861562203463</v>
      </c>
      <c r="K27" s="566">
        <v>130.194251699132</v>
      </c>
      <c r="L27" s="566">
        <v>143.986736667993</v>
      </c>
      <c r="M27" s="566">
        <v>110.83618408906401</v>
      </c>
      <c r="N27" s="566"/>
      <c r="O27" s="566"/>
    </row>
    <row r="28" spans="1:15">
      <c r="A28" t="s">
        <v>822</v>
      </c>
      <c r="B28" t="s">
        <v>6</v>
      </c>
      <c r="C28" t="s">
        <v>516</v>
      </c>
      <c r="D28" t="s">
        <v>497</v>
      </c>
      <c r="E28" t="s">
        <v>742</v>
      </c>
      <c r="F28" s="566">
        <v>107.752124567641</v>
      </c>
      <c r="G28" s="566">
        <v>97.189999187334905</v>
      </c>
      <c r="H28" s="566">
        <v>76.106720456721902</v>
      </c>
      <c r="I28" s="566">
        <v>56.530581629279297</v>
      </c>
      <c r="J28" s="566">
        <v>95.368745344233602</v>
      </c>
      <c r="K28" s="566">
        <v>100.421626739213</v>
      </c>
      <c r="L28" s="566">
        <v>83.751564155600406</v>
      </c>
      <c r="M28" s="566">
        <v>74.585730211598403</v>
      </c>
      <c r="N28" s="566"/>
      <c r="O28" s="566"/>
    </row>
    <row r="29" spans="1:15">
      <c r="A29" t="s">
        <v>822</v>
      </c>
      <c r="B29" t="s">
        <v>9</v>
      </c>
      <c r="C29" t="s">
        <v>517</v>
      </c>
      <c r="D29" t="s">
        <v>497</v>
      </c>
      <c r="E29" t="s">
        <v>742</v>
      </c>
      <c r="F29" s="566">
        <v>44.323875432358797</v>
      </c>
      <c r="G29" s="566">
        <v>66.398181304633695</v>
      </c>
      <c r="H29" s="566">
        <v>131.22327954327801</v>
      </c>
      <c r="I29" s="566">
        <v>271.55400562869698</v>
      </c>
      <c r="J29" s="566">
        <v>307.44605639175199</v>
      </c>
      <c r="K29" s="566">
        <v>261.40140772536898</v>
      </c>
      <c r="L29" s="566">
        <v>163.49351378198699</v>
      </c>
      <c r="M29" s="566">
        <v>114.792250671535</v>
      </c>
      <c r="N29" s="566"/>
      <c r="O29" s="566"/>
    </row>
    <row r="30" spans="1:15">
      <c r="A30" t="s">
        <v>822</v>
      </c>
      <c r="B30" t="s">
        <v>439</v>
      </c>
      <c r="C30" t="s">
        <v>226</v>
      </c>
      <c r="D30" t="s">
        <v>497</v>
      </c>
      <c r="E30" t="s">
        <v>742</v>
      </c>
      <c r="F30" s="566"/>
      <c r="G30" s="566"/>
      <c r="H30" s="566"/>
      <c r="I30" s="566">
        <v>124.684</v>
      </c>
      <c r="J30" s="566">
        <v>136.78299999999999</v>
      </c>
      <c r="K30" s="566">
        <v>99.774000000000001</v>
      </c>
      <c r="L30" s="566">
        <v>90.923000000000002</v>
      </c>
      <c r="M30" s="566">
        <v>74.247</v>
      </c>
      <c r="N30" s="566"/>
      <c r="O30" s="566"/>
    </row>
    <row r="31" spans="1:15">
      <c r="A31" t="s">
        <v>822</v>
      </c>
      <c r="B31" t="s">
        <v>440</v>
      </c>
      <c r="C31" t="s">
        <v>227</v>
      </c>
      <c r="D31" t="s">
        <v>497</v>
      </c>
      <c r="E31" t="s">
        <v>742</v>
      </c>
      <c r="F31" s="566"/>
      <c r="G31" s="566"/>
      <c r="H31" s="566"/>
      <c r="I31" s="566">
        <v>15.026999999999999</v>
      </c>
      <c r="J31" s="566">
        <v>16.484999999999999</v>
      </c>
      <c r="K31" s="566">
        <v>12.023999999999999</v>
      </c>
      <c r="L31" s="566">
        <v>10.958</v>
      </c>
      <c r="M31" s="566">
        <v>8.9480000000000004</v>
      </c>
      <c r="N31" s="566"/>
      <c r="O31" s="566"/>
    </row>
    <row r="32" spans="1:15">
      <c r="A32" t="s">
        <v>822</v>
      </c>
      <c r="B32" t="s">
        <v>68</v>
      </c>
      <c r="C32" t="s">
        <v>55</v>
      </c>
      <c r="D32" t="s">
        <v>518</v>
      </c>
      <c r="E32" t="s">
        <v>742</v>
      </c>
      <c r="F32" s="567">
        <v>125.26368929866101</v>
      </c>
      <c r="G32" s="567"/>
      <c r="H32" s="567"/>
      <c r="I32" s="567"/>
      <c r="J32" s="567"/>
      <c r="K32" s="567"/>
      <c r="L32" s="567"/>
      <c r="M32" s="567"/>
      <c r="N32" s="567"/>
      <c r="O32" s="567"/>
    </row>
    <row r="33" spans="1:15">
      <c r="A33" t="s">
        <v>822</v>
      </c>
      <c r="B33" t="s">
        <v>69</v>
      </c>
      <c r="C33" t="s">
        <v>55</v>
      </c>
      <c r="D33" t="s">
        <v>518</v>
      </c>
      <c r="E33" t="s">
        <v>742</v>
      </c>
      <c r="F33" s="567">
        <v>107.97441355193099</v>
      </c>
      <c r="G33" s="567"/>
      <c r="H33" s="567"/>
      <c r="I33" s="567"/>
      <c r="J33" s="567"/>
      <c r="K33" s="567"/>
      <c r="L33" s="567"/>
      <c r="M33" s="567"/>
      <c r="N33" s="567"/>
      <c r="O33" s="567"/>
    </row>
    <row r="34" spans="1:15">
      <c r="A34" t="s">
        <v>822</v>
      </c>
      <c r="B34" t="s">
        <v>210</v>
      </c>
      <c r="C34" t="s">
        <v>519</v>
      </c>
      <c r="D34" t="s">
        <v>497</v>
      </c>
      <c r="E34" t="s">
        <v>742</v>
      </c>
      <c r="F34" s="566"/>
      <c r="G34" s="566"/>
      <c r="H34" s="566"/>
      <c r="I34" s="566">
        <v>-6.4040346411921103</v>
      </c>
      <c r="J34" s="566">
        <v>-9.3120659362126101</v>
      </c>
      <c r="K34" s="566">
        <v>-8.4414031297668295</v>
      </c>
      <c r="L34" s="566">
        <v>-7.9153618865700501</v>
      </c>
      <c r="M34" s="566">
        <v>-6.2416587606791998</v>
      </c>
      <c r="N34" s="566"/>
      <c r="O34" s="566"/>
    </row>
    <row r="35" spans="1:15">
      <c r="A35" t="s">
        <v>822</v>
      </c>
      <c r="B35" t="s">
        <v>211</v>
      </c>
      <c r="C35" t="s">
        <v>520</v>
      </c>
      <c r="D35" t="s">
        <v>497</v>
      </c>
      <c r="E35" t="s">
        <v>742</v>
      </c>
      <c r="F35" s="566"/>
      <c r="G35" s="566"/>
      <c r="H35" s="566"/>
      <c r="I35" s="566">
        <v>-4.4345210389061096</v>
      </c>
      <c r="J35" s="566">
        <v>-5.5135632887299098</v>
      </c>
      <c r="K35" s="566">
        <v>-4.38623182711172</v>
      </c>
      <c r="L35" s="566">
        <v>-3.6482704817140701</v>
      </c>
      <c r="M35" s="566">
        <v>-2.90058545757877</v>
      </c>
      <c r="N35" s="566"/>
      <c r="O35" s="566"/>
    </row>
    <row r="36" spans="1:15">
      <c r="A36" t="s">
        <v>822</v>
      </c>
      <c r="B36" t="s">
        <v>66</v>
      </c>
      <c r="C36" t="s">
        <v>196</v>
      </c>
      <c r="D36" t="s">
        <v>497</v>
      </c>
      <c r="E36" t="s">
        <v>742</v>
      </c>
      <c r="F36" s="566">
        <v>3803.4898692981501</v>
      </c>
      <c r="G36" s="566">
        <v>3973.1766037398602</v>
      </c>
      <c r="H36" s="566">
        <v>4012.3913144817998</v>
      </c>
      <c r="I36" s="566">
        <v>3993.7173828238001</v>
      </c>
      <c r="J36" s="566">
        <v>4084.8071487515299</v>
      </c>
      <c r="K36" s="566">
        <v>4142.9266328273397</v>
      </c>
      <c r="L36" s="566">
        <v>4183.7220345626502</v>
      </c>
      <c r="M36" s="566">
        <v>4162.73248798022</v>
      </c>
      <c r="N36" s="566"/>
      <c r="O36" s="566"/>
    </row>
    <row r="37" spans="1:15">
      <c r="A37" t="s">
        <v>822</v>
      </c>
      <c r="B37" t="s">
        <v>67</v>
      </c>
      <c r="C37" t="s">
        <v>197</v>
      </c>
      <c r="D37" t="s">
        <v>497</v>
      </c>
      <c r="E37" t="s">
        <v>742</v>
      </c>
      <c r="F37" s="566">
        <v>3332.2887786358301</v>
      </c>
      <c r="G37" s="566">
        <v>3351.3521895608601</v>
      </c>
      <c r="H37" s="566">
        <v>3457.1462027174198</v>
      </c>
      <c r="I37" s="566">
        <v>3945.1437194370801</v>
      </c>
      <c r="J37" s="566">
        <v>4581.8359215168202</v>
      </c>
      <c r="K37" s="566">
        <v>4996.3623891277402</v>
      </c>
      <c r="L37" s="566">
        <v>5287.6489470873103</v>
      </c>
      <c r="M37" s="566">
        <v>5449.8897221546404</v>
      </c>
      <c r="N37" s="566"/>
      <c r="O37" s="566"/>
    </row>
    <row r="38" spans="1:15">
      <c r="A38" t="s">
        <v>822</v>
      </c>
      <c r="B38" t="s">
        <v>243</v>
      </c>
      <c r="C38" t="s">
        <v>521</v>
      </c>
      <c r="D38" t="s">
        <v>522</v>
      </c>
      <c r="E38" t="s">
        <v>742</v>
      </c>
      <c r="F38" s="568">
        <v>5.8099999999999999E-2</v>
      </c>
      <c r="G38" s="568">
        <v>5.0999999999999997E-2</v>
      </c>
      <c r="H38" s="568">
        <v>5.0999999999999997E-2</v>
      </c>
      <c r="I38" s="568">
        <v>5.0999999999999997E-2</v>
      </c>
      <c r="J38" s="568">
        <v>5.0999999999999997E-2</v>
      </c>
      <c r="K38" s="568">
        <v>5.0999999999999997E-2</v>
      </c>
      <c r="L38" s="568">
        <v>5.0999999999999997E-2</v>
      </c>
      <c r="M38" s="568">
        <v>5.0999999999999997E-2</v>
      </c>
      <c r="N38" s="568">
        <v>5.0999999999999997E-2</v>
      </c>
      <c r="O38" s="568"/>
    </row>
    <row r="39" spans="1:15">
      <c r="A39" t="s">
        <v>822</v>
      </c>
      <c r="B39" t="s">
        <v>533</v>
      </c>
      <c r="C39" t="s">
        <v>504</v>
      </c>
      <c r="D39" t="s">
        <v>499</v>
      </c>
      <c r="E39" t="s">
        <v>742</v>
      </c>
      <c r="F39" s="570"/>
      <c r="G39" s="570"/>
      <c r="H39" s="570"/>
      <c r="I39" s="570"/>
      <c r="J39" s="570"/>
      <c r="K39" s="570"/>
      <c r="L39" s="570"/>
      <c r="M39" s="570"/>
      <c r="N39" s="570">
        <v>6.2600000000000003E-2</v>
      </c>
      <c r="O39" s="570"/>
    </row>
    <row r="40" spans="1:15">
      <c r="A40" t="s">
        <v>822</v>
      </c>
      <c r="B40" t="s">
        <v>424</v>
      </c>
      <c r="C40" t="s">
        <v>8</v>
      </c>
      <c r="D40" t="s">
        <v>497</v>
      </c>
      <c r="E40" t="s">
        <v>742</v>
      </c>
      <c r="F40" s="566"/>
      <c r="G40" s="566"/>
      <c r="H40" s="566"/>
      <c r="I40" s="566">
        <v>96.815099539999807</v>
      </c>
      <c r="J40" s="566">
        <v>134.462651452888</v>
      </c>
      <c r="K40" s="566">
        <v>98.969987991157893</v>
      </c>
      <c r="L40" s="566">
        <v>82.615744604577699</v>
      </c>
      <c r="M40" s="566">
        <v>70.737905735782604</v>
      </c>
      <c r="N40" s="566"/>
      <c r="O40" s="566"/>
    </row>
    <row r="41" spans="1:15">
      <c r="A41" t="s">
        <v>822</v>
      </c>
      <c r="B41" t="s">
        <v>425</v>
      </c>
      <c r="C41" t="s">
        <v>65</v>
      </c>
      <c r="D41" t="s">
        <v>497</v>
      </c>
      <c r="E41" t="s">
        <v>742</v>
      </c>
      <c r="F41" s="566"/>
      <c r="G41" s="566"/>
      <c r="H41" s="566"/>
      <c r="I41" s="566">
        <v>118.926250458056</v>
      </c>
      <c r="J41" s="566">
        <v>148.972263063176</v>
      </c>
      <c r="K41" s="566">
        <v>134.19403100525699</v>
      </c>
      <c r="L41" s="566">
        <v>144.16200000000001</v>
      </c>
      <c r="M41" s="566">
        <v>168.11232031747701</v>
      </c>
      <c r="N41" s="566"/>
      <c r="O41" s="566"/>
    </row>
    <row r="42" spans="1:15">
      <c r="A42" t="s">
        <v>822</v>
      </c>
      <c r="B42" t="s">
        <v>426</v>
      </c>
      <c r="C42" t="s">
        <v>382</v>
      </c>
      <c r="D42" t="s">
        <v>497</v>
      </c>
      <c r="E42" t="s">
        <v>742</v>
      </c>
      <c r="F42" s="566"/>
      <c r="G42" s="566"/>
      <c r="H42" s="566"/>
      <c r="I42" s="566">
        <v>58.1921938764836</v>
      </c>
      <c r="J42" s="566">
        <v>4.5178750700620398</v>
      </c>
      <c r="K42" s="566">
        <v>10.7836148502164</v>
      </c>
      <c r="L42" s="566">
        <v>20.156810120057301</v>
      </c>
      <c r="M42" s="566">
        <v>15.364241293346801</v>
      </c>
      <c r="N42" s="566"/>
      <c r="O42" s="566"/>
    </row>
    <row r="43" spans="1:15">
      <c r="A43" t="s">
        <v>822</v>
      </c>
      <c r="B43" t="s">
        <v>427</v>
      </c>
      <c r="C43" t="s">
        <v>383</v>
      </c>
      <c r="D43" t="s">
        <v>497</v>
      </c>
      <c r="E43" t="s">
        <v>742</v>
      </c>
      <c r="F43" s="566"/>
      <c r="G43" s="566"/>
      <c r="H43" s="566"/>
      <c r="I43" s="566">
        <v>49.096900494649603</v>
      </c>
      <c r="J43" s="566">
        <v>44.771243533433399</v>
      </c>
      <c r="K43" s="566">
        <v>31.8749503571423</v>
      </c>
      <c r="L43" s="566">
        <v>56.188153274649501</v>
      </c>
      <c r="M43" s="566">
        <v>75.0906794392439</v>
      </c>
      <c r="N43" s="566"/>
      <c r="O43" s="566"/>
    </row>
    <row r="44" spans="1:15">
      <c r="A44" t="s">
        <v>822</v>
      </c>
      <c r="B44" t="s">
        <v>428</v>
      </c>
      <c r="C44" t="s">
        <v>230</v>
      </c>
      <c r="D44" t="s">
        <v>497</v>
      </c>
      <c r="E44" t="s">
        <v>742</v>
      </c>
      <c r="F44" s="566"/>
      <c r="G44" s="566"/>
      <c r="H44" s="566"/>
      <c r="I44" s="566">
        <v>0</v>
      </c>
      <c r="J44" s="566">
        <v>0</v>
      </c>
      <c r="K44" s="566">
        <v>0</v>
      </c>
      <c r="L44" s="566">
        <v>0</v>
      </c>
      <c r="M44" s="566">
        <v>0</v>
      </c>
      <c r="N44" s="566"/>
      <c r="O44" s="566"/>
    </row>
    <row r="45" spans="1:15">
      <c r="A45" t="s">
        <v>822</v>
      </c>
      <c r="B45" t="s">
        <v>429</v>
      </c>
      <c r="C45" t="s">
        <v>231</v>
      </c>
      <c r="D45" t="s">
        <v>497</v>
      </c>
      <c r="E45" t="s">
        <v>742</v>
      </c>
      <c r="F45" s="566"/>
      <c r="G45" s="566"/>
      <c r="H45" s="566"/>
      <c r="I45" s="566">
        <v>0</v>
      </c>
      <c r="J45" s="566">
        <v>0</v>
      </c>
      <c r="K45" s="566">
        <v>0</v>
      </c>
      <c r="L45" s="566">
        <v>0</v>
      </c>
      <c r="M45" s="566">
        <v>0</v>
      </c>
      <c r="N45" s="566"/>
      <c r="O45" s="566"/>
    </row>
    <row r="46" spans="1:15">
      <c r="A46" t="s">
        <v>822</v>
      </c>
      <c r="B46" t="s">
        <v>430</v>
      </c>
      <c r="C46" t="s">
        <v>2</v>
      </c>
      <c r="D46" t="s">
        <v>497</v>
      </c>
      <c r="E46" t="s">
        <v>742</v>
      </c>
      <c r="F46" s="566"/>
      <c r="G46" s="566"/>
      <c r="H46" s="566"/>
      <c r="I46" s="566">
        <v>27.506438960000001</v>
      </c>
      <c r="J46" s="566">
        <v>44.729525442174598</v>
      </c>
      <c r="K46" s="566">
        <v>73.259442582552794</v>
      </c>
      <c r="L46" s="566">
        <v>77.864000000000004</v>
      </c>
      <c r="M46" s="566">
        <v>80.561511905495195</v>
      </c>
      <c r="N46" s="566"/>
      <c r="O46" s="566"/>
    </row>
    <row r="47" spans="1:15">
      <c r="A47" t="s">
        <v>822</v>
      </c>
      <c r="B47" t="s">
        <v>431</v>
      </c>
      <c r="C47" t="s">
        <v>64</v>
      </c>
      <c r="D47" t="s">
        <v>497</v>
      </c>
      <c r="E47" t="s">
        <v>742</v>
      </c>
      <c r="F47" s="566"/>
      <c r="G47" s="566"/>
      <c r="H47" s="566"/>
      <c r="I47" s="566">
        <v>165.781731443567</v>
      </c>
      <c r="J47" s="566">
        <v>162.227301251574</v>
      </c>
      <c r="K47" s="566">
        <v>147.569304121703</v>
      </c>
      <c r="L47" s="566">
        <v>144.40199999999999</v>
      </c>
      <c r="M47" s="566">
        <v>185.43571142700901</v>
      </c>
      <c r="N47" s="566"/>
      <c r="O47" s="566"/>
    </row>
    <row r="48" spans="1:15">
      <c r="A48" t="s">
        <v>822</v>
      </c>
      <c r="B48" t="s">
        <v>432</v>
      </c>
      <c r="C48" t="s">
        <v>384</v>
      </c>
      <c r="D48" t="s">
        <v>497</v>
      </c>
      <c r="E48" t="s">
        <v>742</v>
      </c>
      <c r="F48" s="566"/>
      <c r="G48" s="566"/>
      <c r="H48" s="566"/>
      <c r="I48" s="566">
        <v>22.2444760850546</v>
      </c>
      <c r="J48" s="566">
        <v>11.841580921866299</v>
      </c>
      <c r="K48" s="566">
        <v>31.181226785186599</v>
      </c>
      <c r="L48" s="566">
        <v>28.227</v>
      </c>
      <c r="M48" s="566">
        <v>59.564818739683801</v>
      </c>
      <c r="N48" s="566"/>
      <c r="O48" s="566"/>
    </row>
    <row r="49" spans="1:15">
      <c r="A49" t="s">
        <v>822</v>
      </c>
      <c r="B49" t="s">
        <v>433</v>
      </c>
      <c r="C49" t="s">
        <v>385</v>
      </c>
      <c r="D49" t="s">
        <v>497</v>
      </c>
      <c r="E49" t="s">
        <v>742</v>
      </c>
      <c r="F49" s="566"/>
      <c r="G49" s="566"/>
      <c r="H49" s="566"/>
      <c r="I49" s="566">
        <v>229.095530552192</v>
      </c>
      <c r="J49" s="566">
        <v>354.85647342482201</v>
      </c>
      <c r="K49" s="566">
        <v>231.10204017638301</v>
      </c>
      <c r="L49" s="566">
        <v>232.36700642477899</v>
      </c>
      <c r="M49" s="566">
        <v>143.94850298482299</v>
      </c>
      <c r="N49" s="566"/>
      <c r="O49" s="566"/>
    </row>
    <row r="50" spans="1:15">
      <c r="A50" t="s">
        <v>822</v>
      </c>
      <c r="B50" t="s">
        <v>434</v>
      </c>
      <c r="C50" t="s">
        <v>232</v>
      </c>
      <c r="D50" t="s">
        <v>497</v>
      </c>
      <c r="E50" t="s">
        <v>742</v>
      </c>
      <c r="F50" s="566"/>
      <c r="G50" s="566"/>
      <c r="H50" s="566"/>
      <c r="I50" s="566">
        <v>85.954035340000004</v>
      </c>
      <c r="J50" s="566">
        <v>68.658195062111503</v>
      </c>
      <c r="K50" s="566">
        <v>78.392323694568304</v>
      </c>
      <c r="L50" s="566">
        <v>105.12503617</v>
      </c>
      <c r="M50" s="566">
        <v>93.955209134460006</v>
      </c>
      <c r="N50" s="566"/>
      <c r="O50" s="566"/>
    </row>
    <row r="51" spans="1:15">
      <c r="A51" t="s">
        <v>822</v>
      </c>
      <c r="B51" t="s">
        <v>435</v>
      </c>
      <c r="C51" t="s">
        <v>233</v>
      </c>
      <c r="D51" t="s">
        <v>497</v>
      </c>
      <c r="E51" t="s">
        <v>742</v>
      </c>
      <c r="F51" s="566"/>
      <c r="G51" s="566"/>
      <c r="H51" s="566"/>
      <c r="I51" s="566">
        <v>30.074629819999998</v>
      </c>
      <c r="J51" s="566">
        <v>24.0229538678885</v>
      </c>
      <c r="K51" s="566">
        <v>16.651715565431701</v>
      </c>
      <c r="L51" s="566">
        <v>22.38297558</v>
      </c>
      <c r="M51" s="566">
        <v>19.957507985540001</v>
      </c>
      <c r="N51" s="566"/>
      <c r="O51" s="566"/>
    </row>
    <row r="52" spans="1:15">
      <c r="A52" t="s">
        <v>822</v>
      </c>
      <c r="B52" t="s">
        <v>420</v>
      </c>
      <c r="C52" t="s">
        <v>202</v>
      </c>
      <c r="D52" t="s">
        <v>497</v>
      </c>
      <c r="E52" t="s">
        <v>742</v>
      </c>
      <c r="F52" s="566"/>
      <c r="G52" s="566"/>
      <c r="H52" s="566"/>
      <c r="I52" s="566"/>
      <c r="J52" s="566"/>
      <c r="K52" s="566"/>
      <c r="L52" s="566"/>
      <c r="M52" s="566"/>
      <c r="N52" s="566"/>
      <c r="O52" s="566"/>
    </row>
    <row r="53" spans="1:15">
      <c r="A53" t="s">
        <v>822</v>
      </c>
      <c r="B53" t="s">
        <v>422</v>
      </c>
      <c r="C53" t="s">
        <v>203</v>
      </c>
      <c r="D53" t="s">
        <v>497</v>
      </c>
      <c r="E53" t="s">
        <v>742</v>
      </c>
      <c r="F53" s="566"/>
      <c r="G53" s="566"/>
      <c r="H53" s="566"/>
      <c r="I53" s="566"/>
      <c r="J53" s="566"/>
      <c r="K53" s="566"/>
      <c r="L53" s="566"/>
      <c r="M53" s="566"/>
      <c r="N53" s="566"/>
      <c r="O53" s="566"/>
    </row>
    <row r="54" spans="1:15">
      <c r="A54" t="s">
        <v>822</v>
      </c>
      <c r="B54" t="s">
        <v>476</v>
      </c>
      <c r="C54" t="s">
        <v>251</v>
      </c>
      <c r="D54" t="s">
        <v>497</v>
      </c>
      <c r="E54" t="s">
        <v>742</v>
      </c>
      <c r="F54" s="566"/>
      <c r="G54" s="566"/>
      <c r="H54" s="566">
        <v>0</v>
      </c>
      <c r="I54" s="566">
        <v>0</v>
      </c>
      <c r="J54" s="566">
        <v>0</v>
      </c>
      <c r="K54" s="566">
        <v>0</v>
      </c>
      <c r="L54" s="566">
        <v>0</v>
      </c>
      <c r="M54" s="566">
        <v>0</v>
      </c>
      <c r="N54" s="566"/>
      <c r="O54" s="566"/>
    </row>
    <row r="55" spans="1:15">
      <c r="A55" t="s">
        <v>822</v>
      </c>
      <c r="B55" t="s">
        <v>477</v>
      </c>
      <c r="C55" t="s">
        <v>252</v>
      </c>
      <c r="D55" t="s">
        <v>497</v>
      </c>
      <c r="E55" t="s">
        <v>742</v>
      </c>
      <c r="F55" s="566"/>
      <c r="G55" s="566"/>
      <c r="H55" s="566">
        <v>0</v>
      </c>
      <c r="I55" s="566">
        <v>0</v>
      </c>
      <c r="J55" s="566">
        <v>0</v>
      </c>
      <c r="K55" s="566">
        <v>0</v>
      </c>
      <c r="L55" s="566">
        <v>0</v>
      </c>
      <c r="M55" s="566">
        <v>0</v>
      </c>
      <c r="N55" s="566"/>
      <c r="O55" s="566"/>
    </row>
    <row r="56" spans="1:15">
      <c r="A56" t="s">
        <v>822</v>
      </c>
      <c r="B56" t="s">
        <v>478</v>
      </c>
      <c r="C56" t="s">
        <v>200</v>
      </c>
      <c r="D56" t="s">
        <v>497</v>
      </c>
      <c r="E56" t="s">
        <v>742</v>
      </c>
      <c r="F56" s="566"/>
      <c r="G56" s="566"/>
      <c r="H56" s="566">
        <v>0</v>
      </c>
      <c r="I56" s="566">
        <v>-1.63480322336759</v>
      </c>
      <c r="J56" s="566">
        <v>-2.49664163081039</v>
      </c>
      <c r="K56" s="566">
        <v>-1.33179340600143</v>
      </c>
      <c r="L56" s="566">
        <v>0</v>
      </c>
      <c r="M56" s="566">
        <v>-1.64356954998305</v>
      </c>
      <c r="N56" s="566"/>
      <c r="O56" s="566"/>
    </row>
    <row r="57" spans="1:15">
      <c r="A57" t="s">
        <v>822</v>
      </c>
      <c r="B57" t="s">
        <v>421</v>
      </c>
      <c r="C57" t="s">
        <v>204</v>
      </c>
      <c r="D57" t="s">
        <v>497</v>
      </c>
      <c r="E57" t="s">
        <v>742</v>
      </c>
      <c r="F57" s="566"/>
      <c r="G57" s="566"/>
      <c r="H57" s="566"/>
      <c r="I57" s="566"/>
      <c r="J57" s="566"/>
      <c r="K57" s="566"/>
      <c r="L57" s="566"/>
      <c r="M57" s="566"/>
      <c r="N57" s="566"/>
      <c r="O57" s="566"/>
    </row>
    <row r="58" spans="1:15">
      <c r="A58" t="s">
        <v>822</v>
      </c>
      <c r="B58" t="s">
        <v>423</v>
      </c>
      <c r="C58" t="s">
        <v>205</v>
      </c>
      <c r="D58" t="s">
        <v>497</v>
      </c>
      <c r="E58" t="s">
        <v>742</v>
      </c>
      <c r="F58" s="566"/>
      <c r="G58" s="566"/>
      <c r="H58" s="566"/>
      <c r="I58" s="566"/>
      <c r="J58" s="566"/>
      <c r="K58" s="566"/>
      <c r="L58" s="566"/>
      <c r="M58" s="566"/>
      <c r="N58" s="566"/>
      <c r="O58" s="566"/>
    </row>
    <row r="59" spans="1:15">
      <c r="A59" t="s">
        <v>822</v>
      </c>
      <c r="B59" t="s">
        <v>479</v>
      </c>
      <c r="C59" t="s">
        <v>253</v>
      </c>
      <c r="D59" t="s">
        <v>497</v>
      </c>
      <c r="E59" t="s">
        <v>742</v>
      </c>
      <c r="F59" s="566"/>
      <c r="G59" s="566"/>
      <c r="H59" s="566">
        <v>0</v>
      </c>
      <c r="I59" s="566">
        <v>-17.156358278341699</v>
      </c>
      <c r="J59" s="566">
        <v>-26.582998571509499</v>
      </c>
      <c r="K59" s="566">
        <v>-28.3931551164079</v>
      </c>
      <c r="L59" s="566">
        <v>-3.0895359311430202</v>
      </c>
      <c r="M59" s="566">
        <v>-50.507862365210002</v>
      </c>
      <c r="N59" s="566"/>
      <c r="O59" s="566"/>
    </row>
    <row r="60" spans="1:15">
      <c r="A60" t="s">
        <v>822</v>
      </c>
      <c r="B60" t="s">
        <v>480</v>
      </c>
      <c r="C60" t="s">
        <v>254</v>
      </c>
      <c r="D60" t="s">
        <v>497</v>
      </c>
      <c r="E60" t="s">
        <v>742</v>
      </c>
      <c r="F60" s="566"/>
      <c r="G60" s="566"/>
      <c r="H60" s="566">
        <v>0</v>
      </c>
      <c r="I60" s="566">
        <v>-17.156358278341699</v>
      </c>
      <c r="J60" s="566">
        <v>-26.683323202252598</v>
      </c>
      <c r="K60" s="566">
        <v>-28.819971940258799</v>
      </c>
      <c r="L60" s="566">
        <v>-13.3758874236997</v>
      </c>
      <c r="M60" s="566">
        <v>-63.756487231163199</v>
      </c>
      <c r="N60" s="566"/>
      <c r="O60" s="566"/>
    </row>
    <row r="61" spans="1:15">
      <c r="A61" t="s">
        <v>822</v>
      </c>
      <c r="B61" t="s">
        <v>481</v>
      </c>
      <c r="C61" t="s">
        <v>201</v>
      </c>
      <c r="D61" t="s">
        <v>497</v>
      </c>
      <c r="E61" t="s">
        <v>742</v>
      </c>
      <c r="F61" s="566"/>
      <c r="G61" s="566"/>
      <c r="H61" s="566">
        <v>0</v>
      </c>
      <c r="I61" s="566">
        <v>0</v>
      </c>
      <c r="J61" s="566">
        <v>0</v>
      </c>
      <c r="K61" s="566">
        <v>0</v>
      </c>
      <c r="L61" s="566">
        <v>0</v>
      </c>
      <c r="M61" s="566">
        <v>-2.1997454555106501</v>
      </c>
      <c r="N61" s="566"/>
      <c r="O61" s="566"/>
    </row>
    <row r="62" spans="1:15">
      <c r="A62" t="s">
        <v>822</v>
      </c>
      <c r="B62" t="s">
        <v>532</v>
      </c>
      <c r="C62" t="s">
        <v>91</v>
      </c>
      <c r="D62" t="s">
        <v>56</v>
      </c>
      <c r="E62" t="s">
        <v>742</v>
      </c>
      <c r="F62" s="569">
        <v>208.59166666666701</v>
      </c>
      <c r="G62" s="569">
        <v>214.78333333333299</v>
      </c>
      <c r="H62" s="569">
        <v>215.76666666666699</v>
      </c>
      <c r="I62" s="569">
        <v>226.47499999999999</v>
      </c>
      <c r="J62" s="569">
        <v>237.34166666666701</v>
      </c>
      <c r="K62" s="569">
        <v>244.67500000000001</v>
      </c>
      <c r="L62" s="569">
        <v>251.73333333333301</v>
      </c>
      <c r="M62" s="569">
        <v>256.66666666666703</v>
      </c>
      <c r="N62" s="569"/>
      <c r="O62" s="569"/>
    </row>
    <row r="63" spans="1:15">
      <c r="A63" t="s">
        <v>822</v>
      </c>
      <c r="B63" t="s">
        <v>438</v>
      </c>
      <c r="C63" t="s">
        <v>92</v>
      </c>
      <c r="D63" t="s">
        <v>499</v>
      </c>
      <c r="E63" t="s">
        <v>742</v>
      </c>
      <c r="F63" s="570"/>
      <c r="G63" s="570"/>
      <c r="H63" s="570"/>
      <c r="I63" s="570"/>
      <c r="J63" s="570"/>
      <c r="K63" s="570"/>
      <c r="L63" s="570"/>
      <c r="M63" s="570"/>
      <c r="N63" s="570"/>
      <c r="O63" s="570"/>
    </row>
    <row r="64" spans="1:15">
      <c r="A64" t="s">
        <v>822</v>
      </c>
      <c r="B64" t="s">
        <v>436</v>
      </c>
      <c r="C64" t="s">
        <v>437</v>
      </c>
      <c r="D64" t="s">
        <v>56</v>
      </c>
      <c r="E64" t="s">
        <v>742</v>
      </c>
      <c r="F64" s="569">
        <v>111.3</v>
      </c>
      <c r="G64" s="569">
        <v>113.97499999999999</v>
      </c>
      <c r="H64" s="569">
        <v>110.47499999999999</v>
      </c>
      <c r="I64" s="569">
        <v>107.375</v>
      </c>
      <c r="J64" s="569">
        <v>109.95</v>
      </c>
      <c r="K64" s="569">
        <v>113.45</v>
      </c>
      <c r="L64" s="569">
        <v>118.375</v>
      </c>
      <c r="M64" s="569">
        <v>121.825</v>
      </c>
      <c r="N64" s="569"/>
      <c r="O64" s="569"/>
    </row>
    <row r="65" spans="1:15">
      <c r="A65" t="s">
        <v>822</v>
      </c>
      <c r="B65" t="s">
        <v>534</v>
      </c>
      <c r="C65" t="s">
        <v>559</v>
      </c>
      <c r="D65" t="s">
        <v>522</v>
      </c>
      <c r="E65" t="s">
        <v>742</v>
      </c>
      <c r="F65" s="568"/>
      <c r="G65" s="568"/>
      <c r="H65" s="568"/>
      <c r="I65" s="568"/>
      <c r="J65" s="568"/>
      <c r="K65" s="568"/>
      <c r="L65" s="568"/>
      <c r="M65" s="568"/>
      <c r="N65" s="568"/>
      <c r="O65" s="568"/>
    </row>
    <row r="66" spans="1:15">
      <c r="A66" t="s">
        <v>822</v>
      </c>
      <c r="B66" t="s">
        <v>89</v>
      </c>
      <c r="C66" t="s">
        <v>91</v>
      </c>
      <c r="D66" t="s">
        <v>518</v>
      </c>
      <c r="E66" t="s">
        <v>742</v>
      </c>
      <c r="F66" s="569">
        <v>208.59166666666599</v>
      </c>
      <c r="G66" s="569">
        <v>214.78333333333299</v>
      </c>
      <c r="H66" s="569">
        <v>212.98333333333301</v>
      </c>
      <c r="I66" s="569">
        <v>217.23333333333301</v>
      </c>
      <c r="J66" s="569">
        <v>223.74350000000001</v>
      </c>
      <c r="K66" s="569">
        <v>229.78457449999999</v>
      </c>
      <c r="L66" s="569">
        <v>235.52918886249901</v>
      </c>
      <c r="M66" s="569">
        <v>241.41741858406201</v>
      </c>
      <c r="N66" s="569"/>
      <c r="O66" s="569"/>
    </row>
    <row r="67" spans="1:15">
      <c r="A67" t="s">
        <v>822</v>
      </c>
      <c r="B67" t="s">
        <v>93</v>
      </c>
      <c r="C67" t="s">
        <v>523</v>
      </c>
      <c r="D67" t="s">
        <v>518</v>
      </c>
      <c r="E67" t="s">
        <v>742</v>
      </c>
      <c r="F67" s="569">
        <v>111.3</v>
      </c>
      <c r="G67" s="569"/>
      <c r="H67" s="569"/>
      <c r="I67" s="569"/>
      <c r="J67" s="569"/>
      <c r="K67" s="569"/>
      <c r="L67" s="569"/>
      <c r="M67" s="569"/>
      <c r="N67" s="569"/>
      <c r="O67" s="569"/>
    </row>
    <row r="68" spans="1:15">
      <c r="A68" t="s">
        <v>822</v>
      </c>
      <c r="B68" t="s">
        <v>367</v>
      </c>
      <c r="C68" t="s">
        <v>524</v>
      </c>
      <c r="D68" t="s">
        <v>522</v>
      </c>
      <c r="E68" t="s">
        <v>742</v>
      </c>
      <c r="F68" s="568"/>
      <c r="G68" s="568">
        <v>-1.53846153846153E-2</v>
      </c>
      <c r="H68" s="568">
        <v>-8.3862499999998192E-3</v>
      </c>
      <c r="I68" s="568">
        <v>2.49999999999997E-2</v>
      </c>
      <c r="J68" s="568">
        <v>4.4999999999999901E-2</v>
      </c>
      <c r="K68" s="568">
        <v>3.7000000000000102E-2</v>
      </c>
      <c r="L68" s="568">
        <v>2.9999999999999801E-2</v>
      </c>
      <c r="M68" s="568">
        <v>0.03</v>
      </c>
      <c r="N68" s="568"/>
      <c r="O68" s="568"/>
    </row>
    <row r="69" spans="1:15">
      <c r="A69" t="s">
        <v>822</v>
      </c>
      <c r="B69" t="s">
        <v>96</v>
      </c>
      <c r="C69" t="s">
        <v>525</v>
      </c>
      <c r="D69" t="s">
        <v>518</v>
      </c>
      <c r="E69" t="s">
        <v>742</v>
      </c>
      <c r="F69" s="569">
        <v>208.59166666666701</v>
      </c>
      <c r="G69" s="569"/>
      <c r="H69" s="569"/>
      <c r="I69" s="569"/>
      <c r="J69" s="569"/>
      <c r="K69" s="569"/>
      <c r="L69" s="569"/>
      <c r="M69" s="569"/>
      <c r="N69" s="569"/>
      <c r="O69" s="569"/>
    </row>
    <row r="70" spans="1:15">
      <c r="A70" t="s">
        <v>822</v>
      </c>
      <c r="B70" t="s">
        <v>97</v>
      </c>
      <c r="C70" t="s">
        <v>526</v>
      </c>
      <c r="D70" t="s">
        <v>518</v>
      </c>
      <c r="E70" t="s">
        <v>742</v>
      </c>
      <c r="F70" s="569">
        <v>111.3</v>
      </c>
      <c r="G70" s="569"/>
      <c r="H70" s="569"/>
      <c r="I70" s="569"/>
      <c r="J70" s="569"/>
      <c r="K70" s="569"/>
      <c r="L70" s="569"/>
      <c r="M70" s="569"/>
      <c r="N70" s="569"/>
      <c r="O70" s="569"/>
    </row>
    <row r="71" spans="1:15">
      <c r="A71" t="s">
        <v>822</v>
      </c>
      <c r="B71" t="s">
        <v>459</v>
      </c>
      <c r="C71" t="s">
        <v>39</v>
      </c>
      <c r="D71" t="s">
        <v>56</v>
      </c>
      <c r="E71" t="s">
        <v>742</v>
      </c>
      <c r="F71" s="567"/>
      <c r="G71" s="567"/>
      <c r="H71" s="567"/>
      <c r="I71" s="567"/>
      <c r="J71" s="567"/>
      <c r="K71" s="567"/>
      <c r="L71" s="567"/>
      <c r="M71" s="567"/>
      <c r="N71" s="567">
        <v>-7.4999999999999997E-3</v>
      </c>
      <c r="O71" s="567"/>
    </row>
    <row r="72" spans="1:15">
      <c r="A72" t="s">
        <v>822</v>
      </c>
      <c r="B72" t="s">
        <v>460</v>
      </c>
      <c r="C72" t="s">
        <v>40</v>
      </c>
      <c r="D72" t="s">
        <v>56</v>
      </c>
      <c r="E72" t="s">
        <v>742</v>
      </c>
      <c r="F72" s="567"/>
      <c r="G72" s="567"/>
      <c r="H72" s="567"/>
      <c r="I72" s="567"/>
      <c r="J72" s="567"/>
      <c r="K72" s="567"/>
      <c r="L72" s="567"/>
      <c r="M72" s="567"/>
      <c r="N72" s="567">
        <v>1.05</v>
      </c>
      <c r="O72" s="567"/>
    </row>
    <row r="73" spans="1:15">
      <c r="A73" t="s">
        <v>822</v>
      </c>
      <c r="B73" t="s">
        <v>461</v>
      </c>
      <c r="C73" t="s">
        <v>41</v>
      </c>
      <c r="D73" t="s">
        <v>56</v>
      </c>
      <c r="E73" t="s">
        <v>742</v>
      </c>
      <c r="F73" s="567"/>
      <c r="G73" s="567"/>
      <c r="H73" s="567"/>
      <c r="I73" s="567"/>
      <c r="J73" s="567"/>
      <c r="K73" s="567"/>
      <c r="L73" s="567"/>
      <c r="M73" s="567"/>
      <c r="N73" s="567">
        <v>0.25</v>
      </c>
      <c r="O73" s="567"/>
    </row>
    <row r="74" spans="1:15">
      <c r="A74" t="s">
        <v>822</v>
      </c>
      <c r="B74" t="s">
        <v>462</v>
      </c>
      <c r="C74" t="s">
        <v>42</v>
      </c>
      <c r="D74" t="s">
        <v>56</v>
      </c>
      <c r="E74" t="s">
        <v>742</v>
      </c>
      <c r="F74" s="567"/>
      <c r="G74" s="567"/>
      <c r="H74" s="567"/>
      <c r="I74" s="567"/>
      <c r="J74" s="567"/>
      <c r="K74" s="567"/>
      <c r="L74" s="567"/>
      <c r="M74" s="567"/>
      <c r="N74" s="567">
        <v>75</v>
      </c>
      <c r="O74" s="567"/>
    </row>
    <row r="75" spans="1:15">
      <c r="A75" t="s">
        <v>822</v>
      </c>
      <c r="B75" t="s">
        <v>463</v>
      </c>
      <c r="C75" t="s">
        <v>43</v>
      </c>
      <c r="D75" t="s">
        <v>56</v>
      </c>
      <c r="E75" t="s">
        <v>742</v>
      </c>
      <c r="F75" s="567"/>
      <c r="G75" s="567"/>
      <c r="H75" s="567"/>
      <c r="I75" s="567"/>
      <c r="J75" s="567"/>
      <c r="K75" s="567"/>
      <c r="L75" s="567"/>
      <c r="M75" s="567"/>
      <c r="N75" s="567">
        <v>-1.8749999999999999E-3</v>
      </c>
      <c r="O75" s="567"/>
    </row>
    <row r="76" spans="1:15">
      <c r="A76" t="s">
        <v>822</v>
      </c>
      <c r="B76" t="s">
        <v>464</v>
      </c>
      <c r="C76" t="s">
        <v>44</v>
      </c>
      <c r="D76" t="s">
        <v>56</v>
      </c>
      <c r="E76" t="s">
        <v>742</v>
      </c>
      <c r="F76" s="567"/>
      <c r="G76" s="567"/>
      <c r="H76" s="567"/>
      <c r="I76" s="567"/>
      <c r="J76" s="567"/>
      <c r="K76" s="567"/>
      <c r="L76" s="567"/>
      <c r="M76" s="567"/>
      <c r="N76" s="567">
        <v>0.28749999999999998</v>
      </c>
      <c r="O76" s="567"/>
    </row>
    <row r="77" spans="1:15">
      <c r="A77" t="s">
        <v>822</v>
      </c>
      <c r="B77" t="s">
        <v>465</v>
      </c>
      <c r="C77" t="s">
        <v>45</v>
      </c>
      <c r="D77" t="s">
        <v>56</v>
      </c>
      <c r="E77" t="s">
        <v>742</v>
      </c>
      <c r="F77" s="567"/>
      <c r="G77" s="567"/>
      <c r="H77" s="567"/>
      <c r="I77" s="567"/>
      <c r="J77" s="567"/>
      <c r="K77" s="567"/>
      <c r="L77" s="567"/>
      <c r="M77" s="567"/>
      <c r="N77" s="567">
        <v>-10</v>
      </c>
      <c r="O77" s="567"/>
    </row>
    <row r="78" spans="1:15">
      <c r="A78" t="s">
        <v>822</v>
      </c>
      <c r="B78" t="s">
        <v>466</v>
      </c>
      <c r="C78" t="s">
        <v>39</v>
      </c>
      <c r="D78" t="s">
        <v>56</v>
      </c>
      <c r="E78" t="s">
        <v>742</v>
      </c>
      <c r="F78" s="567"/>
      <c r="G78" s="567"/>
      <c r="H78" s="567"/>
      <c r="I78" s="567"/>
      <c r="J78" s="567"/>
      <c r="K78" s="567"/>
      <c r="L78" s="567"/>
      <c r="M78" s="567"/>
      <c r="N78" s="567">
        <v>-5.0000000000000001E-3</v>
      </c>
      <c r="O78" s="567"/>
    </row>
    <row r="79" spans="1:15">
      <c r="A79" t="s">
        <v>822</v>
      </c>
      <c r="B79" t="s">
        <v>467</v>
      </c>
      <c r="C79" t="s">
        <v>40</v>
      </c>
      <c r="D79" t="s">
        <v>56</v>
      </c>
      <c r="E79" t="s">
        <v>742</v>
      </c>
      <c r="F79" s="567"/>
      <c r="G79" s="567"/>
      <c r="H79" s="567"/>
      <c r="I79" s="567"/>
      <c r="J79" s="567"/>
      <c r="K79" s="567"/>
      <c r="L79" s="567"/>
      <c r="M79" s="567"/>
      <c r="N79" s="567">
        <v>0.8</v>
      </c>
      <c r="O79" s="567"/>
    </row>
    <row r="80" spans="1:15">
      <c r="A80" t="s">
        <v>822</v>
      </c>
      <c r="B80" t="s">
        <v>468</v>
      </c>
      <c r="C80" t="s">
        <v>41</v>
      </c>
      <c r="D80" t="s">
        <v>56</v>
      </c>
      <c r="E80" t="s">
        <v>742</v>
      </c>
      <c r="F80" s="567"/>
      <c r="G80" s="567"/>
      <c r="H80" s="567"/>
      <c r="I80" s="567"/>
      <c r="J80" s="567"/>
      <c r="K80" s="567"/>
      <c r="L80" s="567"/>
      <c r="M80" s="567"/>
      <c r="N80" s="567">
        <v>0.25</v>
      </c>
      <c r="O80" s="567"/>
    </row>
    <row r="81" spans="1:15">
      <c r="A81" t="s">
        <v>822</v>
      </c>
      <c r="B81" t="s">
        <v>469</v>
      </c>
      <c r="C81" t="s">
        <v>42</v>
      </c>
      <c r="D81" t="s">
        <v>56</v>
      </c>
      <c r="E81" t="s">
        <v>742</v>
      </c>
      <c r="F81" s="567"/>
      <c r="G81" s="567"/>
      <c r="H81" s="567"/>
      <c r="I81" s="567"/>
      <c r="J81" s="567"/>
      <c r="K81" s="567"/>
      <c r="L81" s="567"/>
      <c r="M81" s="567"/>
      <c r="N81" s="567">
        <v>75</v>
      </c>
      <c r="O81" s="567"/>
    </row>
    <row r="82" spans="1:15">
      <c r="A82" t="s">
        <v>822</v>
      </c>
      <c r="B82" t="s">
        <v>470</v>
      </c>
      <c r="C82" t="s">
        <v>43</v>
      </c>
      <c r="D82" t="s">
        <v>56</v>
      </c>
      <c r="E82" t="s">
        <v>742</v>
      </c>
      <c r="F82" s="567"/>
      <c r="G82" s="567"/>
      <c r="H82" s="567"/>
      <c r="I82" s="567"/>
      <c r="J82" s="567"/>
      <c r="K82" s="567"/>
      <c r="L82" s="567"/>
      <c r="M82" s="567"/>
      <c r="N82" s="567">
        <v>-1.25E-3</v>
      </c>
      <c r="O82" s="567"/>
    </row>
    <row r="83" spans="1:15">
      <c r="A83" t="s">
        <v>822</v>
      </c>
      <c r="B83" t="s">
        <v>471</v>
      </c>
      <c r="C83" t="s">
        <v>44</v>
      </c>
      <c r="D83" t="s">
        <v>56</v>
      </c>
      <c r="E83" t="s">
        <v>742</v>
      </c>
      <c r="F83" s="567"/>
      <c r="G83" s="567"/>
      <c r="H83" s="567"/>
      <c r="I83" s="567"/>
      <c r="J83" s="567"/>
      <c r="K83" s="567"/>
      <c r="L83" s="567"/>
      <c r="M83" s="567"/>
      <c r="N83" s="567">
        <v>0.17499999999999999</v>
      </c>
      <c r="O83" s="567"/>
    </row>
    <row r="84" spans="1:15">
      <c r="A84" t="s">
        <v>822</v>
      </c>
      <c r="B84" t="s">
        <v>472</v>
      </c>
      <c r="C84" t="s">
        <v>45</v>
      </c>
      <c r="D84" t="s">
        <v>56</v>
      </c>
      <c r="E84" t="s">
        <v>742</v>
      </c>
      <c r="F84" s="567"/>
      <c r="G84" s="567"/>
      <c r="H84" s="567"/>
      <c r="I84" s="567"/>
      <c r="J84" s="567"/>
      <c r="K84" s="567"/>
      <c r="L84" s="567"/>
      <c r="M84" s="567"/>
      <c r="N84" s="567">
        <v>-5</v>
      </c>
      <c r="O84" s="567"/>
    </row>
    <row r="85" spans="1:15">
      <c r="A85" t="s">
        <v>822</v>
      </c>
      <c r="B85" t="s">
        <v>473</v>
      </c>
      <c r="C85" t="s">
        <v>46</v>
      </c>
      <c r="D85" t="s">
        <v>56</v>
      </c>
      <c r="E85" t="s">
        <v>742</v>
      </c>
      <c r="F85" s="567"/>
      <c r="G85" s="567"/>
      <c r="H85" s="567"/>
      <c r="I85" s="567"/>
      <c r="J85" s="567"/>
      <c r="K85" s="567"/>
      <c r="L85" s="567"/>
      <c r="M85" s="567"/>
      <c r="N85" s="567">
        <v>0.05</v>
      </c>
      <c r="O85" s="567"/>
    </row>
    <row r="86" spans="1:15">
      <c r="A86" t="s">
        <v>822</v>
      </c>
      <c r="B86" t="s">
        <v>474</v>
      </c>
      <c r="C86" t="s">
        <v>50</v>
      </c>
      <c r="D86" t="s">
        <v>55</v>
      </c>
      <c r="E86" t="s">
        <v>742</v>
      </c>
      <c r="F86" s="567"/>
      <c r="G86" s="567"/>
      <c r="H86" s="567"/>
      <c r="I86" s="567"/>
      <c r="J86" s="567"/>
      <c r="K86" s="567"/>
      <c r="L86" s="567"/>
      <c r="M86" s="567"/>
      <c r="N86" s="567">
        <v>100</v>
      </c>
      <c r="O86" s="567"/>
    </row>
    <row r="87" spans="1:15">
      <c r="A87" t="s">
        <v>822</v>
      </c>
      <c r="B87" t="s">
        <v>475</v>
      </c>
      <c r="C87" t="s">
        <v>47</v>
      </c>
      <c r="D87" t="s">
        <v>55</v>
      </c>
      <c r="E87" t="s">
        <v>742</v>
      </c>
      <c r="F87" s="567"/>
      <c r="G87" s="567"/>
      <c r="H87" s="567"/>
      <c r="I87" s="567"/>
      <c r="J87" s="567"/>
      <c r="K87" s="567"/>
      <c r="L87" s="567"/>
      <c r="M87" s="567"/>
      <c r="N87" s="567">
        <v>130</v>
      </c>
      <c r="O87" s="567"/>
    </row>
    <row r="88" spans="1:15">
      <c r="A88" t="s">
        <v>822</v>
      </c>
      <c r="B88" t="s">
        <v>166</v>
      </c>
      <c r="C88" t="s">
        <v>270</v>
      </c>
      <c r="D88" t="s">
        <v>56</v>
      </c>
      <c r="E88" t="s">
        <v>742</v>
      </c>
      <c r="F88" s="567"/>
      <c r="G88" s="567"/>
      <c r="H88" s="567"/>
      <c r="I88" s="567"/>
      <c r="J88" s="567"/>
      <c r="K88" s="567"/>
      <c r="L88" s="567"/>
      <c r="M88" s="567"/>
      <c r="N88" s="567">
        <v>2</v>
      </c>
      <c r="O88" s="567"/>
    </row>
    <row r="89" spans="1:15">
      <c r="A89" t="s">
        <v>822</v>
      </c>
      <c r="B89" t="s">
        <v>167</v>
      </c>
      <c r="C89" t="s">
        <v>527</v>
      </c>
      <c r="D89" t="s">
        <v>518</v>
      </c>
      <c r="E89" t="s">
        <v>742</v>
      </c>
      <c r="F89" s="567"/>
      <c r="G89" s="567"/>
      <c r="H89" s="567"/>
      <c r="I89" s="567"/>
      <c r="J89" s="567"/>
      <c r="K89" s="567"/>
      <c r="L89" s="567"/>
      <c r="M89" s="567"/>
      <c r="N89" s="567">
        <v>0</v>
      </c>
      <c r="O89" s="567"/>
    </row>
    <row r="90" spans="1:15">
      <c r="A90" t="s">
        <v>822</v>
      </c>
      <c r="B90" t="s">
        <v>577</v>
      </c>
      <c r="C90" t="s">
        <v>575</v>
      </c>
      <c r="D90" t="s">
        <v>522</v>
      </c>
      <c r="E90" t="s">
        <v>742</v>
      </c>
      <c r="F90" s="568"/>
      <c r="G90" s="568"/>
      <c r="H90" s="568"/>
      <c r="I90" s="568"/>
      <c r="J90" s="568"/>
      <c r="K90" s="568"/>
      <c r="L90" s="568"/>
      <c r="M90" s="568"/>
      <c r="N90" s="568"/>
      <c r="O90" s="568">
        <v>3.5999999999999997E-2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90"/>
  <sheetViews>
    <sheetView zoomScale="80" zoomScaleNormal="80" workbookViewId="0">
      <pane ySplit="2" topLeftCell="A3" activePane="bottomLeft" state="frozen"/>
      <selection activeCell="A3" sqref="A3"/>
      <selection pane="bottomLeft" sqref="A1:XFD1048576"/>
    </sheetView>
  </sheetViews>
  <sheetFormatPr defaultRowHeight="13.2"/>
  <cols>
    <col min="2" max="2" width="12.33203125" bestFit="1" customWidth="1"/>
    <col min="3" max="3" width="39.6640625" customWidth="1"/>
    <col min="4" max="4" width="3.44140625" customWidth="1"/>
    <col min="5" max="5" width="28.21875" bestFit="1" customWidth="1"/>
    <col min="6" max="15" width="7.6640625" customWidth="1"/>
  </cols>
  <sheetData>
    <row r="1" spans="1:15">
      <c r="C1" t="s">
        <v>780</v>
      </c>
    </row>
    <row r="2" spans="1:15">
      <c r="A2" t="s">
        <v>492</v>
      </c>
      <c r="B2" t="s">
        <v>493</v>
      </c>
      <c r="C2" t="s">
        <v>494</v>
      </c>
      <c r="D2" t="s">
        <v>495</v>
      </c>
      <c r="E2" t="s">
        <v>496</v>
      </c>
      <c r="F2" t="s">
        <v>28</v>
      </c>
      <c r="G2" t="s">
        <v>29</v>
      </c>
      <c r="H2" t="s">
        <v>30</v>
      </c>
      <c r="I2" t="s">
        <v>31</v>
      </c>
      <c r="J2" t="s">
        <v>32</v>
      </c>
      <c r="K2" t="s">
        <v>33</v>
      </c>
      <c r="L2" t="s">
        <v>34</v>
      </c>
      <c r="M2" t="s">
        <v>35</v>
      </c>
      <c r="N2" t="s">
        <v>59</v>
      </c>
      <c r="O2" t="s">
        <v>576</v>
      </c>
    </row>
    <row r="4" spans="1:15">
      <c r="B4" t="s">
        <v>451</v>
      </c>
      <c r="C4" t="s">
        <v>177</v>
      </c>
      <c r="D4" t="s">
        <v>497</v>
      </c>
      <c r="E4" t="s">
        <v>742</v>
      </c>
      <c r="F4" s="566"/>
      <c r="G4" s="566"/>
      <c r="H4" s="566"/>
      <c r="I4" s="566">
        <v>103.470908642818</v>
      </c>
      <c r="J4" s="566">
        <v>132.99800637627399</v>
      </c>
      <c r="K4" s="566">
        <v>111.563416483532</v>
      </c>
      <c r="L4" s="566">
        <v>129.981643721457</v>
      </c>
      <c r="M4" s="566">
        <v>124.476495414871</v>
      </c>
      <c r="N4" s="566"/>
      <c r="O4" s="566"/>
    </row>
    <row r="5" spans="1:15">
      <c r="B5" t="s">
        <v>452</v>
      </c>
      <c r="C5" t="s">
        <v>178</v>
      </c>
      <c r="D5" t="s">
        <v>497</v>
      </c>
      <c r="E5" t="s">
        <v>742</v>
      </c>
      <c r="F5" s="566"/>
      <c r="G5" s="566"/>
      <c r="H5" s="566"/>
      <c r="I5" s="566">
        <v>113.913414843349</v>
      </c>
      <c r="J5" s="566">
        <v>166.357511332</v>
      </c>
      <c r="K5" s="566">
        <v>140.887898901509</v>
      </c>
      <c r="L5" s="566">
        <v>118.387980577061</v>
      </c>
      <c r="M5" s="566">
        <v>84.269135592107304</v>
      </c>
      <c r="N5" s="566"/>
      <c r="O5" s="566"/>
    </row>
    <row r="6" spans="1:15">
      <c r="B6" t="s">
        <v>453</v>
      </c>
      <c r="C6" t="s">
        <v>123</v>
      </c>
      <c r="D6" t="s">
        <v>497</v>
      </c>
      <c r="E6" t="s">
        <v>742</v>
      </c>
      <c r="F6" s="566"/>
      <c r="G6" s="566"/>
      <c r="H6" s="566"/>
      <c r="I6" s="566">
        <v>107.772134616793</v>
      </c>
      <c r="J6" s="566">
        <v>128.94885703399399</v>
      </c>
      <c r="K6" s="566">
        <v>39.916639210552901</v>
      </c>
      <c r="L6" s="566">
        <v>28.593380651569401</v>
      </c>
      <c r="M6" s="566">
        <v>15.432786951569399</v>
      </c>
      <c r="N6" s="566"/>
      <c r="O6" s="566"/>
    </row>
    <row r="7" spans="1:15">
      <c r="B7" t="s">
        <v>454</v>
      </c>
      <c r="C7" t="s">
        <v>122</v>
      </c>
      <c r="D7" t="s">
        <v>497</v>
      </c>
      <c r="E7" t="s">
        <v>742</v>
      </c>
      <c r="F7" s="566"/>
      <c r="G7" s="566"/>
      <c r="H7" s="566"/>
      <c r="I7" s="566">
        <v>68.677982659469805</v>
      </c>
      <c r="J7" s="566">
        <v>79.775220134809601</v>
      </c>
      <c r="K7" s="566">
        <v>52.664264101835997</v>
      </c>
      <c r="L7" s="566">
        <v>42.8514853069493</v>
      </c>
      <c r="M7" s="566">
        <v>32.973380172967403</v>
      </c>
      <c r="N7" s="566"/>
      <c r="O7" s="566"/>
    </row>
    <row r="8" spans="1:15">
      <c r="B8" t="s">
        <v>455</v>
      </c>
      <c r="C8" t="s">
        <v>190</v>
      </c>
      <c r="D8" t="s">
        <v>497</v>
      </c>
      <c r="E8" t="s">
        <v>742</v>
      </c>
      <c r="F8" s="566"/>
      <c r="G8" s="566"/>
      <c r="H8" s="566"/>
      <c r="I8" s="566">
        <v>5.7140000000000004</v>
      </c>
      <c r="J8" s="566">
        <v>7.7889999999999997</v>
      </c>
      <c r="K8" s="566">
        <v>8.3089999999999993</v>
      </c>
      <c r="L8" s="566">
        <v>9.66</v>
      </c>
      <c r="M8" s="566">
        <v>9.9890000000000008</v>
      </c>
      <c r="N8" s="566"/>
      <c r="O8" s="566"/>
    </row>
    <row r="9" spans="1:15">
      <c r="B9" t="s">
        <v>456</v>
      </c>
      <c r="C9" t="s">
        <v>220</v>
      </c>
      <c r="D9" t="s">
        <v>497</v>
      </c>
      <c r="E9" t="s">
        <v>742</v>
      </c>
      <c r="F9" s="566"/>
      <c r="G9" s="566"/>
      <c r="H9" s="566"/>
      <c r="I9" s="566">
        <v>0</v>
      </c>
      <c r="J9" s="566">
        <v>0</v>
      </c>
      <c r="K9" s="566">
        <v>0</v>
      </c>
      <c r="L9" s="566">
        <v>0</v>
      </c>
      <c r="M9" s="566">
        <v>0</v>
      </c>
      <c r="N9" s="566"/>
      <c r="O9" s="566"/>
    </row>
    <row r="10" spans="1:15">
      <c r="B10" t="s">
        <v>457</v>
      </c>
      <c r="C10" t="s">
        <v>221</v>
      </c>
      <c r="D10" t="s">
        <v>497</v>
      </c>
      <c r="E10" t="s">
        <v>742</v>
      </c>
      <c r="F10" s="566"/>
      <c r="G10" s="566"/>
      <c r="H10" s="566"/>
      <c r="I10" s="566">
        <v>0</v>
      </c>
      <c r="J10" s="566">
        <v>0</v>
      </c>
      <c r="K10" s="566">
        <v>0</v>
      </c>
      <c r="L10" s="566">
        <v>0</v>
      </c>
      <c r="M10" s="566">
        <v>0</v>
      </c>
      <c r="N10" s="566"/>
      <c r="O10" s="566"/>
    </row>
    <row r="11" spans="1:15">
      <c r="B11" t="s">
        <v>458</v>
      </c>
      <c r="C11" t="s">
        <v>416</v>
      </c>
      <c r="D11" t="s">
        <v>497</v>
      </c>
      <c r="E11" t="s">
        <v>742</v>
      </c>
      <c r="F11" s="566"/>
      <c r="G11" s="566"/>
      <c r="H11" s="566"/>
      <c r="I11" s="566">
        <v>0</v>
      </c>
      <c r="J11" s="566">
        <v>0</v>
      </c>
      <c r="K11" s="566">
        <v>0</v>
      </c>
      <c r="L11" s="566">
        <v>0</v>
      </c>
      <c r="M11" s="566">
        <v>0</v>
      </c>
      <c r="N11" s="566"/>
      <c r="O11" s="566"/>
    </row>
    <row r="12" spans="1:15">
      <c r="B12" t="s">
        <v>444</v>
      </c>
      <c r="C12" t="s">
        <v>179</v>
      </c>
      <c r="D12" t="s">
        <v>497</v>
      </c>
      <c r="E12" t="s">
        <v>742</v>
      </c>
      <c r="F12" s="566"/>
      <c r="G12" s="566"/>
      <c r="H12" s="566"/>
      <c r="I12" s="566">
        <v>42.720897600000001</v>
      </c>
      <c r="J12" s="566">
        <v>38.648853000000003</v>
      </c>
      <c r="K12" s="566">
        <v>45.982225700000001</v>
      </c>
      <c r="L12" s="566">
        <v>47.438052999999996</v>
      </c>
      <c r="M12" s="566">
        <v>47.2990274</v>
      </c>
      <c r="N12" s="566"/>
      <c r="O12" s="566"/>
    </row>
    <row r="13" spans="1:15">
      <c r="B13" t="s">
        <v>445</v>
      </c>
      <c r="C13" t="s">
        <v>180</v>
      </c>
      <c r="D13" t="s">
        <v>497</v>
      </c>
      <c r="E13" t="s">
        <v>742</v>
      </c>
      <c r="F13" s="566"/>
      <c r="G13" s="566"/>
      <c r="H13" s="566"/>
      <c r="I13" s="566">
        <v>174.42350429999999</v>
      </c>
      <c r="J13" s="566">
        <v>249.0989931</v>
      </c>
      <c r="K13" s="566">
        <v>148.0181566</v>
      </c>
      <c r="L13" s="566">
        <v>158.6278312</v>
      </c>
      <c r="M13" s="566">
        <v>122.76039400000001</v>
      </c>
      <c r="N13" s="566"/>
      <c r="O13" s="566"/>
    </row>
    <row r="14" spans="1:15">
      <c r="B14" t="s">
        <v>446</v>
      </c>
      <c r="C14" t="s">
        <v>124</v>
      </c>
      <c r="D14" t="s">
        <v>497</v>
      </c>
      <c r="E14" t="s">
        <v>742</v>
      </c>
      <c r="F14" s="566"/>
      <c r="G14" s="566"/>
      <c r="H14" s="566"/>
      <c r="I14" s="566">
        <v>63.993343000000003</v>
      </c>
      <c r="J14" s="566">
        <v>107.633421</v>
      </c>
      <c r="K14" s="566">
        <v>138.6957151</v>
      </c>
      <c r="L14" s="566">
        <v>121.4034858</v>
      </c>
      <c r="M14" s="566">
        <v>114.6391064</v>
      </c>
      <c r="N14" s="566"/>
      <c r="O14" s="566"/>
    </row>
    <row r="15" spans="1:15">
      <c r="B15" t="s">
        <v>447</v>
      </c>
      <c r="C15" t="s">
        <v>125</v>
      </c>
      <c r="D15" t="s">
        <v>497</v>
      </c>
      <c r="E15" t="s">
        <v>742</v>
      </c>
      <c r="F15" s="566"/>
      <c r="G15" s="566"/>
      <c r="H15" s="566"/>
      <c r="I15" s="566">
        <v>286.69337969999998</v>
      </c>
      <c r="J15" s="566">
        <v>323.45532571049398</v>
      </c>
      <c r="K15" s="566">
        <v>274.44730395646098</v>
      </c>
      <c r="L15" s="566">
        <v>174.79395094065501</v>
      </c>
      <c r="M15" s="566">
        <v>122.67399018527</v>
      </c>
      <c r="N15" s="566"/>
      <c r="O15" s="566"/>
    </row>
    <row r="16" spans="1:15">
      <c r="B16" t="s">
        <v>448</v>
      </c>
      <c r="C16" t="s">
        <v>191</v>
      </c>
      <c r="D16" t="s">
        <v>497</v>
      </c>
      <c r="E16" t="s">
        <v>742</v>
      </c>
      <c r="F16" s="566"/>
      <c r="G16" s="566"/>
      <c r="H16" s="566"/>
      <c r="I16" s="566">
        <v>9.1329999999999991</v>
      </c>
      <c r="J16" s="566">
        <v>12.135</v>
      </c>
      <c r="K16" s="566">
        <v>13.163</v>
      </c>
      <c r="L16" s="566">
        <v>15.06</v>
      </c>
      <c r="M16" s="566">
        <v>15.964</v>
      </c>
      <c r="N16" s="566"/>
      <c r="O16" s="566"/>
    </row>
    <row r="17" spans="2:15">
      <c r="B17" t="s">
        <v>449</v>
      </c>
      <c r="C17" t="s">
        <v>222</v>
      </c>
      <c r="D17" t="s">
        <v>497</v>
      </c>
      <c r="E17" t="s">
        <v>742</v>
      </c>
      <c r="F17" s="566"/>
      <c r="G17" s="566"/>
      <c r="H17" s="566"/>
      <c r="I17" s="566">
        <v>124.684</v>
      </c>
      <c r="J17" s="566">
        <v>136.78299999999999</v>
      </c>
      <c r="K17" s="566">
        <v>99.774000000000001</v>
      </c>
      <c r="L17" s="566">
        <v>90.923000000000002</v>
      </c>
      <c r="M17" s="566">
        <v>74.247</v>
      </c>
      <c r="N17" s="566"/>
      <c r="O17" s="566"/>
    </row>
    <row r="18" spans="2:15">
      <c r="B18" t="s">
        <v>450</v>
      </c>
      <c r="C18" t="s">
        <v>223</v>
      </c>
      <c r="D18" t="s">
        <v>497</v>
      </c>
      <c r="E18" t="s">
        <v>742</v>
      </c>
      <c r="F18" s="566"/>
      <c r="G18" s="566"/>
      <c r="H18" s="566"/>
      <c r="I18" s="566">
        <v>15.026999999999999</v>
      </c>
      <c r="J18" s="566">
        <v>16.484999999999999</v>
      </c>
      <c r="K18" s="566">
        <v>12.023999999999999</v>
      </c>
      <c r="L18" s="566">
        <v>10.958</v>
      </c>
      <c r="M18" s="566">
        <v>8.9480000000000004</v>
      </c>
      <c r="N18" s="566"/>
      <c r="O18" s="566"/>
    </row>
    <row r="19" spans="2:15">
      <c r="B19" t="s">
        <v>443</v>
      </c>
      <c r="C19" t="s">
        <v>417</v>
      </c>
      <c r="D19" t="s">
        <v>497</v>
      </c>
      <c r="E19" t="s">
        <v>742</v>
      </c>
      <c r="F19" s="566"/>
      <c r="G19" s="566"/>
      <c r="H19" s="566"/>
      <c r="I19" s="566">
        <v>0</v>
      </c>
      <c r="J19" s="566">
        <v>0</v>
      </c>
      <c r="K19" s="566">
        <v>0</v>
      </c>
      <c r="L19" s="566">
        <v>0</v>
      </c>
      <c r="M19" s="566">
        <v>0</v>
      </c>
      <c r="N19" s="566"/>
      <c r="O19" s="566"/>
    </row>
    <row r="20" spans="2:15">
      <c r="B20" t="s">
        <v>528</v>
      </c>
      <c r="C20" t="s">
        <v>511</v>
      </c>
      <c r="D20" t="s">
        <v>497</v>
      </c>
      <c r="E20" t="s">
        <v>742</v>
      </c>
      <c r="F20" s="566">
        <v>129.22800000000001</v>
      </c>
      <c r="G20" s="566">
        <v>68.825052688756102</v>
      </c>
      <c r="H20" s="566">
        <v>41.512999999999998</v>
      </c>
      <c r="I20" s="566">
        <v>87.234824625137904</v>
      </c>
      <c r="J20" s="566">
        <v>116.24143844602401</v>
      </c>
      <c r="K20" s="566">
        <v>100.113592207853</v>
      </c>
      <c r="L20" s="566">
        <v>118.78149153639799</v>
      </c>
      <c r="M20" s="566">
        <v>113.233114207279</v>
      </c>
      <c r="N20" s="566"/>
      <c r="O20" s="566"/>
    </row>
    <row r="21" spans="2:15">
      <c r="B21" t="s">
        <v>529</v>
      </c>
      <c r="C21" t="s">
        <v>512</v>
      </c>
      <c r="D21" t="s">
        <v>497</v>
      </c>
      <c r="E21" t="s">
        <v>742</v>
      </c>
      <c r="F21" s="566">
        <v>89.679999999999893</v>
      </c>
      <c r="G21" s="566">
        <v>86.437733177417101</v>
      </c>
      <c r="H21" s="566">
        <v>124.527999999999</v>
      </c>
      <c r="I21" s="566">
        <v>99.545006652130994</v>
      </c>
      <c r="J21" s="566">
        <v>150.844562776717</v>
      </c>
      <c r="K21" s="566">
        <v>134.191808450297</v>
      </c>
      <c r="L21" s="566">
        <v>113.33852173593</v>
      </c>
      <c r="M21" s="566">
        <v>80.167266017515203</v>
      </c>
      <c r="N21" s="566"/>
      <c r="O21" s="566"/>
    </row>
    <row r="22" spans="2:15">
      <c r="B22" t="s">
        <v>1</v>
      </c>
      <c r="C22" t="s">
        <v>513</v>
      </c>
      <c r="D22" t="s">
        <v>497</v>
      </c>
      <c r="E22" t="s">
        <v>742</v>
      </c>
      <c r="F22" s="566">
        <v>148.318228814664</v>
      </c>
      <c r="G22" s="566">
        <v>157.45694686508901</v>
      </c>
      <c r="H22" s="566">
        <v>209.48780798834599</v>
      </c>
      <c r="I22" s="566">
        <v>14.6630093946795</v>
      </c>
      <c r="J22" s="566">
        <v>28.3972202217724</v>
      </c>
      <c r="K22" s="566">
        <v>35.886578219887397</v>
      </c>
      <c r="L22" s="566">
        <v>24.7722318520544</v>
      </c>
      <c r="M22" s="566">
        <v>12.2079348953171</v>
      </c>
      <c r="N22" s="566"/>
      <c r="O22" s="566"/>
    </row>
    <row r="23" spans="2:15">
      <c r="B23" t="s">
        <v>5</v>
      </c>
      <c r="C23" t="s">
        <v>514</v>
      </c>
      <c r="D23" t="s">
        <v>497</v>
      </c>
      <c r="E23" t="s">
        <v>742</v>
      </c>
      <c r="F23" s="566">
        <v>133.49027118533499</v>
      </c>
      <c r="G23" s="566">
        <v>190.04275795372001</v>
      </c>
      <c r="H23" s="566">
        <v>106.159192011653</v>
      </c>
      <c r="I23" s="566">
        <v>36.395993577846603</v>
      </c>
      <c r="J23" s="566">
        <v>50.356710850691897</v>
      </c>
      <c r="K23" s="566">
        <v>43.3124901487842</v>
      </c>
      <c r="L23" s="566">
        <v>37.075628137562802</v>
      </c>
      <c r="M23" s="566">
        <v>26.200056726643101</v>
      </c>
      <c r="N23" s="566"/>
      <c r="O23" s="566"/>
    </row>
    <row r="24" spans="2:15">
      <c r="B24" t="s">
        <v>441</v>
      </c>
      <c r="C24" t="s">
        <v>224</v>
      </c>
      <c r="D24" t="s">
        <v>497</v>
      </c>
      <c r="E24" t="s">
        <v>742</v>
      </c>
      <c r="F24" s="566"/>
      <c r="G24" s="566"/>
      <c r="H24" s="566"/>
      <c r="I24" s="566">
        <v>0</v>
      </c>
      <c r="J24" s="566">
        <v>0</v>
      </c>
      <c r="K24" s="566">
        <v>0</v>
      </c>
      <c r="L24" s="566">
        <v>0</v>
      </c>
      <c r="M24" s="566">
        <v>0</v>
      </c>
      <c r="N24" s="566"/>
      <c r="O24" s="566"/>
    </row>
    <row r="25" spans="2:15">
      <c r="B25" t="s">
        <v>442</v>
      </c>
      <c r="C25" t="s">
        <v>225</v>
      </c>
      <c r="D25" t="s">
        <v>497</v>
      </c>
      <c r="E25" t="s">
        <v>742</v>
      </c>
      <c r="F25" s="566"/>
      <c r="G25" s="566"/>
      <c r="H25" s="566"/>
      <c r="I25" s="566">
        <v>0</v>
      </c>
      <c r="J25" s="566">
        <v>0</v>
      </c>
      <c r="K25" s="566">
        <v>0</v>
      </c>
      <c r="L25" s="566">
        <v>0</v>
      </c>
      <c r="M25" s="566">
        <v>0</v>
      </c>
      <c r="N25" s="566"/>
      <c r="O25" s="566"/>
    </row>
    <row r="26" spans="2:15">
      <c r="B26" t="s">
        <v>530</v>
      </c>
      <c r="C26" t="s">
        <v>515</v>
      </c>
      <c r="D26" t="s">
        <v>497</v>
      </c>
      <c r="E26" t="s">
        <v>742</v>
      </c>
      <c r="F26" s="566">
        <v>46.938000000000002</v>
      </c>
      <c r="G26" s="566">
        <v>36.938546015364302</v>
      </c>
      <c r="H26" s="566">
        <v>41.335999999999999</v>
      </c>
      <c r="I26" s="566">
        <v>38.865761372709599</v>
      </c>
      <c r="J26" s="566">
        <v>35.781513546488704</v>
      </c>
      <c r="K26" s="566">
        <v>43.532020009209504</v>
      </c>
      <c r="L26" s="566">
        <v>45.321577742291701</v>
      </c>
      <c r="M26" s="566">
        <v>44.6772327147224</v>
      </c>
      <c r="N26" s="566"/>
      <c r="O26" s="566"/>
    </row>
    <row r="27" spans="2:15">
      <c r="B27" t="s">
        <v>531</v>
      </c>
      <c r="C27" t="s">
        <v>512</v>
      </c>
      <c r="D27" t="s">
        <v>497</v>
      </c>
      <c r="E27" t="s">
        <v>742</v>
      </c>
      <c r="F27" s="566">
        <v>189.768</v>
      </c>
      <c r="G27" s="566">
        <v>147.06511589076101</v>
      </c>
      <c r="H27" s="566">
        <v>64.978015096612395</v>
      </c>
      <c r="I27" s="566">
        <v>147.81277901553301</v>
      </c>
      <c r="J27" s="566">
        <v>221.861562203463</v>
      </c>
      <c r="K27" s="566">
        <v>130.194251699132</v>
      </c>
      <c r="L27" s="566">
        <v>143.986736667993</v>
      </c>
      <c r="M27" s="566">
        <v>110.83618408906401</v>
      </c>
      <c r="N27" s="566"/>
      <c r="O27" s="566"/>
    </row>
    <row r="28" spans="2:15">
      <c r="B28" t="s">
        <v>6</v>
      </c>
      <c r="C28" t="s">
        <v>516</v>
      </c>
      <c r="D28" t="s">
        <v>497</v>
      </c>
      <c r="E28" t="s">
        <v>742</v>
      </c>
      <c r="F28" s="566">
        <v>107.752124567641</v>
      </c>
      <c r="G28" s="566">
        <v>97.189999187334905</v>
      </c>
      <c r="H28" s="566">
        <v>76.106720456721902</v>
      </c>
      <c r="I28" s="566">
        <v>56.530581629279297</v>
      </c>
      <c r="J28" s="566">
        <v>95.368745344233602</v>
      </c>
      <c r="K28" s="566">
        <v>100.421626739213</v>
      </c>
      <c r="L28" s="566">
        <v>83.751564155600406</v>
      </c>
      <c r="M28" s="566">
        <v>74.585730211598403</v>
      </c>
      <c r="N28" s="566"/>
      <c r="O28" s="566"/>
    </row>
    <row r="29" spans="2:15">
      <c r="B29" t="s">
        <v>9</v>
      </c>
      <c r="C29" t="s">
        <v>517</v>
      </c>
      <c r="D29" t="s">
        <v>497</v>
      </c>
      <c r="E29" t="s">
        <v>742</v>
      </c>
      <c r="F29" s="566">
        <v>44.323875432358797</v>
      </c>
      <c r="G29" s="566">
        <v>66.398181304633695</v>
      </c>
      <c r="H29" s="566">
        <v>131.22327954327801</v>
      </c>
      <c r="I29" s="566">
        <v>271.55400562869698</v>
      </c>
      <c r="J29" s="566">
        <v>307.44605639175199</v>
      </c>
      <c r="K29" s="566">
        <v>261.40140772536898</v>
      </c>
      <c r="L29" s="566">
        <v>163.49351378198699</v>
      </c>
      <c r="M29" s="566">
        <v>114.792250671535</v>
      </c>
      <c r="N29" s="566"/>
      <c r="O29" s="566"/>
    </row>
    <row r="30" spans="2:15">
      <c r="B30" t="s">
        <v>439</v>
      </c>
      <c r="C30" t="s">
        <v>226</v>
      </c>
      <c r="D30" t="s">
        <v>497</v>
      </c>
      <c r="E30" t="s">
        <v>742</v>
      </c>
      <c r="F30" s="566"/>
      <c r="G30" s="566"/>
      <c r="H30" s="566"/>
      <c r="I30" s="566">
        <v>124.684</v>
      </c>
      <c r="J30" s="566">
        <v>136.78299999999999</v>
      </c>
      <c r="K30" s="566">
        <v>99.774000000000001</v>
      </c>
      <c r="L30" s="566">
        <v>90.923000000000002</v>
      </c>
      <c r="M30" s="566">
        <v>74.247</v>
      </c>
      <c r="N30" s="566"/>
      <c r="O30" s="566"/>
    </row>
    <row r="31" spans="2:15">
      <c r="B31" t="s">
        <v>440</v>
      </c>
      <c r="C31" t="s">
        <v>227</v>
      </c>
      <c r="D31" t="s">
        <v>497</v>
      </c>
      <c r="E31" t="s">
        <v>742</v>
      </c>
      <c r="F31" s="566"/>
      <c r="G31" s="566"/>
      <c r="H31" s="566"/>
      <c r="I31" s="566">
        <v>15.026999999999999</v>
      </c>
      <c r="J31" s="566">
        <v>16.484999999999999</v>
      </c>
      <c r="K31" s="566">
        <v>12.023999999999999</v>
      </c>
      <c r="L31" s="566">
        <v>10.958</v>
      </c>
      <c r="M31" s="566">
        <v>8.9480000000000004</v>
      </c>
      <c r="N31" s="566"/>
      <c r="O31" s="566"/>
    </row>
    <row r="32" spans="2:15">
      <c r="B32" t="s">
        <v>68</v>
      </c>
      <c r="C32" t="s">
        <v>55</v>
      </c>
      <c r="D32" t="s">
        <v>518</v>
      </c>
      <c r="E32" t="s">
        <v>742</v>
      </c>
      <c r="F32" s="567">
        <v>125.26368929866101</v>
      </c>
      <c r="G32" s="567"/>
      <c r="H32" s="567"/>
      <c r="I32" s="567"/>
      <c r="J32" s="567"/>
      <c r="K32" s="567"/>
      <c r="L32" s="567"/>
      <c r="M32" s="567"/>
      <c r="N32" s="567"/>
      <c r="O32" s="567"/>
    </row>
    <row r="33" spans="2:15">
      <c r="B33" t="s">
        <v>69</v>
      </c>
      <c r="C33" t="s">
        <v>55</v>
      </c>
      <c r="D33" t="s">
        <v>518</v>
      </c>
      <c r="E33" t="s">
        <v>742</v>
      </c>
      <c r="F33" s="567">
        <v>107.97441355193099</v>
      </c>
      <c r="G33" s="567"/>
      <c r="H33" s="567"/>
      <c r="I33" s="567"/>
      <c r="J33" s="567"/>
      <c r="K33" s="567"/>
      <c r="L33" s="567"/>
      <c r="M33" s="567"/>
      <c r="N33" s="567"/>
      <c r="O33" s="567"/>
    </row>
    <row r="34" spans="2:15">
      <c r="B34" t="s">
        <v>210</v>
      </c>
      <c r="C34" t="s">
        <v>519</v>
      </c>
      <c r="D34" t="s">
        <v>497</v>
      </c>
      <c r="E34" t="s">
        <v>742</v>
      </c>
      <c r="F34" s="566"/>
      <c r="G34" s="566"/>
      <c r="H34" s="566"/>
      <c r="I34" s="566">
        <v>-6.4040346411921103</v>
      </c>
      <c r="J34" s="566">
        <v>-9.3120659362126101</v>
      </c>
      <c r="K34" s="566">
        <v>-8.4414031297668295</v>
      </c>
      <c r="L34" s="566">
        <v>-7.9153618865700501</v>
      </c>
      <c r="M34" s="566">
        <v>-6.2416587606791998</v>
      </c>
      <c r="N34" s="566"/>
      <c r="O34" s="566"/>
    </row>
    <row r="35" spans="2:15">
      <c r="B35" t="s">
        <v>211</v>
      </c>
      <c r="C35" t="s">
        <v>520</v>
      </c>
      <c r="D35" t="s">
        <v>497</v>
      </c>
      <c r="E35" t="s">
        <v>742</v>
      </c>
      <c r="F35" s="566"/>
      <c r="G35" s="566"/>
      <c r="H35" s="566"/>
      <c r="I35" s="566">
        <v>-4.4345210389061096</v>
      </c>
      <c r="J35" s="566">
        <v>-5.5135632887299098</v>
      </c>
      <c r="K35" s="566">
        <v>-4.38623182711172</v>
      </c>
      <c r="L35" s="566">
        <v>-3.6482704817140701</v>
      </c>
      <c r="M35" s="566">
        <v>-2.90058545757877</v>
      </c>
      <c r="N35" s="566"/>
      <c r="O35" s="566"/>
    </row>
    <row r="36" spans="2:15">
      <c r="B36" t="s">
        <v>66</v>
      </c>
      <c r="C36" t="s">
        <v>196</v>
      </c>
      <c r="D36" t="s">
        <v>497</v>
      </c>
      <c r="E36" t="s">
        <v>742</v>
      </c>
      <c r="F36" s="566">
        <v>3803.4898692981501</v>
      </c>
      <c r="G36" s="566">
        <v>3973.1766037398602</v>
      </c>
      <c r="H36" s="566">
        <v>4012.3913144817998</v>
      </c>
      <c r="I36" s="566">
        <v>3993.7173828238001</v>
      </c>
      <c r="J36" s="566">
        <v>4084.8071487515299</v>
      </c>
      <c r="K36" s="566">
        <v>4142.9266328273397</v>
      </c>
      <c r="L36" s="566">
        <v>4183.7220345626502</v>
      </c>
      <c r="M36" s="566">
        <v>4162.73248798022</v>
      </c>
      <c r="N36" s="566"/>
      <c r="O36" s="566"/>
    </row>
    <row r="37" spans="2:15">
      <c r="B37" t="s">
        <v>67</v>
      </c>
      <c r="C37" t="s">
        <v>197</v>
      </c>
      <c r="D37" t="s">
        <v>497</v>
      </c>
      <c r="E37" t="s">
        <v>742</v>
      </c>
      <c r="F37" s="566">
        <v>3332.2887786358301</v>
      </c>
      <c r="G37" s="566">
        <v>3351.3521895608601</v>
      </c>
      <c r="H37" s="566">
        <v>3457.1462027174198</v>
      </c>
      <c r="I37" s="566">
        <v>3945.1437194370801</v>
      </c>
      <c r="J37" s="566">
        <v>4581.8359215168202</v>
      </c>
      <c r="K37" s="566">
        <v>4996.3623891277402</v>
      </c>
      <c r="L37" s="566">
        <v>5287.6489470873103</v>
      </c>
      <c r="M37" s="566">
        <v>5449.8897221546404</v>
      </c>
      <c r="N37" s="566"/>
      <c r="O37" s="566"/>
    </row>
    <row r="38" spans="2:15">
      <c r="B38" t="s">
        <v>243</v>
      </c>
      <c r="C38" t="s">
        <v>521</v>
      </c>
      <c r="D38" t="s">
        <v>522</v>
      </c>
      <c r="E38" t="s">
        <v>742</v>
      </c>
      <c r="F38" s="568">
        <v>5.8099999999999999E-2</v>
      </c>
      <c r="G38" s="568">
        <v>5.0999999999999997E-2</v>
      </c>
      <c r="H38" s="568">
        <v>5.0999999999999997E-2</v>
      </c>
      <c r="I38" s="568">
        <v>5.0999999999999997E-2</v>
      </c>
      <c r="J38" s="568">
        <v>5.0999999999999997E-2</v>
      </c>
      <c r="K38" s="568">
        <v>5.0999999999999997E-2</v>
      </c>
      <c r="L38" s="568">
        <v>5.0999999999999997E-2</v>
      </c>
      <c r="M38" s="568">
        <v>5.0999999999999997E-2</v>
      </c>
      <c r="N38" s="568">
        <v>5.0999999999999997E-2</v>
      </c>
      <c r="O38" s="568"/>
    </row>
    <row r="39" spans="2:15">
      <c r="B39" t="s">
        <v>533</v>
      </c>
      <c r="C39" t="s">
        <v>504</v>
      </c>
      <c r="D39" t="s">
        <v>499</v>
      </c>
      <c r="E39" t="s">
        <v>742</v>
      </c>
      <c r="F39" s="570"/>
      <c r="G39" s="570"/>
      <c r="H39" s="570"/>
      <c r="I39" s="570"/>
      <c r="J39" s="570"/>
      <c r="K39" s="570"/>
      <c r="L39" s="570"/>
      <c r="M39" s="570"/>
      <c r="N39" s="570">
        <v>6.2600000000000003E-2</v>
      </c>
      <c r="O39" s="570"/>
    </row>
    <row r="40" spans="2:15">
      <c r="B40" t="s">
        <v>424</v>
      </c>
      <c r="C40" t="s">
        <v>8</v>
      </c>
      <c r="D40" t="s">
        <v>497</v>
      </c>
      <c r="E40" t="s">
        <v>742</v>
      </c>
      <c r="F40" s="566"/>
      <c r="G40" s="566"/>
      <c r="H40" s="566"/>
      <c r="I40" s="566">
        <v>96.815099539999807</v>
      </c>
      <c r="J40" s="566">
        <v>134.462651452888</v>
      </c>
      <c r="K40" s="566">
        <v>98.969987991157893</v>
      </c>
      <c r="L40" s="566">
        <v>82.615744604577699</v>
      </c>
      <c r="M40" s="566">
        <v>41.222178026681398</v>
      </c>
      <c r="N40" s="566"/>
      <c r="O40" s="566"/>
    </row>
    <row r="41" spans="2:15">
      <c r="B41" t="s">
        <v>425</v>
      </c>
      <c r="C41" t="s">
        <v>65</v>
      </c>
      <c r="D41" t="s">
        <v>497</v>
      </c>
      <c r="E41" t="s">
        <v>742</v>
      </c>
      <c r="F41" s="566"/>
      <c r="G41" s="566"/>
      <c r="H41" s="566"/>
      <c r="I41" s="566">
        <v>118.926250458056</v>
      </c>
      <c r="J41" s="566">
        <v>148.972263063176</v>
      </c>
      <c r="K41" s="566">
        <v>134.19403100525699</v>
      </c>
      <c r="L41" s="566">
        <v>138.72592157712299</v>
      </c>
      <c r="M41" s="566">
        <v>166.75276549955299</v>
      </c>
      <c r="N41" s="566"/>
      <c r="O41" s="566"/>
    </row>
    <row r="42" spans="2:15">
      <c r="B42" t="s">
        <v>426</v>
      </c>
      <c r="C42" t="s">
        <v>382</v>
      </c>
      <c r="D42" t="s">
        <v>497</v>
      </c>
      <c r="E42" t="s">
        <v>742</v>
      </c>
      <c r="F42" s="566"/>
      <c r="G42" s="566"/>
      <c r="H42" s="566"/>
      <c r="I42" s="566">
        <v>58.1921938764836</v>
      </c>
      <c r="J42" s="566">
        <v>4.5178750700620398</v>
      </c>
      <c r="K42" s="566">
        <v>10.7836148502164</v>
      </c>
      <c r="L42" s="566">
        <v>20.156810120057301</v>
      </c>
      <c r="M42" s="566">
        <v>10.6445424964592</v>
      </c>
      <c r="N42" s="566"/>
      <c r="O42" s="566"/>
    </row>
    <row r="43" spans="2:15">
      <c r="B43" t="s">
        <v>427</v>
      </c>
      <c r="C43" t="s">
        <v>383</v>
      </c>
      <c r="D43" t="s">
        <v>497</v>
      </c>
      <c r="E43" t="s">
        <v>742</v>
      </c>
      <c r="F43" s="566"/>
      <c r="G43" s="566"/>
      <c r="H43" s="566"/>
      <c r="I43" s="566">
        <v>49.096900494649603</v>
      </c>
      <c r="J43" s="566">
        <v>44.771243533433399</v>
      </c>
      <c r="K43" s="566">
        <v>31.8749503571423</v>
      </c>
      <c r="L43" s="566">
        <v>56.188153274649501</v>
      </c>
      <c r="M43" s="566">
        <v>104.82641729721</v>
      </c>
      <c r="N43" s="566"/>
      <c r="O43" s="566"/>
    </row>
    <row r="44" spans="2:15">
      <c r="B44" t="s">
        <v>428</v>
      </c>
      <c r="C44" t="s">
        <v>230</v>
      </c>
      <c r="D44" t="s">
        <v>497</v>
      </c>
      <c r="E44" t="s">
        <v>742</v>
      </c>
      <c r="F44" s="566"/>
      <c r="G44" s="566"/>
      <c r="H44" s="566"/>
      <c r="I44" s="566">
        <v>0</v>
      </c>
      <c r="J44" s="566">
        <v>0</v>
      </c>
      <c r="K44" s="566">
        <v>0</v>
      </c>
      <c r="L44" s="566">
        <v>0</v>
      </c>
      <c r="M44" s="566">
        <v>0</v>
      </c>
      <c r="N44" s="566"/>
      <c r="O44" s="566"/>
    </row>
    <row r="45" spans="2:15">
      <c r="B45" t="s">
        <v>429</v>
      </c>
      <c r="C45" t="s">
        <v>231</v>
      </c>
      <c r="D45" t="s">
        <v>497</v>
      </c>
      <c r="E45" t="s">
        <v>742</v>
      </c>
      <c r="F45" s="566"/>
      <c r="G45" s="566"/>
      <c r="H45" s="566"/>
      <c r="I45" s="566">
        <v>0</v>
      </c>
      <c r="J45" s="566">
        <v>0</v>
      </c>
      <c r="K45" s="566">
        <v>0</v>
      </c>
      <c r="L45" s="566">
        <v>0</v>
      </c>
      <c r="M45" s="566">
        <v>0</v>
      </c>
      <c r="N45" s="566"/>
      <c r="O45" s="566"/>
    </row>
    <row r="46" spans="2:15">
      <c r="B46" t="s">
        <v>430</v>
      </c>
      <c r="C46" t="s">
        <v>2</v>
      </c>
      <c r="D46" t="s">
        <v>497</v>
      </c>
      <c r="E46" t="s">
        <v>742</v>
      </c>
      <c r="F46" s="566"/>
      <c r="G46" s="566"/>
      <c r="H46" s="566"/>
      <c r="I46" s="566">
        <v>27.506438960000001</v>
      </c>
      <c r="J46" s="566">
        <v>44.729525442174598</v>
      </c>
      <c r="K46" s="566">
        <v>73.259442582552794</v>
      </c>
      <c r="L46" s="566">
        <v>77.389877378896799</v>
      </c>
      <c r="M46" s="566">
        <v>53.934454219766401</v>
      </c>
      <c r="N46" s="566"/>
      <c r="O46" s="566"/>
    </row>
    <row r="47" spans="2:15">
      <c r="B47" t="s">
        <v>431</v>
      </c>
      <c r="C47" t="s">
        <v>64</v>
      </c>
      <c r="D47" t="s">
        <v>497</v>
      </c>
      <c r="E47" t="s">
        <v>742</v>
      </c>
      <c r="F47" s="566"/>
      <c r="G47" s="566"/>
      <c r="H47" s="566"/>
      <c r="I47" s="566">
        <v>165.781731443567</v>
      </c>
      <c r="J47" s="566">
        <v>162.227301251574</v>
      </c>
      <c r="K47" s="566">
        <v>147.569304121703</v>
      </c>
      <c r="L47" s="566">
        <v>136.22468163839699</v>
      </c>
      <c r="M47" s="566">
        <v>199.83462236397301</v>
      </c>
      <c r="N47" s="566"/>
      <c r="O47" s="566"/>
    </row>
    <row r="48" spans="2:15">
      <c r="B48" t="s">
        <v>432</v>
      </c>
      <c r="C48" t="s">
        <v>384</v>
      </c>
      <c r="D48" t="s">
        <v>497</v>
      </c>
      <c r="E48" t="s">
        <v>742</v>
      </c>
      <c r="F48" s="566"/>
      <c r="G48" s="566"/>
      <c r="H48" s="566"/>
      <c r="I48" s="566">
        <v>22.2444760850546</v>
      </c>
      <c r="J48" s="566">
        <v>11.841580921866299</v>
      </c>
      <c r="K48" s="566">
        <v>31.181226785186599</v>
      </c>
      <c r="L48" s="566">
        <v>28.118976181520001</v>
      </c>
      <c r="M48" s="566">
        <v>72.4589782639828</v>
      </c>
      <c r="N48" s="566"/>
      <c r="O48" s="566"/>
    </row>
    <row r="49" spans="2:15">
      <c r="B49" t="s">
        <v>433</v>
      </c>
      <c r="C49" t="s">
        <v>385</v>
      </c>
      <c r="D49" t="s">
        <v>497</v>
      </c>
      <c r="E49" t="s">
        <v>742</v>
      </c>
      <c r="F49" s="566"/>
      <c r="G49" s="566"/>
      <c r="H49" s="566"/>
      <c r="I49" s="566">
        <v>229.095530552192</v>
      </c>
      <c r="J49" s="566">
        <v>354.85647342482201</v>
      </c>
      <c r="K49" s="566">
        <v>231.10204017638301</v>
      </c>
      <c r="L49" s="566">
        <v>232.36700642477899</v>
      </c>
      <c r="M49" s="566">
        <v>125.612921030311</v>
      </c>
      <c r="N49" s="566"/>
      <c r="O49" s="566"/>
    </row>
    <row r="50" spans="2:15">
      <c r="B50" t="s">
        <v>434</v>
      </c>
      <c r="C50" t="s">
        <v>232</v>
      </c>
      <c r="D50" t="s">
        <v>497</v>
      </c>
      <c r="E50" t="s">
        <v>742</v>
      </c>
      <c r="F50" s="566"/>
      <c r="G50" s="566"/>
      <c r="H50" s="566"/>
      <c r="I50" s="566">
        <v>85.954035340000004</v>
      </c>
      <c r="J50" s="566">
        <v>68.658195062111503</v>
      </c>
      <c r="K50" s="566">
        <v>78.392323694568304</v>
      </c>
      <c r="L50" s="566">
        <v>105.12503617</v>
      </c>
      <c r="M50" s="566">
        <v>115.17123102274</v>
      </c>
      <c r="N50" s="566"/>
      <c r="O50" s="566"/>
    </row>
    <row r="51" spans="2:15">
      <c r="B51" t="s">
        <v>435</v>
      </c>
      <c r="C51" t="s">
        <v>233</v>
      </c>
      <c r="D51" t="s">
        <v>497</v>
      </c>
      <c r="E51" t="s">
        <v>742</v>
      </c>
      <c r="F51" s="566"/>
      <c r="G51" s="566"/>
      <c r="H51" s="566"/>
      <c r="I51" s="566">
        <v>30.074629819999998</v>
      </c>
      <c r="J51" s="566">
        <v>24.0229538678885</v>
      </c>
      <c r="K51" s="566">
        <v>16.651715565431701</v>
      </c>
      <c r="L51" s="566">
        <v>22.38297558</v>
      </c>
      <c r="M51" s="566">
        <v>24.4641121183124</v>
      </c>
      <c r="N51" s="566"/>
      <c r="O51" s="566"/>
    </row>
    <row r="52" spans="2:15">
      <c r="B52" t="s">
        <v>420</v>
      </c>
      <c r="C52" t="s">
        <v>202</v>
      </c>
      <c r="D52" t="s">
        <v>497</v>
      </c>
      <c r="E52" t="s">
        <v>742</v>
      </c>
      <c r="F52" s="566"/>
      <c r="G52" s="566"/>
      <c r="H52" s="566"/>
      <c r="I52" s="566"/>
      <c r="J52" s="566"/>
      <c r="K52" s="566"/>
      <c r="L52" s="566"/>
      <c r="M52" s="566"/>
      <c r="N52" s="566"/>
      <c r="O52" s="566"/>
    </row>
    <row r="53" spans="2:15">
      <c r="B53" t="s">
        <v>422</v>
      </c>
      <c r="C53" t="s">
        <v>203</v>
      </c>
      <c r="D53" t="s">
        <v>497</v>
      </c>
      <c r="E53" t="s">
        <v>742</v>
      </c>
      <c r="F53" s="566"/>
      <c r="G53" s="566"/>
      <c r="H53" s="566"/>
      <c r="I53" s="566"/>
      <c r="J53" s="566"/>
      <c r="K53" s="566"/>
      <c r="L53" s="566"/>
      <c r="M53" s="566"/>
      <c r="N53" s="566"/>
      <c r="O53" s="566"/>
    </row>
    <row r="54" spans="2:15">
      <c r="B54" t="s">
        <v>476</v>
      </c>
      <c r="C54" t="s">
        <v>251</v>
      </c>
      <c r="D54" t="s">
        <v>497</v>
      </c>
      <c r="E54" t="s">
        <v>742</v>
      </c>
      <c r="F54" s="566"/>
      <c r="G54" s="566"/>
      <c r="H54" s="566">
        <v>0</v>
      </c>
      <c r="I54" s="566">
        <v>0</v>
      </c>
      <c r="J54" s="566">
        <v>0</v>
      </c>
      <c r="K54" s="566">
        <v>0</v>
      </c>
      <c r="L54" s="566">
        <v>0</v>
      </c>
      <c r="M54" s="566">
        <v>0</v>
      </c>
      <c r="N54" s="566"/>
      <c r="O54" s="566"/>
    </row>
    <row r="55" spans="2:15">
      <c r="B55" t="s">
        <v>477</v>
      </c>
      <c r="C55" t="s">
        <v>252</v>
      </c>
      <c r="D55" t="s">
        <v>497</v>
      </c>
      <c r="E55" t="s">
        <v>742</v>
      </c>
      <c r="F55" s="566"/>
      <c r="G55" s="566"/>
      <c r="H55" s="566">
        <v>0</v>
      </c>
      <c r="I55" s="566">
        <v>0</v>
      </c>
      <c r="J55" s="566">
        <v>0</v>
      </c>
      <c r="K55" s="566">
        <v>0</v>
      </c>
      <c r="L55" s="566">
        <v>0</v>
      </c>
      <c r="M55" s="566">
        <v>0</v>
      </c>
      <c r="N55" s="566"/>
      <c r="O55" s="566"/>
    </row>
    <row r="56" spans="2:15">
      <c r="B56" t="s">
        <v>478</v>
      </c>
      <c r="C56" t="s">
        <v>200</v>
      </c>
      <c r="D56" t="s">
        <v>497</v>
      </c>
      <c r="E56" t="s">
        <v>742</v>
      </c>
      <c r="F56" s="566"/>
      <c r="G56" s="566"/>
      <c r="H56" s="566">
        <v>0</v>
      </c>
      <c r="I56" s="566">
        <v>-1.63480322336759</v>
      </c>
      <c r="J56" s="566">
        <v>-2.49664163081039</v>
      </c>
      <c r="K56" s="566">
        <v>-1.33179340600143</v>
      </c>
      <c r="L56" s="566">
        <v>0</v>
      </c>
      <c r="M56" s="566">
        <v>0.52887650038741996</v>
      </c>
      <c r="N56" s="566"/>
      <c r="O56" s="566"/>
    </row>
    <row r="57" spans="2:15">
      <c r="B57" t="s">
        <v>421</v>
      </c>
      <c r="C57" t="s">
        <v>204</v>
      </c>
      <c r="D57" t="s">
        <v>497</v>
      </c>
      <c r="E57" t="s">
        <v>742</v>
      </c>
      <c r="F57" s="566"/>
      <c r="G57" s="566"/>
      <c r="H57" s="566"/>
      <c r="I57" s="566"/>
      <c r="J57" s="566"/>
      <c r="K57" s="566"/>
      <c r="L57" s="566"/>
      <c r="M57" s="566"/>
      <c r="N57" s="566"/>
      <c r="O57" s="566"/>
    </row>
    <row r="58" spans="2:15">
      <c r="B58" t="s">
        <v>423</v>
      </c>
      <c r="C58" t="s">
        <v>205</v>
      </c>
      <c r="D58" t="s">
        <v>497</v>
      </c>
      <c r="E58" t="s">
        <v>742</v>
      </c>
      <c r="F58" s="566"/>
      <c r="G58" s="566"/>
      <c r="H58" s="566"/>
      <c r="I58" s="566"/>
      <c r="J58" s="566"/>
      <c r="K58" s="566"/>
      <c r="L58" s="566"/>
      <c r="M58" s="566"/>
      <c r="N58" s="566"/>
      <c r="O58" s="566"/>
    </row>
    <row r="59" spans="2:15">
      <c r="B59" t="s">
        <v>479</v>
      </c>
      <c r="C59" t="s">
        <v>253</v>
      </c>
      <c r="D59" t="s">
        <v>497</v>
      </c>
      <c r="E59" t="s">
        <v>742</v>
      </c>
      <c r="F59" s="566"/>
      <c r="G59" s="566"/>
      <c r="H59" s="566">
        <v>0</v>
      </c>
      <c r="I59" s="566">
        <v>12.5972785095222</v>
      </c>
      <c r="J59" s="566">
        <v>-51.295026970738498</v>
      </c>
      <c r="K59" s="566">
        <v>30.783805523921298</v>
      </c>
      <c r="L59" s="566">
        <v>130.97321157648099</v>
      </c>
      <c r="M59" s="566">
        <v>232.06244378456901</v>
      </c>
      <c r="N59" s="566"/>
      <c r="O59" s="566"/>
    </row>
    <row r="60" spans="2:15">
      <c r="B60" t="s">
        <v>480</v>
      </c>
      <c r="C60" t="s">
        <v>254</v>
      </c>
      <c r="D60" t="s">
        <v>497</v>
      </c>
      <c r="E60" t="s">
        <v>742</v>
      </c>
      <c r="F60" s="566"/>
      <c r="G60" s="566"/>
      <c r="H60" s="566">
        <v>0</v>
      </c>
      <c r="I60" s="566">
        <v>-17.680798795440602</v>
      </c>
      <c r="J60" s="566">
        <v>-27.812069938126101</v>
      </c>
      <c r="K60" s="566">
        <v>-30.208876235148601</v>
      </c>
      <c r="L60" s="566">
        <v>-5.3702994656609304</v>
      </c>
      <c r="M60" s="566">
        <v>-61.486130087278099</v>
      </c>
      <c r="N60" s="566"/>
      <c r="O60" s="566"/>
    </row>
    <row r="61" spans="2:15">
      <c r="B61" t="s">
        <v>481</v>
      </c>
      <c r="C61" t="s">
        <v>201</v>
      </c>
      <c r="D61" t="s">
        <v>497</v>
      </c>
      <c r="E61" t="s">
        <v>742</v>
      </c>
      <c r="F61" s="566"/>
      <c r="G61" s="566"/>
      <c r="H61" s="566">
        <v>0</v>
      </c>
      <c r="I61" s="566">
        <v>0</v>
      </c>
      <c r="J61" s="566">
        <v>0</v>
      </c>
      <c r="K61" s="566">
        <v>0</v>
      </c>
      <c r="L61" s="566">
        <v>0</v>
      </c>
      <c r="M61" s="566">
        <v>0</v>
      </c>
      <c r="N61" s="566"/>
      <c r="O61" s="566"/>
    </row>
    <row r="62" spans="2:15">
      <c r="B62" t="s">
        <v>532</v>
      </c>
      <c r="C62" t="s">
        <v>91</v>
      </c>
      <c r="D62" t="s">
        <v>56</v>
      </c>
      <c r="E62" t="s">
        <v>742</v>
      </c>
      <c r="F62" s="569">
        <v>208.59166666666701</v>
      </c>
      <c r="G62" s="569">
        <v>214.78333333333299</v>
      </c>
      <c r="H62" s="569">
        <v>215.76666666666699</v>
      </c>
      <c r="I62" s="569">
        <v>226.47499999999999</v>
      </c>
      <c r="J62" s="569">
        <v>237.34166666666701</v>
      </c>
      <c r="K62" s="569">
        <v>244.67500000000001</v>
      </c>
      <c r="L62" s="569">
        <v>251.73333333333301</v>
      </c>
      <c r="M62" s="569">
        <v>258.41874999999999</v>
      </c>
      <c r="N62" s="569"/>
      <c r="O62" s="569"/>
    </row>
    <row r="63" spans="2:15">
      <c r="B63" t="s">
        <v>438</v>
      </c>
      <c r="C63" t="s">
        <v>92</v>
      </c>
      <c r="D63" t="s">
        <v>499</v>
      </c>
      <c r="E63" t="s">
        <v>742</v>
      </c>
      <c r="F63" s="570"/>
      <c r="G63" s="570"/>
      <c r="H63" s="570"/>
      <c r="I63" s="570"/>
      <c r="J63" s="570"/>
      <c r="K63" s="570"/>
      <c r="L63" s="570"/>
      <c r="M63" s="570"/>
      <c r="N63" s="570"/>
      <c r="O63" s="570"/>
    </row>
    <row r="64" spans="2:15">
      <c r="B64" t="s">
        <v>436</v>
      </c>
      <c r="C64" t="s">
        <v>437</v>
      </c>
      <c r="D64" t="s">
        <v>56</v>
      </c>
      <c r="E64" t="s">
        <v>742</v>
      </c>
      <c r="F64" s="569">
        <v>111.3</v>
      </c>
      <c r="G64" s="569">
        <v>113.97499999999999</v>
      </c>
      <c r="H64" s="569">
        <v>110.47499999999999</v>
      </c>
      <c r="I64" s="569">
        <v>107.375</v>
      </c>
      <c r="J64" s="569">
        <v>109.95</v>
      </c>
      <c r="K64" s="569">
        <v>113.575</v>
      </c>
      <c r="L64" s="569">
        <v>117.69</v>
      </c>
      <c r="M64" s="569">
        <v>120.01</v>
      </c>
      <c r="N64" s="569"/>
      <c r="O64" s="569"/>
    </row>
    <row r="65" spans="2:15">
      <c r="B65" t="s">
        <v>534</v>
      </c>
      <c r="C65" t="s">
        <v>559</v>
      </c>
      <c r="D65" t="s">
        <v>522</v>
      </c>
      <c r="E65" t="s">
        <v>742</v>
      </c>
      <c r="F65" s="568"/>
      <c r="G65" s="568"/>
      <c r="H65" s="568"/>
      <c r="I65" s="568"/>
      <c r="J65" s="568"/>
      <c r="K65" s="568"/>
      <c r="L65" s="568"/>
      <c r="M65" s="568"/>
      <c r="N65" s="568"/>
      <c r="O65" s="568"/>
    </row>
    <row r="66" spans="2:15">
      <c r="B66" t="s">
        <v>89</v>
      </c>
      <c r="C66" t="s">
        <v>91</v>
      </c>
      <c r="D66" t="s">
        <v>518</v>
      </c>
      <c r="E66" t="s">
        <v>742</v>
      </c>
      <c r="F66" s="569">
        <v>208.59166666666599</v>
      </c>
      <c r="G66" s="569">
        <v>214.78333333333299</v>
      </c>
      <c r="H66" s="569">
        <v>212.98333333333301</v>
      </c>
      <c r="I66" s="569">
        <v>217.23333333333301</v>
      </c>
      <c r="J66" s="569">
        <v>223.74350000000001</v>
      </c>
      <c r="K66" s="569">
        <v>229.78457449999999</v>
      </c>
      <c r="L66" s="569">
        <v>235.52918886249901</v>
      </c>
      <c r="M66" s="569">
        <v>241.41741858406201</v>
      </c>
      <c r="N66" s="569"/>
      <c r="O66" s="569"/>
    </row>
    <row r="67" spans="2:15">
      <c r="B67" t="s">
        <v>93</v>
      </c>
      <c r="C67" t="s">
        <v>523</v>
      </c>
      <c r="D67" t="s">
        <v>518</v>
      </c>
      <c r="E67" t="s">
        <v>742</v>
      </c>
      <c r="F67" s="569">
        <v>111.3</v>
      </c>
      <c r="G67" s="569"/>
      <c r="H67" s="569"/>
      <c r="I67" s="569"/>
      <c r="J67" s="569"/>
      <c r="K67" s="569"/>
      <c r="L67" s="569"/>
      <c r="M67" s="569"/>
      <c r="N67" s="569"/>
      <c r="O67" s="569"/>
    </row>
    <row r="68" spans="2:15">
      <c r="B68" t="s">
        <v>367</v>
      </c>
      <c r="C68" t="s">
        <v>524</v>
      </c>
      <c r="D68" t="s">
        <v>522</v>
      </c>
      <c r="E68" t="s">
        <v>742</v>
      </c>
      <c r="F68" s="568"/>
      <c r="G68" s="568">
        <v>-1.53846153846153E-2</v>
      </c>
      <c r="H68" s="568">
        <v>-8.3862499999998192E-3</v>
      </c>
      <c r="I68" s="568">
        <v>2.49999999999997E-2</v>
      </c>
      <c r="J68" s="568">
        <v>4.4999999999999901E-2</v>
      </c>
      <c r="K68" s="568">
        <v>3.7000000000000102E-2</v>
      </c>
      <c r="L68" s="568">
        <v>2.9999999999999801E-2</v>
      </c>
      <c r="M68" s="568">
        <v>0.03</v>
      </c>
      <c r="N68" s="568"/>
      <c r="O68" s="568"/>
    </row>
    <row r="69" spans="2:15">
      <c r="B69" t="s">
        <v>96</v>
      </c>
      <c r="C69" t="s">
        <v>525</v>
      </c>
      <c r="D69" t="s">
        <v>518</v>
      </c>
      <c r="E69" t="s">
        <v>742</v>
      </c>
      <c r="F69" s="569">
        <v>208.59166666666701</v>
      </c>
      <c r="G69" s="569"/>
      <c r="H69" s="569"/>
      <c r="I69" s="569"/>
      <c r="J69" s="569"/>
      <c r="K69" s="569"/>
      <c r="L69" s="569"/>
      <c r="M69" s="569"/>
      <c r="N69" s="569"/>
      <c r="O69" s="569"/>
    </row>
    <row r="70" spans="2:15">
      <c r="B70" t="s">
        <v>97</v>
      </c>
      <c r="C70" t="s">
        <v>526</v>
      </c>
      <c r="D70" t="s">
        <v>518</v>
      </c>
      <c r="E70" t="s">
        <v>742</v>
      </c>
      <c r="F70" s="569">
        <v>111.3</v>
      </c>
      <c r="G70" s="569"/>
      <c r="H70" s="569"/>
      <c r="I70" s="569"/>
      <c r="J70" s="569"/>
      <c r="K70" s="569"/>
      <c r="L70" s="569"/>
      <c r="M70" s="569"/>
      <c r="N70" s="569"/>
      <c r="O70" s="569"/>
    </row>
    <row r="71" spans="2:15">
      <c r="B71" t="s">
        <v>459</v>
      </c>
      <c r="C71" t="s">
        <v>39</v>
      </c>
      <c r="D71" t="s">
        <v>56</v>
      </c>
      <c r="E71" t="s">
        <v>742</v>
      </c>
      <c r="F71" s="567"/>
      <c r="G71" s="567"/>
      <c r="H71" s="567"/>
      <c r="I71" s="567"/>
      <c r="J71" s="567"/>
      <c r="K71" s="567"/>
      <c r="L71" s="567"/>
      <c r="M71" s="567"/>
      <c r="N71" s="567">
        <v>-7.4999999999999997E-3</v>
      </c>
      <c r="O71" s="567"/>
    </row>
    <row r="72" spans="2:15">
      <c r="B72" t="s">
        <v>460</v>
      </c>
      <c r="C72" t="s">
        <v>40</v>
      </c>
      <c r="D72" t="s">
        <v>56</v>
      </c>
      <c r="E72" t="s">
        <v>742</v>
      </c>
      <c r="F72" s="567"/>
      <c r="G72" s="567"/>
      <c r="H72" s="567"/>
      <c r="I72" s="567"/>
      <c r="J72" s="567"/>
      <c r="K72" s="567"/>
      <c r="L72" s="567"/>
      <c r="M72" s="567"/>
      <c r="N72" s="567">
        <v>1.05</v>
      </c>
      <c r="O72" s="567"/>
    </row>
    <row r="73" spans="2:15">
      <c r="B73" t="s">
        <v>461</v>
      </c>
      <c r="C73" t="s">
        <v>41</v>
      </c>
      <c r="D73" t="s">
        <v>56</v>
      </c>
      <c r="E73" t="s">
        <v>742</v>
      </c>
      <c r="F73" s="567"/>
      <c r="G73" s="567"/>
      <c r="H73" s="567"/>
      <c r="I73" s="567"/>
      <c r="J73" s="567"/>
      <c r="K73" s="567"/>
      <c r="L73" s="567"/>
      <c r="M73" s="567"/>
      <c r="N73" s="567">
        <v>0.25</v>
      </c>
      <c r="O73" s="567"/>
    </row>
    <row r="74" spans="2:15">
      <c r="B74" t="s">
        <v>462</v>
      </c>
      <c r="C74" t="s">
        <v>42</v>
      </c>
      <c r="D74" t="s">
        <v>56</v>
      </c>
      <c r="E74" t="s">
        <v>742</v>
      </c>
      <c r="F74" s="567"/>
      <c r="G74" s="567"/>
      <c r="H74" s="567"/>
      <c r="I74" s="567"/>
      <c r="J74" s="567"/>
      <c r="K74" s="567"/>
      <c r="L74" s="567"/>
      <c r="M74" s="567"/>
      <c r="N74" s="567">
        <v>75</v>
      </c>
      <c r="O74" s="567"/>
    </row>
    <row r="75" spans="2:15">
      <c r="B75" t="s">
        <v>463</v>
      </c>
      <c r="C75" t="s">
        <v>43</v>
      </c>
      <c r="D75" t="s">
        <v>56</v>
      </c>
      <c r="E75" t="s">
        <v>742</v>
      </c>
      <c r="F75" s="567"/>
      <c r="G75" s="567"/>
      <c r="H75" s="567"/>
      <c r="I75" s="567"/>
      <c r="J75" s="567"/>
      <c r="K75" s="567"/>
      <c r="L75" s="567"/>
      <c r="M75" s="567"/>
      <c r="N75" s="567">
        <v>-1.8749999999999999E-3</v>
      </c>
      <c r="O75" s="567"/>
    </row>
    <row r="76" spans="2:15">
      <c r="B76" t="s">
        <v>464</v>
      </c>
      <c r="C76" t="s">
        <v>44</v>
      </c>
      <c r="D76" t="s">
        <v>56</v>
      </c>
      <c r="E76" t="s">
        <v>742</v>
      </c>
      <c r="F76" s="567"/>
      <c r="G76" s="567"/>
      <c r="H76" s="567"/>
      <c r="I76" s="567"/>
      <c r="J76" s="567"/>
      <c r="K76" s="567"/>
      <c r="L76" s="567"/>
      <c r="M76" s="567"/>
      <c r="N76" s="567">
        <v>0.28749999999999998</v>
      </c>
      <c r="O76" s="567"/>
    </row>
    <row r="77" spans="2:15">
      <c r="B77" t="s">
        <v>465</v>
      </c>
      <c r="C77" t="s">
        <v>45</v>
      </c>
      <c r="D77" t="s">
        <v>56</v>
      </c>
      <c r="E77" t="s">
        <v>742</v>
      </c>
      <c r="F77" s="567"/>
      <c r="G77" s="567"/>
      <c r="H77" s="567"/>
      <c r="I77" s="567"/>
      <c r="J77" s="567"/>
      <c r="K77" s="567"/>
      <c r="L77" s="567"/>
      <c r="M77" s="567"/>
      <c r="N77" s="567">
        <v>-10</v>
      </c>
      <c r="O77" s="567"/>
    </row>
    <row r="78" spans="2:15">
      <c r="B78" t="s">
        <v>466</v>
      </c>
      <c r="C78" t="s">
        <v>39</v>
      </c>
      <c r="D78" t="s">
        <v>56</v>
      </c>
      <c r="E78" t="s">
        <v>742</v>
      </c>
      <c r="F78" s="567"/>
      <c r="G78" s="567"/>
      <c r="H78" s="567"/>
      <c r="I78" s="567"/>
      <c r="J78" s="567"/>
      <c r="K78" s="567"/>
      <c r="L78" s="567"/>
      <c r="M78" s="567"/>
      <c r="N78" s="567">
        <v>-5.0000000000000001E-3</v>
      </c>
      <c r="O78" s="567"/>
    </row>
    <row r="79" spans="2:15">
      <c r="B79" t="s">
        <v>467</v>
      </c>
      <c r="C79" t="s">
        <v>40</v>
      </c>
      <c r="D79" t="s">
        <v>56</v>
      </c>
      <c r="E79" t="s">
        <v>742</v>
      </c>
      <c r="F79" s="567"/>
      <c r="G79" s="567"/>
      <c r="H79" s="567"/>
      <c r="I79" s="567"/>
      <c r="J79" s="567"/>
      <c r="K79" s="567"/>
      <c r="L79" s="567"/>
      <c r="M79" s="567"/>
      <c r="N79" s="567">
        <v>0.8</v>
      </c>
      <c r="O79" s="567"/>
    </row>
    <row r="80" spans="2:15">
      <c r="B80" t="s">
        <v>468</v>
      </c>
      <c r="C80" t="s">
        <v>41</v>
      </c>
      <c r="D80" t="s">
        <v>56</v>
      </c>
      <c r="E80" t="s">
        <v>742</v>
      </c>
      <c r="F80" s="567"/>
      <c r="G80" s="567"/>
      <c r="H80" s="567"/>
      <c r="I80" s="567"/>
      <c r="J80" s="567"/>
      <c r="K80" s="567"/>
      <c r="L80" s="567"/>
      <c r="M80" s="567"/>
      <c r="N80" s="567">
        <v>0.25</v>
      </c>
      <c r="O80" s="567"/>
    </row>
    <row r="81" spans="2:15">
      <c r="B81" t="s">
        <v>469</v>
      </c>
      <c r="C81" t="s">
        <v>42</v>
      </c>
      <c r="D81" t="s">
        <v>56</v>
      </c>
      <c r="E81" t="s">
        <v>742</v>
      </c>
      <c r="F81" s="567"/>
      <c r="G81" s="567"/>
      <c r="H81" s="567"/>
      <c r="I81" s="567"/>
      <c r="J81" s="567"/>
      <c r="K81" s="567"/>
      <c r="L81" s="567"/>
      <c r="M81" s="567"/>
      <c r="N81" s="567">
        <v>75</v>
      </c>
      <c r="O81" s="567"/>
    </row>
    <row r="82" spans="2:15">
      <c r="B82" t="s">
        <v>470</v>
      </c>
      <c r="C82" t="s">
        <v>43</v>
      </c>
      <c r="D82" t="s">
        <v>56</v>
      </c>
      <c r="E82" t="s">
        <v>742</v>
      </c>
      <c r="F82" s="567"/>
      <c r="G82" s="567"/>
      <c r="H82" s="567"/>
      <c r="I82" s="567"/>
      <c r="J82" s="567"/>
      <c r="K82" s="567"/>
      <c r="L82" s="567"/>
      <c r="M82" s="567"/>
      <c r="N82" s="567">
        <v>-1.25E-3</v>
      </c>
      <c r="O82" s="567"/>
    </row>
    <row r="83" spans="2:15">
      <c r="B83" t="s">
        <v>471</v>
      </c>
      <c r="C83" t="s">
        <v>44</v>
      </c>
      <c r="D83" t="s">
        <v>56</v>
      </c>
      <c r="E83" t="s">
        <v>742</v>
      </c>
      <c r="F83" s="567"/>
      <c r="G83" s="567"/>
      <c r="H83" s="567"/>
      <c r="I83" s="567"/>
      <c r="J83" s="567"/>
      <c r="K83" s="567"/>
      <c r="L83" s="567"/>
      <c r="M83" s="567"/>
      <c r="N83" s="567">
        <v>0.17499999999999999</v>
      </c>
      <c r="O83" s="567"/>
    </row>
    <row r="84" spans="2:15">
      <c r="B84" t="s">
        <v>472</v>
      </c>
      <c r="C84" t="s">
        <v>45</v>
      </c>
      <c r="D84" t="s">
        <v>56</v>
      </c>
      <c r="E84" t="s">
        <v>742</v>
      </c>
      <c r="F84" s="567"/>
      <c r="G84" s="567"/>
      <c r="H84" s="567"/>
      <c r="I84" s="567"/>
      <c r="J84" s="567"/>
      <c r="K84" s="567"/>
      <c r="L84" s="567"/>
      <c r="M84" s="567"/>
      <c r="N84" s="567">
        <v>-5</v>
      </c>
      <c r="O84" s="567"/>
    </row>
    <row r="85" spans="2:15">
      <c r="B85" t="s">
        <v>473</v>
      </c>
      <c r="C85" t="s">
        <v>46</v>
      </c>
      <c r="D85" t="s">
        <v>56</v>
      </c>
      <c r="E85" t="s">
        <v>742</v>
      </c>
      <c r="F85" s="567"/>
      <c r="G85" s="567"/>
      <c r="H85" s="567"/>
      <c r="I85" s="567"/>
      <c r="J85" s="567"/>
      <c r="K85" s="567"/>
      <c r="L85" s="567"/>
      <c r="M85" s="567"/>
      <c r="N85" s="567">
        <v>0.05</v>
      </c>
      <c r="O85" s="567"/>
    </row>
    <row r="86" spans="2:15">
      <c r="B86" t="s">
        <v>474</v>
      </c>
      <c r="C86" t="s">
        <v>50</v>
      </c>
      <c r="D86" t="s">
        <v>55</v>
      </c>
      <c r="E86" t="s">
        <v>742</v>
      </c>
      <c r="F86" s="567"/>
      <c r="G86" s="567"/>
      <c r="H86" s="567"/>
      <c r="I86" s="567"/>
      <c r="J86" s="567"/>
      <c r="K86" s="567"/>
      <c r="L86" s="567"/>
      <c r="M86" s="567"/>
      <c r="N86" s="567">
        <v>100</v>
      </c>
      <c r="O86" s="567"/>
    </row>
    <row r="87" spans="2:15">
      <c r="B87" t="s">
        <v>475</v>
      </c>
      <c r="C87" t="s">
        <v>47</v>
      </c>
      <c r="D87" t="s">
        <v>55</v>
      </c>
      <c r="E87" t="s">
        <v>742</v>
      </c>
      <c r="F87" s="567"/>
      <c r="G87" s="567"/>
      <c r="H87" s="567"/>
      <c r="I87" s="567"/>
      <c r="J87" s="567"/>
      <c r="K87" s="567"/>
      <c r="L87" s="567"/>
      <c r="M87" s="567"/>
      <c r="N87" s="567">
        <v>130</v>
      </c>
      <c r="O87" s="567"/>
    </row>
    <row r="88" spans="2:15">
      <c r="B88" t="s">
        <v>166</v>
      </c>
      <c r="C88" t="s">
        <v>270</v>
      </c>
      <c r="D88" t="s">
        <v>56</v>
      </c>
      <c r="E88" t="s">
        <v>742</v>
      </c>
      <c r="F88" s="567"/>
      <c r="G88" s="567"/>
      <c r="H88" s="567"/>
      <c r="I88" s="567"/>
      <c r="J88" s="567"/>
      <c r="K88" s="567"/>
      <c r="L88" s="567"/>
      <c r="M88" s="567"/>
      <c r="N88" s="567">
        <v>2</v>
      </c>
      <c r="O88" s="567"/>
    </row>
    <row r="89" spans="2:15">
      <c r="B89" t="s">
        <v>167</v>
      </c>
      <c r="C89" t="s">
        <v>527</v>
      </c>
      <c r="D89" t="s">
        <v>518</v>
      </c>
      <c r="E89" t="s">
        <v>742</v>
      </c>
      <c r="F89" s="567"/>
      <c r="G89" s="567"/>
      <c r="H89" s="567"/>
      <c r="I89" s="567"/>
      <c r="J89" s="567"/>
      <c r="K89" s="567"/>
      <c r="L89" s="567"/>
      <c r="M89" s="567"/>
      <c r="N89" s="567">
        <v>0</v>
      </c>
      <c r="O89" s="567"/>
    </row>
    <row r="90" spans="2:15">
      <c r="B90" t="s">
        <v>577</v>
      </c>
      <c r="C90" t="s">
        <v>575</v>
      </c>
      <c r="D90" t="s">
        <v>522</v>
      </c>
      <c r="E90" t="s">
        <v>742</v>
      </c>
      <c r="F90" s="568"/>
      <c r="G90" s="568"/>
      <c r="H90" s="568"/>
      <c r="I90" s="568"/>
      <c r="J90" s="568"/>
      <c r="K90" s="568"/>
      <c r="L90" s="568"/>
      <c r="M90" s="568"/>
      <c r="N90" s="568"/>
      <c r="O90" s="568">
        <v>3.5999999999999997E-2</v>
      </c>
    </row>
  </sheetData>
  <pageMargins left="0.70866141732283472" right="0.70866141732283472" top="0.74803149606299213" bottom="0.74803149606299213" header="0.31496062992125984" footer="0.31496062992125984"/>
  <pageSetup paperSize="9" scale="61" fitToHeight="0" orientation="landscape" r:id="rId1"/>
  <headerFooter>
    <oddHeader>&amp;L&amp;A</oddHeader>
    <oddFooter>&amp;LPL14L012 CIS v3.5
Ofwat, February 2016</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R200"/>
  <sheetViews>
    <sheetView showGridLines="0" zoomScale="80" zoomScaleNormal="80" workbookViewId="0">
      <pane xSplit="6" ySplit="4" topLeftCell="G139" activePane="bottomRight" state="frozen"/>
      <selection activeCell="A3" sqref="A3"/>
      <selection pane="topRight" activeCell="A3" sqref="A3"/>
      <selection pane="bottomLeft" activeCell="A3" sqref="A3"/>
      <selection pane="bottomRight" activeCell="G150" sqref="G150"/>
    </sheetView>
  </sheetViews>
  <sheetFormatPr defaultColWidth="9.109375" defaultRowHeight="13.2"/>
  <cols>
    <col min="1" max="1" width="0.44140625" style="23" customWidth="1"/>
    <col min="2" max="2" width="7.6640625" style="23" customWidth="1"/>
    <col min="3" max="3" width="29.88671875" style="35" customWidth="1"/>
    <col min="4" max="4" width="10" style="23" customWidth="1"/>
    <col min="5" max="5" width="76.5546875" style="24" bestFit="1" customWidth="1"/>
    <col min="6" max="6" width="5.44140625" style="23" customWidth="1"/>
    <col min="7" max="14" width="14.5546875" style="23" customWidth="1"/>
    <col min="15" max="15" width="9.44140625" style="23" customWidth="1"/>
    <col min="16" max="16" width="16.88671875" style="23" customWidth="1"/>
    <col min="17" max="17" width="4.44140625" style="23" customWidth="1"/>
    <col min="18" max="18" width="10.5546875" style="97" customWidth="1"/>
    <col min="19" max="16384" width="9.109375" style="25"/>
  </cols>
  <sheetData>
    <row r="1" spans="1:18" ht="37.5" customHeight="1">
      <c r="A1" s="433"/>
      <c r="B1" s="458"/>
      <c r="C1" s="459"/>
      <c r="D1" s="465" t="s">
        <v>23</v>
      </c>
      <c r="E1" s="460" t="s">
        <v>24</v>
      </c>
      <c r="F1" s="461"/>
      <c r="G1" s="461"/>
      <c r="H1" s="461"/>
      <c r="I1" s="461"/>
      <c r="J1" s="461"/>
      <c r="K1" s="461"/>
      <c r="L1" s="461"/>
      <c r="M1" s="461"/>
      <c r="N1" s="462"/>
      <c r="O1" s="463"/>
      <c r="P1" s="463"/>
      <c r="Q1" s="463"/>
      <c r="R1" s="464"/>
    </row>
    <row r="2" spans="1:18" s="138" customFormat="1" ht="18" customHeight="1">
      <c r="A2" s="386"/>
      <c r="B2" s="242"/>
      <c r="C2" s="243"/>
      <c r="D2" s="244" t="s">
        <v>26</v>
      </c>
      <c r="E2" s="556"/>
      <c r="F2" s="245"/>
      <c r="G2" s="245" t="s">
        <v>28</v>
      </c>
      <c r="H2" s="245" t="s">
        <v>29</v>
      </c>
      <c r="I2" s="245" t="s">
        <v>30</v>
      </c>
      <c r="J2" s="246" t="s">
        <v>31</v>
      </c>
      <c r="K2" s="246" t="s">
        <v>32</v>
      </c>
      <c r="L2" s="246" t="s">
        <v>33</v>
      </c>
      <c r="M2" s="246" t="s">
        <v>34</v>
      </c>
      <c r="N2" s="385" t="s">
        <v>35</v>
      </c>
      <c r="O2" s="245" t="s">
        <v>59</v>
      </c>
      <c r="P2" s="245"/>
      <c r="Q2" s="245"/>
      <c r="R2" s="247"/>
    </row>
    <row r="3" spans="1:18" s="138" customFormat="1" ht="17.399999999999999">
      <c r="A3" s="386"/>
      <c r="B3" s="248"/>
      <c r="C3" s="249"/>
      <c r="D3" s="250"/>
      <c r="E3" s="251"/>
      <c r="F3" s="252"/>
      <c r="G3" s="252"/>
      <c r="H3" s="252"/>
      <c r="I3" s="252"/>
      <c r="J3" s="253"/>
      <c r="K3" s="253"/>
      <c r="L3" s="253"/>
      <c r="M3" s="253"/>
      <c r="N3" s="387"/>
      <c r="O3" s="252"/>
      <c r="P3" s="252"/>
      <c r="Q3" s="252"/>
      <c r="R3" s="254"/>
    </row>
    <row r="4" spans="1:18" s="138" customFormat="1">
      <c r="A4" s="388"/>
      <c r="B4" s="389"/>
      <c r="C4" s="256" t="s">
        <v>36</v>
      </c>
      <c r="D4" s="389"/>
      <c r="E4" s="390" t="s">
        <v>37</v>
      </c>
      <c r="F4" s="389"/>
      <c r="G4" s="389">
        <v>2007</v>
      </c>
      <c r="H4" s="389">
        <v>2008</v>
      </c>
      <c r="I4" s="389">
        <v>2009</v>
      </c>
      <c r="J4" s="391">
        <v>2010</v>
      </c>
      <c r="K4" s="391">
        <v>2011</v>
      </c>
      <c r="L4" s="391">
        <v>2012</v>
      </c>
      <c r="M4" s="391">
        <v>2013</v>
      </c>
      <c r="N4" s="392">
        <v>2014</v>
      </c>
      <c r="O4" s="255"/>
      <c r="P4" s="255"/>
      <c r="Q4" s="255"/>
      <c r="R4" s="257"/>
    </row>
    <row r="5" spans="1:18" s="138" customFormat="1">
      <c r="A5" s="388"/>
      <c r="B5" s="389"/>
      <c r="C5" s="256"/>
      <c r="D5" s="389"/>
      <c r="E5" s="390"/>
      <c r="F5" s="389"/>
      <c r="G5" s="389"/>
      <c r="H5" s="389"/>
      <c r="I5" s="389"/>
      <c r="J5" s="391"/>
      <c r="K5" s="391"/>
      <c r="L5" s="391"/>
      <c r="M5" s="391"/>
      <c r="N5" s="392"/>
      <c r="O5" s="255"/>
      <c r="P5" s="255"/>
      <c r="Q5" s="255"/>
      <c r="R5" s="257"/>
    </row>
    <row r="6" spans="1:18">
      <c r="A6" s="429"/>
      <c r="B6" s="440"/>
      <c r="C6" s="450"/>
      <c r="D6" s="466" t="s">
        <v>38</v>
      </c>
      <c r="E6" s="448" t="s">
        <v>169</v>
      </c>
      <c r="F6" s="440"/>
      <c r="G6" s="440"/>
      <c r="H6" s="440"/>
      <c r="I6" s="440"/>
      <c r="J6" s="440"/>
      <c r="K6" s="440"/>
      <c r="L6" s="440"/>
      <c r="M6" s="440"/>
      <c r="N6" s="446"/>
      <c r="O6" s="449"/>
      <c r="P6" s="449"/>
      <c r="Q6" s="449"/>
      <c r="R6" s="451"/>
    </row>
    <row r="7" spans="1:18">
      <c r="A7" s="430"/>
      <c r="B7" s="31"/>
      <c r="C7" s="32"/>
      <c r="D7" s="33"/>
      <c r="E7" s="34"/>
      <c r="F7" s="31"/>
      <c r="G7" s="31"/>
      <c r="H7" s="31"/>
      <c r="I7" s="31"/>
      <c r="J7" s="67"/>
      <c r="K7" s="67"/>
      <c r="L7" s="67"/>
      <c r="M7" s="67"/>
      <c r="N7" s="393"/>
      <c r="O7" s="91"/>
      <c r="P7" s="91"/>
      <c r="Q7" s="91"/>
      <c r="R7" s="95"/>
    </row>
    <row r="8" spans="1:18" s="22" customFormat="1">
      <c r="A8" s="431"/>
      <c r="B8" s="452"/>
      <c r="C8" s="453"/>
      <c r="D8" s="467" t="s">
        <v>38</v>
      </c>
      <c r="E8" s="454" t="s">
        <v>112</v>
      </c>
      <c r="F8" s="440"/>
      <c r="G8" s="440"/>
      <c r="H8" s="440"/>
      <c r="I8" s="440"/>
      <c r="J8" s="440"/>
      <c r="K8" s="440"/>
      <c r="L8" s="440"/>
      <c r="M8" s="440"/>
      <c r="N8" s="455"/>
      <c r="O8" s="456"/>
      <c r="P8" s="456"/>
      <c r="Q8" s="456"/>
      <c r="R8" s="457"/>
    </row>
    <row r="9" spans="1:18" s="138" customFormat="1">
      <c r="A9" s="432"/>
      <c r="B9" s="213"/>
      <c r="C9" s="214"/>
      <c r="D9" s="213"/>
      <c r="E9" s="215"/>
      <c r="F9" s="217"/>
      <c r="G9" s="217"/>
      <c r="H9" s="217"/>
      <c r="I9" s="217"/>
      <c r="J9" s="218"/>
      <c r="K9" s="218"/>
      <c r="L9" s="218"/>
      <c r="M9" s="218"/>
      <c r="N9" s="394"/>
      <c r="O9" s="217"/>
      <c r="P9" s="217"/>
      <c r="Q9" s="217"/>
      <c r="R9" s="219"/>
    </row>
    <row r="10" spans="1:18" s="138" customFormat="1">
      <c r="A10" s="432"/>
      <c r="B10" s="213"/>
      <c r="C10" s="154" t="s">
        <v>451</v>
      </c>
      <c r="D10" s="153" t="s">
        <v>57</v>
      </c>
      <c r="E10" s="216" t="s">
        <v>177</v>
      </c>
      <c r="F10" s="217"/>
      <c r="G10" s="220"/>
      <c r="H10" s="220"/>
      <c r="I10" s="220"/>
      <c r="J10" s="221">
        <f>INDEX('F_Inputs FD'!$B$4:$O$90,MATCH($C10,'F_Inputs FD'!$B$4:$B$90,0),MATCH(J$2,'F_Inputs FD'!$B$2:$N$2,0))</f>
        <v>103.470908642818</v>
      </c>
      <c r="K10" s="221">
        <f>INDEX('F_Inputs FD'!$B$4:$O$90,MATCH($C10,'F_Inputs FD'!$B$4:$B$90,0),MATCH(K$2,'F_Inputs FD'!$B$2:$N$2,0))</f>
        <v>132.99800637627399</v>
      </c>
      <c r="L10" s="221">
        <f>INDEX('F_Inputs FD'!$B$4:$O$90,MATCH($C10,'F_Inputs FD'!$B$4:$B$90,0),MATCH(L$2,'F_Inputs FD'!$B$2:$N$2,0))</f>
        <v>111.563416483532</v>
      </c>
      <c r="M10" s="221">
        <f>INDEX('F_Inputs FD'!$B$4:$O$90,MATCH($C10,'F_Inputs FD'!$B$4:$B$90,0),MATCH(M$2,'F_Inputs FD'!$B$2:$N$2,0))</f>
        <v>129.981643721457</v>
      </c>
      <c r="N10" s="395">
        <f>INDEX('F_Inputs FD'!$B$4:$O$90,MATCH($C10,'F_Inputs FD'!$B$4:$B$90,0),MATCH(N$2,'F_Inputs FD'!$B$2:$N$2,0))</f>
        <v>124.476495414871</v>
      </c>
      <c r="O10" s="217"/>
      <c r="P10" s="217"/>
      <c r="Q10" s="217"/>
      <c r="R10" s="222" t="s">
        <v>242</v>
      </c>
    </row>
    <row r="11" spans="1:18" s="138" customFormat="1">
      <c r="A11" s="432"/>
      <c r="B11" s="213"/>
      <c r="C11" s="154" t="s">
        <v>452</v>
      </c>
      <c r="D11" s="153" t="s">
        <v>57</v>
      </c>
      <c r="E11" s="216" t="s">
        <v>178</v>
      </c>
      <c r="F11" s="217"/>
      <c r="G11" s="220"/>
      <c r="H11" s="220"/>
      <c r="I11" s="220"/>
      <c r="J11" s="221">
        <f>INDEX('F_Inputs FD'!$B$4:$O$90,MATCH($C11,'F_Inputs FD'!$B$4:$B$90,0),MATCH(J$2,'F_Inputs FD'!$B$2:$N$2,0))</f>
        <v>113.913414843349</v>
      </c>
      <c r="K11" s="221">
        <f>INDEX('F_Inputs FD'!$B$4:$O$90,MATCH($C11,'F_Inputs FD'!$B$4:$B$90,0),MATCH(K$2,'F_Inputs FD'!$B$2:$N$2,0))</f>
        <v>166.357511332</v>
      </c>
      <c r="L11" s="221">
        <f>INDEX('F_Inputs FD'!$B$4:$O$90,MATCH($C11,'F_Inputs FD'!$B$4:$B$90,0),MATCH(L$2,'F_Inputs FD'!$B$2:$N$2,0))</f>
        <v>140.887898901509</v>
      </c>
      <c r="M11" s="221">
        <f>INDEX('F_Inputs FD'!$B$4:$O$90,MATCH($C11,'F_Inputs FD'!$B$4:$B$90,0),MATCH(M$2,'F_Inputs FD'!$B$2:$N$2,0))</f>
        <v>118.387980577061</v>
      </c>
      <c r="N11" s="395">
        <f>INDEX('F_Inputs FD'!$B$4:$O$90,MATCH($C11,'F_Inputs FD'!$B$4:$B$90,0),MATCH(N$2,'F_Inputs FD'!$B$2:$N$2,0))</f>
        <v>84.269135592107304</v>
      </c>
      <c r="O11" s="217"/>
      <c r="P11" s="217"/>
      <c r="Q11" s="217"/>
      <c r="R11" s="222" t="s">
        <v>242</v>
      </c>
    </row>
    <row r="12" spans="1:18" s="138" customFormat="1">
      <c r="A12" s="432"/>
      <c r="B12" s="213"/>
      <c r="C12" s="154" t="s">
        <v>453</v>
      </c>
      <c r="D12" s="153" t="s">
        <v>57</v>
      </c>
      <c r="E12" s="216" t="s">
        <v>123</v>
      </c>
      <c r="F12" s="217"/>
      <c r="G12" s="223"/>
      <c r="H12" s="223"/>
      <c r="I12" s="223"/>
      <c r="J12" s="221">
        <f>INDEX('F_Inputs FD'!$B$4:$O$90,MATCH($C12,'F_Inputs FD'!$B$4:$B$90,0),MATCH(J$2,'F_Inputs FD'!$B$2:$N$2,0))</f>
        <v>107.772134616793</v>
      </c>
      <c r="K12" s="221">
        <f>INDEX('F_Inputs FD'!$B$4:$O$90,MATCH($C12,'F_Inputs FD'!$B$4:$B$90,0),MATCH(K$2,'F_Inputs FD'!$B$2:$N$2,0))</f>
        <v>128.94885703399399</v>
      </c>
      <c r="L12" s="221">
        <f>INDEX('F_Inputs FD'!$B$4:$O$90,MATCH($C12,'F_Inputs FD'!$B$4:$B$90,0),MATCH(L$2,'F_Inputs FD'!$B$2:$N$2,0))</f>
        <v>39.916639210552901</v>
      </c>
      <c r="M12" s="221">
        <f>INDEX('F_Inputs FD'!$B$4:$O$90,MATCH($C12,'F_Inputs FD'!$B$4:$B$90,0),MATCH(M$2,'F_Inputs FD'!$B$2:$N$2,0))</f>
        <v>28.593380651569401</v>
      </c>
      <c r="N12" s="395">
        <f>INDEX('F_Inputs FD'!$B$4:$O$90,MATCH($C12,'F_Inputs FD'!$B$4:$B$90,0),MATCH(N$2,'F_Inputs FD'!$B$2:$N$2,0))</f>
        <v>15.432786951569399</v>
      </c>
      <c r="O12" s="217"/>
      <c r="P12" s="217"/>
      <c r="Q12" s="217"/>
      <c r="R12" s="222" t="s">
        <v>242</v>
      </c>
    </row>
    <row r="13" spans="1:18" s="138" customFormat="1">
      <c r="A13" s="432"/>
      <c r="B13" s="213"/>
      <c r="C13" s="154" t="s">
        <v>454</v>
      </c>
      <c r="D13" s="153" t="s">
        <v>57</v>
      </c>
      <c r="E13" s="216" t="s">
        <v>122</v>
      </c>
      <c r="F13" s="217"/>
      <c r="G13" s="223"/>
      <c r="H13" s="223"/>
      <c r="I13" s="223"/>
      <c r="J13" s="221">
        <f>INDEX('F_Inputs FD'!$B$4:$O$90,MATCH($C13,'F_Inputs FD'!$B$4:$B$90,0),MATCH(J$2,'F_Inputs FD'!$B$2:$N$2,0))</f>
        <v>68.677982659469805</v>
      </c>
      <c r="K13" s="221">
        <f>INDEX('F_Inputs FD'!$B$4:$O$90,MATCH($C13,'F_Inputs FD'!$B$4:$B$90,0),MATCH(K$2,'F_Inputs FD'!$B$2:$N$2,0))</f>
        <v>79.775220134809601</v>
      </c>
      <c r="L13" s="221">
        <f>INDEX('F_Inputs FD'!$B$4:$O$90,MATCH($C13,'F_Inputs FD'!$B$4:$B$90,0),MATCH(L$2,'F_Inputs FD'!$B$2:$N$2,0))</f>
        <v>52.664264101835997</v>
      </c>
      <c r="M13" s="221">
        <f>INDEX('F_Inputs FD'!$B$4:$O$90,MATCH($C13,'F_Inputs FD'!$B$4:$B$90,0),MATCH(M$2,'F_Inputs FD'!$B$2:$N$2,0))</f>
        <v>42.8514853069493</v>
      </c>
      <c r="N13" s="395">
        <f>INDEX('F_Inputs FD'!$B$4:$O$90,MATCH($C13,'F_Inputs FD'!$B$4:$B$90,0),MATCH(N$2,'F_Inputs FD'!$B$2:$N$2,0))</f>
        <v>32.973380172967403</v>
      </c>
      <c r="O13" s="217"/>
      <c r="P13" s="217"/>
      <c r="Q13" s="217"/>
      <c r="R13" s="222" t="s">
        <v>242</v>
      </c>
    </row>
    <row r="14" spans="1:18" s="138" customFormat="1">
      <c r="A14" s="432"/>
      <c r="B14" s="213"/>
      <c r="C14" s="154" t="s">
        <v>455</v>
      </c>
      <c r="D14" s="153" t="s">
        <v>57</v>
      </c>
      <c r="E14" s="216" t="s">
        <v>190</v>
      </c>
      <c r="F14" s="217"/>
      <c r="G14" s="223"/>
      <c r="H14" s="223"/>
      <c r="I14" s="223"/>
      <c r="J14" s="221">
        <f>INDEX('F_Inputs FD'!$B$4:$O$90,MATCH($C14,'F_Inputs FD'!$B$4:$B$90,0),MATCH(J$2,'F_Inputs FD'!$B$2:$N$2,0))</f>
        <v>5.7140000000000004</v>
      </c>
      <c r="K14" s="221">
        <f>INDEX('F_Inputs FD'!$B$4:$O$90,MATCH($C14,'F_Inputs FD'!$B$4:$B$90,0),MATCH(K$2,'F_Inputs FD'!$B$2:$N$2,0))</f>
        <v>7.7889999999999997</v>
      </c>
      <c r="L14" s="221">
        <f>INDEX('F_Inputs FD'!$B$4:$O$90,MATCH($C14,'F_Inputs FD'!$B$4:$B$90,0),MATCH(L$2,'F_Inputs FD'!$B$2:$N$2,0))</f>
        <v>8.3089999999999993</v>
      </c>
      <c r="M14" s="221">
        <f>INDEX('F_Inputs FD'!$B$4:$O$90,MATCH($C14,'F_Inputs FD'!$B$4:$B$90,0),MATCH(M$2,'F_Inputs FD'!$B$2:$N$2,0))</f>
        <v>9.66</v>
      </c>
      <c r="N14" s="395">
        <f>INDEX('F_Inputs FD'!$B$4:$O$90,MATCH($C14,'F_Inputs FD'!$B$4:$B$90,0),MATCH(N$2,'F_Inputs FD'!$B$2:$N$2,0))</f>
        <v>9.9890000000000008</v>
      </c>
      <c r="O14" s="217"/>
      <c r="P14" s="217"/>
      <c r="Q14" s="217"/>
      <c r="R14" s="222" t="s">
        <v>242</v>
      </c>
    </row>
    <row r="15" spans="1:18" s="138" customFormat="1">
      <c r="A15" s="432"/>
      <c r="B15" s="213"/>
      <c r="C15" s="154" t="s">
        <v>456</v>
      </c>
      <c r="D15" s="153" t="s">
        <v>57</v>
      </c>
      <c r="E15" s="216" t="s">
        <v>220</v>
      </c>
      <c r="F15" s="217"/>
      <c r="G15" s="223"/>
      <c r="H15" s="223"/>
      <c r="I15" s="223"/>
      <c r="J15" s="221">
        <f>INDEX('F_Inputs FD'!$B$4:$O$90,MATCH($C15,'F_Inputs FD'!$B$4:$B$90,0),MATCH(J$2,'F_Inputs FD'!$B$2:$N$2,0))</f>
        <v>0</v>
      </c>
      <c r="K15" s="221">
        <f>INDEX('F_Inputs FD'!$B$4:$O$90,MATCH($C15,'F_Inputs FD'!$B$4:$B$90,0),MATCH(K$2,'F_Inputs FD'!$B$2:$N$2,0))</f>
        <v>0</v>
      </c>
      <c r="L15" s="221">
        <f>INDEX('F_Inputs FD'!$B$4:$O$90,MATCH($C15,'F_Inputs FD'!$B$4:$B$90,0),MATCH(L$2,'F_Inputs FD'!$B$2:$N$2,0))</f>
        <v>0</v>
      </c>
      <c r="M15" s="221">
        <f>INDEX('F_Inputs FD'!$B$4:$O$90,MATCH($C15,'F_Inputs FD'!$B$4:$B$90,0),MATCH(M$2,'F_Inputs FD'!$B$2:$N$2,0))</f>
        <v>0</v>
      </c>
      <c r="N15" s="395">
        <f>INDEX('F_Inputs FD'!$B$4:$O$90,MATCH($C15,'F_Inputs FD'!$B$4:$B$90,0),MATCH(N$2,'F_Inputs FD'!$B$2:$N$2,0))</f>
        <v>0</v>
      </c>
      <c r="O15" s="217"/>
      <c r="P15" s="217"/>
      <c r="Q15" s="217"/>
      <c r="R15" s="222" t="s">
        <v>242</v>
      </c>
    </row>
    <row r="16" spans="1:18" s="138" customFormat="1">
      <c r="A16" s="432"/>
      <c r="B16" s="213"/>
      <c r="C16" s="154" t="s">
        <v>457</v>
      </c>
      <c r="D16" s="153" t="s">
        <v>57</v>
      </c>
      <c r="E16" s="216" t="s">
        <v>221</v>
      </c>
      <c r="F16" s="217"/>
      <c r="G16" s="223"/>
      <c r="H16" s="223"/>
      <c r="I16" s="223"/>
      <c r="J16" s="221">
        <f>INDEX('F_Inputs FD'!$B$4:$O$90,MATCH($C16,'F_Inputs FD'!$B$4:$B$90,0),MATCH(J$2,'F_Inputs FD'!$B$2:$N$2,0))</f>
        <v>0</v>
      </c>
      <c r="K16" s="221">
        <f>INDEX('F_Inputs FD'!$B$4:$O$90,MATCH($C16,'F_Inputs FD'!$B$4:$B$90,0),MATCH(K$2,'F_Inputs FD'!$B$2:$N$2,0))</f>
        <v>0</v>
      </c>
      <c r="L16" s="221">
        <f>INDEX('F_Inputs FD'!$B$4:$O$90,MATCH($C16,'F_Inputs FD'!$B$4:$B$90,0),MATCH(L$2,'F_Inputs FD'!$B$2:$N$2,0))</f>
        <v>0</v>
      </c>
      <c r="M16" s="221">
        <f>INDEX('F_Inputs FD'!$B$4:$O$90,MATCH($C16,'F_Inputs FD'!$B$4:$B$90,0),MATCH(M$2,'F_Inputs FD'!$B$2:$N$2,0))</f>
        <v>0</v>
      </c>
      <c r="N16" s="395">
        <f>INDEX('F_Inputs FD'!$B$4:$O$90,MATCH($C16,'F_Inputs FD'!$B$4:$B$90,0),MATCH(N$2,'F_Inputs FD'!$B$2:$N$2,0))</f>
        <v>0</v>
      </c>
      <c r="O16" s="217"/>
      <c r="P16" s="217"/>
      <c r="Q16" s="217"/>
      <c r="R16" s="222" t="s">
        <v>242</v>
      </c>
    </row>
    <row r="17" spans="1:18" s="138" customFormat="1">
      <c r="A17" s="432"/>
      <c r="B17" s="213"/>
      <c r="C17" s="154" t="s">
        <v>458</v>
      </c>
      <c r="D17" s="153" t="s">
        <v>57</v>
      </c>
      <c r="E17" s="216" t="s">
        <v>416</v>
      </c>
      <c r="F17" s="217"/>
      <c r="G17" s="223"/>
      <c r="H17" s="223"/>
      <c r="I17" s="223"/>
      <c r="J17" s="221">
        <f>INDEX('F_Inputs FD'!$B$4:$O$90,MATCH($C17,'F_Inputs FD'!$B$4:$B$90,0),MATCH(J$2,'F_Inputs FD'!$B$2:$N$2,0))</f>
        <v>0</v>
      </c>
      <c r="K17" s="221">
        <f>INDEX('F_Inputs FD'!$B$4:$O$90,MATCH($C17,'F_Inputs FD'!$B$4:$B$90,0),MATCH(K$2,'F_Inputs FD'!$B$2:$N$2,0))</f>
        <v>0</v>
      </c>
      <c r="L17" s="221">
        <f>INDEX('F_Inputs FD'!$B$4:$O$90,MATCH($C17,'F_Inputs FD'!$B$4:$B$90,0),MATCH(L$2,'F_Inputs FD'!$B$2:$N$2,0))</f>
        <v>0</v>
      </c>
      <c r="M17" s="221">
        <f>INDEX('F_Inputs FD'!$B$4:$O$90,MATCH($C17,'F_Inputs FD'!$B$4:$B$90,0),MATCH(M$2,'F_Inputs FD'!$B$2:$N$2,0))</f>
        <v>0</v>
      </c>
      <c r="N17" s="395">
        <f>INDEX('F_Inputs FD'!$B$4:$O$90,MATCH($C17,'F_Inputs FD'!$B$4:$B$90,0),MATCH(N$2,'F_Inputs FD'!$B$2:$N$2,0))</f>
        <v>0</v>
      </c>
      <c r="O17" s="217"/>
      <c r="P17" s="217"/>
      <c r="Q17" s="217"/>
      <c r="R17" s="222" t="s">
        <v>242</v>
      </c>
    </row>
    <row r="18" spans="1:18" s="138" customFormat="1">
      <c r="A18" s="432"/>
      <c r="B18" s="213"/>
      <c r="C18" s="154"/>
      <c r="D18" s="217"/>
      <c r="E18" s="216"/>
      <c r="F18" s="217"/>
      <c r="G18" s="217"/>
      <c r="H18" s="217"/>
      <c r="I18" s="217"/>
      <c r="J18" s="218"/>
      <c r="K18" s="218"/>
      <c r="L18" s="218"/>
      <c r="M18" s="218"/>
      <c r="N18" s="394"/>
      <c r="O18" s="217"/>
      <c r="P18" s="217"/>
      <c r="Q18" s="217"/>
      <c r="R18" s="219"/>
    </row>
    <row r="19" spans="1:18" s="138" customFormat="1">
      <c r="A19" s="432"/>
      <c r="B19" s="213"/>
      <c r="C19" s="154" t="s">
        <v>444</v>
      </c>
      <c r="D19" s="153" t="s">
        <v>57</v>
      </c>
      <c r="E19" s="216" t="s">
        <v>179</v>
      </c>
      <c r="F19" s="217"/>
      <c r="G19" s="220"/>
      <c r="H19" s="220"/>
      <c r="I19" s="220"/>
      <c r="J19" s="221">
        <f>INDEX('F_Inputs FD'!$B$4:$O$90,MATCH($C19,'F_Inputs FD'!$B$4:$B$90,0),MATCH(J$2,'F_Inputs FD'!$B$2:$N$2,0))</f>
        <v>42.720897600000001</v>
      </c>
      <c r="K19" s="221">
        <f>INDEX('F_Inputs FD'!$B$4:$O$90,MATCH($C19,'F_Inputs FD'!$B$4:$B$90,0),MATCH(K$2,'F_Inputs FD'!$B$2:$N$2,0))</f>
        <v>38.648853000000003</v>
      </c>
      <c r="L19" s="221">
        <f>INDEX('F_Inputs FD'!$B$4:$O$90,MATCH($C19,'F_Inputs FD'!$B$4:$B$90,0),MATCH(L$2,'F_Inputs FD'!$B$2:$N$2,0))</f>
        <v>45.982225700000001</v>
      </c>
      <c r="M19" s="221">
        <f>INDEX('F_Inputs FD'!$B$4:$O$90,MATCH($C19,'F_Inputs FD'!$B$4:$B$90,0),MATCH(M$2,'F_Inputs FD'!$B$2:$N$2,0))</f>
        <v>47.438052999999996</v>
      </c>
      <c r="N19" s="395">
        <f>INDEX('F_Inputs FD'!$B$4:$O$90,MATCH($C19,'F_Inputs FD'!$B$4:$B$90,0),MATCH(N$2,'F_Inputs FD'!$B$2:$N$2,0))</f>
        <v>47.2990274</v>
      </c>
      <c r="O19" s="217"/>
      <c r="P19" s="217"/>
      <c r="Q19" s="217"/>
      <c r="R19" s="222" t="s">
        <v>242</v>
      </c>
    </row>
    <row r="20" spans="1:18" s="138" customFormat="1">
      <c r="A20" s="432"/>
      <c r="B20" s="213"/>
      <c r="C20" s="154" t="s">
        <v>445</v>
      </c>
      <c r="D20" s="153" t="s">
        <v>57</v>
      </c>
      <c r="E20" s="216" t="s">
        <v>180</v>
      </c>
      <c r="F20" s="217"/>
      <c r="G20" s="220"/>
      <c r="H20" s="220"/>
      <c r="I20" s="220"/>
      <c r="J20" s="221">
        <f>INDEX('F_Inputs FD'!$B$4:$O$90,MATCH($C20,'F_Inputs FD'!$B$4:$B$90,0),MATCH(J$2,'F_Inputs FD'!$B$2:$N$2,0))</f>
        <v>174.42350429999999</v>
      </c>
      <c r="K20" s="221">
        <f>INDEX('F_Inputs FD'!$B$4:$O$90,MATCH($C20,'F_Inputs FD'!$B$4:$B$90,0),MATCH(K$2,'F_Inputs FD'!$B$2:$N$2,0))</f>
        <v>249.0989931</v>
      </c>
      <c r="L20" s="221">
        <f>INDEX('F_Inputs FD'!$B$4:$O$90,MATCH($C20,'F_Inputs FD'!$B$4:$B$90,0),MATCH(L$2,'F_Inputs FD'!$B$2:$N$2,0))</f>
        <v>148.0181566</v>
      </c>
      <c r="M20" s="221">
        <f>INDEX('F_Inputs FD'!$B$4:$O$90,MATCH($C20,'F_Inputs FD'!$B$4:$B$90,0),MATCH(M$2,'F_Inputs FD'!$B$2:$N$2,0))</f>
        <v>158.6278312</v>
      </c>
      <c r="N20" s="395">
        <f>INDEX('F_Inputs FD'!$B$4:$O$90,MATCH($C20,'F_Inputs FD'!$B$4:$B$90,0),MATCH(N$2,'F_Inputs FD'!$B$2:$N$2,0))</f>
        <v>122.76039400000001</v>
      </c>
      <c r="O20" s="217"/>
      <c r="P20" s="217"/>
      <c r="Q20" s="217"/>
      <c r="R20" s="222" t="s">
        <v>242</v>
      </c>
    </row>
    <row r="21" spans="1:18" s="138" customFormat="1">
      <c r="A21" s="432"/>
      <c r="B21" s="213"/>
      <c r="C21" s="154" t="s">
        <v>446</v>
      </c>
      <c r="D21" s="153" t="s">
        <v>57</v>
      </c>
      <c r="E21" s="216" t="s">
        <v>124</v>
      </c>
      <c r="F21" s="217"/>
      <c r="G21" s="223"/>
      <c r="H21" s="223"/>
      <c r="I21" s="223"/>
      <c r="J21" s="221">
        <f>INDEX('F_Inputs FD'!$B$4:$O$90,MATCH($C21,'F_Inputs FD'!$B$4:$B$90,0),MATCH(J$2,'F_Inputs FD'!$B$2:$N$2,0))</f>
        <v>63.993343000000003</v>
      </c>
      <c r="K21" s="221">
        <f>INDEX('F_Inputs FD'!$B$4:$O$90,MATCH($C21,'F_Inputs FD'!$B$4:$B$90,0),MATCH(K$2,'F_Inputs FD'!$B$2:$N$2,0))</f>
        <v>107.633421</v>
      </c>
      <c r="L21" s="221">
        <f>INDEX('F_Inputs FD'!$B$4:$O$90,MATCH($C21,'F_Inputs FD'!$B$4:$B$90,0),MATCH(L$2,'F_Inputs FD'!$B$2:$N$2,0))</f>
        <v>138.6957151</v>
      </c>
      <c r="M21" s="221">
        <f>INDEX('F_Inputs FD'!$B$4:$O$90,MATCH($C21,'F_Inputs FD'!$B$4:$B$90,0),MATCH(M$2,'F_Inputs FD'!$B$2:$N$2,0))</f>
        <v>121.4034858</v>
      </c>
      <c r="N21" s="395">
        <f>INDEX('F_Inputs FD'!$B$4:$O$90,MATCH($C21,'F_Inputs FD'!$B$4:$B$90,0),MATCH(N$2,'F_Inputs FD'!$B$2:$N$2,0))</f>
        <v>114.6391064</v>
      </c>
      <c r="O21" s="217"/>
      <c r="P21" s="217"/>
      <c r="Q21" s="217"/>
      <c r="R21" s="222" t="s">
        <v>242</v>
      </c>
    </row>
    <row r="22" spans="1:18" s="138" customFormat="1">
      <c r="A22" s="432"/>
      <c r="B22" s="213"/>
      <c r="C22" s="154" t="s">
        <v>447</v>
      </c>
      <c r="D22" s="153" t="s">
        <v>57</v>
      </c>
      <c r="E22" s="216" t="s">
        <v>125</v>
      </c>
      <c r="F22" s="217"/>
      <c r="G22" s="223"/>
      <c r="H22" s="223"/>
      <c r="I22" s="223"/>
      <c r="J22" s="221">
        <f>INDEX('F_Inputs FD'!$B$4:$O$90,MATCH($C22,'F_Inputs FD'!$B$4:$B$90,0),MATCH(J$2,'F_Inputs FD'!$B$2:$N$2,0))</f>
        <v>286.69337969999998</v>
      </c>
      <c r="K22" s="221">
        <f>INDEX('F_Inputs FD'!$B$4:$O$90,MATCH($C22,'F_Inputs FD'!$B$4:$B$90,0),MATCH(K$2,'F_Inputs FD'!$B$2:$N$2,0))</f>
        <v>323.45532571049398</v>
      </c>
      <c r="L22" s="221">
        <f>INDEX('F_Inputs FD'!$B$4:$O$90,MATCH($C22,'F_Inputs FD'!$B$4:$B$90,0),MATCH(L$2,'F_Inputs FD'!$B$2:$N$2,0))</f>
        <v>274.44730395646098</v>
      </c>
      <c r="M22" s="221">
        <f>INDEX('F_Inputs FD'!$B$4:$O$90,MATCH($C22,'F_Inputs FD'!$B$4:$B$90,0),MATCH(M$2,'F_Inputs FD'!$B$2:$N$2,0))</f>
        <v>174.79395094065501</v>
      </c>
      <c r="N22" s="395">
        <f>INDEX('F_Inputs FD'!$B$4:$O$90,MATCH($C22,'F_Inputs FD'!$B$4:$B$90,0),MATCH(N$2,'F_Inputs FD'!$B$2:$N$2,0))</f>
        <v>122.67399018527</v>
      </c>
      <c r="O22" s="220"/>
      <c r="P22" s="217"/>
      <c r="Q22" s="217"/>
      <c r="R22" s="222" t="s">
        <v>242</v>
      </c>
    </row>
    <row r="23" spans="1:18" s="138" customFormat="1">
      <c r="A23" s="432"/>
      <c r="B23" s="213"/>
      <c r="C23" s="154" t="s">
        <v>448</v>
      </c>
      <c r="D23" s="153" t="s">
        <v>57</v>
      </c>
      <c r="E23" s="216" t="s">
        <v>191</v>
      </c>
      <c r="F23" s="217"/>
      <c r="G23" s="220"/>
      <c r="H23" s="220"/>
      <c r="I23" s="220"/>
      <c r="J23" s="221">
        <f>INDEX('F_Inputs FD'!$B$4:$O$90,MATCH($C23,'F_Inputs FD'!$B$4:$B$90,0),MATCH(J$2,'F_Inputs FD'!$B$2:$N$2,0))</f>
        <v>9.1329999999999991</v>
      </c>
      <c r="K23" s="221">
        <f>INDEX('F_Inputs FD'!$B$4:$O$90,MATCH($C23,'F_Inputs FD'!$B$4:$B$90,0),MATCH(K$2,'F_Inputs FD'!$B$2:$N$2,0))</f>
        <v>12.135</v>
      </c>
      <c r="L23" s="221">
        <f>INDEX('F_Inputs FD'!$B$4:$O$90,MATCH($C23,'F_Inputs FD'!$B$4:$B$90,0),MATCH(L$2,'F_Inputs FD'!$B$2:$N$2,0))</f>
        <v>13.163</v>
      </c>
      <c r="M23" s="221">
        <f>INDEX('F_Inputs FD'!$B$4:$O$90,MATCH($C23,'F_Inputs FD'!$B$4:$B$90,0),MATCH(M$2,'F_Inputs FD'!$B$2:$N$2,0))</f>
        <v>15.06</v>
      </c>
      <c r="N23" s="395">
        <f>INDEX('F_Inputs FD'!$B$4:$O$90,MATCH($C23,'F_Inputs FD'!$B$4:$B$90,0),MATCH(N$2,'F_Inputs FD'!$B$2:$N$2,0))</f>
        <v>15.964</v>
      </c>
      <c r="O23" s="217"/>
      <c r="P23" s="217"/>
      <c r="Q23" s="217"/>
      <c r="R23" s="222" t="s">
        <v>242</v>
      </c>
    </row>
    <row r="24" spans="1:18" s="138" customFormat="1">
      <c r="A24" s="432"/>
      <c r="B24" s="213"/>
      <c r="C24" s="154" t="s">
        <v>449</v>
      </c>
      <c r="D24" s="153" t="s">
        <v>57</v>
      </c>
      <c r="E24" s="216" t="s">
        <v>222</v>
      </c>
      <c r="F24" s="217"/>
      <c r="G24" s="223"/>
      <c r="H24" s="223"/>
      <c r="I24" s="223"/>
      <c r="J24" s="221">
        <f>INDEX('F_Inputs FD'!$B$4:$O$90,MATCH($C24,'F_Inputs FD'!$B$4:$B$90,0),MATCH(J$2,'F_Inputs FD'!$B$2:$N$2,0))</f>
        <v>124.684</v>
      </c>
      <c r="K24" s="221">
        <f>INDEX('F_Inputs FD'!$B$4:$O$90,MATCH($C24,'F_Inputs FD'!$B$4:$B$90,0),MATCH(K$2,'F_Inputs FD'!$B$2:$N$2,0))</f>
        <v>136.78299999999999</v>
      </c>
      <c r="L24" s="221">
        <f>INDEX('F_Inputs FD'!$B$4:$O$90,MATCH($C24,'F_Inputs FD'!$B$4:$B$90,0),MATCH(L$2,'F_Inputs FD'!$B$2:$N$2,0))</f>
        <v>99.774000000000001</v>
      </c>
      <c r="M24" s="221">
        <f>INDEX('F_Inputs FD'!$B$4:$O$90,MATCH($C24,'F_Inputs FD'!$B$4:$B$90,0),MATCH(M$2,'F_Inputs FD'!$B$2:$N$2,0))</f>
        <v>90.923000000000002</v>
      </c>
      <c r="N24" s="395">
        <f>INDEX('F_Inputs FD'!$B$4:$O$90,MATCH($C24,'F_Inputs FD'!$B$4:$B$90,0),MATCH(N$2,'F_Inputs FD'!$B$2:$N$2,0))</f>
        <v>74.247</v>
      </c>
      <c r="O24" s="217"/>
      <c r="P24" s="217"/>
      <c r="Q24" s="217"/>
      <c r="R24" s="222" t="s">
        <v>242</v>
      </c>
    </row>
    <row r="25" spans="1:18" s="138" customFormat="1">
      <c r="A25" s="432"/>
      <c r="B25" s="213"/>
      <c r="C25" s="154" t="s">
        <v>450</v>
      </c>
      <c r="D25" s="153" t="s">
        <v>57</v>
      </c>
      <c r="E25" s="216" t="s">
        <v>223</v>
      </c>
      <c r="F25" s="217"/>
      <c r="G25" s="223"/>
      <c r="H25" s="223"/>
      <c r="I25" s="223"/>
      <c r="J25" s="221">
        <f>INDEX('F_Inputs FD'!$B$4:$O$90,MATCH($C25,'F_Inputs FD'!$B$4:$B$90,0),MATCH(J$2,'F_Inputs FD'!$B$2:$N$2,0))</f>
        <v>15.026999999999999</v>
      </c>
      <c r="K25" s="221">
        <f>INDEX('F_Inputs FD'!$B$4:$O$90,MATCH($C25,'F_Inputs FD'!$B$4:$B$90,0),MATCH(K$2,'F_Inputs FD'!$B$2:$N$2,0))</f>
        <v>16.484999999999999</v>
      </c>
      <c r="L25" s="221">
        <f>INDEX('F_Inputs FD'!$B$4:$O$90,MATCH($C25,'F_Inputs FD'!$B$4:$B$90,0),MATCH(L$2,'F_Inputs FD'!$B$2:$N$2,0))</f>
        <v>12.023999999999999</v>
      </c>
      <c r="M25" s="221">
        <f>INDEX('F_Inputs FD'!$B$4:$O$90,MATCH($C25,'F_Inputs FD'!$B$4:$B$90,0),MATCH(M$2,'F_Inputs FD'!$B$2:$N$2,0))</f>
        <v>10.958</v>
      </c>
      <c r="N25" s="395">
        <f>INDEX('F_Inputs FD'!$B$4:$O$90,MATCH($C25,'F_Inputs FD'!$B$4:$B$90,0),MATCH(N$2,'F_Inputs FD'!$B$2:$N$2,0))</f>
        <v>8.9480000000000004</v>
      </c>
      <c r="O25" s="217"/>
      <c r="P25" s="217"/>
      <c r="Q25" s="217"/>
      <c r="R25" s="222" t="s">
        <v>242</v>
      </c>
    </row>
    <row r="26" spans="1:18" s="138" customFormat="1">
      <c r="A26" s="432"/>
      <c r="B26" s="213"/>
      <c r="C26" s="154" t="s">
        <v>443</v>
      </c>
      <c r="D26" s="153" t="s">
        <v>57</v>
      </c>
      <c r="E26" s="216" t="s">
        <v>417</v>
      </c>
      <c r="F26" s="217"/>
      <c r="G26" s="223"/>
      <c r="H26" s="223"/>
      <c r="I26" s="223"/>
      <c r="J26" s="221">
        <f>INDEX('F_Inputs FD'!$B$4:$O$90,MATCH($C26,'F_Inputs FD'!$B$4:$B$90,0),MATCH(J$2,'F_Inputs FD'!$B$2:$N$2,0))</f>
        <v>0</v>
      </c>
      <c r="K26" s="221">
        <f>INDEX('F_Inputs FD'!$B$4:$O$90,MATCH($C26,'F_Inputs FD'!$B$4:$B$90,0),MATCH(K$2,'F_Inputs FD'!$B$2:$N$2,0))</f>
        <v>0</v>
      </c>
      <c r="L26" s="221">
        <f>INDEX('F_Inputs FD'!$B$4:$O$90,MATCH($C26,'F_Inputs FD'!$B$4:$B$90,0),MATCH(L$2,'F_Inputs FD'!$B$2:$N$2,0))</f>
        <v>0</v>
      </c>
      <c r="M26" s="221">
        <f>INDEX('F_Inputs FD'!$B$4:$O$90,MATCH($C26,'F_Inputs FD'!$B$4:$B$90,0),MATCH(M$2,'F_Inputs FD'!$B$2:$N$2,0))</f>
        <v>0</v>
      </c>
      <c r="N26" s="395">
        <f>INDEX('F_Inputs FD'!$B$4:$O$90,MATCH($C26,'F_Inputs FD'!$B$4:$B$90,0),MATCH(N$2,'F_Inputs FD'!$B$2:$N$2,0))</f>
        <v>0</v>
      </c>
      <c r="O26" s="217"/>
      <c r="P26" s="217"/>
      <c r="Q26" s="217"/>
      <c r="R26" s="222" t="s">
        <v>242</v>
      </c>
    </row>
    <row r="27" spans="1:18" s="138" customFormat="1">
      <c r="A27" s="432"/>
      <c r="B27" s="213"/>
      <c r="C27" s="154"/>
      <c r="D27" s="217"/>
      <c r="E27" s="216"/>
      <c r="F27" s="217"/>
      <c r="G27" s="220"/>
      <c r="H27" s="217"/>
      <c r="I27" s="217"/>
      <c r="J27" s="218"/>
      <c r="K27" s="218"/>
      <c r="L27" s="218"/>
      <c r="M27" s="218"/>
      <c r="N27" s="394"/>
      <c r="O27" s="217"/>
      <c r="P27" s="217"/>
      <c r="Q27" s="217"/>
      <c r="R27" s="219"/>
    </row>
    <row r="28" spans="1:18">
      <c r="A28" s="429"/>
      <c r="B28" s="440"/>
      <c r="C28" s="468"/>
      <c r="D28" s="466"/>
      <c r="E28" s="443" t="s">
        <v>162</v>
      </c>
      <c r="F28" s="440"/>
      <c r="G28" s="440"/>
      <c r="H28" s="440"/>
      <c r="I28" s="440"/>
      <c r="J28" s="440"/>
      <c r="K28" s="440"/>
      <c r="L28" s="440"/>
      <c r="M28" s="440"/>
      <c r="N28" s="446"/>
      <c r="O28" s="449"/>
      <c r="P28" s="449"/>
      <c r="Q28" s="449"/>
      <c r="R28" s="451"/>
    </row>
    <row r="29" spans="1:18" s="138" customFormat="1">
      <c r="A29" s="432"/>
      <c r="B29" s="213"/>
      <c r="C29" s="214"/>
      <c r="D29" s="213"/>
      <c r="E29" s="215"/>
      <c r="F29" s="213"/>
      <c r="G29" s="213"/>
      <c r="H29" s="213"/>
      <c r="I29" s="213"/>
      <c r="J29" s="224"/>
      <c r="K29" s="224"/>
      <c r="L29" s="224"/>
      <c r="M29" s="224"/>
      <c r="N29" s="396"/>
      <c r="O29" s="213"/>
      <c r="P29" s="213"/>
      <c r="Q29" s="213"/>
      <c r="R29" s="225"/>
    </row>
    <row r="30" spans="1:18" s="138" customFormat="1">
      <c r="A30" s="397"/>
      <c r="B30" s="153"/>
      <c r="C30" s="154" t="s">
        <v>528</v>
      </c>
      <c r="D30" s="153" t="s">
        <v>57</v>
      </c>
      <c r="E30" s="154" t="s">
        <v>8</v>
      </c>
      <c r="F30" s="223"/>
      <c r="G30" s="223"/>
      <c r="H30" s="223"/>
      <c r="I30" s="223"/>
      <c r="J30" s="221">
        <f>INDEX('F_Inputs FD'!$B$4:$O$90,MATCH($C30,'F_Inputs FD'!$B$4:$B$90,0),MATCH(J$2,'F_Inputs FD'!$B$2:$N$2,0))</f>
        <v>87.234824625137904</v>
      </c>
      <c r="K30" s="221">
        <f>INDEX('F_Inputs FD'!$B$4:$O$90,MATCH($C30,'F_Inputs FD'!$B$4:$B$90,0),MATCH(K$2,'F_Inputs FD'!$B$2:$N$2,0))</f>
        <v>116.24143844602401</v>
      </c>
      <c r="L30" s="221">
        <f>INDEX('F_Inputs FD'!$B$4:$O$90,MATCH($C30,'F_Inputs FD'!$B$4:$B$90,0),MATCH(L$2,'F_Inputs FD'!$B$2:$N$2,0))</f>
        <v>100.113592207853</v>
      </c>
      <c r="M30" s="221">
        <f>INDEX('F_Inputs FD'!$B$4:$O$90,MATCH($C30,'F_Inputs FD'!$B$4:$B$90,0),MATCH(M$2,'F_Inputs FD'!$B$2:$N$2,0))</f>
        <v>118.78149153639799</v>
      </c>
      <c r="N30" s="395">
        <f>INDEX('F_Inputs FD'!$B$4:$O$90,MATCH($C30,'F_Inputs FD'!$B$4:$B$90,0),MATCH(N$2,'F_Inputs FD'!$B$2:$N$2,0))</f>
        <v>113.233114207279</v>
      </c>
      <c r="O30" s="223"/>
      <c r="P30" s="223"/>
      <c r="Q30" s="223"/>
      <c r="R30" s="222" t="s">
        <v>242</v>
      </c>
    </row>
    <row r="31" spans="1:18" s="138" customFormat="1">
      <c r="A31" s="397"/>
      <c r="B31" s="153"/>
      <c r="C31" s="154" t="s">
        <v>529</v>
      </c>
      <c r="D31" s="153" t="s">
        <v>57</v>
      </c>
      <c r="E31" s="154" t="s">
        <v>65</v>
      </c>
      <c r="F31" s="223"/>
      <c r="G31" s="223"/>
      <c r="H31" s="223"/>
      <c r="I31" s="223"/>
      <c r="J31" s="221">
        <f>INDEX('F_Inputs FD'!$B$4:$O$90,MATCH($C31,'F_Inputs FD'!$B$4:$B$90,0),MATCH(J$2,'F_Inputs FD'!$B$2:$N$2,0))</f>
        <v>99.545006652130994</v>
      </c>
      <c r="K31" s="221">
        <f>INDEX('F_Inputs FD'!$B$4:$O$90,MATCH($C31,'F_Inputs FD'!$B$4:$B$90,0),MATCH(K$2,'F_Inputs FD'!$B$2:$N$2,0))</f>
        <v>150.844562776717</v>
      </c>
      <c r="L31" s="221">
        <f>INDEX('F_Inputs FD'!$B$4:$O$90,MATCH($C31,'F_Inputs FD'!$B$4:$B$90,0),MATCH(L$2,'F_Inputs FD'!$B$2:$N$2,0))</f>
        <v>134.191808450297</v>
      </c>
      <c r="M31" s="221">
        <f>INDEX('F_Inputs FD'!$B$4:$O$90,MATCH($C31,'F_Inputs FD'!$B$4:$B$90,0),MATCH(M$2,'F_Inputs FD'!$B$2:$N$2,0))</f>
        <v>113.33852173593</v>
      </c>
      <c r="N31" s="395">
        <f>INDEX('F_Inputs FD'!$B$4:$O$90,MATCH($C31,'F_Inputs FD'!$B$4:$B$90,0),MATCH(N$2,'F_Inputs FD'!$B$2:$N$2,0))</f>
        <v>80.167266017515203</v>
      </c>
      <c r="O31" s="223"/>
      <c r="P31" s="223"/>
      <c r="Q31" s="223"/>
      <c r="R31" s="222" t="s">
        <v>242</v>
      </c>
    </row>
    <row r="32" spans="1:18" s="138" customFormat="1">
      <c r="A32" s="397"/>
      <c r="B32" s="153"/>
      <c r="C32" s="154" t="s">
        <v>1</v>
      </c>
      <c r="D32" s="153" t="s">
        <v>57</v>
      </c>
      <c r="E32" s="154" t="s">
        <v>0</v>
      </c>
      <c r="F32" s="398"/>
      <c r="G32" s="223"/>
      <c r="H32" s="223"/>
      <c r="I32" s="223"/>
      <c r="J32" s="221">
        <f>INDEX('F_Inputs FD'!$B$4:$O$90,MATCH($C32,'F_Inputs FD'!$B$4:$B$90,0),MATCH(J$2,'F_Inputs FD'!$B$2:$N$2,0))</f>
        <v>14.6630093946795</v>
      </c>
      <c r="K32" s="221">
        <f>INDEX('F_Inputs FD'!$B$4:$O$90,MATCH($C32,'F_Inputs FD'!$B$4:$B$90,0),MATCH(K$2,'F_Inputs FD'!$B$2:$N$2,0))</f>
        <v>28.3972202217724</v>
      </c>
      <c r="L32" s="221">
        <f>INDEX('F_Inputs FD'!$B$4:$O$90,MATCH($C32,'F_Inputs FD'!$B$4:$B$90,0),MATCH(L$2,'F_Inputs FD'!$B$2:$N$2,0))</f>
        <v>35.886578219887397</v>
      </c>
      <c r="M32" s="221">
        <f>INDEX('F_Inputs FD'!$B$4:$O$90,MATCH($C32,'F_Inputs FD'!$B$4:$B$90,0),MATCH(M$2,'F_Inputs FD'!$B$2:$N$2,0))</f>
        <v>24.7722318520544</v>
      </c>
      <c r="N32" s="395">
        <f>INDEX('F_Inputs FD'!$B$4:$O$90,MATCH($C32,'F_Inputs FD'!$B$4:$B$90,0),MATCH(N$2,'F_Inputs FD'!$B$2:$N$2,0))</f>
        <v>12.2079348953171</v>
      </c>
      <c r="O32" s="223"/>
      <c r="P32" s="223"/>
      <c r="Q32" s="223"/>
      <c r="R32" s="222" t="s">
        <v>242</v>
      </c>
    </row>
    <row r="33" spans="1:18" s="138" customFormat="1">
      <c r="A33" s="397"/>
      <c r="B33" s="153"/>
      <c r="C33" s="154" t="s">
        <v>5</v>
      </c>
      <c r="D33" s="153" t="s">
        <v>57</v>
      </c>
      <c r="E33" s="154" t="s">
        <v>7</v>
      </c>
      <c r="F33" s="398"/>
      <c r="G33" s="223"/>
      <c r="H33" s="223"/>
      <c r="I33" s="223"/>
      <c r="J33" s="221">
        <f>INDEX('F_Inputs FD'!$B$4:$O$90,MATCH($C33,'F_Inputs FD'!$B$4:$B$90,0),MATCH(J$2,'F_Inputs FD'!$B$2:$N$2,0))</f>
        <v>36.395993577846603</v>
      </c>
      <c r="K33" s="221">
        <f>INDEX('F_Inputs FD'!$B$4:$O$90,MATCH($C33,'F_Inputs FD'!$B$4:$B$90,0),MATCH(K$2,'F_Inputs FD'!$B$2:$N$2,0))</f>
        <v>50.356710850691897</v>
      </c>
      <c r="L33" s="221">
        <f>INDEX('F_Inputs FD'!$B$4:$O$90,MATCH($C33,'F_Inputs FD'!$B$4:$B$90,0),MATCH(L$2,'F_Inputs FD'!$B$2:$N$2,0))</f>
        <v>43.3124901487842</v>
      </c>
      <c r="M33" s="221">
        <f>INDEX('F_Inputs FD'!$B$4:$O$90,MATCH($C33,'F_Inputs FD'!$B$4:$B$90,0),MATCH(M$2,'F_Inputs FD'!$B$2:$N$2,0))</f>
        <v>37.075628137562802</v>
      </c>
      <c r="N33" s="395">
        <f>INDEX('F_Inputs FD'!$B$4:$O$90,MATCH($C33,'F_Inputs FD'!$B$4:$B$90,0),MATCH(N$2,'F_Inputs FD'!$B$2:$N$2,0))</f>
        <v>26.200056726643101</v>
      </c>
      <c r="O33" s="223"/>
      <c r="P33" s="223"/>
      <c r="Q33" s="223"/>
      <c r="R33" s="222" t="s">
        <v>242</v>
      </c>
    </row>
    <row r="34" spans="1:18" s="138" customFormat="1">
      <c r="A34" s="432"/>
      <c r="B34" s="213"/>
      <c r="C34" s="154" t="s">
        <v>441</v>
      </c>
      <c r="D34" s="153" t="s">
        <v>57</v>
      </c>
      <c r="E34" s="216" t="s">
        <v>224</v>
      </c>
      <c r="F34" s="217"/>
      <c r="G34" s="223"/>
      <c r="H34" s="223"/>
      <c r="I34" s="223"/>
      <c r="J34" s="221">
        <f>INDEX('F_Inputs FD'!$B$4:$O$90,MATCH($C34,'F_Inputs FD'!$B$4:$B$90,0),MATCH(J$2,'F_Inputs FD'!$B$2:$N$2,0))</f>
        <v>0</v>
      </c>
      <c r="K34" s="221">
        <f>INDEX('F_Inputs FD'!$B$4:$O$90,MATCH($C34,'F_Inputs FD'!$B$4:$B$90,0),MATCH(K$2,'F_Inputs FD'!$B$2:$N$2,0))</f>
        <v>0</v>
      </c>
      <c r="L34" s="221">
        <f>INDEX('F_Inputs FD'!$B$4:$O$90,MATCH($C34,'F_Inputs FD'!$B$4:$B$90,0),MATCH(L$2,'F_Inputs FD'!$B$2:$N$2,0))</f>
        <v>0</v>
      </c>
      <c r="M34" s="221">
        <f>INDEX('F_Inputs FD'!$B$4:$O$90,MATCH($C34,'F_Inputs FD'!$B$4:$B$90,0),MATCH(M$2,'F_Inputs FD'!$B$2:$N$2,0))</f>
        <v>0</v>
      </c>
      <c r="N34" s="395">
        <f>INDEX('F_Inputs FD'!$B$4:$O$90,MATCH($C34,'F_Inputs FD'!$B$4:$B$90,0),MATCH(N$2,'F_Inputs FD'!$B$2:$N$2,0))</f>
        <v>0</v>
      </c>
      <c r="O34" s="217"/>
      <c r="P34" s="217"/>
      <c r="Q34" s="217"/>
      <c r="R34" s="222" t="s">
        <v>242</v>
      </c>
    </row>
    <row r="35" spans="1:18" s="138" customFormat="1">
      <c r="A35" s="432"/>
      <c r="B35" s="213"/>
      <c r="C35" s="154" t="s">
        <v>442</v>
      </c>
      <c r="D35" s="153" t="s">
        <v>57</v>
      </c>
      <c r="E35" s="216" t="s">
        <v>225</v>
      </c>
      <c r="F35" s="217"/>
      <c r="G35" s="223"/>
      <c r="H35" s="223"/>
      <c r="I35" s="223"/>
      <c r="J35" s="221">
        <f>INDEX('F_Inputs FD'!$B$4:$O$90,MATCH($C35,'F_Inputs FD'!$B$4:$B$90,0),MATCH(J$2,'F_Inputs FD'!$B$2:$N$2,0))</f>
        <v>0</v>
      </c>
      <c r="K35" s="221">
        <f>INDEX('F_Inputs FD'!$B$4:$O$90,MATCH($C35,'F_Inputs FD'!$B$4:$B$90,0),MATCH(K$2,'F_Inputs FD'!$B$2:$N$2,0))</f>
        <v>0</v>
      </c>
      <c r="L35" s="221">
        <f>INDEX('F_Inputs FD'!$B$4:$O$90,MATCH($C35,'F_Inputs FD'!$B$4:$B$90,0),MATCH(L$2,'F_Inputs FD'!$B$2:$N$2,0))</f>
        <v>0</v>
      </c>
      <c r="M35" s="221">
        <f>INDEX('F_Inputs FD'!$B$4:$O$90,MATCH($C35,'F_Inputs FD'!$B$4:$B$90,0),MATCH(M$2,'F_Inputs FD'!$B$2:$N$2,0))</f>
        <v>0</v>
      </c>
      <c r="N35" s="395">
        <f>INDEX('F_Inputs FD'!$B$4:$O$90,MATCH($C35,'F_Inputs FD'!$B$4:$B$90,0),MATCH(N$2,'F_Inputs FD'!$B$2:$N$2,0))</f>
        <v>0</v>
      </c>
      <c r="O35" s="217"/>
      <c r="P35" s="217"/>
      <c r="Q35" s="217"/>
      <c r="R35" s="222" t="s">
        <v>242</v>
      </c>
    </row>
    <row r="36" spans="1:18" s="138" customFormat="1">
      <c r="A36" s="432"/>
      <c r="B36" s="213"/>
      <c r="C36" s="154"/>
      <c r="D36" s="153"/>
      <c r="E36" s="216"/>
      <c r="F36" s="217"/>
      <c r="G36" s="223"/>
      <c r="H36" s="223"/>
      <c r="I36" s="223"/>
      <c r="J36" s="156"/>
      <c r="K36" s="156"/>
      <c r="L36" s="156"/>
      <c r="M36" s="156"/>
      <c r="N36" s="365"/>
      <c r="O36" s="217"/>
      <c r="P36" s="217"/>
      <c r="Q36" s="217"/>
      <c r="R36" s="222"/>
    </row>
    <row r="37" spans="1:18" s="138" customFormat="1">
      <c r="A37" s="432"/>
      <c r="B37" s="213"/>
      <c r="C37" s="154" t="s">
        <v>530</v>
      </c>
      <c r="D37" s="153" t="s">
        <v>57</v>
      </c>
      <c r="E37" s="216" t="s">
        <v>2</v>
      </c>
      <c r="F37" s="217"/>
      <c r="G37" s="223"/>
      <c r="H37" s="223"/>
      <c r="I37" s="223"/>
      <c r="J37" s="221">
        <f>INDEX('F_Inputs FD'!$B$4:$O$90,MATCH($C37,'F_Inputs FD'!$B$4:$B$90,0),MATCH(J$2,'F_Inputs FD'!$B$2:$N$2,0))</f>
        <v>38.865761372709599</v>
      </c>
      <c r="K37" s="221">
        <f>INDEX('F_Inputs FD'!$B$4:$O$90,MATCH($C37,'F_Inputs FD'!$B$4:$B$90,0),MATCH(K$2,'F_Inputs FD'!$B$2:$N$2,0))</f>
        <v>35.781513546488704</v>
      </c>
      <c r="L37" s="221">
        <f>INDEX('F_Inputs FD'!$B$4:$O$90,MATCH($C37,'F_Inputs FD'!$B$4:$B$90,0),MATCH(L$2,'F_Inputs FD'!$B$2:$N$2,0))</f>
        <v>43.532020009209504</v>
      </c>
      <c r="M37" s="221">
        <f>INDEX('F_Inputs FD'!$B$4:$O$90,MATCH($C37,'F_Inputs FD'!$B$4:$B$90,0),MATCH(M$2,'F_Inputs FD'!$B$2:$N$2,0))</f>
        <v>45.321577742291701</v>
      </c>
      <c r="N37" s="395">
        <f>INDEX('F_Inputs FD'!$B$4:$O$90,MATCH($C37,'F_Inputs FD'!$B$4:$B$90,0),MATCH(N$2,'F_Inputs FD'!$B$2:$N$2,0))</f>
        <v>44.6772327147224</v>
      </c>
      <c r="O37" s="217"/>
      <c r="P37" s="217"/>
      <c r="Q37" s="217"/>
      <c r="R37" s="222" t="s">
        <v>242</v>
      </c>
    </row>
    <row r="38" spans="1:18" s="138" customFormat="1">
      <c r="A38" s="432"/>
      <c r="B38" s="213"/>
      <c r="C38" s="154" t="s">
        <v>531</v>
      </c>
      <c r="D38" s="153" t="s">
        <v>57</v>
      </c>
      <c r="E38" s="216" t="s">
        <v>64</v>
      </c>
      <c r="F38" s="217"/>
      <c r="G38" s="223"/>
      <c r="H38" s="223"/>
      <c r="I38" s="223"/>
      <c r="J38" s="221">
        <f>INDEX('F_Inputs FD'!$B$4:$O$90,MATCH($C38,'F_Inputs FD'!$B$4:$B$90,0),MATCH(J$2,'F_Inputs FD'!$B$2:$N$2,0))</f>
        <v>147.81277901553301</v>
      </c>
      <c r="K38" s="221">
        <f>INDEX('F_Inputs FD'!$B$4:$O$90,MATCH($C38,'F_Inputs FD'!$B$4:$B$90,0),MATCH(K$2,'F_Inputs FD'!$B$2:$N$2,0))</f>
        <v>221.861562203463</v>
      </c>
      <c r="L38" s="221">
        <f>INDEX('F_Inputs FD'!$B$4:$O$90,MATCH($C38,'F_Inputs FD'!$B$4:$B$90,0),MATCH(L$2,'F_Inputs FD'!$B$2:$N$2,0))</f>
        <v>130.194251699132</v>
      </c>
      <c r="M38" s="221">
        <f>INDEX('F_Inputs FD'!$B$4:$O$90,MATCH($C38,'F_Inputs FD'!$B$4:$B$90,0),MATCH(M$2,'F_Inputs FD'!$B$2:$N$2,0))</f>
        <v>143.986736667993</v>
      </c>
      <c r="N38" s="395">
        <f>INDEX('F_Inputs FD'!$B$4:$O$90,MATCH($C38,'F_Inputs FD'!$B$4:$B$90,0),MATCH(N$2,'F_Inputs FD'!$B$2:$N$2,0))</f>
        <v>110.83618408906401</v>
      </c>
      <c r="O38" s="217"/>
      <c r="P38" s="217"/>
      <c r="Q38" s="217"/>
      <c r="R38" s="222" t="s">
        <v>242</v>
      </c>
    </row>
    <row r="39" spans="1:18" s="138" customFormat="1">
      <c r="A39" s="432"/>
      <c r="B39" s="213"/>
      <c r="C39" s="154" t="s">
        <v>6</v>
      </c>
      <c r="D39" s="153" t="s">
        <v>57</v>
      </c>
      <c r="E39" s="216" t="s">
        <v>3</v>
      </c>
      <c r="F39" s="217"/>
      <c r="G39" s="223"/>
      <c r="H39" s="223"/>
      <c r="I39" s="223"/>
      <c r="J39" s="221">
        <f>INDEX('F_Inputs FD'!$B$4:$O$90,MATCH($C39,'F_Inputs FD'!$B$4:$B$90,0),MATCH(J$2,'F_Inputs FD'!$B$2:$N$2,0))</f>
        <v>56.530581629279297</v>
      </c>
      <c r="K39" s="221">
        <f>INDEX('F_Inputs FD'!$B$4:$O$90,MATCH($C39,'F_Inputs FD'!$B$4:$B$90,0),MATCH(K$2,'F_Inputs FD'!$B$2:$N$2,0))</f>
        <v>95.368745344233602</v>
      </c>
      <c r="L39" s="221">
        <f>INDEX('F_Inputs FD'!$B$4:$O$90,MATCH($C39,'F_Inputs FD'!$B$4:$B$90,0),MATCH(L$2,'F_Inputs FD'!$B$2:$N$2,0))</f>
        <v>100.421626739213</v>
      </c>
      <c r="M39" s="221">
        <f>INDEX('F_Inputs FD'!$B$4:$O$90,MATCH($C39,'F_Inputs FD'!$B$4:$B$90,0),MATCH(M$2,'F_Inputs FD'!$B$2:$N$2,0))</f>
        <v>83.751564155600406</v>
      </c>
      <c r="N39" s="395">
        <f>INDEX('F_Inputs FD'!$B$4:$O$90,MATCH($C39,'F_Inputs FD'!$B$4:$B$90,0),MATCH(N$2,'F_Inputs FD'!$B$2:$N$2,0))</f>
        <v>74.585730211598403</v>
      </c>
      <c r="O39" s="217"/>
      <c r="P39" s="217"/>
      <c r="Q39" s="217"/>
      <c r="R39" s="222" t="s">
        <v>242</v>
      </c>
    </row>
    <row r="40" spans="1:18" s="138" customFormat="1">
      <c r="A40" s="432"/>
      <c r="B40" s="213"/>
      <c r="C40" s="154" t="s">
        <v>9</v>
      </c>
      <c r="D40" s="153" t="s">
        <v>57</v>
      </c>
      <c r="E40" s="216" t="s">
        <v>4</v>
      </c>
      <c r="F40" s="217"/>
      <c r="G40" s="223"/>
      <c r="H40" s="223"/>
      <c r="I40" s="223"/>
      <c r="J40" s="221">
        <f>INDEX('F_Inputs FD'!$B$4:$O$90,MATCH($C40,'F_Inputs FD'!$B$4:$B$90,0),MATCH(J$2,'F_Inputs FD'!$B$2:$N$2,0))</f>
        <v>271.55400562869698</v>
      </c>
      <c r="K40" s="221">
        <f>INDEX('F_Inputs FD'!$B$4:$O$90,MATCH($C40,'F_Inputs FD'!$B$4:$B$90,0),MATCH(K$2,'F_Inputs FD'!$B$2:$N$2,0))</f>
        <v>307.44605639175199</v>
      </c>
      <c r="L40" s="221">
        <f>INDEX('F_Inputs FD'!$B$4:$O$90,MATCH($C40,'F_Inputs FD'!$B$4:$B$90,0),MATCH(L$2,'F_Inputs FD'!$B$2:$N$2,0))</f>
        <v>261.40140772536898</v>
      </c>
      <c r="M40" s="221">
        <f>INDEX('F_Inputs FD'!$B$4:$O$90,MATCH($C40,'F_Inputs FD'!$B$4:$B$90,0),MATCH(M$2,'F_Inputs FD'!$B$2:$N$2,0))</f>
        <v>163.49351378198699</v>
      </c>
      <c r="N40" s="395">
        <f>INDEX('F_Inputs FD'!$B$4:$O$90,MATCH($C40,'F_Inputs FD'!$B$4:$B$90,0),MATCH(N$2,'F_Inputs FD'!$B$2:$N$2,0))</f>
        <v>114.792250671535</v>
      </c>
      <c r="O40" s="217"/>
      <c r="P40" s="217"/>
      <c r="Q40" s="217"/>
      <c r="R40" s="222" t="s">
        <v>242</v>
      </c>
    </row>
    <row r="41" spans="1:18" s="138" customFormat="1">
      <c r="A41" s="432"/>
      <c r="B41" s="213"/>
      <c r="C41" s="154" t="s">
        <v>439</v>
      </c>
      <c r="D41" s="153" t="s">
        <v>57</v>
      </c>
      <c r="E41" s="216" t="s">
        <v>226</v>
      </c>
      <c r="F41" s="217"/>
      <c r="G41" s="223"/>
      <c r="H41" s="223"/>
      <c r="I41" s="223"/>
      <c r="J41" s="221">
        <f>INDEX('F_Inputs FD'!$B$4:$O$90,MATCH($C41,'F_Inputs FD'!$B$4:$B$90,0),MATCH(J$2,'F_Inputs FD'!$B$2:$N$2,0))</f>
        <v>124.684</v>
      </c>
      <c r="K41" s="221">
        <f>INDEX('F_Inputs FD'!$B$4:$O$90,MATCH($C41,'F_Inputs FD'!$B$4:$B$90,0),MATCH(K$2,'F_Inputs FD'!$B$2:$N$2,0))</f>
        <v>136.78299999999999</v>
      </c>
      <c r="L41" s="221">
        <f>INDEX('F_Inputs FD'!$B$4:$O$90,MATCH($C41,'F_Inputs FD'!$B$4:$B$90,0),MATCH(L$2,'F_Inputs FD'!$B$2:$N$2,0))</f>
        <v>99.774000000000001</v>
      </c>
      <c r="M41" s="221">
        <f>INDEX('F_Inputs FD'!$B$4:$O$90,MATCH($C41,'F_Inputs FD'!$B$4:$B$90,0),MATCH(M$2,'F_Inputs FD'!$B$2:$N$2,0))</f>
        <v>90.923000000000002</v>
      </c>
      <c r="N41" s="395">
        <f>INDEX('F_Inputs FD'!$B$4:$O$90,MATCH($C41,'F_Inputs FD'!$B$4:$B$90,0),MATCH(N$2,'F_Inputs FD'!$B$2:$N$2,0))</f>
        <v>74.247</v>
      </c>
      <c r="O41" s="217"/>
      <c r="P41" s="217"/>
      <c r="Q41" s="217"/>
      <c r="R41" s="222" t="s">
        <v>242</v>
      </c>
    </row>
    <row r="42" spans="1:18" s="138" customFormat="1">
      <c r="A42" s="432"/>
      <c r="B42" s="213"/>
      <c r="C42" s="154" t="s">
        <v>440</v>
      </c>
      <c r="D42" s="153" t="s">
        <v>57</v>
      </c>
      <c r="E42" s="216" t="s">
        <v>227</v>
      </c>
      <c r="F42" s="217"/>
      <c r="G42" s="223"/>
      <c r="H42" s="223"/>
      <c r="I42" s="223"/>
      <c r="J42" s="221">
        <f>INDEX('F_Inputs FD'!$B$4:$O$90,MATCH($C42,'F_Inputs FD'!$B$4:$B$90,0),MATCH(J$2,'F_Inputs FD'!$B$2:$N$2,0))</f>
        <v>15.026999999999999</v>
      </c>
      <c r="K42" s="221">
        <f>INDEX('F_Inputs FD'!$B$4:$O$90,MATCH($C42,'F_Inputs FD'!$B$4:$B$90,0),MATCH(K$2,'F_Inputs FD'!$B$2:$N$2,0))</f>
        <v>16.484999999999999</v>
      </c>
      <c r="L42" s="221">
        <f>INDEX('F_Inputs FD'!$B$4:$O$90,MATCH($C42,'F_Inputs FD'!$B$4:$B$90,0),MATCH(L$2,'F_Inputs FD'!$B$2:$N$2,0))</f>
        <v>12.023999999999999</v>
      </c>
      <c r="M42" s="221">
        <f>INDEX('F_Inputs FD'!$B$4:$O$90,MATCH($C42,'F_Inputs FD'!$B$4:$B$90,0),MATCH(M$2,'F_Inputs FD'!$B$2:$N$2,0))</f>
        <v>10.958</v>
      </c>
      <c r="N42" s="395">
        <f>INDEX('F_Inputs FD'!$B$4:$O$90,MATCH($C42,'F_Inputs FD'!$B$4:$B$90,0),MATCH(N$2,'F_Inputs FD'!$B$2:$N$2,0))</f>
        <v>8.9480000000000004</v>
      </c>
      <c r="O42" s="217"/>
      <c r="P42" s="217"/>
      <c r="Q42" s="217"/>
      <c r="R42" s="222" t="s">
        <v>242</v>
      </c>
    </row>
    <row r="43" spans="1:18" s="138" customFormat="1">
      <c r="A43" s="397"/>
      <c r="B43" s="153"/>
      <c r="C43" s="154"/>
      <c r="D43" s="153"/>
      <c r="E43" s="154"/>
      <c r="F43" s="153"/>
      <c r="G43" s="227"/>
      <c r="H43" s="227"/>
      <c r="I43" s="227"/>
      <c r="J43" s="228"/>
      <c r="K43" s="229"/>
      <c r="L43" s="229"/>
      <c r="M43" s="229"/>
      <c r="N43" s="399"/>
      <c r="O43" s="230"/>
      <c r="P43" s="230"/>
      <c r="Q43" s="230"/>
      <c r="R43" s="222"/>
    </row>
    <row r="44" spans="1:18">
      <c r="A44" s="429"/>
      <c r="B44" s="440"/>
      <c r="C44" s="441"/>
      <c r="D44" s="466" t="s">
        <v>38</v>
      </c>
      <c r="E44" s="443" t="s">
        <v>263</v>
      </c>
      <c r="F44" s="440"/>
      <c r="G44" s="440"/>
      <c r="H44" s="440"/>
      <c r="I44" s="440"/>
      <c r="J44" s="440"/>
      <c r="K44" s="440"/>
      <c r="L44" s="440"/>
      <c r="M44" s="440"/>
      <c r="N44" s="446"/>
      <c r="O44" s="440"/>
      <c r="P44" s="440"/>
      <c r="Q44" s="440"/>
      <c r="R44" s="447"/>
    </row>
    <row r="45" spans="1:18" s="138" customFormat="1">
      <c r="A45" s="432"/>
      <c r="B45" s="213"/>
      <c r="C45" s="231"/>
      <c r="D45" s="213"/>
      <c r="E45" s="215"/>
      <c r="F45" s="213"/>
      <c r="G45" s="213"/>
      <c r="H45" s="213"/>
      <c r="I45" s="213"/>
      <c r="J45" s="224"/>
      <c r="K45" s="224"/>
      <c r="L45" s="224"/>
      <c r="M45" s="224"/>
      <c r="N45" s="396"/>
      <c r="O45" s="213"/>
      <c r="P45" s="213"/>
      <c r="Q45" s="213"/>
      <c r="R45" s="225"/>
    </row>
    <row r="46" spans="1:18" s="138" customFormat="1">
      <c r="A46" s="400"/>
      <c r="B46" s="402"/>
      <c r="C46" s="401" t="s">
        <v>68</v>
      </c>
      <c r="D46" s="402" t="s">
        <v>55</v>
      </c>
      <c r="E46" s="154" t="s">
        <v>175</v>
      </c>
      <c r="F46" s="402"/>
      <c r="H46" s="402"/>
      <c r="I46" s="402"/>
      <c r="J46" s="403"/>
      <c r="K46" s="403"/>
      <c r="L46" s="403"/>
      <c r="M46" s="403"/>
      <c r="N46" s="404"/>
      <c r="O46" s="561">
        <f>INDEX('F_Inputs FD'!$B$4:$O$90,MATCH($C46,'F_Inputs FD'!$B$4:$B$90,0),MATCH(O$2,'F_Inputs FD'!$B$2:$N$2,0))</f>
        <v>0</v>
      </c>
      <c r="P46" s="232"/>
      <c r="Q46" s="232"/>
      <c r="R46" s="234" t="s">
        <v>75</v>
      </c>
    </row>
    <row r="47" spans="1:18" s="138" customFormat="1">
      <c r="A47" s="400"/>
      <c r="B47" s="402"/>
      <c r="C47" s="401" t="s">
        <v>69</v>
      </c>
      <c r="D47" s="402" t="s">
        <v>55</v>
      </c>
      <c r="E47" s="154" t="s">
        <v>176</v>
      </c>
      <c r="F47" s="402"/>
      <c r="H47" s="402"/>
      <c r="I47" s="402"/>
      <c r="J47" s="403"/>
      <c r="K47" s="403"/>
      <c r="L47" s="403"/>
      <c r="M47" s="403"/>
      <c r="N47" s="404"/>
      <c r="O47" s="561">
        <f>INDEX('F_Inputs FD'!$B$4:$O$90,MATCH($C47,'F_Inputs FD'!$B$4:$B$90,0),MATCH(O$2,'F_Inputs FD'!$B$2:$N$2,0))</f>
        <v>0</v>
      </c>
      <c r="P47" s="232"/>
      <c r="Q47" s="232"/>
      <c r="R47" s="234" t="s">
        <v>75</v>
      </c>
    </row>
    <row r="48" spans="1:18" s="138" customFormat="1">
      <c r="A48" s="400"/>
      <c r="B48" s="402"/>
      <c r="C48" s="401"/>
      <c r="D48" s="402"/>
      <c r="E48" s="154"/>
      <c r="F48" s="402"/>
      <c r="G48" s="235"/>
      <c r="H48" s="402"/>
      <c r="I48" s="402"/>
      <c r="J48" s="403"/>
      <c r="K48" s="403"/>
      <c r="L48" s="403"/>
      <c r="M48" s="403"/>
      <c r="N48" s="404"/>
      <c r="O48" s="232"/>
      <c r="P48" s="232"/>
      <c r="Q48" s="232"/>
      <c r="R48" s="234"/>
    </row>
    <row r="49" spans="1:18" s="138" customFormat="1">
      <c r="A49" s="432"/>
      <c r="B49" s="213"/>
      <c r="C49" s="154" t="s">
        <v>210</v>
      </c>
      <c r="D49" s="153" t="s">
        <v>57</v>
      </c>
      <c r="E49" s="216" t="s">
        <v>418</v>
      </c>
      <c r="F49" s="217"/>
      <c r="G49" s="223"/>
      <c r="H49" s="223"/>
      <c r="I49" s="223"/>
      <c r="J49" s="221">
        <f>IF(INDEX('F_Inputs FD'!$B$4:$O$90,MATCH($C49,'F_Inputs FD'!$B$4:$B$90,0),MATCH(J$2,'F_Inputs FD'!$B$2:$N$2,0))="","",INDEX('F_Inputs FD'!$B$4:$O$90,MATCH($C49,'F_Inputs FD'!$B$4:$B$90,0),MATCH(J$2,'F_Inputs FD'!$B$2:$N$2,0)))</f>
        <v>-6.4040346411921103</v>
      </c>
      <c r="K49" s="221">
        <f>IF(INDEX('F_Inputs FD'!$B$4:$O$90,MATCH($C49,'F_Inputs FD'!$B$4:$B$90,0),MATCH(K$2,'F_Inputs FD'!$B$2:$N$2,0))="","",INDEX('F_Inputs FD'!$B$4:$O$90,MATCH($C49,'F_Inputs FD'!$B$4:$B$90,0),MATCH(K$2,'F_Inputs FD'!$B$2:$N$2,0)))</f>
        <v>-9.3120659362126101</v>
      </c>
      <c r="L49" s="221">
        <f>IF(INDEX('F_Inputs FD'!$B$4:$O$90,MATCH($C49,'F_Inputs FD'!$B$4:$B$90,0),MATCH(L$2,'F_Inputs FD'!$B$2:$N$2,0))="","",INDEX('F_Inputs FD'!$B$4:$O$90,MATCH($C49,'F_Inputs FD'!$B$4:$B$90,0),MATCH(L$2,'F_Inputs FD'!$B$2:$N$2,0)))</f>
        <v>-8.4414031297668295</v>
      </c>
      <c r="M49" s="221">
        <f>IF(INDEX('F_Inputs FD'!$B$4:$O$90,MATCH($C49,'F_Inputs FD'!$B$4:$B$90,0),MATCH(M$2,'F_Inputs FD'!$B$2:$N$2,0))="","",INDEX('F_Inputs FD'!$B$4:$O$90,MATCH($C49,'F_Inputs FD'!$B$4:$B$90,0),MATCH(M$2,'F_Inputs FD'!$B$2:$N$2,0)))</f>
        <v>-7.9153618865700501</v>
      </c>
      <c r="N49" s="395">
        <f>IF(INDEX('F_Inputs FD'!$B$4:$O$90,MATCH($C49,'F_Inputs FD'!$B$4:$B$90,0),MATCH(N$2,'F_Inputs FD'!$B$2:$N$2,0))="","",INDEX('F_Inputs FD'!$B$4:$O$90,MATCH($C49,'F_Inputs FD'!$B$4:$B$90,0),MATCH(N$2,'F_Inputs FD'!$B$2:$N$2,0)))</f>
        <v>-6.2416587606791998</v>
      </c>
      <c r="O49" s="217"/>
      <c r="P49" s="217"/>
      <c r="Q49" s="217"/>
      <c r="R49" s="222" t="s">
        <v>242</v>
      </c>
    </row>
    <row r="50" spans="1:18" s="138" customFormat="1">
      <c r="A50" s="432"/>
      <c r="B50" s="213"/>
      <c r="C50" s="154" t="s">
        <v>211</v>
      </c>
      <c r="D50" s="153" t="s">
        <v>57</v>
      </c>
      <c r="E50" s="216" t="s">
        <v>419</v>
      </c>
      <c r="F50" s="217"/>
      <c r="G50" s="223"/>
      <c r="H50" s="223"/>
      <c r="I50" s="223"/>
      <c r="J50" s="221">
        <f>IF(INDEX('F_Inputs FD'!$B$4:$O$90,MATCH($C50,'F_Inputs FD'!$B$4:$B$90,0),MATCH(J$2,'F_Inputs FD'!$B$2:$N$2,0))="","",INDEX('F_Inputs FD'!$B$4:$O$90,MATCH($C50,'F_Inputs FD'!$B$4:$B$90,0),MATCH(J$2,'F_Inputs FD'!$B$2:$N$2,0)))</f>
        <v>-4.4345210389061096</v>
      </c>
      <c r="K50" s="221">
        <f>IF(INDEX('F_Inputs FD'!$B$4:$O$90,MATCH($C50,'F_Inputs FD'!$B$4:$B$90,0),MATCH(K$2,'F_Inputs FD'!$B$2:$N$2,0))="","",INDEX('F_Inputs FD'!$B$4:$O$90,MATCH($C50,'F_Inputs FD'!$B$4:$B$90,0),MATCH(K$2,'F_Inputs FD'!$B$2:$N$2,0)))</f>
        <v>-5.5135632887299098</v>
      </c>
      <c r="L50" s="221">
        <f>IF(INDEX('F_Inputs FD'!$B$4:$O$90,MATCH($C50,'F_Inputs FD'!$B$4:$B$90,0),MATCH(L$2,'F_Inputs FD'!$B$2:$N$2,0))="","",INDEX('F_Inputs FD'!$B$4:$O$90,MATCH($C50,'F_Inputs FD'!$B$4:$B$90,0),MATCH(L$2,'F_Inputs FD'!$B$2:$N$2,0)))</f>
        <v>-4.38623182711172</v>
      </c>
      <c r="M50" s="221">
        <f>IF(INDEX('F_Inputs FD'!$B$4:$O$90,MATCH($C50,'F_Inputs FD'!$B$4:$B$90,0),MATCH(M$2,'F_Inputs FD'!$B$2:$N$2,0))="","",INDEX('F_Inputs FD'!$B$4:$O$90,MATCH($C50,'F_Inputs FD'!$B$4:$B$90,0),MATCH(M$2,'F_Inputs FD'!$B$2:$N$2,0)))</f>
        <v>-3.6482704817140701</v>
      </c>
      <c r="N50" s="395">
        <f>IF(INDEX('F_Inputs FD'!$B$4:$O$90,MATCH($C50,'F_Inputs FD'!$B$4:$B$90,0),MATCH(N$2,'F_Inputs FD'!$B$2:$N$2,0))="","",INDEX('F_Inputs FD'!$B$4:$O$90,MATCH($C50,'F_Inputs FD'!$B$4:$B$90,0),MATCH(N$2,'F_Inputs FD'!$B$2:$N$2,0)))</f>
        <v>-2.90058545757877</v>
      </c>
      <c r="O50" s="217"/>
      <c r="P50" s="217"/>
      <c r="Q50" s="217"/>
      <c r="R50" s="222" t="s">
        <v>242</v>
      </c>
    </row>
    <row r="51" spans="1:18" s="138" customFormat="1">
      <c r="A51" s="400"/>
      <c r="B51" s="402"/>
      <c r="C51" s="401"/>
      <c r="D51" s="402"/>
      <c r="E51" s="401"/>
      <c r="F51" s="402"/>
      <c r="G51" s="402"/>
      <c r="H51" s="402"/>
      <c r="I51" s="402"/>
      <c r="J51" s="403"/>
      <c r="K51" s="403"/>
      <c r="L51" s="403"/>
      <c r="M51" s="403"/>
      <c r="N51" s="404"/>
      <c r="O51" s="232"/>
      <c r="P51" s="232"/>
      <c r="Q51" s="232"/>
      <c r="R51" s="234"/>
    </row>
    <row r="52" spans="1:18">
      <c r="A52" s="429"/>
      <c r="B52" s="440"/>
      <c r="C52" s="441"/>
      <c r="D52" s="466" t="s">
        <v>38</v>
      </c>
      <c r="E52" s="443" t="s">
        <v>194</v>
      </c>
      <c r="F52" s="440"/>
      <c r="G52" s="440"/>
      <c r="H52" s="440"/>
      <c r="I52" s="440"/>
      <c r="J52" s="440"/>
      <c r="K52" s="440"/>
      <c r="L52" s="440"/>
      <c r="M52" s="440"/>
      <c r="N52" s="446"/>
      <c r="O52" s="440"/>
      <c r="P52" s="440"/>
      <c r="Q52" s="440"/>
      <c r="R52" s="447"/>
    </row>
    <row r="53" spans="1:18" s="138" customFormat="1">
      <c r="A53" s="432"/>
      <c r="B53" s="213"/>
      <c r="C53" s="231"/>
      <c r="D53" s="213"/>
      <c r="E53" s="215"/>
      <c r="F53" s="213"/>
      <c r="G53" s="213"/>
      <c r="H53" s="213"/>
      <c r="I53" s="213"/>
      <c r="J53" s="224"/>
      <c r="K53" s="224"/>
      <c r="L53" s="224"/>
      <c r="M53" s="224"/>
      <c r="N53" s="396"/>
      <c r="O53" s="213"/>
      <c r="P53" s="213"/>
      <c r="Q53" s="213"/>
      <c r="R53" s="225"/>
    </row>
    <row r="54" spans="1:18" s="138" customFormat="1">
      <c r="A54" s="400"/>
      <c r="B54" s="402"/>
      <c r="C54" s="401" t="s">
        <v>66</v>
      </c>
      <c r="D54" s="402" t="s">
        <v>57</v>
      </c>
      <c r="E54" s="154" t="s">
        <v>196</v>
      </c>
      <c r="F54" s="402"/>
      <c r="G54" s="402"/>
      <c r="H54" s="402"/>
      <c r="I54" s="221">
        <f>INDEX('F_Inputs FD'!$B$4:$O$90,MATCH($C54,'F_Inputs FD'!$B$4:$B$90,0),MATCH(I$2,'F_Inputs FD'!$B$2:$N$2,0))</f>
        <v>4012.3913144817998</v>
      </c>
      <c r="J54" s="221">
        <f>INDEX('F_Inputs FD'!$B$4:$O$90,MATCH($C54,'F_Inputs FD'!$B$4:$B$90,0),MATCH(J$2,'F_Inputs FD'!$B$2:$N$2,0))</f>
        <v>3993.7173828238001</v>
      </c>
      <c r="K54" s="221">
        <f>INDEX('F_Inputs FD'!$B$4:$O$90,MATCH($C54,'F_Inputs FD'!$B$4:$B$90,0),MATCH(K$2,'F_Inputs FD'!$B$2:$N$2,0))</f>
        <v>4084.8071487515299</v>
      </c>
      <c r="L54" s="221">
        <f>INDEX('F_Inputs FD'!$B$4:$O$90,MATCH($C54,'F_Inputs FD'!$B$4:$B$90,0),MATCH(L$2,'F_Inputs FD'!$B$2:$N$2,0))</f>
        <v>4142.9266328273397</v>
      </c>
      <c r="M54" s="221">
        <f>INDEX('F_Inputs FD'!$B$4:$O$90,MATCH($C54,'F_Inputs FD'!$B$4:$B$90,0),MATCH(M$2,'F_Inputs FD'!$B$2:$N$2,0))</f>
        <v>4183.7220345626502</v>
      </c>
      <c r="N54" s="395">
        <f>INDEX('F_Inputs FD'!$B$4:$O$90,MATCH($C54,'F_Inputs FD'!$B$4:$B$90,0),MATCH(N$2,'F_Inputs FD'!$B$2:$N$2,0))</f>
        <v>4162.73248798022</v>
      </c>
      <c r="O54" s="232"/>
      <c r="P54" s="232"/>
      <c r="Q54" s="232"/>
      <c r="R54" s="234" t="s">
        <v>242</v>
      </c>
    </row>
    <row r="55" spans="1:18" s="138" customFormat="1">
      <c r="A55" s="400"/>
      <c r="B55" s="402"/>
      <c r="C55" s="154" t="s">
        <v>67</v>
      </c>
      <c r="D55" s="153" t="s">
        <v>57</v>
      </c>
      <c r="E55" s="154" t="s">
        <v>197</v>
      </c>
      <c r="F55" s="153"/>
      <c r="G55" s="153"/>
      <c r="H55" s="153"/>
      <c r="I55" s="221">
        <f>INDEX('F_Inputs FD'!$B$4:$O$90,MATCH($C55,'F_Inputs FD'!$B$4:$B$90,0),MATCH(I$2,'F_Inputs FD'!$B$2:$N$2,0))</f>
        <v>3457.1462027174198</v>
      </c>
      <c r="J55" s="221">
        <f>INDEX('F_Inputs FD'!$B$4:$O$90,MATCH($C55,'F_Inputs FD'!$B$4:$B$90,0),MATCH(J$2,'F_Inputs FD'!$B$2:$N$2,0))</f>
        <v>3945.1437194370801</v>
      </c>
      <c r="K55" s="221">
        <f>INDEX('F_Inputs FD'!$B$4:$O$90,MATCH($C55,'F_Inputs FD'!$B$4:$B$90,0),MATCH(K$2,'F_Inputs FD'!$B$2:$N$2,0))</f>
        <v>4581.8359215168202</v>
      </c>
      <c r="L55" s="221">
        <f>INDEX('F_Inputs FD'!$B$4:$O$90,MATCH($C55,'F_Inputs FD'!$B$4:$B$90,0),MATCH(L$2,'F_Inputs FD'!$B$2:$N$2,0))</f>
        <v>4996.3623891277402</v>
      </c>
      <c r="M55" s="221">
        <f>INDEX('F_Inputs FD'!$B$4:$O$90,MATCH($C55,'F_Inputs FD'!$B$4:$B$90,0),MATCH(M$2,'F_Inputs FD'!$B$2:$N$2,0))</f>
        <v>5287.6489470873103</v>
      </c>
      <c r="N55" s="395">
        <f>INDEX('F_Inputs FD'!$B$4:$O$90,MATCH($C55,'F_Inputs FD'!$B$4:$B$90,0),MATCH(N$2,'F_Inputs FD'!$B$2:$N$2,0))</f>
        <v>5449.8897221546404</v>
      </c>
      <c r="O55" s="232"/>
      <c r="P55" s="232"/>
      <c r="Q55" s="232"/>
      <c r="R55" s="234" t="s">
        <v>242</v>
      </c>
    </row>
    <row r="56" spans="1:18" s="138" customFormat="1">
      <c r="A56" s="400"/>
      <c r="B56" s="402"/>
      <c r="C56" s="154"/>
      <c r="D56" s="153"/>
      <c r="E56" s="154"/>
      <c r="F56" s="153"/>
      <c r="G56" s="153"/>
      <c r="H56" s="153"/>
      <c r="I56" s="235"/>
      <c r="J56" s="403"/>
      <c r="K56" s="403"/>
      <c r="L56" s="403"/>
      <c r="M56" s="403"/>
      <c r="N56" s="404"/>
      <c r="O56" s="232"/>
      <c r="P56" s="232"/>
      <c r="Q56" s="232"/>
      <c r="R56" s="234"/>
    </row>
    <row r="57" spans="1:18">
      <c r="A57" s="429"/>
      <c r="B57" s="440"/>
      <c r="C57" s="441"/>
      <c r="D57" s="466" t="s">
        <v>38</v>
      </c>
      <c r="E57" s="443" t="s">
        <v>195</v>
      </c>
      <c r="F57" s="440"/>
      <c r="G57" s="440"/>
      <c r="H57" s="440"/>
      <c r="I57" s="440"/>
      <c r="J57" s="440"/>
      <c r="K57" s="440"/>
      <c r="L57" s="440"/>
      <c r="M57" s="440"/>
      <c r="N57" s="446"/>
      <c r="O57" s="440"/>
      <c r="P57" s="440"/>
      <c r="Q57" s="440"/>
      <c r="R57" s="447"/>
    </row>
    <row r="58" spans="1:18" s="138" customFormat="1">
      <c r="A58" s="400"/>
      <c r="B58" s="402"/>
      <c r="C58" s="401"/>
      <c r="D58" s="402"/>
      <c r="E58" s="401"/>
      <c r="F58" s="402"/>
      <c r="G58" s="402"/>
      <c r="H58" s="402"/>
      <c r="I58" s="402"/>
      <c r="J58" s="403"/>
      <c r="K58" s="403"/>
      <c r="L58" s="403"/>
      <c r="M58" s="403"/>
      <c r="N58" s="404"/>
      <c r="O58" s="232"/>
      <c r="P58" s="232"/>
      <c r="Q58" s="232"/>
      <c r="R58" s="234"/>
    </row>
    <row r="59" spans="1:18" s="138" customFormat="1">
      <c r="A59" s="400"/>
      <c r="B59" s="402"/>
      <c r="C59" s="401" t="s">
        <v>243</v>
      </c>
      <c r="D59" s="402" t="s">
        <v>58</v>
      </c>
      <c r="E59" s="154" t="s">
        <v>359</v>
      </c>
      <c r="F59" s="402"/>
      <c r="H59" s="402"/>
      <c r="I59" s="402"/>
      <c r="J59" s="403"/>
      <c r="K59" s="403"/>
      <c r="L59" s="403"/>
      <c r="M59" s="403"/>
      <c r="N59" s="404"/>
      <c r="O59" s="562">
        <f>INDEX('F_Inputs FD'!$B$4:$O$90,MATCH($C59,'F_Inputs FD'!$B$4:$B$90,0),MATCH(O$2,'F_Inputs FD'!$B$2:$N$2,0))</f>
        <v>5.0999999999999997E-2</v>
      </c>
      <c r="P59" s="232"/>
      <c r="Q59" s="232"/>
      <c r="R59" s="234" t="s">
        <v>75</v>
      </c>
    </row>
    <row r="60" spans="1:18" s="138" customFormat="1">
      <c r="A60" s="400"/>
      <c r="B60" s="402"/>
      <c r="C60" s="154" t="s">
        <v>533</v>
      </c>
      <c r="D60" s="402" t="s">
        <v>58</v>
      </c>
      <c r="E60" s="154" t="s">
        <v>504</v>
      </c>
      <c r="F60" s="402"/>
      <c r="H60" s="402"/>
      <c r="I60" s="402"/>
      <c r="J60" s="403"/>
      <c r="K60" s="403"/>
      <c r="L60" s="403"/>
      <c r="M60" s="403"/>
      <c r="N60" s="404"/>
      <c r="O60" s="562">
        <f>INDEX('F_Inputs FD'!$B$4:$O$90,MATCH($C60,'F_Inputs FD'!$B$4:$B$90,0),MATCH(O$2,'F_Inputs FD'!$B$2:$N$2,0))</f>
        <v>6.2600000000000003E-2</v>
      </c>
      <c r="P60" s="232"/>
      <c r="Q60" s="232"/>
      <c r="R60" s="234" t="s">
        <v>75</v>
      </c>
    </row>
    <row r="61" spans="1:18" s="138" customFormat="1">
      <c r="A61" s="400"/>
      <c r="B61" s="402"/>
      <c r="C61" s="401"/>
      <c r="D61" s="402"/>
      <c r="E61" s="401"/>
      <c r="F61" s="402"/>
      <c r="G61" s="402"/>
      <c r="H61" s="402"/>
      <c r="I61" s="402"/>
      <c r="J61" s="403"/>
      <c r="K61" s="403"/>
      <c r="L61" s="403"/>
      <c r="M61" s="403"/>
      <c r="N61" s="404"/>
      <c r="O61" s="232"/>
      <c r="P61" s="232"/>
      <c r="Q61" s="232"/>
      <c r="R61" s="234"/>
    </row>
    <row r="62" spans="1:18" s="138" customFormat="1">
      <c r="A62" s="400"/>
      <c r="B62" s="402"/>
      <c r="C62" s="401"/>
      <c r="D62" s="402"/>
      <c r="E62" s="401"/>
      <c r="F62" s="402"/>
      <c r="G62" s="402"/>
      <c r="H62" s="402"/>
      <c r="I62" s="402"/>
      <c r="J62" s="405"/>
      <c r="K62" s="403"/>
      <c r="L62" s="403"/>
      <c r="M62" s="403"/>
      <c r="N62" s="404"/>
      <c r="O62" s="232"/>
      <c r="P62" s="232"/>
      <c r="Q62" s="232"/>
      <c r="R62" s="234"/>
    </row>
    <row r="63" spans="1:18">
      <c r="A63" s="429"/>
      <c r="B63" s="440"/>
      <c r="C63" s="450"/>
      <c r="D63" s="466"/>
      <c r="E63" s="443" t="s">
        <v>126</v>
      </c>
      <c r="F63" s="440"/>
      <c r="G63" s="440"/>
      <c r="H63" s="440"/>
      <c r="I63" s="440"/>
      <c r="J63" s="440"/>
      <c r="K63" s="440"/>
      <c r="L63" s="440"/>
      <c r="M63" s="440"/>
      <c r="N63" s="446"/>
      <c r="O63" s="440"/>
      <c r="P63" s="440"/>
      <c r="Q63" s="440"/>
      <c r="R63" s="447"/>
    </row>
    <row r="64" spans="1:18" s="138" customFormat="1">
      <c r="A64" s="432"/>
      <c r="B64" s="213"/>
      <c r="C64" s="231"/>
      <c r="D64" s="213"/>
      <c r="E64" s="215"/>
      <c r="F64" s="220"/>
      <c r="G64" s="220"/>
      <c r="H64" s="220"/>
      <c r="I64" s="220"/>
      <c r="J64" s="236"/>
      <c r="K64" s="236"/>
      <c r="L64" s="236"/>
      <c r="M64" s="236"/>
      <c r="N64" s="406"/>
      <c r="O64" s="237"/>
      <c r="P64" s="238"/>
      <c r="Q64" s="213"/>
      <c r="R64" s="225"/>
    </row>
    <row r="65" spans="1:18" s="138" customFormat="1">
      <c r="A65" s="432"/>
      <c r="B65" s="213"/>
      <c r="C65" s="154" t="s">
        <v>424</v>
      </c>
      <c r="D65" s="153" t="s">
        <v>57</v>
      </c>
      <c r="E65" s="216" t="s">
        <v>8</v>
      </c>
      <c r="F65" s="217"/>
      <c r="G65" s="223"/>
      <c r="H65" s="223"/>
      <c r="I65" s="223"/>
      <c r="J65" s="221">
        <f>INDEX('F_Inputs FD'!$B$4:$O$90,MATCH($C65,'F_Inputs FD'!$B$4:$B$90,0),MATCH(J$2,'F_Inputs FD'!$B$2:$N$2,0))</f>
        <v>96.815099539999807</v>
      </c>
      <c r="K65" s="221">
        <f>INDEX('F_Inputs FD'!$B$4:$O$90,MATCH($C65,'F_Inputs FD'!$B$4:$B$90,0),MATCH(K$2,'F_Inputs FD'!$B$2:$N$2,0))</f>
        <v>134.462651452888</v>
      </c>
      <c r="L65" s="221">
        <f>INDEX('F_Inputs FD'!$B$4:$O$90,MATCH($C65,'F_Inputs FD'!$B$4:$B$90,0),MATCH(L$2,'F_Inputs FD'!$B$2:$N$2,0))</f>
        <v>98.969987991157893</v>
      </c>
      <c r="M65" s="221">
        <f>INDEX('F_Inputs FD'!$B$4:$O$90,MATCH($C65,'F_Inputs FD'!$B$4:$B$90,0),MATCH(M$2,'F_Inputs FD'!$B$2:$N$2,0))</f>
        <v>82.615744604577699</v>
      </c>
      <c r="N65" s="395">
        <f>INDEX('F_Inputs FD'!$B$4:$O$90,MATCH($C65,'F_Inputs FD'!$B$4:$B$90,0),MATCH(N$2,'F_Inputs FD'!$B$2:$N$2,0))</f>
        <v>41.222178026681398</v>
      </c>
      <c r="O65" s="217"/>
      <c r="P65" s="217"/>
      <c r="Q65" s="217"/>
      <c r="R65" s="222" t="s">
        <v>87</v>
      </c>
    </row>
    <row r="66" spans="1:18" s="138" customFormat="1">
      <c r="A66" s="432"/>
      <c r="B66" s="213"/>
      <c r="C66" s="154" t="s">
        <v>425</v>
      </c>
      <c r="D66" s="153" t="s">
        <v>57</v>
      </c>
      <c r="E66" s="216" t="s">
        <v>65</v>
      </c>
      <c r="F66" s="217"/>
      <c r="G66" s="223"/>
      <c r="H66" s="223"/>
      <c r="I66" s="223"/>
      <c r="J66" s="221">
        <f>INDEX('F_Inputs FD'!$B$4:$O$90,MATCH($C66,'F_Inputs FD'!$B$4:$B$90,0),MATCH(J$2,'F_Inputs FD'!$B$2:$N$2,0))</f>
        <v>118.926250458056</v>
      </c>
      <c r="K66" s="221">
        <f>INDEX('F_Inputs FD'!$B$4:$O$90,MATCH($C66,'F_Inputs FD'!$B$4:$B$90,0),MATCH(K$2,'F_Inputs FD'!$B$2:$N$2,0))</f>
        <v>148.972263063176</v>
      </c>
      <c r="L66" s="221">
        <f>INDEX('F_Inputs FD'!$B$4:$O$90,MATCH($C66,'F_Inputs FD'!$B$4:$B$90,0),MATCH(L$2,'F_Inputs FD'!$B$2:$N$2,0))</f>
        <v>134.19403100525699</v>
      </c>
      <c r="M66" s="221">
        <f>INDEX('F_Inputs FD'!$B$4:$O$90,MATCH($C66,'F_Inputs FD'!$B$4:$B$90,0),MATCH(M$2,'F_Inputs FD'!$B$2:$N$2,0))</f>
        <v>138.72592157712299</v>
      </c>
      <c r="N66" s="395">
        <f>INDEX('F_Inputs FD'!$B$4:$O$90,MATCH($C66,'F_Inputs FD'!$B$4:$B$90,0),MATCH(N$2,'F_Inputs FD'!$B$2:$N$2,0))</f>
        <v>166.75276549955299</v>
      </c>
      <c r="O66" s="217"/>
      <c r="P66" s="217"/>
      <c r="Q66" s="217"/>
      <c r="R66" s="222" t="s">
        <v>87</v>
      </c>
    </row>
    <row r="67" spans="1:18" s="138" customFormat="1">
      <c r="A67" s="432"/>
      <c r="B67" s="213"/>
      <c r="C67" s="154" t="s">
        <v>426</v>
      </c>
      <c r="D67" s="153" t="s">
        <v>57</v>
      </c>
      <c r="E67" s="216" t="s">
        <v>382</v>
      </c>
      <c r="F67" s="217"/>
      <c r="G67" s="223"/>
      <c r="H67" s="223"/>
      <c r="I67" s="223"/>
      <c r="J67" s="221">
        <f>INDEX('F_Inputs FD'!$B$4:$O$90,MATCH($C67,'F_Inputs FD'!$B$4:$B$90,0),MATCH(J$2,'F_Inputs FD'!$B$2:$N$2,0))</f>
        <v>58.1921938764836</v>
      </c>
      <c r="K67" s="221">
        <f>INDEX('F_Inputs FD'!$B$4:$O$90,MATCH($C67,'F_Inputs FD'!$B$4:$B$90,0),MATCH(K$2,'F_Inputs FD'!$B$2:$N$2,0))</f>
        <v>4.5178750700620398</v>
      </c>
      <c r="L67" s="221">
        <f>INDEX('F_Inputs FD'!$B$4:$O$90,MATCH($C67,'F_Inputs FD'!$B$4:$B$90,0),MATCH(L$2,'F_Inputs FD'!$B$2:$N$2,0))</f>
        <v>10.7836148502164</v>
      </c>
      <c r="M67" s="221">
        <f>INDEX('F_Inputs FD'!$B$4:$O$90,MATCH($C67,'F_Inputs FD'!$B$4:$B$90,0),MATCH(M$2,'F_Inputs FD'!$B$2:$N$2,0))</f>
        <v>20.156810120057301</v>
      </c>
      <c r="N67" s="395">
        <f>INDEX('F_Inputs FD'!$B$4:$O$90,MATCH($C67,'F_Inputs FD'!$B$4:$B$90,0),MATCH(N$2,'F_Inputs FD'!$B$2:$N$2,0))</f>
        <v>10.6445424964592</v>
      </c>
      <c r="O67" s="217"/>
      <c r="P67" s="217"/>
      <c r="Q67" s="217"/>
      <c r="R67" s="222" t="s">
        <v>87</v>
      </c>
    </row>
    <row r="68" spans="1:18" s="138" customFormat="1">
      <c r="A68" s="432"/>
      <c r="B68" s="213"/>
      <c r="C68" s="154" t="s">
        <v>427</v>
      </c>
      <c r="D68" s="153" t="s">
        <v>57</v>
      </c>
      <c r="E68" s="216" t="s">
        <v>383</v>
      </c>
      <c r="F68" s="217"/>
      <c r="G68" s="223"/>
      <c r="H68" s="223"/>
      <c r="I68" s="223"/>
      <c r="J68" s="221">
        <f>INDEX('F_Inputs FD'!$B$4:$O$90,MATCH($C68,'F_Inputs FD'!$B$4:$B$90,0),MATCH(J$2,'F_Inputs FD'!$B$2:$N$2,0))</f>
        <v>49.096900494649603</v>
      </c>
      <c r="K68" s="221">
        <f>INDEX('F_Inputs FD'!$B$4:$O$90,MATCH($C68,'F_Inputs FD'!$B$4:$B$90,0),MATCH(K$2,'F_Inputs FD'!$B$2:$N$2,0))</f>
        <v>44.771243533433399</v>
      </c>
      <c r="L68" s="221">
        <f>INDEX('F_Inputs FD'!$B$4:$O$90,MATCH($C68,'F_Inputs FD'!$B$4:$B$90,0),MATCH(L$2,'F_Inputs FD'!$B$2:$N$2,0))</f>
        <v>31.8749503571423</v>
      </c>
      <c r="M68" s="221">
        <f>INDEX('F_Inputs FD'!$B$4:$O$90,MATCH($C68,'F_Inputs FD'!$B$4:$B$90,0),MATCH(M$2,'F_Inputs FD'!$B$2:$N$2,0))</f>
        <v>56.188153274649501</v>
      </c>
      <c r="N68" s="395">
        <f>INDEX('F_Inputs FD'!$B$4:$O$90,MATCH($C68,'F_Inputs FD'!$B$4:$B$90,0),MATCH(N$2,'F_Inputs FD'!$B$2:$N$2,0))</f>
        <v>104.82641729721</v>
      </c>
      <c r="O68" s="217"/>
      <c r="P68" s="217"/>
      <c r="Q68" s="217"/>
      <c r="R68" s="222" t="s">
        <v>87</v>
      </c>
    </row>
    <row r="69" spans="1:18" s="138" customFormat="1">
      <c r="A69" s="432"/>
      <c r="B69" s="213"/>
      <c r="C69" s="154" t="s">
        <v>428</v>
      </c>
      <c r="D69" s="153" t="s">
        <v>57</v>
      </c>
      <c r="E69" s="216" t="s">
        <v>230</v>
      </c>
      <c r="F69" s="217"/>
      <c r="G69" s="223"/>
      <c r="H69" s="223"/>
      <c r="I69" s="223"/>
      <c r="J69" s="221">
        <f>INDEX('F_Inputs FD'!$B$4:$O$90,MATCH($C69,'F_Inputs FD'!$B$4:$B$90,0),MATCH(J$2,'F_Inputs FD'!$B$2:$N$2,0))</f>
        <v>0</v>
      </c>
      <c r="K69" s="221">
        <f>INDEX('F_Inputs FD'!$B$4:$O$90,MATCH($C69,'F_Inputs FD'!$B$4:$B$90,0),MATCH(K$2,'F_Inputs FD'!$B$2:$N$2,0))</f>
        <v>0</v>
      </c>
      <c r="L69" s="221">
        <f>INDEX('F_Inputs FD'!$B$4:$O$90,MATCH($C69,'F_Inputs FD'!$B$4:$B$90,0),MATCH(L$2,'F_Inputs FD'!$B$2:$N$2,0))</f>
        <v>0</v>
      </c>
      <c r="M69" s="221">
        <f>INDEX('F_Inputs FD'!$B$4:$O$90,MATCH($C69,'F_Inputs FD'!$B$4:$B$90,0),MATCH(M$2,'F_Inputs FD'!$B$2:$N$2,0))</f>
        <v>0</v>
      </c>
      <c r="N69" s="395">
        <f>INDEX('F_Inputs FD'!$B$4:$O$90,MATCH($C69,'F_Inputs FD'!$B$4:$B$90,0),MATCH(N$2,'F_Inputs FD'!$B$2:$N$2,0))</f>
        <v>0</v>
      </c>
      <c r="O69" s="217"/>
      <c r="P69" s="217"/>
      <c r="Q69" s="217"/>
      <c r="R69" s="222" t="s">
        <v>87</v>
      </c>
    </row>
    <row r="70" spans="1:18" s="138" customFormat="1">
      <c r="A70" s="432"/>
      <c r="B70" s="213"/>
      <c r="C70" s="154" t="s">
        <v>429</v>
      </c>
      <c r="D70" s="153" t="s">
        <v>57</v>
      </c>
      <c r="E70" s="216" t="s">
        <v>231</v>
      </c>
      <c r="F70" s="217"/>
      <c r="G70" s="223"/>
      <c r="H70" s="223"/>
      <c r="I70" s="223"/>
      <c r="J70" s="221">
        <f>INDEX('F_Inputs FD'!$B$4:$O$90,MATCH($C70,'F_Inputs FD'!$B$4:$B$90,0),MATCH(J$2,'F_Inputs FD'!$B$2:$N$2,0))</f>
        <v>0</v>
      </c>
      <c r="K70" s="221">
        <f>INDEX('F_Inputs FD'!$B$4:$O$90,MATCH($C70,'F_Inputs FD'!$B$4:$B$90,0),MATCH(K$2,'F_Inputs FD'!$B$2:$N$2,0))</f>
        <v>0</v>
      </c>
      <c r="L70" s="221">
        <f>INDEX('F_Inputs FD'!$B$4:$O$90,MATCH($C70,'F_Inputs FD'!$B$4:$B$90,0),MATCH(L$2,'F_Inputs FD'!$B$2:$N$2,0))</f>
        <v>0</v>
      </c>
      <c r="M70" s="221">
        <f>INDEX('F_Inputs FD'!$B$4:$O$90,MATCH($C70,'F_Inputs FD'!$B$4:$B$90,0),MATCH(M$2,'F_Inputs FD'!$B$2:$N$2,0))</f>
        <v>0</v>
      </c>
      <c r="N70" s="395">
        <f>INDEX('F_Inputs FD'!$B$4:$O$90,MATCH($C70,'F_Inputs FD'!$B$4:$B$90,0),MATCH(N$2,'F_Inputs FD'!$B$2:$N$2,0))</f>
        <v>0</v>
      </c>
      <c r="O70" s="217"/>
      <c r="P70" s="217"/>
      <c r="Q70" s="217"/>
      <c r="R70" s="222" t="s">
        <v>87</v>
      </c>
    </row>
    <row r="71" spans="1:18" s="138" customFormat="1">
      <c r="A71" s="102"/>
      <c r="B71" s="104"/>
      <c r="C71" s="153"/>
      <c r="D71" s="153"/>
      <c r="E71" s="154"/>
      <c r="F71" s="131"/>
      <c r="G71" s="131"/>
      <c r="H71" s="131"/>
      <c r="I71" s="131"/>
      <c r="J71" s="159"/>
      <c r="K71" s="159"/>
      <c r="L71" s="159"/>
      <c r="M71" s="159"/>
      <c r="N71" s="362"/>
      <c r="O71" s="217"/>
      <c r="P71" s="37"/>
      <c r="Q71" s="37"/>
      <c r="R71" s="239"/>
    </row>
    <row r="72" spans="1:18" s="138" customFormat="1">
      <c r="A72" s="432"/>
      <c r="B72" s="213"/>
      <c r="C72" s="154" t="s">
        <v>430</v>
      </c>
      <c r="D72" s="153" t="s">
        <v>57</v>
      </c>
      <c r="E72" s="216" t="s">
        <v>2</v>
      </c>
      <c r="F72" s="217"/>
      <c r="G72" s="223"/>
      <c r="H72" s="223"/>
      <c r="I72" s="223"/>
      <c r="J72" s="221">
        <f>INDEX('F_Inputs FD'!$B$4:$O$90,MATCH($C72,'F_Inputs FD'!$B$4:$B$90,0),MATCH(J$2,'F_Inputs FD'!$B$2:$N$2,0))</f>
        <v>27.506438960000001</v>
      </c>
      <c r="K72" s="221">
        <f>INDEX('F_Inputs FD'!$B$4:$O$90,MATCH($C72,'F_Inputs FD'!$B$4:$B$90,0),MATCH(K$2,'F_Inputs FD'!$B$2:$N$2,0))</f>
        <v>44.729525442174598</v>
      </c>
      <c r="L72" s="221">
        <f>INDEX('F_Inputs FD'!$B$4:$O$90,MATCH($C72,'F_Inputs FD'!$B$4:$B$90,0),MATCH(L$2,'F_Inputs FD'!$B$2:$N$2,0))</f>
        <v>73.259442582552794</v>
      </c>
      <c r="M72" s="221">
        <f>INDEX('F_Inputs FD'!$B$4:$O$90,MATCH($C72,'F_Inputs FD'!$B$4:$B$90,0),MATCH(M$2,'F_Inputs FD'!$B$2:$N$2,0))</f>
        <v>77.389877378896799</v>
      </c>
      <c r="N72" s="395">
        <f>INDEX('F_Inputs FD'!$B$4:$O$90,MATCH($C72,'F_Inputs FD'!$B$4:$B$90,0),MATCH(N$2,'F_Inputs FD'!$B$2:$N$2,0))</f>
        <v>53.934454219766401</v>
      </c>
      <c r="O72" s="217"/>
      <c r="P72" s="217"/>
      <c r="Q72" s="217"/>
      <c r="R72" s="222" t="s">
        <v>87</v>
      </c>
    </row>
    <row r="73" spans="1:18" s="138" customFormat="1">
      <c r="A73" s="432"/>
      <c r="B73" s="213"/>
      <c r="C73" s="154" t="s">
        <v>431</v>
      </c>
      <c r="D73" s="153" t="s">
        <v>57</v>
      </c>
      <c r="E73" s="216" t="s">
        <v>64</v>
      </c>
      <c r="F73" s="217"/>
      <c r="G73" s="223"/>
      <c r="H73" s="223"/>
      <c r="I73" s="223"/>
      <c r="J73" s="221">
        <f>INDEX('F_Inputs FD'!$B$4:$O$90,MATCH($C73,'F_Inputs FD'!$B$4:$B$90,0),MATCH(J$2,'F_Inputs FD'!$B$2:$N$2,0))</f>
        <v>165.781731443567</v>
      </c>
      <c r="K73" s="221">
        <f>INDEX('F_Inputs FD'!$B$4:$O$90,MATCH($C73,'F_Inputs FD'!$B$4:$B$90,0),MATCH(K$2,'F_Inputs FD'!$B$2:$N$2,0))</f>
        <v>162.227301251574</v>
      </c>
      <c r="L73" s="221">
        <f>INDEX('F_Inputs FD'!$B$4:$O$90,MATCH($C73,'F_Inputs FD'!$B$4:$B$90,0),MATCH(L$2,'F_Inputs FD'!$B$2:$N$2,0))</f>
        <v>147.569304121703</v>
      </c>
      <c r="M73" s="221">
        <f>INDEX('F_Inputs FD'!$B$4:$O$90,MATCH($C73,'F_Inputs FD'!$B$4:$B$90,0),MATCH(M$2,'F_Inputs FD'!$B$2:$N$2,0))</f>
        <v>136.22468163839699</v>
      </c>
      <c r="N73" s="395">
        <f>INDEX('F_Inputs FD'!$B$4:$O$90,MATCH($C73,'F_Inputs FD'!$B$4:$B$90,0),MATCH(N$2,'F_Inputs FD'!$B$2:$N$2,0))</f>
        <v>199.83462236397301</v>
      </c>
      <c r="O73" s="217"/>
      <c r="P73" s="217"/>
      <c r="Q73" s="217"/>
      <c r="R73" s="222" t="s">
        <v>87</v>
      </c>
    </row>
    <row r="74" spans="1:18" s="138" customFormat="1">
      <c r="A74" s="432"/>
      <c r="B74" s="213"/>
      <c r="C74" s="154" t="s">
        <v>432</v>
      </c>
      <c r="D74" s="153" t="s">
        <v>57</v>
      </c>
      <c r="E74" s="216" t="s">
        <v>384</v>
      </c>
      <c r="F74" s="217"/>
      <c r="G74" s="223"/>
      <c r="H74" s="223"/>
      <c r="I74" s="223"/>
      <c r="J74" s="221">
        <f>INDEX('F_Inputs FD'!$B$4:$O$90,MATCH($C74,'F_Inputs FD'!$B$4:$B$90,0),MATCH(J$2,'F_Inputs FD'!$B$2:$N$2,0))</f>
        <v>22.2444760850546</v>
      </c>
      <c r="K74" s="221">
        <f>INDEX('F_Inputs FD'!$B$4:$O$90,MATCH($C74,'F_Inputs FD'!$B$4:$B$90,0),MATCH(K$2,'F_Inputs FD'!$B$2:$N$2,0))</f>
        <v>11.841580921866299</v>
      </c>
      <c r="L74" s="221">
        <f>INDEX('F_Inputs FD'!$B$4:$O$90,MATCH($C74,'F_Inputs FD'!$B$4:$B$90,0),MATCH(L$2,'F_Inputs FD'!$B$2:$N$2,0))</f>
        <v>31.181226785186599</v>
      </c>
      <c r="M74" s="221">
        <f>INDEX('F_Inputs FD'!$B$4:$O$90,MATCH($C74,'F_Inputs FD'!$B$4:$B$90,0),MATCH(M$2,'F_Inputs FD'!$B$2:$N$2,0))</f>
        <v>28.118976181520001</v>
      </c>
      <c r="N74" s="395">
        <f>INDEX('F_Inputs FD'!$B$4:$O$90,MATCH($C74,'F_Inputs FD'!$B$4:$B$90,0),MATCH(N$2,'F_Inputs FD'!$B$2:$N$2,0))</f>
        <v>72.4589782639828</v>
      </c>
      <c r="O74" s="217"/>
      <c r="P74" s="217"/>
      <c r="Q74" s="217"/>
      <c r="R74" s="222" t="s">
        <v>87</v>
      </c>
    </row>
    <row r="75" spans="1:18" s="138" customFormat="1">
      <c r="A75" s="432"/>
      <c r="B75" s="213"/>
      <c r="C75" s="154" t="s">
        <v>433</v>
      </c>
      <c r="D75" s="153" t="s">
        <v>57</v>
      </c>
      <c r="E75" s="216" t="s">
        <v>385</v>
      </c>
      <c r="F75" s="217"/>
      <c r="G75" s="223"/>
      <c r="H75" s="223"/>
      <c r="I75" s="223"/>
      <c r="J75" s="221">
        <f>INDEX('F_Inputs FD'!$B$4:$O$90,MATCH($C75,'F_Inputs FD'!$B$4:$B$90,0),MATCH(J$2,'F_Inputs FD'!$B$2:$N$2,0))</f>
        <v>229.095530552192</v>
      </c>
      <c r="K75" s="221">
        <f>INDEX('F_Inputs FD'!$B$4:$O$90,MATCH($C75,'F_Inputs FD'!$B$4:$B$90,0),MATCH(K$2,'F_Inputs FD'!$B$2:$N$2,0))</f>
        <v>354.85647342482201</v>
      </c>
      <c r="L75" s="221">
        <f>INDEX('F_Inputs FD'!$B$4:$O$90,MATCH($C75,'F_Inputs FD'!$B$4:$B$90,0),MATCH(L$2,'F_Inputs FD'!$B$2:$N$2,0))</f>
        <v>231.10204017638301</v>
      </c>
      <c r="M75" s="221">
        <f>INDEX('F_Inputs FD'!$B$4:$O$90,MATCH($C75,'F_Inputs FD'!$B$4:$B$90,0),MATCH(M$2,'F_Inputs FD'!$B$2:$N$2,0))</f>
        <v>232.36700642477899</v>
      </c>
      <c r="N75" s="395">
        <f>INDEX('F_Inputs FD'!$B$4:$O$90,MATCH($C75,'F_Inputs FD'!$B$4:$B$90,0),MATCH(N$2,'F_Inputs FD'!$B$2:$N$2,0))</f>
        <v>125.612921030311</v>
      </c>
      <c r="O75" s="217"/>
      <c r="P75" s="217"/>
      <c r="Q75" s="217"/>
      <c r="R75" s="222" t="s">
        <v>87</v>
      </c>
    </row>
    <row r="76" spans="1:18" s="138" customFormat="1">
      <c r="A76" s="432"/>
      <c r="B76" s="213"/>
      <c r="C76" s="154" t="s">
        <v>434</v>
      </c>
      <c r="D76" s="153" t="s">
        <v>57</v>
      </c>
      <c r="E76" s="216" t="s">
        <v>232</v>
      </c>
      <c r="F76" s="217"/>
      <c r="G76" s="223"/>
      <c r="H76" s="223"/>
      <c r="I76" s="223"/>
      <c r="J76" s="221">
        <f>INDEX('F_Inputs FD'!$B$4:$O$90,MATCH($C76,'F_Inputs FD'!$B$4:$B$90,0),MATCH(J$2,'F_Inputs FD'!$B$2:$N$2,0))</f>
        <v>85.954035340000004</v>
      </c>
      <c r="K76" s="221">
        <f>INDEX('F_Inputs FD'!$B$4:$O$90,MATCH($C76,'F_Inputs FD'!$B$4:$B$90,0),MATCH(K$2,'F_Inputs FD'!$B$2:$N$2,0))</f>
        <v>68.658195062111503</v>
      </c>
      <c r="L76" s="221">
        <f>INDEX('F_Inputs FD'!$B$4:$O$90,MATCH($C76,'F_Inputs FD'!$B$4:$B$90,0),MATCH(L$2,'F_Inputs FD'!$B$2:$N$2,0))</f>
        <v>78.392323694568304</v>
      </c>
      <c r="M76" s="221">
        <f>INDEX('F_Inputs FD'!$B$4:$O$90,MATCH($C76,'F_Inputs FD'!$B$4:$B$90,0),MATCH(M$2,'F_Inputs FD'!$B$2:$N$2,0))</f>
        <v>105.12503617</v>
      </c>
      <c r="N76" s="395">
        <f>INDEX('F_Inputs FD'!$B$4:$O$90,MATCH($C76,'F_Inputs FD'!$B$4:$B$90,0),MATCH(N$2,'F_Inputs FD'!$B$2:$N$2,0))</f>
        <v>115.17123102274</v>
      </c>
      <c r="O76" s="217"/>
      <c r="P76" s="217"/>
      <c r="Q76" s="217"/>
      <c r="R76" s="222" t="s">
        <v>87</v>
      </c>
    </row>
    <row r="77" spans="1:18" s="138" customFormat="1">
      <c r="A77" s="432"/>
      <c r="B77" s="213"/>
      <c r="C77" s="154" t="s">
        <v>435</v>
      </c>
      <c r="D77" s="153" t="s">
        <v>57</v>
      </c>
      <c r="E77" s="216" t="s">
        <v>233</v>
      </c>
      <c r="F77" s="217"/>
      <c r="G77" s="223"/>
      <c r="H77" s="223"/>
      <c r="I77" s="223"/>
      <c r="J77" s="221">
        <f>INDEX('F_Inputs FD'!$B$4:$O$90,MATCH($C77,'F_Inputs FD'!$B$4:$B$90,0),MATCH(J$2,'F_Inputs FD'!$B$2:$N$2,0))</f>
        <v>30.074629819999998</v>
      </c>
      <c r="K77" s="221">
        <f>INDEX('F_Inputs FD'!$B$4:$O$90,MATCH($C77,'F_Inputs FD'!$B$4:$B$90,0),MATCH(K$2,'F_Inputs FD'!$B$2:$N$2,0))</f>
        <v>24.0229538678885</v>
      </c>
      <c r="L77" s="221">
        <f>INDEX('F_Inputs FD'!$B$4:$O$90,MATCH($C77,'F_Inputs FD'!$B$4:$B$90,0),MATCH(L$2,'F_Inputs FD'!$B$2:$N$2,0))</f>
        <v>16.651715565431701</v>
      </c>
      <c r="M77" s="221">
        <f>INDEX('F_Inputs FD'!$B$4:$O$90,MATCH($C77,'F_Inputs FD'!$B$4:$B$90,0),MATCH(M$2,'F_Inputs FD'!$B$2:$N$2,0))</f>
        <v>22.38297558</v>
      </c>
      <c r="N77" s="395">
        <f>INDEX('F_Inputs FD'!$B$4:$O$90,MATCH($C77,'F_Inputs FD'!$B$4:$B$90,0),MATCH(N$2,'F_Inputs FD'!$B$2:$N$2,0))</f>
        <v>24.4641121183124</v>
      </c>
      <c r="O77" s="217"/>
      <c r="P77" s="217"/>
      <c r="Q77" s="217"/>
      <c r="R77" s="222" t="s">
        <v>87</v>
      </c>
    </row>
    <row r="78" spans="1:18" s="138" customFormat="1">
      <c r="A78" s="102"/>
      <c r="B78" s="131"/>
      <c r="C78" s="132"/>
      <c r="D78" s="153"/>
      <c r="E78" s="154"/>
      <c r="F78" s="226"/>
      <c r="G78" s="226"/>
      <c r="H78" s="226"/>
      <c r="I78" s="226"/>
      <c r="J78" s="159"/>
      <c r="K78" s="159"/>
      <c r="L78" s="159"/>
      <c r="M78" s="159"/>
      <c r="N78" s="362"/>
      <c r="O78" s="37"/>
      <c r="P78" s="37"/>
      <c r="Q78" s="37"/>
      <c r="R78" s="239"/>
    </row>
    <row r="79" spans="1:18" s="138" customFormat="1">
      <c r="A79" s="400"/>
      <c r="B79" s="402"/>
      <c r="C79" s="401"/>
      <c r="D79" s="402"/>
      <c r="E79" s="401"/>
      <c r="F79" s="402"/>
      <c r="G79" s="402"/>
      <c r="H79" s="402"/>
      <c r="I79" s="402"/>
      <c r="J79" s="405"/>
      <c r="K79" s="405"/>
      <c r="L79" s="405"/>
      <c r="M79" s="405"/>
      <c r="N79" s="407"/>
      <c r="O79" s="232"/>
      <c r="P79" s="232"/>
      <c r="Q79" s="232"/>
      <c r="R79" s="234"/>
    </row>
    <row r="80" spans="1:18">
      <c r="A80" s="429"/>
      <c r="B80" s="440"/>
      <c r="C80" s="441"/>
      <c r="D80" s="442"/>
      <c r="E80" s="448" t="s">
        <v>267</v>
      </c>
      <c r="F80" s="440"/>
      <c r="G80" s="440"/>
      <c r="H80" s="440"/>
      <c r="I80" s="440"/>
      <c r="J80" s="440"/>
      <c r="K80" s="440"/>
      <c r="L80" s="440"/>
      <c r="M80" s="440"/>
      <c r="N80" s="446"/>
      <c r="O80" s="449"/>
      <c r="P80" s="449"/>
      <c r="Q80" s="440"/>
      <c r="R80" s="447"/>
    </row>
    <row r="81" spans="1:18" s="138" customFormat="1">
      <c r="A81" s="400"/>
      <c r="B81" s="402"/>
      <c r="C81" s="401"/>
      <c r="D81" s="402"/>
      <c r="E81" s="401"/>
      <c r="F81" s="402"/>
      <c r="G81" s="402"/>
      <c r="H81" s="402"/>
      <c r="I81" s="402"/>
      <c r="J81" s="405"/>
      <c r="K81" s="405"/>
      <c r="L81" s="405"/>
      <c r="M81" s="405"/>
      <c r="N81" s="407"/>
      <c r="O81" s="232"/>
      <c r="P81" s="232"/>
      <c r="Q81" s="232"/>
      <c r="R81" s="234"/>
    </row>
    <row r="82" spans="1:18" s="138" customFormat="1">
      <c r="A82" s="400"/>
      <c r="B82" s="402"/>
      <c r="C82" s="154" t="s">
        <v>420</v>
      </c>
      <c r="D82" s="153" t="s">
        <v>57</v>
      </c>
      <c r="E82" s="154" t="s">
        <v>202</v>
      </c>
      <c r="F82" s="402"/>
      <c r="G82" s="402"/>
      <c r="H82" s="402"/>
      <c r="I82" s="153"/>
      <c r="J82" s="221">
        <f>INDEX('F_Inputs FD'!$B$4:$O$90,MATCH($C82,'F_Inputs FD'!$B$4:$B$90,0),MATCH(J$2,'F_Inputs FD'!$B$2:$N$2,0))</f>
        <v>0</v>
      </c>
      <c r="K82" s="221">
        <f>INDEX('F_Inputs FD'!$B$4:$O$90,MATCH($C82,'F_Inputs FD'!$B$4:$B$90,0),MATCH(K$2,'F_Inputs FD'!$B$2:$N$2,0))</f>
        <v>0</v>
      </c>
      <c r="L82" s="221">
        <f>INDEX('F_Inputs FD'!$B$4:$O$90,MATCH($C82,'F_Inputs FD'!$B$4:$B$90,0),MATCH(L$2,'F_Inputs FD'!$B$2:$N$2,0))</f>
        <v>0</v>
      </c>
      <c r="M82" s="221">
        <f>INDEX('F_Inputs FD'!$B$4:$O$90,MATCH($C82,'F_Inputs FD'!$B$4:$B$90,0),MATCH(M$2,'F_Inputs FD'!$B$2:$N$2,0))</f>
        <v>0</v>
      </c>
      <c r="N82" s="395">
        <f>INDEX('F_Inputs FD'!$B$4:$O$90,MATCH($C82,'F_Inputs FD'!$B$4:$B$90,0),MATCH(N$2,'F_Inputs FD'!$B$2:$N$2,0))</f>
        <v>0</v>
      </c>
      <c r="O82" s="232"/>
      <c r="P82" s="232"/>
      <c r="Q82" s="232"/>
      <c r="R82" s="137" t="s">
        <v>242</v>
      </c>
    </row>
    <row r="83" spans="1:18" s="138" customFormat="1">
      <c r="A83" s="400"/>
      <c r="B83" s="402"/>
      <c r="C83" s="154" t="s">
        <v>422</v>
      </c>
      <c r="D83" s="153" t="s">
        <v>57</v>
      </c>
      <c r="E83" s="154" t="s">
        <v>203</v>
      </c>
      <c r="F83" s="402"/>
      <c r="G83" s="402"/>
      <c r="H83" s="402"/>
      <c r="I83" s="153"/>
      <c r="J83" s="221">
        <f>INDEX('F_Inputs FD'!$B$4:$O$90,MATCH($C83,'F_Inputs FD'!$B$4:$B$90,0),MATCH(J$2,'F_Inputs FD'!$B$2:$N$2,0))</f>
        <v>0</v>
      </c>
      <c r="K83" s="221">
        <f>INDEX('F_Inputs FD'!$B$4:$O$90,MATCH($C83,'F_Inputs FD'!$B$4:$B$90,0),MATCH(K$2,'F_Inputs FD'!$B$2:$N$2,0))</f>
        <v>0</v>
      </c>
      <c r="L83" s="221">
        <f>INDEX('F_Inputs FD'!$B$4:$O$90,MATCH($C83,'F_Inputs FD'!$B$4:$B$90,0),MATCH(L$2,'F_Inputs FD'!$B$2:$N$2,0))</f>
        <v>0</v>
      </c>
      <c r="M83" s="221">
        <f>INDEX('F_Inputs FD'!$B$4:$O$90,MATCH($C83,'F_Inputs FD'!$B$4:$B$90,0),MATCH(M$2,'F_Inputs FD'!$B$2:$N$2,0))</f>
        <v>0</v>
      </c>
      <c r="N83" s="395">
        <f>INDEX('F_Inputs FD'!$B$4:$O$90,MATCH($C83,'F_Inputs FD'!$B$4:$B$90,0),MATCH(N$2,'F_Inputs FD'!$B$2:$N$2,0))</f>
        <v>0</v>
      </c>
      <c r="O83" s="232"/>
      <c r="P83" s="232"/>
      <c r="Q83" s="232"/>
      <c r="R83" s="137" t="s">
        <v>242</v>
      </c>
    </row>
    <row r="84" spans="1:18" s="138" customFormat="1">
      <c r="A84" s="400"/>
      <c r="B84" s="402"/>
      <c r="C84" s="154"/>
      <c r="D84" s="153"/>
      <c r="E84" s="154"/>
      <c r="F84" s="402"/>
      <c r="G84" s="402"/>
      <c r="H84" s="402"/>
      <c r="I84" s="153"/>
      <c r="J84" s="405"/>
      <c r="K84" s="405"/>
      <c r="L84" s="405"/>
      <c r="M84" s="405"/>
      <c r="N84" s="407"/>
      <c r="O84" s="232"/>
      <c r="P84" s="232"/>
      <c r="Q84" s="232"/>
      <c r="R84" s="234"/>
    </row>
    <row r="85" spans="1:18" s="138" customFormat="1">
      <c r="A85" s="400"/>
      <c r="B85" s="402"/>
      <c r="C85" s="154" t="s">
        <v>476</v>
      </c>
      <c r="D85" s="153" t="s">
        <v>57</v>
      </c>
      <c r="E85" s="154" t="s">
        <v>251</v>
      </c>
      <c r="F85" s="402"/>
      <c r="G85" s="402"/>
      <c r="H85" s="402"/>
      <c r="I85" s="205"/>
      <c r="J85" s="221">
        <f>INDEX('F_Inputs FD'!$B$4:$O$90,MATCH($C85,'F_Inputs FD'!$B$4:$B$90,0),MATCH(J$2,'F_Inputs FD'!$B$2:$N$2,0))</f>
        <v>0</v>
      </c>
      <c r="K85" s="221">
        <f>INDEX('F_Inputs FD'!$B$4:$O$90,MATCH($C85,'F_Inputs FD'!$B$4:$B$90,0),MATCH(K$2,'F_Inputs FD'!$B$2:$N$2,0))</f>
        <v>0</v>
      </c>
      <c r="L85" s="221">
        <f>INDEX('F_Inputs FD'!$B$4:$O$90,MATCH($C85,'F_Inputs FD'!$B$4:$B$90,0),MATCH(L$2,'F_Inputs FD'!$B$2:$N$2,0))</f>
        <v>0</v>
      </c>
      <c r="M85" s="221">
        <f>INDEX('F_Inputs FD'!$B$4:$O$90,MATCH($C85,'F_Inputs FD'!$B$4:$B$90,0),MATCH(M$2,'F_Inputs FD'!$B$2:$N$2,0))</f>
        <v>0</v>
      </c>
      <c r="N85" s="395">
        <f>INDEX('F_Inputs FD'!$B$4:$O$90,MATCH($C85,'F_Inputs FD'!$B$4:$B$90,0),MATCH(N$2,'F_Inputs FD'!$B$2:$N$2,0))</f>
        <v>0</v>
      </c>
      <c r="O85" s="232"/>
      <c r="P85" s="232"/>
      <c r="Q85" s="232"/>
      <c r="R85" s="137" t="s">
        <v>242</v>
      </c>
    </row>
    <row r="86" spans="1:18" s="138" customFormat="1">
      <c r="A86" s="400"/>
      <c r="B86" s="402"/>
      <c r="C86" s="154" t="s">
        <v>477</v>
      </c>
      <c r="D86" s="153" t="s">
        <v>57</v>
      </c>
      <c r="E86" s="154" t="s">
        <v>252</v>
      </c>
      <c r="F86" s="402"/>
      <c r="G86" s="402"/>
      <c r="H86" s="402"/>
      <c r="I86" s="205"/>
      <c r="J86" s="221">
        <f>INDEX('F_Inputs FD'!$B$4:$O$90,MATCH($C86,'F_Inputs FD'!$B$4:$B$90,0),MATCH(J$2,'F_Inputs FD'!$B$2:$N$2,0))</f>
        <v>0</v>
      </c>
      <c r="K86" s="221">
        <f>INDEX('F_Inputs FD'!$B$4:$O$90,MATCH($C86,'F_Inputs FD'!$B$4:$B$90,0),MATCH(K$2,'F_Inputs FD'!$B$2:$N$2,0))</f>
        <v>0</v>
      </c>
      <c r="L86" s="221">
        <f>INDEX('F_Inputs FD'!$B$4:$O$90,MATCH($C86,'F_Inputs FD'!$B$4:$B$90,0),MATCH(L$2,'F_Inputs FD'!$B$2:$N$2,0))</f>
        <v>0</v>
      </c>
      <c r="M86" s="221">
        <f>INDEX('F_Inputs FD'!$B$4:$O$90,MATCH($C86,'F_Inputs FD'!$B$4:$B$90,0),MATCH(M$2,'F_Inputs FD'!$B$2:$N$2,0))</f>
        <v>0</v>
      </c>
      <c r="N86" s="395">
        <f>INDEX('F_Inputs FD'!$B$4:$O$90,MATCH($C86,'F_Inputs FD'!$B$4:$B$90,0),MATCH(N$2,'F_Inputs FD'!$B$2:$N$2,0))</f>
        <v>0</v>
      </c>
      <c r="O86" s="232"/>
      <c r="P86" s="232"/>
      <c r="Q86" s="232"/>
      <c r="R86" s="137" t="s">
        <v>242</v>
      </c>
    </row>
    <row r="87" spans="1:18" s="138" customFormat="1">
      <c r="A87" s="400"/>
      <c r="B87" s="402"/>
      <c r="C87" s="154"/>
      <c r="D87" s="153"/>
      <c r="E87" s="154"/>
      <c r="F87" s="402"/>
      <c r="G87" s="402"/>
      <c r="H87" s="402"/>
      <c r="I87" s="205"/>
      <c r="J87" s="405"/>
      <c r="K87" s="405"/>
      <c r="L87" s="405"/>
      <c r="M87" s="405"/>
      <c r="N87" s="407"/>
      <c r="O87" s="232"/>
      <c r="P87" s="232"/>
      <c r="Q87" s="232"/>
      <c r="R87" s="137"/>
    </row>
    <row r="88" spans="1:18" s="138" customFormat="1">
      <c r="A88" s="400"/>
      <c r="B88" s="402"/>
      <c r="C88" s="154" t="s">
        <v>478</v>
      </c>
      <c r="D88" s="153" t="s">
        <v>57</v>
      </c>
      <c r="E88" s="154" t="s">
        <v>200</v>
      </c>
      <c r="F88" s="402"/>
      <c r="G88" s="402"/>
      <c r="H88" s="402"/>
      <c r="I88" s="398"/>
      <c r="J88" s="221">
        <f>INDEX('F_Inputs FD'!$B$4:$O$90,MATCH($C88,'F_Inputs FD'!$B$4:$B$90,0),MATCH(J$2,'F_Inputs FD'!$B$2:$N$2,0))</f>
        <v>-1.63480322336759</v>
      </c>
      <c r="K88" s="221">
        <f>INDEX('F_Inputs FD'!$B$4:$O$90,MATCH($C88,'F_Inputs FD'!$B$4:$B$90,0),MATCH(K$2,'F_Inputs FD'!$B$2:$N$2,0))</f>
        <v>-2.49664163081039</v>
      </c>
      <c r="L88" s="221">
        <f>INDEX('F_Inputs FD'!$B$4:$O$90,MATCH($C88,'F_Inputs FD'!$B$4:$B$90,0),MATCH(L$2,'F_Inputs FD'!$B$2:$N$2,0))</f>
        <v>-1.33179340600143</v>
      </c>
      <c r="M88" s="221">
        <f>INDEX('F_Inputs FD'!$B$4:$O$90,MATCH($C88,'F_Inputs FD'!$B$4:$B$90,0),MATCH(M$2,'F_Inputs FD'!$B$2:$N$2,0))</f>
        <v>0</v>
      </c>
      <c r="N88" s="395">
        <f>INDEX('F_Inputs FD'!$B$4:$O$90,MATCH($C88,'F_Inputs FD'!$B$4:$B$90,0),MATCH(N$2,'F_Inputs FD'!$B$2:$N$2,0))</f>
        <v>0.52887650038741996</v>
      </c>
      <c r="O88" s="232"/>
      <c r="P88" s="232"/>
      <c r="Q88" s="232"/>
      <c r="R88" s="137" t="s">
        <v>242</v>
      </c>
    </row>
    <row r="89" spans="1:18" s="138" customFormat="1">
      <c r="A89" s="400"/>
      <c r="B89" s="402"/>
      <c r="C89" s="154"/>
      <c r="D89" s="153"/>
      <c r="E89" s="154"/>
      <c r="F89" s="402"/>
      <c r="G89" s="402"/>
      <c r="H89" s="402"/>
      <c r="I89" s="398"/>
      <c r="J89" s="405"/>
      <c r="K89" s="405"/>
      <c r="L89" s="405"/>
      <c r="M89" s="405"/>
      <c r="N89" s="407"/>
      <c r="O89" s="232"/>
      <c r="P89" s="232"/>
      <c r="Q89" s="232"/>
      <c r="R89" s="137"/>
    </row>
    <row r="90" spans="1:18" s="138" customFormat="1">
      <c r="A90" s="400"/>
      <c r="B90" s="402"/>
      <c r="C90" s="154" t="s">
        <v>421</v>
      </c>
      <c r="D90" s="153" t="s">
        <v>57</v>
      </c>
      <c r="E90" s="154" t="s">
        <v>204</v>
      </c>
      <c r="F90" s="402"/>
      <c r="G90" s="402"/>
      <c r="H90" s="402"/>
      <c r="I90" s="153"/>
      <c r="J90" s="221">
        <f>INDEX('F_Inputs FD'!$B$4:$O$90,MATCH($C90,'F_Inputs FD'!$B$4:$B$90,0),MATCH(J$2,'F_Inputs FD'!$B$2:$N$2,0))</f>
        <v>0</v>
      </c>
      <c r="K90" s="221">
        <f>INDEX('F_Inputs FD'!$B$4:$O$90,MATCH($C90,'F_Inputs FD'!$B$4:$B$90,0),MATCH(K$2,'F_Inputs FD'!$B$2:$N$2,0))</f>
        <v>0</v>
      </c>
      <c r="L90" s="221">
        <f>INDEX('F_Inputs FD'!$B$4:$O$90,MATCH($C90,'F_Inputs FD'!$B$4:$B$90,0),MATCH(L$2,'F_Inputs FD'!$B$2:$N$2,0))</f>
        <v>0</v>
      </c>
      <c r="M90" s="221">
        <f>INDEX('F_Inputs FD'!$B$4:$O$90,MATCH($C90,'F_Inputs FD'!$B$4:$B$90,0),MATCH(M$2,'F_Inputs FD'!$B$2:$N$2,0))</f>
        <v>0</v>
      </c>
      <c r="N90" s="395">
        <f>INDEX('F_Inputs FD'!$B$4:$O$90,MATCH($C90,'F_Inputs FD'!$B$4:$B$90,0),MATCH(N$2,'F_Inputs FD'!$B$2:$N$2,0))</f>
        <v>0</v>
      </c>
      <c r="O90" s="232"/>
      <c r="P90" s="232"/>
      <c r="Q90" s="232"/>
      <c r="R90" s="137" t="s">
        <v>242</v>
      </c>
    </row>
    <row r="91" spans="1:18" s="138" customFormat="1">
      <c r="A91" s="400"/>
      <c r="B91" s="402"/>
      <c r="C91" s="154" t="s">
        <v>423</v>
      </c>
      <c r="D91" s="153" t="s">
        <v>57</v>
      </c>
      <c r="E91" s="154" t="s">
        <v>205</v>
      </c>
      <c r="F91" s="402"/>
      <c r="G91" s="402"/>
      <c r="H91" s="402"/>
      <c r="I91" s="153"/>
      <c r="J91" s="221">
        <f>INDEX('F_Inputs FD'!$B$4:$O$90,MATCH($C91,'F_Inputs FD'!$B$4:$B$90,0),MATCH(J$2,'F_Inputs FD'!$B$2:$N$2,0))</f>
        <v>0</v>
      </c>
      <c r="K91" s="221">
        <f>INDEX('F_Inputs FD'!$B$4:$O$90,MATCH($C91,'F_Inputs FD'!$B$4:$B$90,0),MATCH(K$2,'F_Inputs FD'!$B$2:$N$2,0))</f>
        <v>0</v>
      </c>
      <c r="L91" s="221">
        <f>INDEX('F_Inputs FD'!$B$4:$O$90,MATCH($C91,'F_Inputs FD'!$B$4:$B$90,0),MATCH(L$2,'F_Inputs FD'!$B$2:$N$2,0))</f>
        <v>0</v>
      </c>
      <c r="M91" s="221">
        <f>INDEX('F_Inputs FD'!$B$4:$O$90,MATCH($C91,'F_Inputs FD'!$B$4:$B$90,0),MATCH(M$2,'F_Inputs FD'!$B$2:$N$2,0))</f>
        <v>0</v>
      </c>
      <c r="N91" s="395">
        <f>INDEX('F_Inputs FD'!$B$4:$O$90,MATCH($C91,'F_Inputs FD'!$B$4:$B$90,0),MATCH(N$2,'F_Inputs FD'!$B$2:$N$2,0))</f>
        <v>0</v>
      </c>
      <c r="O91" s="232"/>
      <c r="P91" s="232"/>
      <c r="Q91" s="232"/>
      <c r="R91" s="137" t="s">
        <v>242</v>
      </c>
    </row>
    <row r="92" spans="1:18" s="138" customFormat="1">
      <c r="A92" s="400"/>
      <c r="B92" s="402"/>
      <c r="C92" s="154"/>
      <c r="D92" s="153"/>
      <c r="E92" s="154"/>
      <c r="F92" s="402"/>
      <c r="G92" s="402"/>
      <c r="H92" s="402"/>
      <c r="I92" s="153"/>
      <c r="J92" s="405"/>
      <c r="K92" s="405"/>
      <c r="L92" s="405"/>
      <c r="M92" s="405"/>
      <c r="N92" s="407"/>
      <c r="O92" s="232"/>
      <c r="P92" s="232"/>
      <c r="Q92" s="232"/>
      <c r="R92" s="137"/>
    </row>
    <row r="93" spans="1:18" s="138" customFormat="1">
      <c r="A93" s="400"/>
      <c r="B93" s="402"/>
      <c r="C93" s="154" t="s">
        <v>479</v>
      </c>
      <c r="D93" s="153" t="s">
        <v>57</v>
      </c>
      <c r="E93" s="154" t="s">
        <v>253</v>
      </c>
      <c r="F93" s="402"/>
      <c r="G93" s="402"/>
      <c r="H93" s="402"/>
      <c r="I93" s="205"/>
      <c r="J93" s="221">
        <f>INDEX('F_Inputs FD'!$B$4:$O$90,MATCH($C93,'F_Inputs FD'!$B$4:$B$90,0),MATCH(J$2,'F_Inputs FD'!$B$2:$N$2,0))</f>
        <v>12.5972785095222</v>
      </c>
      <c r="K93" s="221">
        <f>INDEX('F_Inputs FD'!$B$4:$O$90,MATCH($C93,'F_Inputs FD'!$B$4:$B$90,0),MATCH(K$2,'F_Inputs FD'!$B$2:$N$2,0))</f>
        <v>-51.295026970738498</v>
      </c>
      <c r="L93" s="221">
        <f>INDEX('F_Inputs FD'!$B$4:$O$90,MATCH($C93,'F_Inputs FD'!$B$4:$B$90,0),MATCH(L$2,'F_Inputs FD'!$B$2:$N$2,0))</f>
        <v>30.783805523921298</v>
      </c>
      <c r="M93" s="221">
        <f>INDEX('F_Inputs FD'!$B$4:$O$90,MATCH($C93,'F_Inputs FD'!$B$4:$B$90,0),MATCH(M$2,'F_Inputs FD'!$B$2:$N$2,0))</f>
        <v>130.97321157648099</v>
      </c>
      <c r="N93" s="395">
        <f>INDEX('F_Inputs FD'!$B$4:$O$90,MATCH($C93,'F_Inputs FD'!$B$4:$B$90,0),MATCH(N$2,'F_Inputs FD'!$B$2:$N$2,0))</f>
        <v>232.06244378456901</v>
      </c>
      <c r="O93" s="232"/>
      <c r="P93" s="232"/>
      <c r="Q93" s="232"/>
      <c r="R93" s="137" t="s">
        <v>242</v>
      </c>
    </row>
    <row r="94" spans="1:18" s="138" customFormat="1">
      <c r="A94" s="400"/>
      <c r="B94" s="402"/>
      <c r="C94" s="154" t="s">
        <v>480</v>
      </c>
      <c r="D94" s="153" t="s">
        <v>57</v>
      </c>
      <c r="E94" s="154" t="s">
        <v>254</v>
      </c>
      <c r="F94" s="402"/>
      <c r="G94" s="402"/>
      <c r="H94" s="402"/>
      <c r="I94" s="205"/>
      <c r="J94" s="221">
        <f>INDEX('F_Inputs FD'!$B$4:$O$90,MATCH($C94,'F_Inputs FD'!$B$4:$B$90,0),MATCH(J$2,'F_Inputs FD'!$B$2:$N$2,0))</f>
        <v>-17.680798795440602</v>
      </c>
      <c r="K94" s="221">
        <f>INDEX('F_Inputs FD'!$B$4:$O$90,MATCH($C94,'F_Inputs FD'!$B$4:$B$90,0),MATCH(K$2,'F_Inputs FD'!$B$2:$N$2,0))</f>
        <v>-27.812069938126101</v>
      </c>
      <c r="L94" s="221">
        <f>INDEX('F_Inputs FD'!$B$4:$O$90,MATCH($C94,'F_Inputs FD'!$B$4:$B$90,0),MATCH(L$2,'F_Inputs FD'!$B$2:$N$2,0))</f>
        <v>-30.208876235148601</v>
      </c>
      <c r="M94" s="221">
        <f>INDEX('F_Inputs FD'!$B$4:$O$90,MATCH($C94,'F_Inputs FD'!$B$4:$B$90,0),MATCH(M$2,'F_Inputs FD'!$B$2:$N$2,0))</f>
        <v>-5.3702994656609304</v>
      </c>
      <c r="N94" s="395">
        <f>INDEX('F_Inputs FD'!$B$4:$O$90,MATCH($C94,'F_Inputs FD'!$B$4:$B$90,0),MATCH(N$2,'F_Inputs FD'!$B$2:$N$2,0))</f>
        <v>-61.486130087278099</v>
      </c>
      <c r="O94" s="232"/>
      <c r="P94" s="232"/>
      <c r="Q94" s="232"/>
      <c r="R94" s="137" t="s">
        <v>242</v>
      </c>
    </row>
    <row r="95" spans="1:18" s="138" customFormat="1">
      <c r="A95" s="400"/>
      <c r="B95" s="402"/>
      <c r="C95" s="154"/>
      <c r="D95" s="153"/>
      <c r="E95" s="154"/>
      <c r="F95" s="402"/>
      <c r="G95" s="402"/>
      <c r="H95" s="402"/>
      <c r="I95" s="205"/>
      <c r="J95" s="405"/>
      <c r="K95" s="405"/>
      <c r="L95" s="405"/>
      <c r="M95" s="405"/>
      <c r="N95" s="407"/>
      <c r="O95" s="232"/>
      <c r="P95" s="232"/>
      <c r="Q95" s="232"/>
      <c r="R95" s="137"/>
    </row>
    <row r="96" spans="1:18" s="138" customFormat="1">
      <c r="A96" s="400"/>
      <c r="B96" s="402"/>
      <c r="C96" s="154" t="s">
        <v>481</v>
      </c>
      <c r="D96" s="153" t="s">
        <v>57</v>
      </c>
      <c r="E96" s="154" t="s">
        <v>201</v>
      </c>
      <c r="F96" s="402"/>
      <c r="G96" s="402"/>
      <c r="H96" s="402"/>
      <c r="I96" s="398"/>
      <c r="J96" s="221">
        <f>INDEX('F_Inputs FD'!$B$4:$O$90,MATCH($C96,'F_Inputs FD'!$B$4:$B$90,0),MATCH(J$2,'F_Inputs FD'!$B$2:$N$2,0))</f>
        <v>0</v>
      </c>
      <c r="K96" s="221">
        <f>INDEX('F_Inputs FD'!$B$4:$O$90,MATCH($C96,'F_Inputs FD'!$B$4:$B$90,0),MATCH(K$2,'F_Inputs FD'!$B$2:$N$2,0))</f>
        <v>0</v>
      </c>
      <c r="L96" s="221">
        <f>INDEX('F_Inputs FD'!$B$4:$O$90,MATCH($C96,'F_Inputs FD'!$B$4:$B$90,0),MATCH(L$2,'F_Inputs FD'!$B$2:$N$2,0))</f>
        <v>0</v>
      </c>
      <c r="M96" s="221">
        <f>INDEX('F_Inputs FD'!$B$4:$O$90,MATCH($C96,'F_Inputs FD'!$B$4:$B$90,0),MATCH(M$2,'F_Inputs FD'!$B$2:$N$2,0))</f>
        <v>0</v>
      </c>
      <c r="N96" s="395">
        <f>INDEX('F_Inputs FD'!$B$4:$O$90,MATCH($C96,'F_Inputs FD'!$B$4:$B$90,0),MATCH(N$2,'F_Inputs FD'!$B$2:$N$2,0))</f>
        <v>0</v>
      </c>
      <c r="O96" s="232"/>
      <c r="P96" s="232"/>
      <c r="Q96" s="232"/>
      <c r="R96" s="137" t="s">
        <v>242</v>
      </c>
    </row>
    <row r="97" spans="1:18" s="138" customFormat="1">
      <c r="A97" s="400"/>
      <c r="B97" s="402"/>
      <c r="C97" s="401"/>
      <c r="D97" s="402"/>
      <c r="E97" s="401"/>
      <c r="F97" s="402"/>
      <c r="G97" s="402"/>
      <c r="H97" s="402"/>
      <c r="I97" s="153"/>
      <c r="J97" s="405"/>
      <c r="K97" s="405"/>
      <c r="L97" s="405"/>
      <c r="M97" s="405"/>
      <c r="N97" s="407"/>
      <c r="O97" s="232"/>
      <c r="P97" s="232"/>
      <c r="Q97" s="232"/>
      <c r="R97" s="137"/>
    </row>
    <row r="98" spans="1:18" s="138" customFormat="1">
      <c r="A98" s="400"/>
      <c r="B98" s="402"/>
      <c r="C98" s="401"/>
      <c r="D98" s="402"/>
      <c r="E98" s="401"/>
      <c r="F98" s="402"/>
      <c r="G98" s="402"/>
      <c r="H98" s="402"/>
      <c r="I98" s="408"/>
      <c r="J98" s="405"/>
      <c r="K98" s="405"/>
      <c r="L98" s="405"/>
      <c r="M98" s="405"/>
      <c r="N98" s="407"/>
      <c r="O98" s="232"/>
      <c r="P98" s="232"/>
      <c r="Q98" s="232"/>
      <c r="R98" s="234"/>
    </row>
    <row r="99" spans="1:18">
      <c r="A99" s="429"/>
      <c r="B99" s="440"/>
      <c r="C99" s="441"/>
      <c r="D99" s="466" t="s">
        <v>38</v>
      </c>
      <c r="E99" s="443" t="s">
        <v>170</v>
      </c>
      <c r="F99" s="440"/>
      <c r="G99" s="440"/>
      <c r="H99" s="440"/>
      <c r="I99" s="440"/>
      <c r="J99" s="440"/>
      <c r="K99" s="440"/>
      <c r="L99" s="440"/>
      <c r="M99" s="440"/>
      <c r="N99" s="446"/>
      <c r="O99" s="440"/>
      <c r="P99" s="440"/>
      <c r="Q99" s="440"/>
      <c r="R99" s="447"/>
    </row>
    <row r="100" spans="1:18">
      <c r="A100" s="409"/>
      <c r="B100" s="411"/>
      <c r="C100" s="410"/>
      <c r="D100" s="411"/>
      <c r="E100" s="410"/>
      <c r="F100" s="411"/>
      <c r="G100" s="411"/>
      <c r="H100" s="411"/>
      <c r="I100" s="411"/>
      <c r="J100" s="412"/>
      <c r="K100" s="412"/>
      <c r="L100" s="412"/>
      <c r="M100" s="412"/>
      <c r="N100" s="413"/>
    </row>
    <row r="101" spans="1:18">
      <c r="A101" s="429"/>
      <c r="B101" s="440"/>
      <c r="C101" s="441"/>
      <c r="D101" s="466" t="s">
        <v>38</v>
      </c>
      <c r="E101" s="443" t="s">
        <v>171</v>
      </c>
      <c r="F101" s="440"/>
      <c r="G101" s="440"/>
      <c r="H101" s="440"/>
      <c r="I101" s="440"/>
      <c r="J101" s="440"/>
      <c r="K101" s="440"/>
      <c r="L101" s="440"/>
      <c r="M101" s="440"/>
      <c r="N101" s="446"/>
      <c r="O101" s="440"/>
      <c r="P101" s="440"/>
      <c r="Q101" s="440"/>
      <c r="R101" s="447"/>
    </row>
    <row r="102" spans="1:18" s="138" customFormat="1">
      <c r="A102" s="397"/>
      <c r="B102" s="153"/>
      <c r="C102" s="401"/>
      <c r="D102" s="402"/>
      <c r="E102" s="401"/>
      <c r="F102" s="153"/>
      <c r="G102" s="408"/>
      <c r="H102" s="408"/>
      <c r="I102" s="408"/>
      <c r="J102" s="405"/>
      <c r="K102" s="403"/>
      <c r="L102" s="403"/>
      <c r="M102" s="403"/>
      <c r="N102" s="404"/>
      <c r="O102" s="232"/>
      <c r="P102" s="232"/>
      <c r="Q102" s="232"/>
      <c r="R102" s="234"/>
    </row>
    <row r="103" spans="1:18" s="138" customFormat="1">
      <c r="A103" s="397"/>
      <c r="B103" s="153"/>
      <c r="C103" s="154" t="s">
        <v>532</v>
      </c>
      <c r="D103" s="153" t="s">
        <v>90</v>
      </c>
      <c r="E103" s="154" t="s">
        <v>91</v>
      </c>
      <c r="F103" s="414"/>
      <c r="G103" s="563">
        <f>INDEX('F_Inputs FD'!$B$4:$O$90,MATCH($C103,'F_Inputs FD'!$B$4:$B$90,0),MATCH(G$2,'F_Inputs FD'!$B$2:$N$2,0))</f>
        <v>208.59166666666701</v>
      </c>
      <c r="H103" s="563">
        <f>INDEX('F_Inputs FD'!$B$4:$O$90,MATCH($C103,'F_Inputs FD'!$B$4:$B$90,0),MATCH(H$2,'F_Inputs FD'!$B$2:$N$2,0))</f>
        <v>214.78333333333299</v>
      </c>
      <c r="I103" s="563">
        <f>INDEX('F_Inputs FD'!$B$4:$O$90,MATCH($C103,'F_Inputs FD'!$B$4:$B$90,0),MATCH(I$2,'F_Inputs FD'!$B$2:$N$2,0))</f>
        <v>215.76666666666699</v>
      </c>
      <c r="J103" s="564">
        <f>INDEX('F_Inputs FD'!$B$4:$O$90,MATCH($C103,'F_Inputs FD'!$B$4:$B$90,0),MATCH(J$2,'F_Inputs FD'!$B$2:$N$2,0))</f>
        <v>226.47499999999999</v>
      </c>
      <c r="K103" s="564">
        <f>INDEX('F_Inputs FD'!$B$4:$O$90,MATCH($C103,'F_Inputs FD'!$B$4:$B$90,0),MATCH(K$2,'F_Inputs FD'!$B$2:$N$2,0))</f>
        <v>237.34166666666701</v>
      </c>
      <c r="L103" s="564">
        <f>INDEX('F_Inputs FD'!$B$4:$O$90,MATCH($C103,'F_Inputs FD'!$B$4:$B$90,0),MATCH(L$2,'F_Inputs FD'!$B$2:$N$2,0))</f>
        <v>244.67500000000001</v>
      </c>
      <c r="M103" s="564">
        <f>INDEX('F_Inputs FD'!$B$4:$O$90,MATCH($C103,'F_Inputs FD'!$B$4:$B$90,0),MATCH(M$2,'F_Inputs FD'!$B$2:$N$2,0))</f>
        <v>251.73333333333301</v>
      </c>
      <c r="N103" s="565">
        <f>INDEX('F_Inputs FD'!$B$4:$O$90,MATCH($C103,'F_Inputs FD'!$B$4:$B$90,0),MATCH(N$2,'F_Inputs FD'!$B$2:$N$2,0))</f>
        <v>258.41874999999999</v>
      </c>
      <c r="O103" s="232"/>
      <c r="P103" s="232"/>
      <c r="Q103" s="232"/>
      <c r="R103" s="234" t="s">
        <v>75</v>
      </c>
    </row>
    <row r="104" spans="1:18" s="138" customFormat="1">
      <c r="A104" s="397"/>
      <c r="B104" s="153"/>
      <c r="C104" s="139" t="s">
        <v>438</v>
      </c>
      <c r="D104" s="415" t="s">
        <v>58</v>
      </c>
      <c r="E104" s="139" t="s">
        <v>92</v>
      </c>
      <c r="F104" s="153"/>
      <c r="G104" s="355">
        <f>INDEX('F_Inputs FD'!$B$4:$O$90,MATCH($C104,'F_Inputs FD'!$B$4:$B$90,0),MATCH(G$2,'F_Inputs FD'!$B$2:$N$2,0))</f>
        <v>0</v>
      </c>
      <c r="H104" s="355">
        <f>INDEX('F_Inputs FD'!$B$4:$O$90,MATCH($C104,'F_Inputs FD'!$B$4:$B$90,0),MATCH(H$2,'F_Inputs FD'!$B$2:$N$2,0))</f>
        <v>0</v>
      </c>
      <c r="I104" s="355">
        <f>INDEX('F_Inputs FD'!$B$4:$O$90,MATCH($C104,'F_Inputs FD'!$B$4:$B$90,0),MATCH(I$2,'F_Inputs FD'!$B$2:$N$2,0))</f>
        <v>0</v>
      </c>
      <c r="J104" s="355">
        <f>INDEX('F_Inputs FD'!$B$4:$O$90,MATCH($C104,'F_Inputs FD'!$B$4:$B$90,0),MATCH(J$2,'F_Inputs FD'!$B$2:$N$2,0))</f>
        <v>0</v>
      </c>
      <c r="K104" s="355">
        <f>INDEX('F_Inputs FD'!$B$4:$O$90,MATCH($C104,'F_Inputs FD'!$B$4:$B$90,0),MATCH(K$2,'F_Inputs FD'!$B$2:$N$2,0))</f>
        <v>0</v>
      </c>
      <c r="L104" s="355">
        <f>INDEX('F_Inputs FD'!$B$4:$O$90,MATCH($C104,'F_Inputs FD'!$B$4:$B$90,0),MATCH(L$2,'F_Inputs FD'!$B$2:$N$2,0))</f>
        <v>0</v>
      </c>
      <c r="M104" s="355">
        <f>INDEX('F_Inputs FD'!$B$4:$O$90,MATCH($C104,'F_Inputs FD'!$B$4:$B$90,0),MATCH(M$2,'F_Inputs FD'!$B$2:$N$2,0))</f>
        <v>0</v>
      </c>
      <c r="N104" s="416">
        <f>INDEX('F_Inputs FD'!$B$4:$O$90,MATCH($C104,'F_Inputs FD'!$B$4:$B$90,0),MATCH(N$2,'F_Inputs FD'!$B$2:$N$2,0))</f>
        <v>0</v>
      </c>
      <c r="P104" s="143"/>
      <c r="Q104" s="143"/>
      <c r="R104" s="137" t="s">
        <v>75</v>
      </c>
    </row>
    <row r="105" spans="1:18" s="138" customFormat="1">
      <c r="A105" s="397"/>
      <c r="B105" s="153"/>
      <c r="C105" s="139"/>
      <c r="D105" s="415"/>
      <c r="E105" s="139"/>
      <c r="F105" s="153"/>
      <c r="G105" s="417"/>
      <c r="H105" s="417"/>
      <c r="I105" s="417"/>
      <c r="J105" s="405"/>
      <c r="K105" s="403"/>
      <c r="L105" s="403"/>
      <c r="M105" s="403"/>
      <c r="N105" s="404"/>
      <c r="P105" s="143"/>
      <c r="Q105" s="143"/>
      <c r="R105" s="137"/>
    </row>
    <row r="106" spans="1:18" s="138" customFormat="1">
      <c r="A106" s="397"/>
      <c r="B106" s="153"/>
      <c r="C106" s="139" t="s">
        <v>436</v>
      </c>
      <c r="D106" s="415" t="s">
        <v>90</v>
      </c>
      <c r="E106" s="139" t="s">
        <v>437</v>
      </c>
      <c r="F106" s="414"/>
      <c r="G106" s="563">
        <f>INDEX('F_Inputs FD'!$B$4:$O$90,MATCH($C106,'F_Inputs FD'!$B$4:$B$90,0),MATCH(G$2,'F_Inputs FD'!$B$2:$N$2,0))</f>
        <v>111.3</v>
      </c>
      <c r="H106" s="563">
        <f>INDEX('F_Inputs FD'!$B$4:$O$90,MATCH($C106,'F_Inputs FD'!$B$4:$B$90,0),MATCH(H$2,'F_Inputs FD'!$B$2:$N$2,0))</f>
        <v>113.97499999999999</v>
      </c>
      <c r="I106" s="563">
        <f>INDEX('F_Inputs FD'!$B$4:$O$90,MATCH($C106,'F_Inputs FD'!$B$4:$B$90,0),MATCH(I$2,'F_Inputs FD'!$B$2:$N$2,0))</f>
        <v>110.47499999999999</v>
      </c>
      <c r="J106" s="564">
        <f>INDEX('F_Inputs FD'!$B$4:$O$90,MATCH($C106,'F_Inputs FD'!$B$4:$B$90,0),MATCH(J$2,'F_Inputs FD'!$B$2:$N$2,0))</f>
        <v>107.375</v>
      </c>
      <c r="K106" s="564">
        <f>INDEX('F_Inputs FD'!$B$4:$O$90,MATCH($C106,'F_Inputs FD'!$B$4:$B$90,0),MATCH(K$2,'F_Inputs FD'!$B$2:$N$2,0))</f>
        <v>109.95</v>
      </c>
      <c r="L106" s="564">
        <f>INDEX('F_Inputs FD'!$B$4:$O$90,MATCH($C106,'F_Inputs FD'!$B$4:$B$90,0),MATCH(L$2,'F_Inputs FD'!$B$2:$N$2,0))</f>
        <v>113.575</v>
      </c>
      <c r="M106" s="564">
        <f>INDEX('F_Inputs FD'!$B$4:$O$90,MATCH($C106,'F_Inputs FD'!$B$4:$B$90,0),MATCH(M$2,'F_Inputs FD'!$B$2:$N$2,0))</f>
        <v>117.69</v>
      </c>
      <c r="N106" s="565">
        <f>INDEX('F_Inputs FD'!$B$4:$O$90,MATCH($C106,'F_Inputs FD'!$B$4:$B$90,0),MATCH(N$2,'F_Inputs FD'!$B$2:$N$2,0))</f>
        <v>120.01</v>
      </c>
      <c r="P106" s="143"/>
      <c r="Q106" s="143"/>
      <c r="R106" s="137" t="s">
        <v>75</v>
      </c>
    </row>
    <row r="107" spans="1:18" s="138" customFormat="1">
      <c r="A107" s="397"/>
      <c r="B107" s="153"/>
      <c r="C107" s="139" t="s">
        <v>534</v>
      </c>
      <c r="D107" s="415" t="s">
        <v>58</v>
      </c>
      <c r="E107" s="154" t="s">
        <v>368</v>
      </c>
      <c r="F107" s="153"/>
      <c r="G107" s="355">
        <f>INDEX('F_Inputs FD'!$B$4:$O$90,MATCH($C107,'F_Inputs FD'!$B$4:$B$90,0),MATCH(G$2,'F_Inputs FD'!$B$2:$N$2,0))</f>
        <v>0</v>
      </c>
      <c r="H107" s="355">
        <f>INDEX('F_Inputs FD'!$B$4:$O$90,MATCH($C107,'F_Inputs FD'!$B$4:$B$90,0),MATCH(H$2,'F_Inputs FD'!$B$2:$N$2,0))</f>
        <v>0</v>
      </c>
      <c r="I107" s="355">
        <f>INDEX('F_Inputs FD'!$B$4:$O$90,MATCH($C107,'F_Inputs FD'!$B$4:$B$90,0),MATCH(I$2,'F_Inputs FD'!$B$2:$N$2,0))</f>
        <v>0</v>
      </c>
      <c r="J107" s="355">
        <f>INDEX('F_Inputs FD'!$B$4:$O$90,MATCH($C107,'F_Inputs FD'!$B$4:$B$90,0),MATCH(J$2,'F_Inputs FD'!$B$2:$N$2,0))</f>
        <v>0</v>
      </c>
      <c r="K107" s="355">
        <f>INDEX('F_Inputs FD'!$B$4:$O$90,MATCH($C107,'F_Inputs FD'!$B$4:$B$90,0),MATCH(K$2,'F_Inputs FD'!$B$2:$N$2,0))</f>
        <v>0</v>
      </c>
      <c r="L107" s="355">
        <f>INDEX('F_Inputs FD'!$B$4:$O$90,MATCH($C107,'F_Inputs FD'!$B$4:$B$90,0),MATCH(L$2,'F_Inputs FD'!$B$2:$N$2,0))</f>
        <v>0</v>
      </c>
      <c r="M107" s="355">
        <f>INDEX('F_Inputs FD'!$B$4:$O$90,MATCH($C107,'F_Inputs FD'!$B$4:$B$90,0),MATCH(M$2,'F_Inputs FD'!$B$2:$N$2,0))</f>
        <v>0</v>
      </c>
      <c r="N107" s="416">
        <f>INDEX('F_Inputs FD'!$B$4:$O$90,MATCH($C107,'F_Inputs FD'!$B$4:$B$90,0),MATCH(N$2,'F_Inputs FD'!$B$2:$N$2,0))</f>
        <v>0</v>
      </c>
      <c r="O107" s="143"/>
      <c r="P107" s="143"/>
      <c r="Q107" s="143"/>
      <c r="R107" s="137" t="s">
        <v>75</v>
      </c>
    </row>
    <row r="108" spans="1:18" s="138" customFormat="1">
      <c r="A108" s="397"/>
      <c r="B108" s="153"/>
      <c r="C108" s="154"/>
      <c r="D108" s="153"/>
      <c r="E108" s="154"/>
      <c r="F108" s="153"/>
      <c r="G108" s="153"/>
      <c r="H108" s="153"/>
      <c r="I108" s="153"/>
      <c r="J108" s="403"/>
      <c r="K108" s="403"/>
      <c r="L108" s="403"/>
      <c r="M108" s="403"/>
      <c r="N108" s="404"/>
      <c r="R108" s="137"/>
    </row>
    <row r="109" spans="1:18">
      <c r="A109" s="429"/>
      <c r="B109" s="440"/>
      <c r="C109" s="441"/>
      <c r="D109" s="466" t="s">
        <v>38</v>
      </c>
      <c r="E109" s="443" t="s">
        <v>172</v>
      </c>
      <c r="F109" s="444"/>
      <c r="G109" s="440"/>
      <c r="H109" s="440"/>
      <c r="I109" s="440"/>
      <c r="J109" s="440"/>
      <c r="K109" s="440"/>
      <c r="L109" s="440"/>
      <c r="M109" s="440"/>
      <c r="N109" s="446"/>
      <c r="O109" s="440"/>
      <c r="P109" s="440"/>
      <c r="Q109" s="440"/>
      <c r="R109" s="447"/>
    </row>
    <row r="110" spans="1:18" s="138" customFormat="1">
      <c r="A110" s="400"/>
      <c r="B110" s="402"/>
      <c r="C110" s="154"/>
      <c r="D110" s="153"/>
      <c r="E110" s="154"/>
      <c r="F110" s="153"/>
      <c r="G110" s="402"/>
      <c r="H110" s="402"/>
      <c r="I110" s="402"/>
      <c r="J110" s="403"/>
      <c r="K110" s="403"/>
      <c r="L110" s="403"/>
      <c r="M110" s="403"/>
      <c r="N110" s="404"/>
      <c r="O110" s="232"/>
      <c r="P110" s="232"/>
      <c r="Q110" s="232"/>
      <c r="R110" s="234"/>
    </row>
    <row r="111" spans="1:18" s="138" customFormat="1">
      <c r="A111" s="397"/>
      <c r="B111" s="153"/>
      <c r="C111" s="154" t="s">
        <v>89</v>
      </c>
      <c r="D111" s="153" t="s">
        <v>90</v>
      </c>
      <c r="E111" s="154" t="s">
        <v>388</v>
      </c>
      <c r="F111" s="414"/>
      <c r="G111" s="563">
        <f>INDEX('F_Inputs FD'!$B$4:$O$90,MATCH($C111,'F_Inputs FD'!$B$4:$B$90,0),MATCH(G$2,'F_Inputs FD'!$B$2:$N$2,0))</f>
        <v>208.59166666666599</v>
      </c>
      <c r="H111" s="563">
        <f>INDEX('F_Inputs FD'!$B$4:$O$90,MATCH($C111,'F_Inputs FD'!$B$4:$B$90,0),MATCH(H$2,'F_Inputs FD'!$B$2:$N$2,0))</f>
        <v>214.78333333333299</v>
      </c>
      <c r="I111" s="563">
        <f>INDEX('F_Inputs FD'!$B$4:$O$90,MATCH($C111,'F_Inputs FD'!$B$4:$B$90,0),MATCH(I$2,'F_Inputs FD'!$B$2:$N$2,0))</f>
        <v>212.98333333333301</v>
      </c>
      <c r="J111" s="564">
        <f>INDEX('F_Inputs FD'!$B$4:$O$90,MATCH($C111,'F_Inputs FD'!$B$4:$B$90,0),MATCH(J$2,'F_Inputs FD'!$B$2:$N$2,0))</f>
        <v>217.23333333333301</v>
      </c>
      <c r="K111" s="564">
        <f>INDEX('F_Inputs FD'!$B$4:$O$90,MATCH($C111,'F_Inputs FD'!$B$4:$B$90,0),MATCH(K$2,'F_Inputs FD'!$B$2:$N$2,0))</f>
        <v>223.74350000000001</v>
      </c>
      <c r="L111" s="564">
        <f>INDEX('F_Inputs FD'!$B$4:$O$90,MATCH($C111,'F_Inputs FD'!$B$4:$B$90,0),MATCH(L$2,'F_Inputs FD'!$B$2:$N$2,0))</f>
        <v>229.78457449999999</v>
      </c>
      <c r="M111" s="564">
        <f>INDEX('F_Inputs FD'!$B$4:$O$90,MATCH($C111,'F_Inputs FD'!$B$4:$B$90,0),MATCH(M$2,'F_Inputs FD'!$B$2:$N$2,0))</f>
        <v>235.52918886249901</v>
      </c>
      <c r="N111" s="565">
        <f>INDEX('F_Inputs FD'!$B$4:$O$90,MATCH($C111,'F_Inputs FD'!$B$4:$B$90,0),MATCH(N$2,'F_Inputs FD'!$B$2:$N$2,0))</f>
        <v>241.41741858406201</v>
      </c>
      <c r="R111" s="137" t="s">
        <v>75</v>
      </c>
    </row>
    <row r="112" spans="1:18" s="138" customFormat="1">
      <c r="A112" s="397"/>
      <c r="B112" s="153"/>
      <c r="C112" s="154"/>
      <c r="D112" s="153"/>
      <c r="E112" s="154"/>
      <c r="F112" s="414"/>
      <c r="G112" s="402"/>
      <c r="H112" s="402"/>
      <c r="I112" s="402"/>
      <c r="J112" s="403"/>
      <c r="K112" s="403"/>
      <c r="L112" s="403"/>
      <c r="M112" s="403"/>
      <c r="N112" s="404"/>
      <c r="R112" s="137"/>
    </row>
    <row r="113" spans="1:18" s="138" customFormat="1">
      <c r="A113" s="397"/>
      <c r="B113" s="153"/>
      <c r="C113" s="154" t="s">
        <v>93</v>
      </c>
      <c r="D113" s="153" t="s">
        <v>90</v>
      </c>
      <c r="E113" s="154" t="s">
        <v>392</v>
      </c>
      <c r="F113" s="414"/>
      <c r="G113" s="563">
        <f>INDEX('F_Inputs FD'!$B$4:$O$90,MATCH($C113,'F_Inputs FD'!$B$4:$B$90,0),MATCH(G$2,'F_Inputs FD'!$B$2:$N$2,0))</f>
        <v>111.3</v>
      </c>
      <c r="H113" s="563">
        <f>INDEX('F_Inputs FD'!$B$4:$O$90,MATCH($C113,'F_Inputs FD'!$B$4:$B$90,0),MATCH(H$2,'F_Inputs FD'!$B$2:$N$2,0))</f>
        <v>0</v>
      </c>
      <c r="I113" s="563">
        <f>INDEX('F_Inputs FD'!$B$4:$O$90,MATCH($C113,'F_Inputs FD'!$B$4:$B$90,0),MATCH(I$2,'F_Inputs FD'!$B$2:$N$2,0))</f>
        <v>0</v>
      </c>
      <c r="J113" s="564">
        <f>INDEX('F_Inputs FD'!$B$4:$O$90,MATCH($C113,'F_Inputs FD'!$B$4:$B$90,0),MATCH(J$2,'F_Inputs FD'!$B$2:$N$2,0))</f>
        <v>0</v>
      </c>
      <c r="K113" s="564">
        <f>INDEX('F_Inputs FD'!$B$4:$O$90,MATCH($C113,'F_Inputs FD'!$B$4:$B$90,0),MATCH(K$2,'F_Inputs FD'!$B$2:$N$2,0))</f>
        <v>0</v>
      </c>
      <c r="L113" s="564">
        <f>INDEX('F_Inputs FD'!$B$4:$O$90,MATCH($C113,'F_Inputs FD'!$B$4:$B$90,0),MATCH(L$2,'F_Inputs FD'!$B$2:$N$2,0))</f>
        <v>0</v>
      </c>
      <c r="M113" s="564">
        <f>INDEX('F_Inputs FD'!$B$4:$O$90,MATCH($C113,'F_Inputs FD'!$B$4:$B$90,0),MATCH(M$2,'F_Inputs FD'!$B$2:$N$2,0))</f>
        <v>0</v>
      </c>
      <c r="N113" s="565">
        <f>INDEX('F_Inputs FD'!$B$4:$O$90,MATCH($C113,'F_Inputs FD'!$B$4:$B$90,0),MATCH(N$2,'F_Inputs FD'!$B$2:$N$2,0))</f>
        <v>0</v>
      </c>
      <c r="R113" s="137" t="s">
        <v>75</v>
      </c>
    </row>
    <row r="114" spans="1:18" s="138" customFormat="1">
      <c r="A114" s="397"/>
      <c r="B114" s="153"/>
      <c r="C114" s="154" t="s">
        <v>367</v>
      </c>
      <c r="D114" s="153" t="s">
        <v>58</v>
      </c>
      <c r="E114" s="154" t="s">
        <v>389</v>
      </c>
      <c r="F114" s="414"/>
      <c r="G114" s="355">
        <f>INDEX('F_Inputs FD'!$B$4:$O$90,MATCH($C114,'F_Inputs FD'!$B$4:$B$90,0),MATCH(G$2,'F_Inputs FD'!$B$2:$N$2,0))</f>
        <v>0</v>
      </c>
      <c r="H114" s="355">
        <f>INDEX('F_Inputs FD'!$B$4:$O$90,MATCH($C114,'F_Inputs FD'!$B$4:$B$90,0),MATCH(H$2,'F_Inputs FD'!$B$2:$N$2,0))</f>
        <v>-1.53846153846153E-2</v>
      </c>
      <c r="I114" s="355">
        <f>INDEX('F_Inputs FD'!$B$4:$O$90,MATCH($C114,'F_Inputs FD'!$B$4:$B$90,0),MATCH(I$2,'F_Inputs FD'!$B$2:$N$2,0))</f>
        <v>-8.3862499999998192E-3</v>
      </c>
      <c r="J114" s="355">
        <f>INDEX('F_Inputs FD'!$B$4:$O$90,MATCH($C114,'F_Inputs FD'!$B$4:$B$90,0),MATCH(J$2,'F_Inputs FD'!$B$2:$N$2,0))</f>
        <v>2.49999999999997E-2</v>
      </c>
      <c r="K114" s="355">
        <f>INDEX('F_Inputs FD'!$B$4:$O$90,MATCH($C114,'F_Inputs FD'!$B$4:$B$90,0),MATCH(K$2,'F_Inputs FD'!$B$2:$N$2,0))</f>
        <v>4.4999999999999901E-2</v>
      </c>
      <c r="L114" s="355">
        <f>INDEX('F_Inputs FD'!$B$4:$O$90,MATCH($C114,'F_Inputs FD'!$B$4:$B$90,0),MATCH(L$2,'F_Inputs FD'!$B$2:$N$2,0))</f>
        <v>3.7000000000000102E-2</v>
      </c>
      <c r="M114" s="355">
        <f>INDEX('F_Inputs FD'!$B$4:$O$90,MATCH($C114,'F_Inputs FD'!$B$4:$B$90,0),MATCH(M$2,'F_Inputs FD'!$B$2:$N$2,0))</f>
        <v>2.9999999999999801E-2</v>
      </c>
      <c r="N114" s="416">
        <f>INDEX('F_Inputs FD'!$B$4:$O$90,MATCH($C114,'F_Inputs FD'!$B$4:$B$90,0),MATCH(N$2,'F_Inputs FD'!$B$2:$N$2,0))</f>
        <v>0.03</v>
      </c>
      <c r="R114" s="137"/>
    </row>
    <row r="115" spans="1:18" s="138" customFormat="1">
      <c r="A115" s="397"/>
      <c r="B115" s="153"/>
      <c r="C115" s="154"/>
      <c r="D115" s="153"/>
      <c r="E115" s="154"/>
      <c r="F115" s="414"/>
      <c r="G115" s="402"/>
      <c r="H115" s="402"/>
      <c r="I115" s="402"/>
      <c r="J115" s="403"/>
      <c r="K115" s="403"/>
      <c r="L115" s="403"/>
      <c r="M115" s="403"/>
      <c r="N115" s="404"/>
      <c r="R115" s="137"/>
    </row>
    <row r="116" spans="1:18" s="138" customFormat="1">
      <c r="A116" s="397"/>
      <c r="B116" s="153"/>
      <c r="C116" s="154" t="s">
        <v>96</v>
      </c>
      <c r="D116" s="153" t="s">
        <v>90</v>
      </c>
      <c r="E116" s="154" t="s">
        <v>365</v>
      </c>
      <c r="F116" s="153"/>
      <c r="G116" s="563">
        <f>INDEX('F_Inputs FD'!$B$4:$O$90,MATCH($C116,'F_Inputs FD'!$B$4:$B$90,0),MATCH(G$2,'F_Inputs FD'!$B$2:$N$2,0))</f>
        <v>208.59166666666701</v>
      </c>
      <c r="H116" s="414"/>
      <c r="I116" s="414"/>
      <c r="J116" s="418"/>
      <c r="K116" s="418"/>
      <c r="L116" s="418"/>
      <c r="M116" s="418"/>
      <c r="N116" s="419"/>
      <c r="R116" s="137" t="s">
        <v>75</v>
      </c>
    </row>
    <row r="117" spans="1:18" s="138" customFormat="1">
      <c r="A117" s="397"/>
      <c r="B117" s="153"/>
      <c r="C117" s="154" t="s">
        <v>97</v>
      </c>
      <c r="D117" s="153" t="s">
        <v>90</v>
      </c>
      <c r="E117" s="154" t="s">
        <v>366</v>
      </c>
      <c r="F117" s="153"/>
      <c r="G117" s="563">
        <f>INDEX('F_Inputs FD'!$B$4:$O$90,MATCH($C117,'F_Inputs FD'!$B$4:$B$90,0),MATCH(G$2,'F_Inputs FD'!$B$2:$N$2,0))</f>
        <v>111.3</v>
      </c>
      <c r="H117" s="414"/>
      <c r="I117" s="414"/>
      <c r="J117" s="418"/>
      <c r="K117" s="418"/>
      <c r="L117" s="418"/>
      <c r="M117" s="418"/>
      <c r="N117" s="419"/>
      <c r="R117" s="137" t="s">
        <v>75</v>
      </c>
    </row>
    <row r="118" spans="1:18" s="138" customFormat="1">
      <c r="A118" s="397"/>
      <c r="B118" s="153"/>
      <c r="C118" s="420"/>
      <c r="D118" s="153"/>
      <c r="E118" s="154"/>
      <c r="F118" s="153"/>
      <c r="G118" s="153"/>
      <c r="H118" s="153"/>
      <c r="I118" s="153"/>
      <c r="J118" s="403"/>
      <c r="K118" s="403"/>
      <c r="L118" s="403"/>
      <c r="M118" s="403"/>
      <c r="N118" s="404"/>
      <c r="O118" s="232"/>
      <c r="P118" s="232"/>
      <c r="Q118" s="232"/>
      <c r="R118" s="234"/>
    </row>
    <row r="119" spans="1:18" s="138" customFormat="1">
      <c r="A119" s="400"/>
      <c r="B119" s="402"/>
      <c r="C119" s="154"/>
      <c r="D119" s="153"/>
      <c r="E119" s="154"/>
      <c r="F119" s="153"/>
      <c r="G119" s="153"/>
      <c r="H119" s="153"/>
      <c r="I119" s="153"/>
      <c r="J119" s="403"/>
      <c r="K119" s="403"/>
      <c r="L119" s="403"/>
      <c r="M119" s="403"/>
      <c r="N119" s="404"/>
      <c r="O119" s="232"/>
      <c r="P119" s="232"/>
      <c r="Q119" s="232"/>
      <c r="R119" s="234"/>
    </row>
    <row r="120" spans="1:18">
      <c r="A120" s="429"/>
      <c r="B120" s="440"/>
      <c r="C120" s="441"/>
      <c r="D120" s="466" t="s">
        <v>38</v>
      </c>
      <c r="E120" s="443" t="s">
        <v>173</v>
      </c>
      <c r="F120" s="440"/>
      <c r="G120" s="440"/>
      <c r="H120" s="440"/>
      <c r="I120" s="440"/>
      <c r="J120" s="440"/>
      <c r="K120" s="440"/>
      <c r="L120" s="440"/>
      <c r="M120" s="440"/>
      <c r="N120" s="446"/>
      <c r="O120" s="440"/>
      <c r="P120" s="440"/>
      <c r="Q120" s="440"/>
      <c r="R120" s="447"/>
    </row>
    <row r="121" spans="1:18">
      <c r="A121" s="430"/>
      <c r="B121" s="31"/>
      <c r="C121" s="36"/>
      <c r="D121" s="33"/>
      <c r="E121" s="34"/>
      <c r="F121" s="31"/>
      <c r="G121" s="31"/>
      <c r="H121" s="31"/>
      <c r="I121" s="31"/>
      <c r="J121" s="67"/>
      <c r="K121" s="67"/>
      <c r="L121" s="67"/>
      <c r="M121" s="67"/>
      <c r="N121" s="393"/>
      <c r="O121" s="31"/>
      <c r="P121" s="31"/>
      <c r="Q121" s="31"/>
      <c r="R121" s="96"/>
    </row>
    <row r="122" spans="1:18">
      <c r="A122" s="429"/>
      <c r="B122" s="440"/>
      <c r="C122" s="441"/>
      <c r="D122" s="466" t="s">
        <v>38</v>
      </c>
      <c r="E122" s="443" t="s">
        <v>269</v>
      </c>
      <c r="F122" s="440"/>
      <c r="G122" s="440"/>
      <c r="H122" s="440"/>
      <c r="I122" s="440"/>
      <c r="J122" s="440"/>
      <c r="K122" s="440"/>
      <c r="L122" s="440"/>
      <c r="M122" s="440"/>
      <c r="N122" s="446"/>
      <c r="O122" s="440"/>
      <c r="P122" s="440"/>
      <c r="Q122" s="440"/>
      <c r="R122" s="447"/>
    </row>
    <row r="123" spans="1:18" s="138" customFormat="1">
      <c r="A123" s="432"/>
      <c r="B123" s="213"/>
      <c r="C123" s="231"/>
      <c r="D123" s="213"/>
      <c r="E123" s="215"/>
      <c r="F123" s="213"/>
      <c r="G123" s="213"/>
      <c r="H123" s="213"/>
      <c r="I123" s="213"/>
      <c r="J123" s="224"/>
      <c r="K123" s="224"/>
      <c r="L123" s="224"/>
      <c r="M123" s="224"/>
      <c r="N123" s="396"/>
      <c r="O123" s="213"/>
      <c r="P123" s="213"/>
      <c r="Q123" s="213"/>
      <c r="R123" s="225"/>
    </row>
    <row r="124" spans="1:18" s="138" customFormat="1">
      <c r="A124" s="400"/>
      <c r="B124" s="402"/>
      <c r="C124" s="401"/>
      <c r="D124" s="402"/>
      <c r="E124" s="421" t="s">
        <v>48</v>
      </c>
      <c r="F124" s="402"/>
      <c r="G124" s="402"/>
      <c r="H124" s="402"/>
      <c r="I124" s="402"/>
      <c r="J124" s="403"/>
      <c r="K124" s="403"/>
      <c r="L124" s="403"/>
      <c r="M124" s="403"/>
      <c r="N124" s="404"/>
      <c r="O124" s="232"/>
      <c r="P124" s="232"/>
      <c r="Q124" s="232"/>
      <c r="R124" s="234"/>
    </row>
    <row r="125" spans="1:18" s="138" customFormat="1">
      <c r="A125" s="400"/>
      <c r="B125" s="402"/>
      <c r="C125" s="401" t="s">
        <v>459</v>
      </c>
      <c r="D125" s="402" t="s">
        <v>56</v>
      </c>
      <c r="E125" s="401" t="s">
        <v>39</v>
      </c>
      <c r="F125" s="402"/>
      <c r="H125" s="402"/>
      <c r="I125" s="402"/>
      <c r="J125" s="403"/>
      <c r="K125" s="403"/>
      <c r="L125" s="403"/>
      <c r="M125" s="403"/>
      <c r="N125" s="404"/>
      <c r="O125" s="557">
        <f>INDEX('F_Inputs FD'!$B$4:$O$90,MATCH($C125,'F_Inputs FD'!$B$4:$B$90,0),MATCH(O$2,'F_Inputs FD'!$B$2:$N$2,0))</f>
        <v>-7.4999999999999997E-3</v>
      </c>
      <c r="P125" s="232"/>
      <c r="Q125" s="232"/>
      <c r="R125" s="234" t="s">
        <v>75</v>
      </c>
    </row>
    <row r="126" spans="1:18" s="138" customFormat="1">
      <c r="A126" s="400"/>
      <c r="B126" s="402"/>
      <c r="C126" s="401" t="s">
        <v>460</v>
      </c>
      <c r="D126" s="402" t="s">
        <v>56</v>
      </c>
      <c r="E126" s="401" t="s">
        <v>40</v>
      </c>
      <c r="F126" s="402"/>
      <c r="H126" s="402"/>
      <c r="I126" s="402"/>
      <c r="J126" s="403"/>
      <c r="K126" s="403"/>
      <c r="L126" s="403"/>
      <c r="M126" s="403"/>
      <c r="N126" s="404"/>
      <c r="O126" s="558">
        <f>INDEX('F_Inputs FD'!$B$4:$O$90,MATCH($C126,'F_Inputs FD'!$B$4:$B$90,0),MATCH(O$2,'F_Inputs FD'!$B$2:$N$2,0))</f>
        <v>1.05</v>
      </c>
      <c r="P126" s="232"/>
      <c r="Q126" s="232"/>
      <c r="R126" s="234" t="s">
        <v>75</v>
      </c>
    </row>
    <row r="127" spans="1:18" s="138" customFormat="1">
      <c r="A127" s="400"/>
      <c r="B127" s="402"/>
      <c r="C127" s="401" t="s">
        <v>461</v>
      </c>
      <c r="D127" s="402" t="s">
        <v>56</v>
      </c>
      <c r="E127" s="401" t="s">
        <v>41</v>
      </c>
      <c r="F127" s="402"/>
      <c r="H127" s="402"/>
      <c r="I127" s="402"/>
      <c r="J127" s="403"/>
      <c r="K127" s="403"/>
      <c r="L127" s="403"/>
      <c r="M127" s="403"/>
      <c r="N127" s="404"/>
      <c r="O127" s="558">
        <f>INDEX('F_Inputs FD'!$B$4:$O$90,MATCH($C127,'F_Inputs FD'!$B$4:$B$90,0),MATCH(O$2,'F_Inputs FD'!$B$2:$N$2,0))</f>
        <v>0.25</v>
      </c>
      <c r="P127" s="232"/>
      <c r="Q127" s="232"/>
      <c r="R127" s="234" t="s">
        <v>75</v>
      </c>
    </row>
    <row r="128" spans="1:18" s="138" customFormat="1">
      <c r="A128" s="400"/>
      <c r="B128" s="402"/>
      <c r="C128" s="401" t="s">
        <v>462</v>
      </c>
      <c r="D128" s="402" t="s">
        <v>56</v>
      </c>
      <c r="E128" s="401" t="s">
        <v>42</v>
      </c>
      <c r="F128" s="402"/>
      <c r="H128" s="402"/>
      <c r="I128" s="402"/>
      <c r="J128" s="403"/>
      <c r="K128" s="403"/>
      <c r="L128" s="403"/>
      <c r="M128" s="403"/>
      <c r="N128" s="404"/>
      <c r="O128" s="558">
        <f>INDEX('F_Inputs FD'!$B$4:$O$90,MATCH($C128,'F_Inputs FD'!$B$4:$B$90,0),MATCH(O$2,'F_Inputs FD'!$B$2:$N$2,0))</f>
        <v>75</v>
      </c>
      <c r="P128" s="232"/>
      <c r="Q128" s="232"/>
      <c r="R128" s="234" t="s">
        <v>75</v>
      </c>
    </row>
    <row r="129" spans="1:18" s="138" customFormat="1">
      <c r="A129" s="400"/>
      <c r="B129" s="402"/>
      <c r="C129" s="401" t="s">
        <v>463</v>
      </c>
      <c r="D129" s="402" t="s">
        <v>56</v>
      </c>
      <c r="E129" s="401" t="s">
        <v>43</v>
      </c>
      <c r="F129" s="402"/>
      <c r="H129" s="402"/>
      <c r="I129" s="402"/>
      <c r="J129" s="403"/>
      <c r="K129" s="403"/>
      <c r="L129" s="403"/>
      <c r="M129" s="403"/>
      <c r="N129" s="404"/>
      <c r="O129" s="559">
        <f>INDEX('F_Inputs FD'!$B$4:$O$90,MATCH($C129,'F_Inputs FD'!$B$4:$B$90,0),MATCH(O$2,'F_Inputs FD'!$B$2:$N$2,0))</f>
        <v>-1.8749999999999999E-3</v>
      </c>
      <c r="P129" s="232"/>
      <c r="Q129" s="232"/>
      <c r="R129" s="234" t="s">
        <v>75</v>
      </c>
    </row>
    <row r="130" spans="1:18" s="138" customFormat="1">
      <c r="A130" s="400"/>
      <c r="B130" s="402"/>
      <c r="C130" s="401" t="s">
        <v>464</v>
      </c>
      <c r="D130" s="402" t="s">
        <v>56</v>
      </c>
      <c r="E130" s="401" t="s">
        <v>44</v>
      </c>
      <c r="F130" s="402"/>
      <c r="H130" s="402"/>
      <c r="I130" s="402"/>
      <c r="J130" s="403"/>
      <c r="K130" s="403"/>
      <c r="L130" s="403"/>
      <c r="M130" s="403"/>
      <c r="N130" s="404"/>
      <c r="O130" s="557">
        <f>INDEX('F_Inputs FD'!$B$4:$O$90,MATCH($C130,'F_Inputs FD'!$B$4:$B$90,0),MATCH(O$2,'F_Inputs FD'!$B$2:$N$2,0))</f>
        <v>0.28749999999999998</v>
      </c>
      <c r="P130" s="232"/>
      <c r="Q130" s="232"/>
      <c r="R130" s="234" t="s">
        <v>75</v>
      </c>
    </row>
    <row r="131" spans="1:18" s="138" customFormat="1">
      <c r="A131" s="400"/>
      <c r="B131" s="402"/>
      <c r="C131" s="401" t="s">
        <v>465</v>
      </c>
      <c r="D131" s="402" t="s">
        <v>56</v>
      </c>
      <c r="E131" s="401" t="s">
        <v>45</v>
      </c>
      <c r="F131" s="402"/>
      <c r="H131" s="402"/>
      <c r="I131" s="402"/>
      <c r="J131" s="403"/>
      <c r="K131" s="403"/>
      <c r="L131" s="403"/>
      <c r="M131" s="403"/>
      <c r="N131" s="404"/>
      <c r="O131" s="558">
        <f>INDEX('F_Inputs FD'!$B$4:$O$90,MATCH($C131,'F_Inputs FD'!$B$4:$B$90,0),MATCH(O$2,'F_Inputs FD'!$B$2:$N$2,0))</f>
        <v>-10</v>
      </c>
      <c r="P131" s="232"/>
      <c r="Q131" s="232"/>
      <c r="R131" s="234" t="s">
        <v>75</v>
      </c>
    </row>
    <row r="132" spans="1:18" s="138" customFormat="1">
      <c r="A132" s="400"/>
      <c r="B132" s="402"/>
      <c r="C132" s="401"/>
      <c r="D132" s="402"/>
      <c r="E132" s="401"/>
      <c r="F132" s="402"/>
      <c r="H132" s="402"/>
      <c r="I132" s="402"/>
      <c r="J132" s="403"/>
      <c r="K132" s="403"/>
      <c r="L132" s="403"/>
      <c r="M132" s="403"/>
      <c r="N132" s="404"/>
      <c r="O132" s="422"/>
      <c r="P132" s="232"/>
      <c r="Q132" s="232"/>
      <c r="R132" s="234"/>
    </row>
    <row r="133" spans="1:18" s="138" customFormat="1">
      <c r="A133" s="400"/>
      <c r="B133" s="402"/>
      <c r="C133" s="401"/>
      <c r="D133" s="402"/>
      <c r="E133" s="421" t="s">
        <v>49</v>
      </c>
      <c r="F133" s="402"/>
      <c r="H133" s="402"/>
      <c r="I133" s="402"/>
      <c r="J133" s="403"/>
      <c r="K133" s="403"/>
      <c r="L133" s="403"/>
      <c r="M133" s="403"/>
      <c r="N133" s="404"/>
      <c r="O133" s="422"/>
      <c r="P133" s="232"/>
      <c r="Q133" s="232"/>
      <c r="R133" s="234"/>
    </row>
    <row r="134" spans="1:18" s="138" customFormat="1">
      <c r="A134" s="400"/>
      <c r="B134" s="402"/>
      <c r="C134" s="401" t="s">
        <v>466</v>
      </c>
      <c r="D134" s="402" t="s">
        <v>56</v>
      </c>
      <c r="E134" s="401" t="s">
        <v>39</v>
      </c>
      <c r="F134" s="402"/>
      <c r="H134" s="402"/>
      <c r="I134" s="402"/>
      <c r="J134" s="403"/>
      <c r="K134" s="403"/>
      <c r="L134" s="403"/>
      <c r="M134" s="403"/>
      <c r="N134" s="404"/>
      <c r="O134" s="557">
        <f>INDEX('F_Inputs FD'!$B$4:$O$90,MATCH($C134,'F_Inputs FD'!$B$4:$B$90,0),MATCH(O$2,'F_Inputs FD'!$B$2:$N$2,0))</f>
        <v>-5.0000000000000001E-3</v>
      </c>
      <c r="P134" s="232"/>
      <c r="Q134" s="232"/>
      <c r="R134" s="234" t="s">
        <v>75</v>
      </c>
    </row>
    <row r="135" spans="1:18" s="138" customFormat="1">
      <c r="A135" s="400"/>
      <c r="B135" s="402"/>
      <c r="C135" s="401" t="s">
        <v>467</v>
      </c>
      <c r="D135" s="402" t="s">
        <v>56</v>
      </c>
      <c r="E135" s="401" t="s">
        <v>40</v>
      </c>
      <c r="F135" s="402"/>
      <c r="H135" s="402"/>
      <c r="I135" s="402"/>
      <c r="J135" s="403"/>
      <c r="K135" s="403"/>
      <c r="L135" s="403"/>
      <c r="M135" s="403"/>
      <c r="N135" s="404"/>
      <c r="O135" s="558">
        <f>INDEX('F_Inputs FD'!$B$4:$O$90,MATCH($C135,'F_Inputs FD'!$B$4:$B$90,0),MATCH(O$2,'F_Inputs FD'!$B$2:$N$2,0))</f>
        <v>0.8</v>
      </c>
      <c r="P135" s="232"/>
      <c r="Q135" s="232"/>
      <c r="R135" s="234" t="s">
        <v>75</v>
      </c>
    </row>
    <row r="136" spans="1:18" s="138" customFormat="1">
      <c r="A136" s="400"/>
      <c r="B136" s="402"/>
      <c r="C136" s="401" t="s">
        <v>468</v>
      </c>
      <c r="D136" s="402" t="s">
        <v>56</v>
      </c>
      <c r="E136" s="401" t="s">
        <v>41</v>
      </c>
      <c r="F136" s="402"/>
      <c r="H136" s="402"/>
      <c r="I136" s="402"/>
      <c r="J136" s="403"/>
      <c r="K136" s="403"/>
      <c r="L136" s="403"/>
      <c r="M136" s="403"/>
      <c r="N136" s="404"/>
      <c r="O136" s="558">
        <f>INDEX('F_Inputs FD'!$B$4:$O$90,MATCH($C136,'F_Inputs FD'!$B$4:$B$90,0),MATCH(O$2,'F_Inputs FD'!$B$2:$N$2,0))</f>
        <v>0.25</v>
      </c>
      <c r="P136" s="232"/>
      <c r="Q136" s="232"/>
      <c r="R136" s="234" t="s">
        <v>75</v>
      </c>
    </row>
    <row r="137" spans="1:18" s="138" customFormat="1">
      <c r="A137" s="400"/>
      <c r="B137" s="402"/>
      <c r="C137" s="401" t="s">
        <v>469</v>
      </c>
      <c r="D137" s="402" t="s">
        <v>56</v>
      </c>
      <c r="E137" s="401" t="s">
        <v>42</v>
      </c>
      <c r="F137" s="402"/>
      <c r="H137" s="402"/>
      <c r="I137" s="402"/>
      <c r="J137" s="403"/>
      <c r="K137" s="403"/>
      <c r="L137" s="403"/>
      <c r="M137" s="403"/>
      <c r="N137" s="404"/>
      <c r="O137" s="558">
        <f>INDEX('F_Inputs FD'!$B$4:$O$90,MATCH($C137,'F_Inputs FD'!$B$4:$B$90,0),MATCH(O$2,'F_Inputs FD'!$B$2:$N$2,0))</f>
        <v>75</v>
      </c>
      <c r="P137" s="232"/>
      <c r="Q137" s="232"/>
      <c r="R137" s="234" t="s">
        <v>75</v>
      </c>
    </row>
    <row r="138" spans="1:18" s="138" customFormat="1">
      <c r="A138" s="400"/>
      <c r="B138" s="402"/>
      <c r="C138" s="401" t="s">
        <v>470</v>
      </c>
      <c r="D138" s="402" t="s">
        <v>56</v>
      </c>
      <c r="E138" s="401" t="s">
        <v>43</v>
      </c>
      <c r="F138" s="402"/>
      <c r="H138" s="402"/>
      <c r="I138" s="402"/>
      <c r="J138" s="403"/>
      <c r="K138" s="403"/>
      <c r="L138" s="403"/>
      <c r="M138" s="403"/>
      <c r="N138" s="404"/>
      <c r="O138" s="559">
        <f>INDEX('F_Inputs FD'!$B$4:$O$90,MATCH($C138,'F_Inputs FD'!$B$4:$B$90,0),MATCH(O$2,'F_Inputs FD'!$B$2:$N$2,0))</f>
        <v>-1.25E-3</v>
      </c>
      <c r="P138" s="232"/>
      <c r="Q138" s="232"/>
      <c r="R138" s="234" t="s">
        <v>75</v>
      </c>
    </row>
    <row r="139" spans="1:18" s="138" customFormat="1">
      <c r="A139" s="400"/>
      <c r="B139" s="402"/>
      <c r="C139" s="401" t="s">
        <v>471</v>
      </c>
      <c r="D139" s="402" t="s">
        <v>56</v>
      </c>
      <c r="E139" s="401" t="s">
        <v>44</v>
      </c>
      <c r="F139" s="402"/>
      <c r="H139" s="402"/>
      <c r="I139" s="402"/>
      <c r="J139" s="403"/>
      <c r="K139" s="403"/>
      <c r="L139" s="403"/>
      <c r="M139" s="403"/>
      <c r="N139" s="404"/>
      <c r="O139" s="557">
        <f>INDEX('F_Inputs FD'!$B$4:$O$90,MATCH($C139,'F_Inputs FD'!$B$4:$B$90,0),MATCH(O$2,'F_Inputs FD'!$B$2:$N$2,0))</f>
        <v>0.17499999999999999</v>
      </c>
      <c r="P139" s="232"/>
      <c r="Q139" s="232"/>
      <c r="R139" s="234" t="s">
        <v>75</v>
      </c>
    </row>
    <row r="140" spans="1:18" s="138" customFormat="1">
      <c r="A140" s="400"/>
      <c r="B140" s="402"/>
      <c r="C140" s="401" t="s">
        <v>472</v>
      </c>
      <c r="D140" s="402" t="s">
        <v>56</v>
      </c>
      <c r="E140" s="401" t="s">
        <v>45</v>
      </c>
      <c r="F140" s="402"/>
      <c r="H140" s="402"/>
      <c r="I140" s="402"/>
      <c r="J140" s="403"/>
      <c r="K140" s="403"/>
      <c r="L140" s="403"/>
      <c r="M140" s="403"/>
      <c r="N140" s="404"/>
      <c r="O140" s="558">
        <f>INDEX('F_Inputs FD'!$B$4:$O$90,MATCH($C140,'F_Inputs FD'!$B$4:$B$90,0),MATCH(O$2,'F_Inputs FD'!$B$2:$N$2,0))</f>
        <v>-5</v>
      </c>
      <c r="P140" s="232"/>
      <c r="Q140" s="232"/>
      <c r="R140" s="234" t="s">
        <v>75</v>
      </c>
    </row>
    <row r="141" spans="1:18" s="138" customFormat="1">
      <c r="A141" s="400"/>
      <c r="B141" s="402"/>
      <c r="C141" s="401"/>
      <c r="D141" s="402"/>
      <c r="E141" s="401"/>
      <c r="F141" s="402"/>
      <c r="H141" s="402"/>
      <c r="I141" s="402"/>
      <c r="J141" s="403"/>
      <c r="K141" s="403"/>
      <c r="L141" s="403"/>
      <c r="M141" s="403"/>
      <c r="N141" s="404"/>
      <c r="O141" s="422"/>
      <c r="P141" s="232"/>
      <c r="Q141" s="232"/>
      <c r="R141" s="234"/>
    </row>
    <row r="142" spans="1:18" s="138" customFormat="1">
      <c r="A142" s="400"/>
      <c r="B142" s="402"/>
      <c r="C142" s="401"/>
      <c r="D142" s="402"/>
      <c r="E142" s="421" t="s">
        <v>54</v>
      </c>
      <c r="F142" s="402"/>
      <c r="H142" s="402"/>
      <c r="I142" s="402"/>
      <c r="J142" s="403"/>
      <c r="K142" s="403"/>
      <c r="L142" s="403"/>
      <c r="M142" s="403"/>
      <c r="N142" s="404"/>
      <c r="O142" s="422"/>
      <c r="P142" s="232"/>
      <c r="Q142" s="232"/>
      <c r="R142" s="234"/>
    </row>
    <row r="143" spans="1:18" s="138" customFormat="1">
      <c r="A143" s="400"/>
      <c r="B143" s="402"/>
      <c r="C143" s="401" t="s">
        <v>473</v>
      </c>
      <c r="D143" s="402" t="s">
        <v>56</v>
      </c>
      <c r="E143" s="401" t="s">
        <v>46</v>
      </c>
      <c r="F143" s="402"/>
      <c r="H143" s="402"/>
      <c r="I143" s="402"/>
      <c r="J143" s="403"/>
      <c r="K143" s="403"/>
      <c r="L143" s="403"/>
      <c r="M143" s="403"/>
      <c r="N143" s="404"/>
      <c r="O143" s="558">
        <f>INDEX('F_Inputs FD'!$B$4:$O$90,MATCH($C143,'F_Inputs FD'!$B$4:$B$90,0),MATCH(O$2,'F_Inputs FD'!$B$2:$N$2,0))</f>
        <v>0.05</v>
      </c>
      <c r="P143" s="232"/>
      <c r="Q143" s="232"/>
      <c r="R143" s="234" t="s">
        <v>75</v>
      </c>
    </row>
    <row r="144" spans="1:18" s="138" customFormat="1">
      <c r="A144" s="400"/>
      <c r="B144" s="402"/>
      <c r="C144" s="401"/>
      <c r="D144" s="402"/>
      <c r="E144" s="401"/>
      <c r="F144" s="402"/>
      <c r="H144" s="402"/>
      <c r="I144" s="402"/>
      <c r="J144" s="403"/>
      <c r="K144" s="403"/>
      <c r="L144" s="403"/>
      <c r="M144" s="403"/>
      <c r="N144" s="404"/>
      <c r="O144" s="422"/>
      <c r="P144" s="232"/>
      <c r="Q144" s="232"/>
      <c r="R144" s="234"/>
    </row>
    <row r="145" spans="1:18" s="138" customFormat="1">
      <c r="A145" s="400"/>
      <c r="B145" s="402"/>
      <c r="C145" s="401" t="s">
        <v>474</v>
      </c>
      <c r="D145" s="402" t="s">
        <v>55</v>
      </c>
      <c r="E145" s="154" t="s">
        <v>50</v>
      </c>
      <c r="F145" s="402"/>
      <c r="H145" s="402"/>
      <c r="I145" s="402"/>
      <c r="J145" s="403"/>
      <c r="K145" s="403"/>
      <c r="L145" s="403"/>
      <c r="M145" s="403"/>
      <c r="N145" s="404"/>
      <c r="O145" s="560">
        <f>INDEX('F_Inputs FD'!$B$4:$O$90,MATCH($C145,'F_Inputs FD'!$B$4:$B$90,0),MATCH(O$2,'F_Inputs FD'!$B$2:$N$2,0))</f>
        <v>100</v>
      </c>
      <c r="P145" s="232"/>
      <c r="Q145" s="232"/>
      <c r="R145" s="234" t="s">
        <v>75</v>
      </c>
    </row>
    <row r="146" spans="1:18" s="138" customFormat="1">
      <c r="A146" s="400"/>
      <c r="B146" s="402"/>
      <c r="C146" s="401" t="s">
        <v>475</v>
      </c>
      <c r="D146" s="402" t="s">
        <v>55</v>
      </c>
      <c r="E146" s="401" t="s">
        <v>47</v>
      </c>
      <c r="F146" s="402"/>
      <c r="H146" s="402"/>
      <c r="I146" s="402"/>
      <c r="J146" s="403"/>
      <c r="K146" s="403"/>
      <c r="L146" s="403"/>
      <c r="M146" s="403"/>
      <c r="N146" s="404"/>
      <c r="O146" s="560">
        <f>INDEX('F_Inputs FD'!$B$4:$O$90,MATCH($C146,'F_Inputs FD'!$B$4:$B$90,0),MATCH(O$2,'F_Inputs FD'!$B$2:$N$2,0))</f>
        <v>130</v>
      </c>
      <c r="P146" s="232"/>
      <c r="Q146" s="232"/>
      <c r="R146" s="234" t="s">
        <v>75</v>
      </c>
    </row>
    <row r="147" spans="1:18" s="138" customFormat="1">
      <c r="A147" s="400"/>
      <c r="B147" s="402"/>
      <c r="C147" s="401"/>
      <c r="D147" s="402"/>
      <c r="E147" s="401"/>
      <c r="F147" s="402"/>
      <c r="G147" s="422"/>
      <c r="H147" s="402"/>
      <c r="I147" s="402"/>
      <c r="J147" s="403"/>
      <c r="K147" s="403"/>
      <c r="L147" s="403"/>
      <c r="M147" s="403"/>
      <c r="N147" s="404"/>
      <c r="O147" s="232"/>
      <c r="P147" s="232"/>
      <c r="Q147" s="232"/>
      <c r="R147" s="234"/>
    </row>
    <row r="148" spans="1:18">
      <c r="A148" s="429"/>
      <c r="B148" s="440"/>
      <c r="C148" s="441"/>
      <c r="D148" s="466" t="s">
        <v>38</v>
      </c>
      <c r="E148" s="443" t="s">
        <v>174</v>
      </c>
      <c r="F148" s="440"/>
      <c r="G148" s="445"/>
      <c r="H148" s="440"/>
      <c r="I148" s="440"/>
      <c r="J148" s="440"/>
      <c r="K148" s="440"/>
      <c r="L148" s="440"/>
      <c r="M148" s="440"/>
      <c r="N148" s="446"/>
      <c r="O148" s="440"/>
      <c r="P148" s="440"/>
      <c r="Q148" s="440"/>
      <c r="R148" s="447"/>
    </row>
    <row r="149" spans="1:18" s="138" customFormat="1">
      <c r="A149" s="432"/>
      <c r="B149" s="213"/>
      <c r="C149" s="231"/>
      <c r="D149" s="213"/>
      <c r="E149" s="215"/>
      <c r="F149" s="213"/>
      <c r="G149" s="240"/>
      <c r="H149" s="213"/>
      <c r="I149" s="213"/>
      <c r="J149" s="224"/>
      <c r="K149" s="224"/>
      <c r="L149" s="224"/>
      <c r="M149" s="224"/>
      <c r="N149" s="396"/>
      <c r="O149" s="213"/>
      <c r="P149" s="213"/>
      <c r="Q149" s="213"/>
      <c r="R149" s="225"/>
    </row>
    <row r="150" spans="1:18" s="138" customFormat="1">
      <c r="A150" s="397"/>
      <c r="B150" s="153"/>
      <c r="C150" s="423"/>
      <c r="D150" s="402" t="s">
        <v>168</v>
      </c>
      <c r="E150" s="401" t="s">
        <v>74</v>
      </c>
      <c r="F150" s="402"/>
      <c r="G150" s="572" t="s">
        <v>781</v>
      </c>
      <c r="H150" s="402"/>
      <c r="I150" s="402"/>
      <c r="J150" s="403"/>
      <c r="K150" s="403"/>
      <c r="L150" s="403"/>
      <c r="M150" s="403"/>
      <c r="N150" s="404"/>
      <c r="O150" s="232"/>
      <c r="P150" s="232"/>
      <c r="Q150" s="232"/>
      <c r="R150" s="234" t="s">
        <v>75</v>
      </c>
    </row>
    <row r="151" spans="1:18" s="138" customFormat="1">
      <c r="A151" s="397"/>
      <c r="B151" s="153"/>
      <c r="C151" s="420" t="s">
        <v>166</v>
      </c>
      <c r="D151" s="153" t="s">
        <v>16</v>
      </c>
      <c r="E151" s="154" t="s">
        <v>270</v>
      </c>
      <c r="F151" s="402"/>
      <c r="H151" s="402"/>
      <c r="I151" s="402"/>
      <c r="J151" s="403"/>
      <c r="K151" s="403"/>
      <c r="L151" s="403"/>
      <c r="M151" s="403"/>
      <c r="N151" s="404"/>
      <c r="O151" s="424">
        <f>INDEX('F_Inputs FD'!$B$4:$O$90,MATCH($C151,'F_Inputs FD'!$B$4:$B$90,0),MATCH(O$2,'F_Inputs FD'!$B$2:$N$2,0))</f>
        <v>2</v>
      </c>
      <c r="R151" s="137" t="s">
        <v>75</v>
      </c>
    </row>
    <row r="152" spans="1:18" s="138" customFormat="1">
      <c r="A152" s="397"/>
      <c r="B152" s="153"/>
      <c r="C152" s="420" t="s">
        <v>167</v>
      </c>
      <c r="D152" s="153" t="s">
        <v>16</v>
      </c>
      <c r="E152" s="154" t="s">
        <v>104</v>
      </c>
      <c r="F152" s="153"/>
      <c r="H152" s="153"/>
      <c r="I152" s="153"/>
      <c r="J152" s="403"/>
      <c r="K152" s="403"/>
      <c r="L152" s="403"/>
      <c r="M152" s="403"/>
      <c r="N152" s="404"/>
      <c r="O152" s="424">
        <f>INDEX('F_Inputs FD'!$B$4:$O$90,MATCH($C152,'F_Inputs FD'!$B$4:$B$90,0),MATCH(O$2,'F_Inputs FD'!$B$2:$N$2,0))</f>
        <v>0</v>
      </c>
      <c r="R152" s="137" t="s">
        <v>75</v>
      </c>
    </row>
    <row r="153" spans="1:18" s="138" customFormat="1">
      <c r="A153" s="397"/>
      <c r="B153" s="153"/>
      <c r="C153" s="420" t="s">
        <v>577</v>
      </c>
      <c r="D153" s="153" t="s">
        <v>522</v>
      </c>
      <c r="E153" s="154" t="s">
        <v>575</v>
      </c>
      <c r="F153" s="153"/>
      <c r="G153" s="153"/>
      <c r="H153" s="153"/>
      <c r="I153" s="153"/>
      <c r="J153" s="403"/>
      <c r="K153" s="403"/>
      <c r="L153" s="403"/>
      <c r="M153" s="403"/>
      <c r="N153" s="404"/>
      <c r="O153" s="702">
        <f>'F_Inputs FD'!$O$90</f>
        <v>3.5999999999999997E-2</v>
      </c>
      <c r="R153" s="137"/>
    </row>
    <row r="154" spans="1:18" s="138" customFormat="1">
      <c r="A154" s="397"/>
      <c r="B154" s="153"/>
      <c r="C154" s="423"/>
      <c r="D154" s="153" t="s">
        <v>16</v>
      </c>
      <c r="E154" s="153" t="s">
        <v>536</v>
      </c>
      <c r="F154" s="402"/>
      <c r="G154" s="402"/>
      <c r="H154" s="402"/>
      <c r="I154" s="402"/>
      <c r="J154" s="403"/>
      <c r="K154" s="403"/>
      <c r="L154" s="403"/>
      <c r="M154" s="403"/>
      <c r="N154" s="404"/>
      <c r="O154" s="572">
        <v>1</v>
      </c>
      <c r="R154" s="137"/>
    </row>
    <row r="155" spans="1:18" s="138" customFormat="1">
      <c r="A155" s="397"/>
      <c r="B155" s="153"/>
      <c r="C155" s="423"/>
      <c r="D155" s="153" t="s">
        <v>16</v>
      </c>
      <c r="E155" s="153" t="s">
        <v>579</v>
      </c>
      <c r="F155" s="402"/>
      <c r="G155" s="402"/>
      <c r="H155" s="402"/>
      <c r="I155" s="402"/>
      <c r="J155" s="403"/>
      <c r="K155" s="403"/>
      <c r="L155" s="403"/>
      <c r="M155" s="403"/>
      <c r="N155" s="404"/>
      <c r="O155" s="572">
        <v>5</v>
      </c>
      <c r="R155" s="137"/>
    </row>
    <row r="156" spans="1:18" s="138" customFormat="1">
      <c r="A156" s="425"/>
      <c r="B156" s="665"/>
      <c r="C156" s="665"/>
      <c r="D156" s="665" t="s">
        <v>16</v>
      </c>
      <c r="E156" s="665" t="s">
        <v>612</v>
      </c>
      <c r="F156" s="665"/>
      <c r="G156" s="426"/>
      <c r="H156" s="426"/>
      <c r="I156" s="426"/>
      <c r="J156" s="427"/>
      <c r="K156" s="427"/>
      <c r="L156" s="427"/>
      <c r="M156" s="427"/>
      <c r="N156" s="428"/>
      <c r="O156" s="666">
        <v>1</v>
      </c>
      <c r="R156" s="137"/>
    </row>
    <row r="157" spans="1:18" s="138" customFormat="1">
      <c r="A157" s="232"/>
      <c r="B157" s="232"/>
      <c r="C157" s="241"/>
      <c r="D157" s="232"/>
      <c r="E157" s="233"/>
      <c r="F157" s="232"/>
      <c r="G157" s="232"/>
      <c r="H157" s="232"/>
      <c r="I157" s="232"/>
      <c r="J157" s="232"/>
      <c r="K157" s="232"/>
      <c r="L157" s="232"/>
      <c r="M157" s="232"/>
      <c r="N157" s="232"/>
      <c r="O157" s="232"/>
      <c r="P157" s="232"/>
      <c r="Q157" s="232"/>
      <c r="R157" s="234"/>
    </row>
    <row r="158" spans="1:18" s="138" customFormat="1">
      <c r="A158" s="232"/>
      <c r="B158" s="232"/>
      <c r="C158" s="241"/>
      <c r="D158" s="232"/>
      <c r="E158" s="233"/>
      <c r="F158" s="232"/>
      <c r="G158" s="232"/>
      <c r="H158" s="232"/>
      <c r="I158" s="232"/>
      <c r="J158" s="232"/>
      <c r="K158" s="232"/>
      <c r="L158" s="232"/>
      <c r="M158" s="232"/>
      <c r="N158" s="232"/>
      <c r="O158" s="232"/>
      <c r="P158" s="232"/>
      <c r="Q158" s="232"/>
      <c r="R158" s="234"/>
    </row>
    <row r="159" spans="1:18" s="138" customFormat="1">
      <c r="A159" s="232"/>
      <c r="B159" s="232"/>
      <c r="C159" s="241"/>
      <c r="D159" s="232"/>
      <c r="E159" s="233"/>
      <c r="F159" s="232"/>
      <c r="G159" s="232"/>
      <c r="H159" s="232"/>
      <c r="I159" s="232"/>
      <c r="J159" s="232"/>
      <c r="K159" s="232"/>
      <c r="L159" s="232"/>
      <c r="M159" s="232"/>
      <c r="N159" s="232"/>
      <c r="O159" s="232"/>
      <c r="P159" s="232"/>
      <c r="Q159" s="232"/>
      <c r="R159" s="234"/>
    </row>
    <row r="160" spans="1:18" s="138" customFormat="1">
      <c r="A160" s="232"/>
      <c r="B160" s="232"/>
      <c r="C160" s="241"/>
      <c r="D160" s="232"/>
      <c r="E160" s="233"/>
      <c r="F160" s="232"/>
      <c r="G160" s="232"/>
      <c r="H160" s="232"/>
      <c r="I160" s="232"/>
      <c r="J160" s="232"/>
      <c r="K160" s="232"/>
      <c r="L160" s="232"/>
      <c r="M160" s="232"/>
      <c r="N160" s="232"/>
      <c r="O160" s="232"/>
      <c r="P160" s="232"/>
      <c r="Q160" s="232"/>
      <c r="R160" s="234"/>
    </row>
    <row r="161" spans="1:18" s="138" customFormat="1">
      <c r="A161" s="232"/>
      <c r="B161" s="232"/>
      <c r="C161" s="241"/>
      <c r="D161" s="232"/>
      <c r="E161" s="233"/>
      <c r="F161" s="232"/>
      <c r="G161" s="232"/>
      <c r="H161" s="232"/>
      <c r="I161" s="232"/>
      <c r="J161" s="232"/>
      <c r="K161" s="232"/>
      <c r="L161" s="232"/>
      <c r="M161" s="232"/>
      <c r="N161" s="232"/>
      <c r="O161" s="232"/>
      <c r="P161" s="232"/>
      <c r="Q161" s="232"/>
      <c r="R161" s="234"/>
    </row>
    <row r="162" spans="1:18" s="138" customFormat="1">
      <c r="A162" s="232"/>
      <c r="B162" s="232"/>
      <c r="C162" s="241"/>
      <c r="D162" s="232"/>
      <c r="E162" s="233"/>
      <c r="F162" s="232"/>
      <c r="G162" s="232"/>
      <c r="H162" s="232"/>
      <c r="I162" s="232"/>
      <c r="J162" s="232"/>
      <c r="K162" s="232"/>
      <c r="L162" s="232"/>
      <c r="M162" s="232"/>
      <c r="N162" s="232"/>
      <c r="O162" s="232"/>
      <c r="P162" s="232"/>
      <c r="Q162" s="232"/>
      <c r="R162" s="234"/>
    </row>
    <row r="163" spans="1:18" s="138" customFormat="1">
      <c r="A163" s="232"/>
      <c r="B163" s="232"/>
      <c r="C163" s="241"/>
      <c r="D163" s="232"/>
      <c r="E163" s="233"/>
      <c r="F163" s="232"/>
      <c r="G163" s="232"/>
      <c r="H163" s="232"/>
      <c r="I163" s="232"/>
      <c r="J163" s="232"/>
      <c r="K163" s="232"/>
      <c r="L163" s="232"/>
      <c r="M163" s="232"/>
      <c r="N163" s="232"/>
      <c r="O163" s="232"/>
      <c r="P163" s="232"/>
      <c r="Q163" s="232"/>
      <c r="R163" s="234"/>
    </row>
    <row r="164" spans="1:18" s="138" customFormat="1">
      <c r="A164" s="232"/>
      <c r="B164" s="232"/>
      <c r="C164" s="241"/>
      <c r="D164" s="232"/>
      <c r="E164" s="233"/>
      <c r="F164" s="232"/>
      <c r="G164" s="232"/>
      <c r="H164" s="232"/>
      <c r="I164" s="232"/>
      <c r="J164" s="232"/>
      <c r="K164" s="232"/>
      <c r="L164" s="232"/>
      <c r="M164" s="232"/>
      <c r="N164" s="232"/>
      <c r="O164" s="232"/>
      <c r="P164" s="232"/>
      <c r="Q164" s="232"/>
      <c r="R164" s="234"/>
    </row>
    <row r="165" spans="1:18" s="138" customFormat="1">
      <c r="A165" s="232"/>
      <c r="B165" s="232"/>
      <c r="C165" s="241"/>
      <c r="D165" s="232"/>
      <c r="E165" s="233"/>
      <c r="F165" s="232"/>
      <c r="G165" s="232"/>
      <c r="H165" s="232"/>
      <c r="I165" s="232"/>
      <c r="J165" s="232"/>
      <c r="K165" s="232"/>
      <c r="L165" s="232"/>
      <c r="M165" s="232"/>
      <c r="N165" s="232"/>
      <c r="O165" s="232"/>
      <c r="P165" s="232"/>
      <c r="Q165" s="232"/>
      <c r="R165" s="234"/>
    </row>
    <row r="166" spans="1:18" s="138" customFormat="1">
      <c r="A166" s="232"/>
      <c r="B166" s="232"/>
      <c r="C166" s="241"/>
      <c r="D166" s="232"/>
      <c r="E166" s="233"/>
      <c r="F166" s="232"/>
      <c r="G166" s="232"/>
      <c r="H166" s="232"/>
      <c r="I166" s="232"/>
      <c r="J166" s="232"/>
      <c r="K166" s="232"/>
      <c r="L166" s="232"/>
      <c r="M166" s="232"/>
      <c r="N166" s="232"/>
      <c r="O166" s="232"/>
      <c r="P166" s="232"/>
      <c r="Q166" s="232"/>
      <c r="R166" s="234"/>
    </row>
    <row r="167" spans="1:18" s="138" customFormat="1">
      <c r="A167" s="232"/>
      <c r="B167" s="232"/>
      <c r="C167" s="241"/>
      <c r="D167" s="232"/>
      <c r="E167" s="233"/>
      <c r="F167" s="232"/>
      <c r="G167" s="232"/>
      <c r="H167" s="232"/>
      <c r="I167" s="232"/>
      <c r="J167" s="232"/>
      <c r="K167" s="232"/>
      <c r="L167" s="232"/>
      <c r="M167" s="232"/>
      <c r="N167" s="232"/>
      <c r="O167" s="232"/>
      <c r="P167" s="232"/>
      <c r="Q167" s="232"/>
      <c r="R167" s="234"/>
    </row>
    <row r="168" spans="1:18" s="138" customFormat="1">
      <c r="A168" s="232"/>
      <c r="B168" s="232"/>
      <c r="C168" s="241"/>
      <c r="D168" s="232"/>
      <c r="E168" s="233"/>
      <c r="F168" s="232"/>
      <c r="G168" s="232"/>
      <c r="H168" s="232"/>
      <c r="I168" s="232"/>
      <c r="J168" s="232"/>
      <c r="K168" s="232"/>
      <c r="L168" s="232"/>
      <c r="M168" s="232"/>
      <c r="N168" s="232"/>
      <c r="O168" s="232"/>
      <c r="P168" s="232"/>
      <c r="Q168" s="232"/>
      <c r="R168" s="234"/>
    </row>
    <row r="169" spans="1:18" s="138" customFormat="1">
      <c r="A169" s="232"/>
      <c r="B169" s="232"/>
      <c r="C169" s="241"/>
      <c r="D169" s="232"/>
      <c r="E169" s="233"/>
      <c r="F169" s="232"/>
      <c r="G169" s="232"/>
      <c r="H169" s="232"/>
      <c r="I169" s="232"/>
      <c r="J169" s="232"/>
      <c r="K169" s="232"/>
      <c r="L169" s="232"/>
      <c r="M169" s="232"/>
      <c r="N169" s="232"/>
      <c r="O169" s="232"/>
      <c r="P169" s="232"/>
      <c r="Q169" s="232"/>
      <c r="R169" s="234"/>
    </row>
    <row r="170" spans="1:18" s="138" customFormat="1">
      <c r="A170" s="232"/>
      <c r="B170" s="232"/>
      <c r="C170" s="241"/>
      <c r="D170" s="232"/>
      <c r="E170" s="233"/>
      <c r="F170" s="232"/>
      <c r="G170" s="232"/>
      <c r="H170" s="232"/>
      <c r="I170" s="232"/>
      <c r="J170" s="232"/>
      <c r="K170" s="232"/>
      <c r="L170" s="232"/>
      <c r="M170" s="232"/>
      <c r="N170" s="232"/>
      <c r="O170" s="232"/>
      <c r="P170" s="232"/>
      <c r="Q170" s="232"/>
      <c r="R170" s="234"/>
    </row>
    <row r="171" spans="1:18" s="138" customFormat="1">
      <c r="A171" s="232"/>
      <c r="B171" s="232"/>
      <c r="C171" s="241"/>
      <c r="D171" s="232"/>
      <c r="E171" s="233"/>
      <c r="F171" s="232"/>
      <c r="G171" s="232"/>
      <c r="H171" s="232"/>
      <c r="I171" s="232"/>
      <c r="J171" s="232"/>
      <c r="K171" s="232"/>
      <c r="L171" s="232"/>
      <c r="M171" s="232"/>
      <c r="N171" s="232"/>
      <c r="O171" s="232"/>
      <c r="P171" s="232"/>
      <c r="Q171" s="232"/>
      <c r="R171" s="234"/>
    </row>
    <row r="172" spans="1:18" s="138" customFormat="1">
      <c r="A172" s="232"/>
      <c r="B172" s="232"/>
      <c r="C172" s="241"/>
      <c r="D172" s="232"/>
      <c r="E172" s="233"/>
      <c r="F172" s="232"/>
      <c r="G172" s="232"/>
      <c r="H172" s="232"/>
      <c r="I172" s="232"/>
      <c r="J172" s="232"/>
      <c r="K172" s="232"/>
      <c r="L172" s="232"/>
      <c r="M172" s="232"/>
      <c r="N172" s="232"/>
      <c r="O172" s="232"/>
      <c r="P172" s="232"/>
      <c r="Q172" s="232"/>
      <c r="R172" s="234"/>
    </row>
    <row r="173" spans="1:18" s="138" customFormat="1">
      <c r="A173" s="232"/>
      <c r="B173" s="232"/>
      <c r="C173" s="241"/>
      <c r="D173" s="232"/>
      <c r="E173" s="233"/>
      <c r="F173" s="232"/>
      <c r="G173" s="232"/>
      <c r="H173" s="232"/>
      <c r="I173" s="232"/>
      <c r="J173" s="232"/>
      <c r="K173" s="232"/>
      <c r="L173" s="232"/>
      <c r="M173" s="232"/>
      <c r="N173" s="232"/>
      <c r="O173" s="232"/>
      <c r="P173" s="232"/>
      <c r="Q173" s="232"/>
      <c r="R173" s="234"/>
    </row>
    <row r="174" spans="1:18" s="138" customFormat="1">
      <c r="A174" s="232"/>
      <c r="B174" s="232"/>
      <c r="C174" s="241"/>
      <c r="D174" s="232"/>
      <c r="E174" s="233"/>
      <c r="F174" s="232"/>
      <c r="G174" s="232"/>
      <c r="H174" s="232"/>
      <c r="I174" s="232"/>
      <c r="J174" s="232"/>
      <c r="K174" s="232"/>
      <c r="L174" s="232"/>
      <c r="M174" s="232"/>
      <c r="N174" s="232"/>
      <c r="O174" s="232"/>
      <c r="P174" s="232"/>
      <c r="Q174" s="232"/>
      <c r="R174" s="234"/>
    </row>
    <row r="175" spans="1:18" s="138" customFormat="1">
      <c r="A175" s="232"/>
      <c r="B175" s="232"/>
      <c r="C175" s="241"/>
      <c r="D175" s="232"/>
      <c r="E175" s="233"/>
      <c r="F175" s="232"/>
      <c r="G175" s="232"/>
      <c r="H175" s="232"/>
      <c r="I175" s="232"/>
      <c r="J175" s="232"/>
      <c r="K175" s="232"/>
      <c r="L175" s="232"/>
      <c r="M175" s="232"/>
      <c r="N175" s="232"/>
      <c r="O175" s="232"/>
      <c r="P175" s="232"/>
      <c r="Q175" s="232"/>
      <c r="R175" s="234"/>
    </row>
    <row r="176" spans="1:18" s="138" customFormat="1">
      <c r="A176" s="232"/>
      <c r="B176" s="232"/>
      <c r="C176" s="241"/>
      <c r="D176" s="232"/>
      <c r="E176" s="233"/>
      <c r="F176" s="232"/>
      <c r="G176" s="232"/>
      <c r="H176" s="232"/>
      <c r="I176" s="232"/>
      <c r="J176" s="232"/>
      <c r="K176" s="232"/>
      <c r="L176" s="232"/>
      <c r="M176" s="232"/>
      <c r="N176" s="232"/>
      <c r="O176" s="232"/>
      <c r="P176" s="232"/>
      <c r="Q176" s="232"/>
      <c r="R176" s="234"/>
    </row>
    <row r="177" spans="1:18" s="138" customFormat="1">
      <c r="A177" s="232"/>
      <c r="B177" s="232"/>
      <c r="C177" s="241"/>
      <c r="D177" s="232"/>
      <c r="E177" s="233"/>
      <c r="F177" s="232"/>
      <c r="G177" s="232"/>
      <c r="H177" s="232"/>
      <c r="I177" s="232"/>
      <c r="J177" s="232"/>
      <c r="K177" s="232"/>
      <c r="L177" s="232"/>
      <c r="M177" s="232"/>
      <c r="N177" s="232"/>
      <c r="O177" s="232"/>
      <c r="P177" s="232"/>
      <c r="Q177" s="232"/>
      <c r="R177" s="234"/>
    </row>
    <row r="178" spans="1:18" s="138" customFormat="1">
      <c r="A178" s="232"/>
      <c r="B178" s="232"/>
      <c r="C178" s="241"/>
      <c r="D178" s="232"/>
      <c r="E178" s="233"/>
      <c r="F178" s="232"/>
      <c r="G178" s="232"/>
      <c r="H178" s="232"/>
      <c r="I178" s="232"/>
      <c r="J178" s="232"/>
      <c r="K178" s="232"/>
      <c r="L178" s="232"/>
      <c r="M178" s="232"/>
      <c r="N178" s="232"/>
      <c r="O178" s="232"/>
      <c r="P178" s="232"/>
      <c r="Q178" s="232"/>
      <c r="R178" s="234"/>
    </row>
    <row r="179" spans="1:18" s="138" customFormat="1">
      <c r="A179" s="232"/>
      <c r="B179" s="232"/>
      <c r="C179" s="241"/>
      <c r="D179" s="232"/>
      <c r="E179" s="233"/>
      <c r="F179" s="232"/>
      <c r="G179" s="232"/>
      <c r="H179" s="232"/>
      <c r="I179" s="232"/>
      <c r="J179" s="232"/>
      <c r="K179" s="232"/>
      <c r="L179" s="232"/>
      <c r="M179" s="232"/>
      <c r="N179" s="232"/>
      <c r="O179" s="232"/>
      <c r="P179" s="232"/>
      <c r="Q179" s="232"/>
      <c r="R179" s="234"/>
    </row>
    <row r="180" spans="1:18" s="138" customFormat="1">
      <c r="A180" s="232"/>
      <c r="B180" s="232"/>
      <c r="C180" s="241"/>
      <c r="D180" s="232"/>
      <c r="E180" s="233"/>
      <c r="F180" s="232"/>
      <c r="G180" s="232"/>
      <c r="H180" s="232"/>
      <c r="I180" s="232"/>
      <c r="J180" s="232"/>
      <c r="K180" s="232"/>
      <c r="L180" s="232"/>
      <c r="M180" s="232"/>
      <c r="N180" s="232"/>
      <c r="O180" s="232"/>
      <c r="P180" s="232"/>
      <c r="Q180" s="232"/>
      <c r="R180" s="234"/>
    </row>
    <row r="181" spans="1:18" s="138" customFormat="1">
      <c r="A181" s="232"/>
      <c r="B181" s="232"/>
      <c r="C181" s="241"/>
      <c r="D181" s="232"/>
      <c r="E181" s="233"/>
      <c r="F181" s="232"/>
      <c r="G181" s="232"/>
      <c r="H181" s="232"/>
      <c r="I181" s="232"/>
      <c r="J181" s="232"/>
      <c r="K181" s="232"/>
      <c r="L181" s="232"/>
      <c r="M181" s="232"/>
      <c r="N181" s="232"/>
      <c r="O181" s="232"/>
      <c r="P181" s="232"/>
      <c r="Q181" s="232"/>
      <c r="R181" s="234"/>
    </row>
    <row r="182" spans="1:18" s="138" customFormat="1">
      <c r="A182" s="232"/>
      <c r="B182" s="232"/>
      <c r="C182" s="241"/>
      <c r="D182" s="232"/>
      <c r="E182" s="233"/>
      <c r="F182" s="232"/>
      <c r="G182" s="232"/>
      <c r="H182" s="232"/>
      <c r="I182" s="232"/>
      <c r="J182" s="232"/>
      <c r="K182" s="232"/>
      <c r="L182" s="232"/>
      <c r="M182" s="232"/>
      <c r="N182" s="232"/>
      <c r="O182" s="232"/>
      <c r="P182" s="232"/>
      <c r="Q182" s="232"/>
      <c r="R182" s="234"/>
    </row>
    <row r="183" spans="1:18" s="138" customFormat="1">
      <c r="A183" s="232"/>
      <c r="B183" s="232"/>
      <c r="C183" s="241"/>
      <c r="D183" s="232"/>
      <c r="E183" s="233"/>
      <c r="F183" s="232"/>
      <c r="G183" s="232"/>
      <c r="H183" s="232"/>
      <c r="I183" s="232"/>
      <c r="J183" s="232"/>
      <c r="K183" s="232"/>
      <c r="L183" s="232"/>
      <c r="M183" s="232"/>
      <c r="N183" s="232"/>
      <c r="O183" s="232"/>
      <c r="P183" s="232"/>
      <c r="Q183" s="232"/>
      <c r="R183" s="234"/>
    </row>
    <row r="184" spans="1:18" s="138" customFormat="1">
      <c r="A184" s="232"/>
      <c r="B184" s="232"/>
      <c r="C184" s="241"/>
      <c r="D184" s="232"/>
      <c r="E184" s="233"/>
      <c r="F184" s="232"/>
      <c r="G184" s="232"/>
      <c r="H184" s="232"/>
      <c r="I184" s="232"/>
      <c r="J184" s="232"/>
      <c r="K184" s="232"/>
      <c r="L184" s="232"/>
      <c r="M184" s="232"/>
      <c r="N184" s="232"/>
      <c r="O184" s="232"/>
      <c r="P184" s="232"/>
      <c r="Q184" s="232"/>
      <c r="R184" s="234"/>
    </row>
    <row r="185" spans="1:18" s="138" customFormat="1">
      <c r="A185" s="232"/>
      <c r="B185" s="232"/>
      <c r="C185" s="241"/>
      <c r="D185" s="232"/>
      <c r="E185" s="233"/>
      <c r="F185" s="232"/>
      <c r="G185" s="232"/>
      <c r="H185" s="232"/>
      <c r="I185" s="232"/>
      <c r="J185" s="232"/>
      <c r="K185" s="232"/>
      <c r="L185" s="232"/>
      <c r="M185" s="232"/>
      <c r="N185" s="232"/>
      <c r="O185" s="232"/>
      <c r="P185" s="232"/>
      <c r="Q185" s="232"/>
      <c r="R185" s="234"/>
    </row>
    <row r="186" spans="1:18" s="138" customFormat="1">
      <c r="A186" s="232"/>
      <c r="B186" s="232"/>
      <c r="C186" s="241"/>
      <c r="D186" s="232"/>
      <c r="E186" s="233"/>
      <c r="F186" s="232"/>
      <c r="G186" s="232"/>
      <c r="H186" s="232"/>
      <c r="I186" s="232"/>
      <c r="J186" s="232"/>
      <c r="K186" s="232"/>
      <c r="L186" s="232"/>
      <c r="M186" s="232"/>
      <c r="N186" s="232"/>
      <c r="O186" s="232"/>
      <c r="P186" s="232"/>
      <c r="Q186" s="232"/>
      <c r="R186" s="234"/>
    </row>
    <row r="187" spans="1:18" s="138" customFormat="1">
      <c r="A187" s="232"/>
      <c r="B187" s="232"/>
      <c r="C187" s="241"/>
      <c r="D187" s="232"/>
      <c r="E187" s="233"/>
      <c r="F187" s="232"/>
      <c r="G187" s="232"/>
      <c r="H187" s="232"/>
      <c r="I187" s="232"/>
      <c r="J187" s="232"/>
      <c r="K187" s="232"/>
      <c r="L187" s="232"/>
      <c r="M187" s="232"/>
      <c r="N187" s="232"/>
      <c r="O187" s="232"/>
      <c r="P187" s="232"/>
      <c r="Q187" s="232"/>
      <c r="R187" s="234"/>
    </row>
    <row r="188" spans="1:18" s="138" customFormat="1">
      <c r="A188" s="232"/>
      <c r="B188" s="232"/>
      <c r="C188" s="241"/>
      <c r="D188" s="232"/>
      <c r="E188" s="233"/>
      <c r="F188" s="232"/>
      <c r="G188" s="232"/>
      <c r="H188" s="232"/>
      <c r="I188" s="232"/>
      <c r="J188" s="232"/>
      <c r="K188" s="232"/>
      <c r="L188" s="232"/>
      <c r="M188" s="232"/>
      <c r="N188" s="232"/>
      <c r="O188" s="232"/>
      <c r="P188" s="232"/>
      <c r="Q188" s="232"/>
      <c r="R188" s="234"/>
    </row>
    <row r="189" spans="1:18" s="138" customFormat="1">
      <c r="A189" s="232"/>
      <c r="B189" s="232"/>
      <c r="C189" s="241"/>
      <c r="D189" s="232"/>
      <c r="E189" s="233"/>
      <c r="F189" s="232"/>
      <c r="G189" s="232"/>
      <c r="H189" s="232"/>
      <c r="I189" s="232"/>
      <c r="J189" s="232"/>
      <c r="K189" s="232"/>
      <c r="L189" s="232"/>
      <c r="M189" s="232"/>
      <c r="N189" s="232"/>
      <c r="O189" s="232"/>
      <c r="P189" s="232"/>
      <c r="Q189" s="232"/>
      <c r="R189" s="234"/>
    </row>
    <row r="190" spans="1:18" s="138" customFormat="1">
      <c r="A190" s="232"/>
      <c r="B190" s="232"/>
      <c r="C190" s="241"/>
      <c r="D190" s="232"/>
      <c r="E190" s="233"/>
      <c r="F190" s="232"/>
      <c r="G190" s="232"/>
      <c r="H190" s="232"/>
      <c r="I190" s="232"/>
      <c r="J190" s="232"/>
      <c r="K190" s="232"/>
      <c r="L190" s="232"/>
      <c r="M190" s="232"/>
      <c r="N190" s="232"/>
      <c r="O190" s="232"/>
      <c r="P190" s="232"/>
      <c r="Q190" s="232"/>
      <c r="R190" s="234"/>
    </row>
    <row r="191" spans="1:18" s="138" customFormat="1">
      <c r="A191" s="232"/>
      <c r="B191" s="232"/>
      <c r="C191" s="241"/>
      <c r="D191" s="232"/>
      <c r="E191" s="233"/>
      <c r="F191" s="232"/>
      <c r="G191" s="232"/>
      <c r="H191" s="232"/>
      <c r="I191" s="232"/>
      <c r="J191" s="232"/>
      <c r="K191" s="232"/>
      <c r="L191" s="232"/>
      <c r="M191" s="232"/>
      <c r="N191" s="232"/>
      <c r="O191" s="232"/>
      <c r="P191" s="232"/>
      <c r="Q191" s="232"/>
      <c r="R191" s="234"/>
    </row>
    <row r="192" spans="1:18" s="138" customFormat="1">
      <c r="A192" s="232"/>
      <c r="B192" s="232"/>
      <c r="C192" s="241"/>
      <c r="D192" s="232"/>
      <c r="E192" s="233"/>
      <c r="F192" s="232"/>
      <c r="G192" s="232"/>
      <c r="H192" s="232"/>
      <c r="I192" s="232"/>
      <c r="J192" s="232"/>
      <c r="K192" s="232"/>
      <c r="L192" s="232"/>
      <c r="M192" s="232"/>
      <c r="N192" s="232"/>
      <c r="O192" s="232"/>
      <c r="P192" s="232"/>
      <c r="Q192" s="232"/>
      <c r="R192" s="234"/>
    </row>
    <row r="193" spans="1:18" s="138" customFormat="1">
      <c r="A193" s="232"/>
      <c r="B193" s="232"/>
      <c r="C193" s="241"/>
      <c r="D193" s="232"/>
      <c r="E193" s="233"/>
      <c r="F193" s="232"/>
      <c r="G193" s="232"/>
      <c r="H193" s="232"/>
      <c r="I193" s="232"/>
      <c r="J193" s="232"/>
      <c r="K193" s="232"/>
      <c r="L193" s="232"/>
      <c r="M193" s="232"/>
      <c r="N193" s="232"/>
      <c r="O193" s="232"/>
      <c r="P193" s="232"/>
      <c r="Q193" s="232"/>
      <c r="R193" s="234"/>
    </row>
    <row r="194" spans="1:18" s="138" customFormat="1">
      <c r="A194" s="232"/>
      <c r="B194" s="232"/>
      <c r="C194" s="241"/>
      <c r="D194" s="232"/>
      <c r="E194" s="233"/>
      <c r="F194" s="232"/>
      <c r="G194" s="232"/>
      <c r="H194" s="232"/>
      <c r="I194" s="232"/>
      <c r="J194" s="232"/>
      <c r="K194" s="232"/>
      <c r="L194" s="232"/>
      <c r="M194" s="232"/>
      <c r="N194" s="232"/>
      <c r="O194" s="232"/>
      <c r="P194" s="232"/>
      <c r="Q194" s="232"/>
      <c r="R194" s="234"/>
    </row>
    <row r="195" spans="1:18" s="138" customFormat="1">
      <c r="A195" s="232"/>
      <c r="B195" s="232"/>
      <c r="C195" s="241"/>
      <c r="D195" s="232"/>
      <c r="E195" s="233"/>
      <c r="F195" s="232"/>
      <c r="G195" s="232"/>
      <c r="H195" s="232"/>
      <c r="I195" s="232"/>
      <c r="J195" s="232"/>
      <c r="K195" s="232"/>
      <c r="L195" s="232"/>
      <c r="M195" s="232"/>
      <c r="N195" s="232"/>
      <c r="O195" s="232"/>
      <c r="P195" s="232"/>
      <c r="Q195" s="232"/>
      <c r="R195" s="234"/>
    </row>
    <row r="196" spans="1:18" s="138" customFormat="1">
      <c r="A196" s="232"/>
      <c r="B196" s="232"/>
      <c r="C196" s="241"/>
      <c r="D196" s="232"/>
      <c r="E196" s="233"/>
      <c r="F196" s="232"/>
      <c r="G196" s="232"/>
      <c r="H196" s="232"/>
      <c r="I196" s="232"/>
      <c r="J196" s="232"/>
      <c r="K196" s="232"/>
      <c r="L196" s="232"/>
      <c r="M196" s="232"/>
      <c r="N196" s="232"/>
      <c r="O196" s="232"/>
      <c r="P196" s="232"/>
      <c r="Q196" s="232"/>
      <c r="R196" s="234"/>
    </row>
    <row r="197" spans="1:18" s="138" customFormat="1">
      <c r="A197" s="232"/>
      <c r="B197" s="232"/>
      <c r="C197" s="241"/>
      <c r="D197" s="232"/>
      <c r="E197" s="233"/>
      <c r="F197" s="232"/>
      <c r="G197" s="232"/>
      <c r="H197" s="232"/>
      <c r="I197" s="232"/>
      <c r="J197" s="232"/>
      <c r="K197" s="232"/>
      <c r="L197" s="232"/>
      <c r="M197" s="232"/>
      <c r="N197" s="232"/>
      <c r="O197" s="232"/>
      <c r="P197" s="232"/>
      <c r="Q197" s="232"/>
      <c r="R197" s="234"/>
    </row>
    <row r="198" spans="1:18" s="138" customFormat="1">
      <c r="A198" s="232"/>
      <c r="B198" s="232"/>
      <c r="C198" s="241"/>
      <c r="D198" s="232"/>
      <c r="E198" s="233"/>
      <c r="F198" s="232"/>
      <c r="G198" s="232"/>
      <c r="H198" s="232"/>
      <c r="I198" s="232"/>
      <c r="J198" s="232"/>
      <c r="K198" s="232"/>
      <c r="L198" s="232"/>
      <c r="M198" s="232"/>
      <c r="N198" s="232"/>
      <c r="O198" s="232"/>
      <c r="P198" s="232"/>
      <c r="Q198" s="232"/>
      <c r="R198" s="234"/>
    </row>
    <row r="199" spans="1:18" s="138" customFormat="1">
      <c r="A199" s="232"/>
      <c r="B199" s="232"/>
      <c r="C199" s="241"/>
      <c r="D199" s="232"/>
      <c r="E199" s="233"/>
      <c r="F199" s="232"/>
      <c r="G199" s="232"/>
      <c r="H199" s="232"/>
      <c r="I199" s="232"/>
      <c r="J199" s="232"/>
      <c r="K199" s="232"/>
      <c r="L199" s="232"/>
      <c r="M199" s="232"/>
      <c r="N199" s="232"/>
      <c r="O199" s="232"/>
      <c r="P199" s="232"/>
      <c r="Q199" s="232"/>
      <c r="R199" s="234"/>
    </row>
    <row r="200" spans="1:18" s="138" customFormat="1">
      <c r="A200" s="232"/>
      <c r="B200" s="232"/>
      <c r="C200" s="241"/>
      <c r="D200" s="232"/>
      <c r="E200" s="233"/>
      <c r="F200" s="232"/>
      <c r="G200" s="232"/>
      <c r="H200" s="232"/>
      <c r="I200" s="232"/>
      <c r="J200" s="232"/>
      <c r="K200" s="232"/>
      <c r="L200" s="232"/>
      <c r="M200" s="232"/>
      <c r="N200" s="232"/>
      <c r="O200" s="232"/>
      <c r="P200" s="232"/>
      <c r="Q200" s="232"/>
      <c r="R200" s="234"/>
    </row>
  </sheetData>
  <phoneticPr fontId="12" type="noConversion"/>
  <pageMargins left="0.70866141732283472" right="0.70866141732283472" top="0.74803149606299213" bottom="0.74803149606299213" header="0.31496062992125984" footer="0.31496062992125984"/>
  <pageSetup paperSize="9" scale="45" fitToHeight="0" orientation="landscape" r:id="rId1"/>
  <headerFooter>
    <oddFooter>&amp;LPL14L012 CIS v3.5
Ofwat, February 2016</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X220"/>
  <sheetViews>
    <sheetView showGridLines="0" zoomScale="70" zoomScaleNormal="70" workbookViewId="0">
      <pane xSplit="6" ySplit="7" topLeftCell="G130" activePane="bottomRight" state="frozen"/>
      <selection activeCell="P219" sqref="P219"/>
      <selection pane="topRight" activeCell="P219" sqref="P219"/>
      <selection pane="bottomLeft" activeCell="P219" sqref="P219"/>
      <selection pane="bottomRight" activeCell="P219" sqref="P219"/>
    </sheetView>
  </sheetViews>
  <sheetFormatPr defaultColWidth="9.109375" defaultRowHeight="13.2"/>
  <cols>
    <col min="1" max="1" width="0.44140625" customWidth="1"/>
    <col min="2" max="2" width="0.5546875" customWidth="1"/>
    <col min="3" max="3" width="12.5546875" customWidth="1"/>
    <col min="4" max="4" width="9.44140625" bestFit="1" customWidth="1"/>
    <col min="5" max="5" width="83.5546875" style="21" customWidth="1"/>
    <col min="6" max="6" width="14.33203125" customWidth="1"/>
    <col min="7" max="7" width="11.44140625" customWidth="1"/>
    <col min="8" max="8" width="11.6640625" customWidth="1"/>
    <col min="9" max="9" width="12.33203125" bestFit="1" customWidth="1"/>
    <col min="10" max="10" width="13.33203125" customWidth="1"/>
    <col min="11" max="14" width="11.5546875" bestFit="1" customWidth="1"/>
    <col min="15" max="15" width="9.5546875" customWidth="1"/>
    <col min="16" max="16" width="17.6640625" style="22" customWidth="1"/>
    <col min="17" max="17" width="4.33203125" style="22" customWidth="1"/>
    <col min="18" max="18" width="18.33203125" style="101" bestFit="1" customWidth="1"/>
    <col min="19" max="19" width="13.6640625" style="22" customWidth="1"/>
    <col min="20" max="32" width="9.109375" style="22"/>
    <col min="33" max="33" width="10.109375" style="22" customWidth="1"/>
    <col min="34" max="16384" width="9.109375" style="22"/>
  </cols>
  <sheetData>
    <row r="1" spans="1:23" ht="37.5" customHeight="1">
      <c r="A1" s="1" t="s">
        <v>20</v>
      </c>
      <c r="B1" s="38"/>
      <c r="C1" s="469"/>
      <c r="D1" s="478" t="s">
        <v>22</v>
      </c>
      <c r="E1" s="486" t="s">
        <v>21</v>
      </c>
      <c r="F1" s="470"/>
      <c r="G1" s="470"/>
      <c r="H1" s="470"/>
      <c r="I1" s="470"/>
      <c r="J1" s="470"/>
      <c r="K1" s="470"/>
      <c r="L1" s="470"/>
      <c r="M1" s="470"/>
      <c r="N1" s="471"/>
      <c r="O1" s="470"/>
      <c r="P1" s="472"/>
      <c r="Q1" s="473"/>
      <c r="R1" s="474"/>
      <c r="S1" s="2"/>
      <c r="T1" s="2"/>
      <c r="U1" s="2"/>
      <c r="V1" s="2"/>
      <c r="W1" s="2"/>
    </row>
    <row r="2" spans="1:23" ht="17.399999999999999">
      <c r="A2" s="3"/>
      <c r="B2" s="4"/>
      <c r="C2" s="45"/>
      <c r="D2" s="46"/>
      <c r="E2" s="47"/>
      <c r="F2" s="48"/>
      <c r="G2" s="49"/>
      <c r="H2" s="49"/>
      <c r="I2" s="49"/>
      <c r="J2" s="50"/>
      <c r="K2" s="50"/>
      <c r="L2" s="50"/>
      <c r="M2" s="50"/>
      <c r="N2" s="371"/>
      <c r="O2" s="5"/>
      <c r="P2" s="81"/>
      <c r="Q2" s="49"/>
      <c r="R2" s="98"/>
      <c r="S2" s="2"/>
      <c r="T2" s="2"/>
      <c r="U2" s="2"/>
      <c r="V2" s="2"/>
      <c r="W2" s="2"/>
    </row>
    <row r="3" spans="1:23" ht="17.399999999999999">
      <c r="A3" s="6" t="s">
        <v>25</v>
      </c>
      <c r="B3" s="7"/>
      <c r="C3" s="8"/>
      <c r="D3" s="9" t="s">
        <v>26</v>
      </c>
      <c r="E3" s="10"/>
      <c r="F3" s="39" t="s">
        <v>27</v>
      </c>
      <c r="G3" s="487" t="s">
        <v>28</v>
      </c>
      <c r="H3" s="487" t="s">
        <v>29</v>
      </c>
      <c r="I3" s="487" t="s">
        <v>30</v>
      </c>
      <c r="J3" s="487" t="s">
        <v>31</v>
      </c>
      <c r="K3" s="487" t="s">
        <v>32</v>
      </c>
      <c r="L3" s="487" t="s">
        <v>33</v>
      </c>
      <c r="M3" s="487" t="s">
        <v>34</v>
      </c>
      <c r="N3" s="488" t="s">
        <v>35</v>
      </c>
      <c r="O3" s="487"/>
      <c r="P3" s="489" t="s">
        <v>86</v>
      </c>
      <c r="Q3" s="490"/>
      <c r="R3" s="491"/>
      <c r="S3" s="2"/>
      <c r="T3" s="2"/>
      <c r="U3" s="11"/>
      <c r="V3" s="12"/>
      <c r="W3" s="12"/>
    </row>
    <row r="4" spans="1:23">
      <c r="A4" s="13"/>
      <c r="B4" s="14"/>
      <c r="C4" s="18"/>
      <c r="D4" s="68"/>
      <c r="E4" s="69"/>
      <c r="F4" s="15"/>
      <c r="G4" s="15"/>
      <c r="H4" s="15"/>
      <c r="I4" s="15"/>
      <c r="J4" s="70"/>
      <c r="K4" s="70"/>
      <c r="L4" s="70"/>
      <c r="M4" s="70"/>
      <c r="N4" s="372"/>
      <c r="O4" s="16"/>
      <c r="P4" s="82"/>
      <c r="Q4" s="15"/>
      <c r="R4" s="99"/>
      <c r="S4" s="17"/>
      <c r="T4" s="17"/>
      <c r="U4" s="11"/>
      <c r="V4" s="12"/>
      <c r="W4" s="12"/>
    </row>
    <row r="5" spans="1:23" s="29" customFormat="1">
      <c r="A5" s="61" t="s">
        <v>19</v>
      </c>
      <c r="B5" s="14"/>
      <c r="C5" s="62" t="s">
        <v>17</v>
      </c>
      <c r="D5" s="68" t="s">
        <v>16</v>
      </c>
      <c r="E5" s="71" t="s">
        <v>18</v>
      </c>
      <c r="F5" s="12">
        <v>0</v>
      </c>
      <c r="G5" s="12">
        <f>IF(COLUMN()=23,1,F5+1)</f>
        <v>1</v>
      </c>
      <c r="H5" s="12">
        <f t="shared" ref="H5:N5" si="0">IF(COLUMN()=23,1,G5+1)</f>
        <v>2</v>
      </c>
      <c r="I5" s="12">
        <f t="shared" si="0"/>
        <v>3</v>
      </c>
      <c r="J5" s="72">
        <f t="shared" si="0"/>
        <v>4</v>
      </c>
      <c r="K5" s="72">
        <f t="shared" si="0"/>
        <v>5</v>
      </c>
      <c r="L5" s="72">
        <f t="shared" si="0"/>
        <v>6</v>
      </c>
      <c r="M5" s="72">
        <f t="shared" si="0"/>
        <v>7</v>
      </c>
      <c r="N5" s="373">
        <f t="shared" si="0"/>
        <v>8</v>
      </c>
      <c r="O5" s="14"/>
      <c r="P5" s="83"/>
      <c r="Q5" s="12"/>
      <c r="R5" s="99"/>
      <c r="S5" s="17"/>
      <c r="T5" s="17"/>
      <c r="U5" s="63"/>
      <c r="V5" s="12"/>
      <c r="W5" s="12"/>
    </row>
    <row r="6" spans="1:23" ht="12.75" customHeight="1">
      <c r="C6" s="19"/>
      <c r="D6" s="19"/>
      <c r="E6" s="78" t="s">
        <v>80</v>
      </c>
      <c r="F6" s="19">
        <f t="shared" ref="F6:N6" si="1">IF(F5=8,0,F5-8)</f>
        <v>-8</v>
      </c>
      <c r="G6" s="19">
        <f t="shared" si="1"/>
        <v>-7</v>
      </c>
      <c r="H6" s="19">
        <f t="shared" si="1"/>
        <v>-6</v>
      </c>
      <c r="I6" s="19">
        <f t="shared" si="1"/>
        <v>-5</v>
      </c>
      <c r="J6" s="65">
        <f t="shared" si="1"/>
        <v>-4</v>
      </c>
      <c r="K6" s="65">
        <f t="shared" si="1"/>
        <v>-3</v>
      </c>
      <c r="L6" s="65">
        <f t="shared" si="1"/>
        <v>-2</v>
      </c>
      <c r="M6" s="65">
        <f t="shared" si="1"/>
        <v>-1</v>
      </c>
      <c r="N6" s="374">
        <f t="shared" si="1"/>
        <v>0</v>
      </c>
      <c r="P6" s="84"/>
      <c r="Q6" s="19"/>
      <c r="R6" s="100"/>
    </row>
    <row r="7" spans="1:23">
      <c r="A7" s="13"/>
      <c r="B7" s="14"/>
      <c r="C7" s="18"/>
      <c r="D7" s="68"/>
      <c r="E7" s="69"/>
      <c r="F7" s="73"/>
      <c r="G7" s="73"/>
      <c r="H7" s="73"/>
      <c r="I7" s="15"/>
      <c r="J7" s="70"/>
      <c r="K7" s="70"/>
      <c r="L7" s="70"/>
      <c r="M7" s="70"/>
      <c r="N7" s="372"/>
      <c r="O7" s="16"/>
      <c r="P7" s="82"/>
      <c r="Q7" s="15"/>
      <c r="R7" s="99"/>
      <c r="S7" s="17"/>
      <c r="T7" s="17"/>
      <c r="U7" s="11"/>
      <c r="V7" s="12"/>
      <c r="W7" s="12"/>
    </row>
    <row r="8" spans="1:23">
      <c r="A8" s="13"/>
      <c r="B8" s="14"/>
      <c r="C8" s="18"/>
      <c r="D8" s="68"/>
      <c r="E8" s="69"/>
      <c r="F8" s="73"/>
      <c r="G8" s="73"/>
      <c r="H8" s="73"/>
      <c r="I8" s="15"/>
      <c r="J8" s="70"/>
      <c r="K8" s="70"/>
      <c r="L8" s="70"/>
      <c r="M8" s="70"/>
      <c r="N8" s="372"/>
      <c r="O8" s="16"/>
      <c r="P8" s="82"/>
      <c r="Q8" s="15"/>
      <c r="R8" s="99"/>
      <c r="S8" s="17"/>
      <c r="T8" s="17"/>
      <c r="U8" s="11"/>
      <c r="V8" s="12"/>
      <c r="W8" s="12"/>
    </row>
    <row r="9" spans="1:23">
      <c r="A9" s="59"/>
      <c r="B9" s="60"/>
      <c r="C9" s="453"/>
      <c r="D9" s="467" t="s">
        <v>38</v>
      </c>
      <c r="E9" s="454" t="s">
        <v>98</v>
      </c>
      <c r="F9" s="440"/>
      <c r="G9" s="440"/>
      <c r="H9" s="440"/>
      <c r="I9" s="440"/>
      <c r="J9" s="440"/>
      <c r="K9" s="440"/>
      <c r="L9" s="440"/>
      <c r="M9" s="440"/>
      <c r="N9" s="446"/>
      <c r="O9" s="440"/>
      <c r="P9" s="475"/>
      <c r="Q9" s="476"/>
      <c r="R9" s="477"/>
    </row>
    <row r="10" spans="1:23">
      <c r="C10" s="19"/>
      <c r="D10" s="19"/>
      <c r="E10" s="74"/>
      <c r="F10" s="19"/>
      <c r="G10" s="19"/>
      <c r="H10" s="19"/>
      <c r="I10" s="19"/>
      <c r="J10" s="65"/>
      <c r="K10" s="65"/>
      <c r="L10" s="65"/>
      <c r="M10" s="65"/>
      <c r="N10" s="374"/>
      <c r="O10" s="28"/>
      <c r="P10" s="84"/>
      <c r="Q10" s="19"/>
      <c r="R10" s="100"/>
    </row>
    <row r="11" spans="1:23">
      <c r="A11" s="59"/>
      <c r="B11" s="60"/>
      <c r="C11" s="453"/>
      <c r="D11" s="467" t="s">
        <v>38</v>
      </c>
      <c r="E11" s="483" t="s">
        <v>106</v>
      </c>
      <c r="F11" s="440"/>
      <c r="G11" s="440"/>
      <c r="H11" s="440"/>
      <c r="I11" s="440"/>
      <c r="J11" s="440"/>
      <c r="K11" s="440"/>
      <c r="L11" s="440"/>
      <c r="M11" s="440"/>
      <c r="N11" s="446"/>
      <c r="O11" s="440"/>
      <c r="P11" s="475"/>
      <c r="Q11" s="476"/>
      <c r="R11" s="477"/>
    </row>
    <row r="12" spans="1:23" s="37" customFormat="1">
      <c r="C12" s="131"/>
      <c r="D12" s="131"/>
      <c r="E12" s="149"/>
      <c r="F12" s="131"/>
      <c r="G12" s="131"/>
      <c r="H12" s="131"/>
      <c r="I12" s="131"/>
      <c r="J12" s="106"/>
      <c r="K12" s="106"/>
      <c r="L12" s="106"/>
      <c r="M12" s="106"/>
      <c r="N12" s="364"/>
      <c r="O12" s="203"/>
      <c r="P12" s="136"/>
      <c r="Q12" s="131"/>
      <c r="R12" s="147"/>
    </row>
    <row r="13" spans="1:23" s="37" customFormat="1">
      <c r="C13" s="131"/>
      <c r="D13" s="131" t="s">
        <v>90</v>
      </c>
      <c r="E13" s="132" t="s">
        <v>91</v>
      </c>
      <c r="F13" s="133"/>
      <c r="G13" s="134">
        <f>IF('Input FD'!G103=0,F13*(1+'Input FD'!G104),'Input FD'!G103)</f>
        <v>208.59166666666701</v>
      </c>
      <c r="H13" s="134">
        <f>IF('Input FD'!H103=0,G13*(1+'Input FD'!H104),'Input FD'!H103)</f>
        <v>214.78333333333299</v>
      </c>
      <c r="I13" s="134">
        <f>IF('Input FD'!I103=0,H13*(1+'Input FD'!I104),'Input FD'!I103)</f>
        <v>215.76666666666699</v>
      </c>
      <c r="J13" s="135">
        <f>IF('Input FD'!J103=0,I13*(1+'Input FD'!J104),'Input FD'!J103)</f>
        <v>226.47499999999999</v>
      </c>
      <c r="K13" s="135">
        <f>IF('Input FD'!K103=0,J13*(1+'Input FD'!K104),'Input FD'!K103)</f>
        <v>237.34166666666701</v>
      </c>
      <c r="L13" s="135">
        <f>IF('Input FD'!L103=0,K13*(1+'Input FD'!L104),'Input FD'!L103)</f>
        <v>244.67500000000001</v>
      </c>
      <c r="M13" s="135">
        <f>IF('Input FD'!M103=0,L13*(1+'Input FD'!M104),'Input FD'!M103)</f>
        <v>251.73333333333301</v>
      </c>
      <c r="N13" s="375">
        <f>IF('Input FD'!N103=0,M13*(1+'Input FD'!N104),'Input FD'!N103)</f>
        <v>258.41874999999999</v>
      </c>
      <c r="P13" s="136"/>
      <c r="Q13" s="131"/>
      <c r="R13" s="137" t="s">
        <v>75</v>
      </c>
    </row>
    <row r="14" spans="1:23" s="37" customFormat="1">
      <c r="C14" s="131"/>
      <c r="D14" s="131" t="s">
        <v>58</v>
      </c>
      <c r="E14" s="132" t="s">
        <v>92</v>
      </c>
      <c r="F14" s="131"/>
      <c r="G14" s="204">
        <f>IF(G$5=1,0,G13/F13-1)</f>
        <v>0</v>
      </c>
      <c r="H14" s="204">
        <f t="shared" ref="H14:N14" si="2">IF(H$5=1,0,H13/G13-1)</f>
        <v>2.9683192840874062E-2</v>
      </c>
      <c r="I14" s="204">
        <f t="shared" si="2"/>
        <v>4.5782571583796727E-3</v>
      </c>
      <c r="J14" s="359">
        <f t="shared" si="2"/>
        <v>4.9629229105513595E-2</v>
      </c>
      <c r="K14" s="359">
        <f t="shared" si="2"/>
        <v>4.7981749273284136E-2</v>
      </c>
      <c r="L14" s="359">
        <f t="shared" si="2"/>
        <v>3.0897791510128059E-2</v>
      </c>
      <c r="M14" s="359">
        <f t="shared" si="2"/>
        <v>2.8847791287761382E-2</v>
      </c>
      <c r="N14" s="376">
        <f t="shared" si="2"/>
        <v>2.6557534427967378E-2</v>
      </c>
      <c r="P14" s="136"/>
      <c r="Q14" s="131"/>
      <c r="R14" s="137" t="s">
        <v>75</v>
      </c>
    </row>
    <row r="15" spans="1:23" s="138" customFormat="1">
      <c r="C15" s="139"/>
      <c r="D15" s="140" t="s">
        <v>58</v>
      </c>
      <c r="E15" s="141" t="s">
        <v>71</v>
      </c>
      <c r="F15" s="142"/>
      <c r="G15" s="143">
        <f t="shared" ref="G15:N15" si="3">$G$13/G13</f>
        <v>1</v>
      </c>
      <c r="H15" s="143">
        <f t="shared" si="3"/>
        <v>0.97117249941802131</v>
      </c>
      <c r="I15" s="143">
        <f t="shared" si="3"/>
        <v>0.96674648540089614</v>
      </c>
      <c r="J15" s="144">
        <f t="shared" si="3"/>
        <v>0.92103617029105644</v>
      </c>
      <c r="K15" s="144">
        <f t="shared" si="3"/>
        <v>0.87886661282960588</v>
      </c>
      <c r="L15" s="144">
        <f t="shared" si="3"/>
        <v>0.85252545894213549</v>
      </c>
      <c r="M15" s="144">
        <f t="shared" si="3"/>
        <v>0.82862155720339226</v>
      </c>
      <c r="N15" s="377">
        <f t="shared" si="3"/>
        <v>0.80718472118090123</v>
      </c>
      <c r="O15" s="145"/>
      <c r="P15" s="136"/>
      <c r="Q15" s="143"/>
      <c r="R15" s="137" t="s">
        <v>75</v>
      </c>
    </row>
    <row r="16" spans="1:23" s="138" customFormat="1">
      <c r="C16" s="139"/>
      <c r="D16" s="140"/>
      <c r="E16" s="141"/>
      <c r="F16" s="142"/>
      <c r="G16" s="143"/>
      <c r="H16" s="143"/>
      <c r="I16" s="143"/>
      <c r="J16" s="144"/>
      <c r="K16" s="144"/>
      <c r="L16" s="144"/>
      <c r="M16" s="146"/>
      <c r="N16" s="378"/>
      <c r="O16" s="37"/>
      <c r="P16" s="136"/>
      <c r="Q16" s="143"/>
      <c r="R16" s="137"/>
    </row>
    <row r="17" spans="1:18" s="138" customFormat="1">
      <c r="C17" s="139"/>
      <c r="D17" s="140" t="s">
        <v>90</v>
      </c>
      <c r="E17" s="141" t="s">
        <v>95</v>
      </c>
      <c r="F17" s="142"/>
      <c r="G17" s="134">
        <f>IF('Input FD'!G106=0,F17*(1+'Input FD'!G107),'Input FD'!G106)</f>
        <v>111.3</v>
      </c>
      <c r="H17" s="134">
        <f>IF('Input FD'!H106=0,G17*(1+'Input FD'!H107),'Input FD'!H106)</f>
        <v>113.97499999999999</v>
      </c>
      <c r="I17" s="134">
        <f>IF('Input FD'!I106=0,H17*(1+'Input FD'!I107),'Input FD'!I106)</f>
        <v>110.47499999999999</v>
      </c>
      <c r="J17" s="135">
        <f>IF('Input FD'!J106=0,I17*(1+'Input FD'!J107),'Input FD'!J106)</f>
        <v>107.375</v>
      </c>
      <c r="K17" s="135">
        <f>IF('Input FD'!K106=0,J17*(1+'Input FD'!K107),'Input FD'!K106)</f>
        <v>109.95</v>
      </c>
      <c r="L17" s="135">
        <f>IF('Input FD'!L106=0,K17*(1+'Input FD'!L107),'Input FD'!L106)</f>
        <v>113.575</v>
      </c>
      <c r="M17" s="135">
        <f>IF('Input FD'!M106=0,L17*(1+'Input FD'!M107),'Input FD'!M106)</f>
        <v>117.69</v>
      </c>
      <c r="N17" s="375">
        <f>IF('Input FD'!N106=0,M17*(1+'Input FD'!N107),'Input FD'!N106)</f>
        <v>120.01</v>
      </c>
      <c r="O17" s="37"/>
      <c r="P17" s="136"/>
      <c r="Q17" s="143"/>
      <c r="R17" s="137" t="s">
        <v>75</v>
      </c>
    </row>
    <row r="18" spans="1:18" s="37" customFormat="1">
      <c r="C18" s="131"/>
      <c r="D18" s="131" t="s">
        <v>58</v>
      </c>
      <c r="E18" s="132" t="s">
        <v>101</v>
      </c>
      <c r="F18" s="131"/>
      <c r="G18" s="143">
        <f>G17/$G$17</f>
        <v>1</v>
      </c>
      <c r="H18" s="143">
        <f t="shared" ref="H18:N18" si="4">H17/$G$17</f>
        <v>1.0240341419586703</v>
      </c>
      <c r="I18" s="143">
        <f t="shared" si="4"/>
        <v>0.99258760107816713</v>
      </c>
      <c r="J18" s="144">
        <f t="shared" si="4"/>
        <v>0.96473495058400727</v>
      </c>
      <c r="K18" s="144">
        <f t="shared" si="4"/>
        <v>0.98787061994609171</v>
      </c>
      <c r="L18" s="144">
        <f t="shared" si="4"/>
        <v>1.0204402515723272</v>
      </c>
      <c r="M18" s="144">
        <f t="shared" si="4"/>
        <v>1.0574123989218329</v>
      </c>
      <c r="N18" s="377">
        <f t="shared" si="4"/>
        <v>1.0782569631626235</v>
      </c>
      <c r="P18" s="136"/>
      <c r="Q18" s="131"/>
      <c r="R18" s="137" t="s">
        <v>75</v>
      </c>
    </row>
    <row r="19" spans="1:18" s="37" customFormat="1">
      <c r="C19" s="131"/>
      <c r="D19" s="131"/>
      <c r="E19" s="132"/>
      <c r="F19" s="131"/>
      <c r="G19" s="143"/>
      <c r="H19" s="143"/>
      <c r="I19" s="143"/>
      <c r="J19" s="144"/>
      <c r="K19" s="144"/>
      <c r="L19" s="144"/>
      <c r="M19" s="144"/>
      <c r="N19" s="377"/>
      <c r="P19" s="136"/>
      <c r="Q19" s="131"/>
      <c r="R19" s="147"/>
    </row>
    <row r="20" spans="1:18" s="37" customFormat="1">
      <c r="C20" s="131"/>
      <c r="D20" s="131" t="s">
        <v>90</v>
      </c>
      <c r="E20" s="132" t="s">
        <v>94</v>
      </c>
      <c r="F20" s="131"/>
      <c r="G20" s="134">
        <f>((G17/'Input FD'!$G$117)/(G13/'Input FD'!$G$116))*100</f>
        <v>100</v>
      </c>
      <c r="H20" s="134">
        <f>((H17/'Input FD'!$G$117)/(H13/'Input FD'!$G$116))*100</f>
        <v>99.451379713539055</v>
      </c>
      <c r="I20" s="134">
        <f>((I17/'Input FD'!$G$117)/(I13/'Input FD'!$G$116))*100</f>
        <v>95.958057479482477</v>
      </c>
      <c r="J20" s="135">
        <f>((J17/'Input FD'!$G$117)/(J13/'Input FD'!$G$116))*100</f>
        <v>88.855578423182564</v>
      </c>
      <c r="K20" s="135">
        <f>((K17/'Input FD'!$G$117)/(K13/'Input FD'!$G$116))*100</f>
        <v>86.820650566590444</v>
      </c>
      <c r="L20" s="135">
        <f>((L17/'Input FD'!$G$117)/(L13/'Input FD'!$G$116))*100</f>
        <v>86.995129379472644</v>
      </c>
      <c r="M20" s="135">
        <f>((M17/'Input FD'!$G$117)/(M13/'Input FD'!$G$116))*100</f>
        <v>87.61947086007838</v>
      </c>
      <c r="N20" s="375">
        <f>((N17/'Input FD'!$G$117)/(N13/'Input FD'!$G$116))*100</f>
        <v>87.035254617178765</v>
      </c>
      <c r="P20" s="136"/>
      <c r="Q20" s="131"/>
      <c r="R20" s="137" t="s">
        <v>75</v>
      </c>
    </row>
    <row r="21" spans="1:18" s="37" customFormat="1">
      <c r="C21" s="131"/>
      <c r="D21" s="131" t="s">
        <v>58</v>
      </c>
      <c r="E21" s="132" t="s">
        <v>70</v>
      </c>
      <c r="F21" s="131"/>
      <c r="G21" s="143">
        <f t="shared" ref="G21:N21" si="5">G20/$G$20</f>
        <v>1</v>
      </c>
      <c r="H21" s="143">
        <f t="shared" si="5"/>
        <v>0.99451379713539056</v>
      </c>
      <c r="I21" s="143">
        <f t="shared" si="5"/>
        <v>0.95958057479482473</v>
      </c>
      <c r="J21" s="144">
        <f t="shared" si="5"/>
        <v>0.88855578423182568</v>
      </c>
      <c r="K21" s="144">
        <f t="shared" si="5"/>
        <v>0.8682065056659044</v>
      </c>
      <c r="L21" s="144">
        <f t="shared" si="5"/>
        <v>0.86995129379472647</v>
      </c>
      <c r="M21" s="144">
        <f t="shared" si="5"/>
        <v>0.87619470860078374</v>
      </c>
      <c r="N21" s="377">
        <f t="shared" si="5"/>
        <v>0.8703525461717877</v>
      </c>
      <c r="P21" s="136"/>
      <c r="Q21" s="131"/>
      <c r="R21" s="137" t="s">
        <v>75</v>
      </c>
    </row>
    <row r="22" spans="1:18" s="37" customFormat="1">
      <c r="C22" s="131"/>
      <c r="D22" s="131"/>
      <c r="E22" s="132"/>
      <c r="F22" s="131"/>
      <c r="G22" s="148"/>
      <c r="H22" s="131"/>
      <c r="I22" s="131"/>
      <c r="J22" s="106"/>
      <c r="K22" s="106"/>
      <c r="L22" s="106"/>
      <c r="M22" s="106"/>
      <c r="N22" s="364"/>
      <c r="P22" s="136"/>
      <c r="Q22" s="131"/>
      <c r="R22" s="147"/>
    </row>
    <row r="23" spans="1:18">
      <c r="A23" s="479"/>
      <c r="B23" s="452"/>
      <c r="C23" s="453"/>
      <c r="D23" s="467" t="s">
        <v>38</v>
      </c>
      <c r="E23" s="483" t="s">
        <v>105</v>
      </c>
      <c r="F23" s="440"/>
      <c r="G23" s="440"/>
      <c r="H23" s="440"/>
      <c r="I23" s="440"/>
      <c r="J23" s="440"/>
      <c r="K23" s="440"/>
      <c r="L23" s="440"/>
      <c r="M23" s="440"/>
      <c r="N23" s="446"/>
      <c r="O23" s="440"/>
      <c r="P23" s="475"/>
      <c r="Q23" s="476"/>
      <c r="R23" s="477"/>
    </row>
    <row r="24" spans="1:18" s="37" customFormat="1">
      <c r="C24" s="131"/>
      <c r="D24" s="131"/>
      <c r="E24" s="149"/>
      <c r="F24" s="131"/>
      <c r="G24" s="204"/>
      <c r="H24" s="204"/>
      <c r="I24" s="204"/>
      <c r="J24" s="106"/>
      <c r="K24" s="106"/>
      <c r="L24" s="106"/>
      <c r="M24" s="106"/>
      <c r="N24" s="364"/>
      <c r="O24" s="203"/>
      <c r="P24" s="136"/>
      <c r="Q24" s="131"/>
      <c r="R24" s="147"/>
    </row>
    <row r="25" spans="1:18" s="37" customFormat="1">
      <c r="C25" s="131"/>
      <c r="D25" s="131" t="s">
        <v>58</v>
      </c>
      <c r="E25" s="132" t="s">
        <v>390</v>
      </c>
      <c r="F25" s="131"/>
      <c r="G25" s="204">
        <f>IF(G$5=1,0,'Input FD'!G111/'Input FD'!F111-1)</f>
        <v>0</v>
      </c>
      <c r="H25" s="204">
        <f>IF(H$5=1,0,'Input FD'!H111/'Input FD'!G111-1)</f>
        <v>2.9683192840878947E-2</v>
      </c>
      <c r="I25" s="204">
        <f>IF(I$5=1,0,'Input FD'!I111/'Input FD'!H111-1)</f>
        <v>-8.3805385271978894E-3</v>
      </c>
      <c r="J25" s="359">
        <f>IF(J$5=1,0,'Input FD'!J111/'Input FD'!I111-1)</f>
        <v>1.9954613037013846E-2</v>
      </c>
      <c r="K25" s="359">
        <f>IF(K$5=1,0,'Input FD'!K111/'Input FD'!J111-1)</f>
        <v>2.9968543808502446E-2</v>
      </c>
      <c r="L25" s="359">
        <f>IF(L$5=1,0,'Input FD'!L111/'Input FD'!K111-1)</f>
        <v>2.6999999999999913E-2</v>
      </c>
      <c r="M25" s="359">
        <f>IF(M$5=1,0,'Input FD'!M111/'Input FD'!L111-1)</f>
        <v>2.4999999999995692E-2</v>
      </c>
      <c r="N25" s="376">
        <f>IF(N$5=1,0,'Input FD'!N111/'Input FD'!M111-1)</f>
        <v>2.5000000000002132E-2</v>
      </c>
      <c r="O25" s="366"/>
      <c r="P25" s="150"/>
      <c r="Q25" s="131"/>
      <c r="R25" s="137" t="s">
        <v>75</v>
      </c>
    </row>
    <row r="26" spans="1:18" s="138" customFormat="1">
      <c r="C26" s="139"/>
      <c r="D26" s="140" t="s">
        <v>58</v>
      </c>
      <c r="E26" s="141" t="s">
        <v>391</v>
      </c>
      <c r="F26" s="131"/>
      <c r="G26" s="143">
        <f>'Input FD'!$G$111/'Input FD'!G111</f>
        <v>1</v>
      </c>
      <c r="H26" s="143">
        <f>'Input FD'!$G$111/'Input FD'!H111</f>
        <v>0.97117249941801653</v>
      </c>
      <c r="I26" s="143">
        <f>'Input FD'!$G$111/'Input FD'!I111</f>
        <v>0.97938023319508394</v>
      </c>
      <c r="J26" s="144">
        <f>'Input FD'!$G$111/'Input FD'!J111</f>
        <v>0.9602194261163095</v>
      </c>
      <c r="K26" s="144">
        <f>'Input FD'!$G$111/'Input FD'!K111</f>
        <v>0.93228034184977882</v>
      </c>
      <c r="L26" s="144">
        <f>'Input FD'!$G$111/'Input FD'!L111</f>
        <v>0.90777053734155677</v>
      </c>
      <c r="M26" s="144">
        <f>'Input FD'!$G$111/'Input FD'!M111</f>
        <v>0.88562979252835183</v>
      </c>
      <c r="N26" s="377">
        <f>'Input FD'!$G$111/'Input FD'!N111</f>
        <v>0.864029065881317</v>
      </c>
      <c r="O26" s="366"/>
      <c r="P26" s="150"/>
      <c r="Q26" s="143"/>
      <c r="R26" s="137" t="s">
        <v>75</v>
      </c>
    </row>
    <row r="27" spans="1:18" s="138" customFormat="1">
      <c r="C27" s="139"/>
      <c r="D27" s="140"/>
      <c r="E27" s="141"/>
      <c r="F27" s="131"/>
      <c r="G27" s="143"/>
      <c r="H27" s="143"/>
      <c r="I27" s="143"/>
      <c r="J27" s="144"/>
      <c r="K27" s="144"/>
      <c r="L27" s="144"/>
      <c r="M27" s="144"/>
      <c r="N27" s="377"/>
      <c r="O27" s="366"/>
      <c r="P27" s="150"/>
      <c r="Q27" s="143"/>
      <c r="R27" s="137"/>
    </row>
    <row r="28" spans="1:18" s="138" customFormat="1">
      <c r="C28" s="139"/>
      <c r="D28" s="140" t="s">
        <v>90</v>
      </c>
      <c r="E28" s="141" t="s">
        <v>392</v>
      </c>
      <c r="F28" s="142"/>
      <c r="G28" s="134">
        <f>IF('Input FD'!G113=0,F28*(1+'Input FD'!G114),'Input FD'!G113)</f>
        <v>111.3</v>
      </c>
      <c r="H28" s="134">
        <f>IF('Input FD'!H113=0,G28*(1+'Input FD'!H114),'Input FD'!H113)</f>
        <v>109.58769230769231</v>
      </c>
      <c r="I28" s="134">
        <f>IF('Input FD'!I113=0,H28*(1+'Input FD'!I114),'Input FD'!I113)</f>
        <v>108.66866252307695</v>
      </c>
      <c r="J28" s="135">
        <f>IF('Input FD'!J113=0,I28*(1+'Input FD'!J114),'Input FD'!J113)</f>
        <v>111.38537908615383</v>
      </c>
      <c r="K28" s="135">
        <f>IF('Input FD'!K113=0,J28*(1+'Input FD'!K114),'Input FD'!K113)</f>
        <v>116.39772114503074</v>
      </c>
      <c r="L28" s="135">
        <f>IF('Input FD'!L113=0,K28*(1+'Input FD'!L114),'Input FD'!L113)</f>
        <v>120.7044368273969</v>
      </c>
      <c r="M28" s="135">
        <f>IF('Input FD'!M113=0,L28*(1+'Input FD'!M114),'Input FD'!M113)</f>
        <v>124.32556993221878</v>
      </c>
      <c r="N28" s="375">
        <f>IF('Input FD'!N113=0,M28*(1+'Input FD'!N114),'Input FD'!N113)</f>
        <v>128.05533703018534</v>
      </c>
      <c r="O28" s="37"/>
      <c r="P28" s="136"/>
      <c r="Q28" s="143"/>
      <c r="R28" s="137" t="s">
        <v>75</v>
      </c>
    </row>
    <row r="29" spans="1:18" s="138" customFormat="1">
      <c r="C29" s="139"/>
      <c r="D29" s="140" t="s">
        <v>58</v>
      </c>
      <c r="E29" s="132" t="s">
        <v>393</v>
      </c>
      <c r="F29" s="131"/>
      <c r="G29" s="143">
        <f>IF(OR(G$5&lt;4,'Input FD'!$O$152=0),G28/$G$28,F29*(1+('Input FD'!G$111/'Input FD'!F$111-1)))</f>
        <v>1</v>
      </c>
      <c r="H29" s="143">
        <f>IF(OR(H$5&lt;4,'Input FD'!$O$152=0),H28/$G$28,G29*(1+('Input FD'!H$111/'Input FD'!G$111-1)))</f>
        <v>0.98461538461538467</v>
      </c>
      <c r="I29" s="143">
        <f>IF(OR(I$5&lt;4,'Input FD'!$O$152=0),I28/$G$28,H29*(1+('Input FD'!I$111/'Input FD'!H$111-1)))</f>
        <v>0.9763581538461541</v>
      </c>
      <c r="J29" s="152">
        <f>IF(OR(J$5&lt;4,'Input FD'!$O$152=0),J28/$G$28,I29*(1+('Input FD'!J$111/'Input FD'!I$111-1)))</f>
        <v>1.0007671076923077</v>
      </c>
      <c r="K29" s="152">
        <f>IF(OR(K$5&lt;4,'Input FD'!$O$152=0),K28/$G$28,J29*(1+('Input FD'!K$111/'Input FD'!J$111-1)))</f>
        <v>1.0458016275384614</v>
      </c>
      <c r="L29" s="152">
        <f>IF(OR(L$5&lt;4,'Input FD'!$O$152=0),L28/$G$28,K29*(1+('Input FD'!L$111/'Input FD'!K$111-1)))</f>
        <v>1.0844962877573847</v>
      </c>
      <c r="M29" s="152">
        <f>IF(OR(M$5&lt;4,'Input FD'!$O$152=0),M28/$G$28,L29*(1+('Input FD'!M$111/'Input FD'!L$111-1)))</f>
        <v>1.117031176390106</v>
      </c>
      <c r="N29" s="379">
        <f>IF(OR(N$5&lt;4,'Input FD'!$O$152=0),N28/$G$28,M29*(1+('Input FD'!N$111/'Input FD'!M$111-1)))</f>
        <v>1.1505421116818091</v>
      </c>
      <c r="O29" s="367"/>
      <c r="P29" s="151"/>
      <c r="Q29" s="143"/>
      <c r="R29" s="137" t="s">
        <v>75</v>
      </c>
    </row>
    <row r="30" spans="1:18" s="37" customFormat="1">
      <c r="C30" s="131"/>
      <c r="D30" s="131"/>
      <c r="E30" s="132"/>
      <c r="F30" s="131"/>
      <c r="G30" s="148"/>
      <c r="H30" s="131"/>
      <c r="I30" s="131"/>
      <c r="J30" s="106"/>
      <c r="K30" s="106"/>
      <c r="L30" s="106"/>
      <c r="M30" s="106"/>
      <c r="N30" s="364"/>
      <c r="O30" s="361"/>
      <c r="P30" s="150"/>
      <c r="Q30" s="131"/>
      <c r="R30" s="147"/>
    </row>
    <row r="31" spans="1:18" s="37" customFormat="1">
      <c r="C31" s="131"/>
      <c r="D31" s="131" t="s">
        <v>90</v>
      </c>
      <c r="E31" s="132" t="s">
        <v>394</v>
      </c>
      <c r="F31" s="131"/>
      <c r="G31" s="134">
        <f>IF(OR(G$5&lt;4,'Input FD'!$O$152=0),((G28/'Input FD'!$G$117)/('Input FD'!G111/'Input FD'!$G$116))*100,F31)</f>
        <v>100.00000000000048</v>
      </c>
      <c r="H31" s="134">
        <f>IF(OR(H$5&lt;4,'Input FD'!$O$152=0),((H28/'Input FD'!$G$117)/('Input FD'!H111/'Input FD'!$G$116))*100,G31)</f>
        <v>95.623138404235945</v>
      </c>
      <c r="I31" s="134">
        <f>IF(OR(I$5&lt;4,'Input FD'!$O$152=0),((I28/'Input FD'!$G$117)/('Input FD'!I111/'Input FD'!$G$116))*100,H31)</f>
        <v>95.62258763957729</v>
      </c>
      <c r="J31" s="135">
        <f>IF(OR(J$5&lt;4,'Input FD'!$O$152=0),((J28/'Input FD'!$G$117)/('Input FD'!J111/'Input FD'!$G$116))*100,I31)</f>
        <v>96.095601782439118</v>
      </c>
      <c r="K31" s="135">
        <f>IF(OR(K$5&lt;4,'Input FD'!$O$152=0),((K28/'Input FD'!$G$117)/('Input FD'!K111/'Input FD'!$G$116))*100,J31)</f>
        <v>97.498029882861658</v>
      </c>
      <c r="L31" s="135">
        <f>IF(OR(L$5&lt;4,'Input FD'!$O$152=0),((L28/'Input FD'!$G$117)/('Input FD'!L111/'Input FD'!$G$116))*100,K31)</f>
        <v>98.447377788244964</v>
      </c>
      <c r="M31" s="135">
        <f>IF(OR(M$5&lt;4,'Input FD'!$O$152=0),((M28/'Input FD'!$G$117)/('Input FD'!M111/'Input FD'!$G$116))*100,L31)</f>
        <v>98.927608899407502</v>
      </c>
      <c r="N31" s="375">
        <f>IF(OR(N$5&lt;4,'Input FD'!$O$152=0),((N28/'Input FD'!$G$117)/('Input FD'!N111/'Input FD'!$G$116))*100,M31)</f>
        <v>99.410182601355629</v>
      </c>
      <c r="O31" s="361"/>
      <c r="P31" s="150"/>
      <c r="Q31" s="131"/>
      <c r="R31" s="137" t="s">
        <v>75</v>
      </c>
    </row>
    <row r="32" spans="1:18" s="138" customFormat="1">
      <c r="C32" s="139"/>
      <c r="D32" s="140" t="s">
        <v>58</v>
      </c>
      <c r="E32" s="141" t="s">
        <v>395</v>
      </c>
      <c r="F32" s="131"/>
      <c r="G32" s="143">
        <f>G31/$G$31</f>
        <v>1</v>
      </c>
      <c r="H32" s="143">
        <f t="shared" ref="H32:N32" si="6">H31/$G$31</f>
        <v>0.95623138404235486</v>
      </c>
      <c r="I32" s="143">
        <f t="shared" si="6"/>
        <v>0.95622587639576828</v>
      </c>
      <c r="J32" s="152">
        <f>J31/$G$31</f>
        <v>0.96095601782438655</v>
      </c>
      <c r="K32" s="152">
        <f t="shared" si="6"/>
        <v>0.97498029882861192</v>
      </c>
      <c r="L32" s="152">
        <f t="shared" si="6"/>
        <v>0.98447377788244483</v>
      </c>
      <c r="M32" s="152">
        <f t="shared" si="6"/>
        <v>0.98927608899407027</v>
      </c>
      <c r="N32" s="379">
        <f t="shared" si="6"/>
        <v>0.99410182601355146</v>
      </c>
      <c r="O32" s="367"/>
      <c r="P32" s="151"/>
      <c r="Q32" s="143"/>
      <c r="R32" s="137" t="s">
        <v>75</v>
      </c>
    </row>
    <row r="33" spans="1:23" s="138" customFormat="1">
      <c r="C33" s="139"/>
      <c r="D33" s="140"/>
      <c r="E33" s="141"/>
      <c r="F33" s="131"/>
      <c r="G33" s="143"/>
      <c r="H33" s="143"/>
      <c r="I33" s="143"/>
      <c r="J33" s="152"/>
      <c r="K33" s="152"/>
      <c r="L33" s="152"/>
      <c r="M33" s="152"/>
      <c r="N33" s="379"/>
      <c r="O33" s="367"/>
      <c r="P33" s="151"/>
      <c r="Q33" s="143"/>
      <c r="R33" s="137"/>
    </row>
    <row r="34" spans="1:23" s="37" customFormat="1">
      <c r="A34" s="190"/>
      <c r="B34" s="191"/>
      <c r="C34" s="192"/>
      <c r="D34" s="193"/>
      <c r="E34" s="194"/>
      <c r="F34" s="195"/>
      <c r="G34" s="356"/>
      <c r="H34" s="356"/>
      <c r="I34" s="357"/>
      <c r="J34" s="358"/>
      <c r="K34" s="358"/>
      <c r="L34" s="358"/>
      <c r="M34" s="358"/>
      <c r="N34" s="380"/>
      <c r="O34" s="197"/>
      <c r="P34" s="198"/>
      <c r="Q34" s="196"/>
      <c r="R34" s="199"/>
      <c r="S34" s="200"/>
      <c r="T34" s="200"/>
      <c r="U34" s="201"/>
      <c r="V34" s="202"/>
      <c r="W34" s="202"/>
    </row>
    <row r="35" spans="1:23">
      <c r="A35" s="479"/>
      <c r="B35" s="452"/>
      <c r="C35" s="453"/>
      <c r="D35" s="467" t="s">
        <v>38</v>
      </c>
      <c r="E35" s="485" t="s">
        <v>102</v>
      </c>
      <c r="F35" s="440"/>
      <c r="G35" s="440"/>
      <c r="H35" s="440"/>
      <c r="I35" s="440"/>
      <c r="J35" s="440"/>
      <c r="K35" s="440"/>
      <c r="L35" s="440"/>
      <c r="M35" s="440"/>
      <c r="N35" s="446"/>
      <c r="O35" s="440"/>
      <c r="P35" s="475"/>
      <c r="Q35" s="476"/>
      <c r="R35" s="477"/>
    </row>
    <row r="36" spans="1:23">
      <c r="C36" s="19"/>
      <c r="D36" s="19"/>
      <c r="E36" s="74"/>
      <c r="F36" s="19"/>
      <c r="G36" s="75"/>
      <c r="H36" s="19"/>
      <c r="I36" s="19"/>
      <c r="J36" s="65"/>
      <c r="K36" s="65"/>
      <c r="L36" s="65"/>
      <c r="M36" s="65"/>
      <c r="N36" s="374"/>
      <c r="O36" s="28"/>
      <c r="P36" s="84"/>
      <c r="Q36" s="19"/>
      <c r="R36" s="100"/>
    </row>
    <row r="37" spans="1:23">
      <c r="A37" s="59"/>
      <c r="B37" s="60"/>
      <c r="C37" s="453"/>
      <c r="D37" s="467" t="s">
        <v>38</v>
      </c>
      <c r="E37" s="454" t="s">
        <v>121</v>
      </c>
      <c r="F37" s="440"/>
      <c r="G37" s="480"/>
      <c r="H37" s="480"/>
      <c r="I37" s="480"/>
      <c r="J37" s="440"/>
      <c r="K37" s="440"/>
      <c r="L37" s="440"/>
      <c r="M37" s="440"/>
      <c r="N37" s="446"/>
      <c r="O37" s="440"/>
      <c r="P37" s="475"/>
      <c r="Q37" s="476"/>
      <c r="R37" s="477"/>
    </row>
    <row r="38" spans="1:23" s="37" customFormat="1">
      <c r="C38" s="131"/>
      <c r="D38" s="131"/>
      <c r="E38" s="149"/>
      <c r="F38" s="131"/>
      <c r="G38" s="148"/>
      <c r="H38" s="148"/>
      <c r="I38" s="148"/>
      <c r="J38" s="106"/>
      <c r="K38" s="106"/>
      <c r="L38" s="106"/>
      <c r="M38" s="106"/>
      <c r="N38" s="364"/>
      <c r="O38" s="203"/>
      <c r="P38" s="136"/>
      <c r="Q38" s="131"/>
      <c r="R38" s="147"/>
    </row>
    <row r="39" spans="1:23" s="37" customFormat="1">
      <c r="C39" s="131"/>
      <c r="D39" s="153" t="s">
        <v>57</v>
      </c>
      <c r="E39" s="154" t="s">
        <v>60</v>
      </c>
      <c r="F39" s="155"/>
      <c r="G39" s="148"/>
      <c r="H39" s="148"/>
      <c r="I39" s="148"/>
      <c r="J39" s="156">
        <f>IF(OR(J$5&lt;4,J$5&gt;8),'Input FD'!J30,'Input FD'!J30*$G$95/100)</f>
        <v>92.744508388519577</v>
      </c>
      <c r="K39" s="156">
        <f>IF(OR(K$5&lt;4,K$5&gt;8),'Input FD'!K30,'Input FD'!K30*$G$95/100)</f>
        <v>123.58315740734844</v>
      </c>
      <c r="L39" s="156">
        <f>IF(OR(L$5&lt;4,L$5&gt;8),'Input FD'!L30,'Input FD'!L30*$G$95/100)</f>
        <v>106.43668892813312</v>
      </c>
      <c r="M39" s="156">
        <f>IF(OR(M$5&lt;4,M$5&gt;8),'Input FD'!M30,'Input FD'!M30*$G$95/100)</f>
        <v>126.28363827791573</v>
      </c>
      <c r="N39" s="365">
        <f>IF(OR(N$5&lt;4,N$5&gt;8),'Input FD'!N30,'Input FD'!N30*$G$95/100)</f>
        <v>120.38482974641023</v>
      </c>
      <c r="O39" s="157"/>
      <c r="P39" s="158"/>
      <c r="Q39" s="148"/>
      <c r="R39" s="147" t="s">
        <v>242</v>
      </c>
    </row>
    <row r="40" spans="1:23" s="37" customFormat="1">
      <c r="C40" s="131"/>
      <c r="D40" s="153" t="s">
        <v>57</v>
      </c>
      <c r="E40" s="154" t="s">
        <v>61</v>
      </c>
      <c r="F40" s="155"/>
      <c r="G40" s="148"/>
      <c r="H40" s="148"/>
      <c r="I40" s="148"/>
      <c r="J40" s="156">
        <f>IF(OR(J$5&lt;4,J$5&gt;8),'Input FD'!J31,'Input FD'!J31*$G$95/100)</f>
        <v>105.83219195036244</v>
      </c>
      <c r="K40" s="156">
        <f>IF(OR(K$5&lt;4,K$5&gt;8),'Input FD'!K31,'Input FD'!K31*$G$95/100)</f>
        <v>160.37178819267535</v>
      </c>
      <c r="L40" s="156">
        <f>IF(OR(L$5&lt;4,L$5&gt;8),'Input FD'!L31,'Input FD'!L31*$G$95/100)</f>
        <v>142.66725883808135</v>
      </c>
      <c r="M40" s="156">
        <f>IF(OR(M$5&lt;4,M$5&gt;8),'Input FD'!M31,'Input FD'!M31*$G$95/100)</f>
        <v>120.49689473269518</v>
      </c>
      <c r="N40" s="365">
        <f>IF(OR(N$5&lt;4,N$5&gt;8),'Input FD'!N31,'Input FD'!N31*$G$95/100)</f>
        <v>85.230568268989231</v>
      </c>
      <c r="O40" s="157"/>
      <c r="P40" s="158"/>
      <c r="Q40" s="148"/>
      <c r="R40" s="147" t="s">
        <v>242</v>
      </c>
    </row>
    <row r="41" spans="1:23" s="37" customFormat="1">
      <c r="C41" s="131"/>
      <c r="D41" s="153" t="s">
        <v>57</v>
      </c>
      <c r="E41" s="154" t="s">
        <v>63</v>
      </c>
      <c r="F41" s="155"/>
      <c r="G41" s="148"/>
      <c r="H41" s="148"/>
      <c r="I41" s="148"/>
      <c r="J41" s="156">
        <f>IF(OR(J$5&lt;4,J$5&gt;8),'Input FD'!J32,'Input FD'!J32*$G$95/100)</f>
        <v>15.589113678505825</v>
      </c>
      <c r="K41" s="156">
        <f>IF(OR(K$5&lt;4,K$5&gt;8),'Input FD'!K32,'Input FD'!K32*$G$95/100)</f>
        <v>30.190766593343678</v>
      </c>
      <c r="L41" s="156">
        <f>IF(OR(L$5&lt;4,L$5&gt;8),'Input FD'!L32,'Input FD'!L32*$G$95/100)</f>
        <v>38.153146625235721</v>
      </c>
      <c r="M41" s="156">
        <f>IF(OR(M$5&lt;4,M$5&gt;8),'Input FD'!M32,'Input FD'!M32*$G$95/100)</f>
        <v>26.33682677391614</v>
      </c>
      <c r="N41" s="365">
        <f>IF(OR(N$5&lt;4,N$5&gt;8),'Input FD'!N32,'Input FD'!N32*$G$95/100)</f>
        <v>12.978978580751031</v>
      </c>
      <c r="O41" s="157"/>
      <c r="P41" s="158"/>
      <c r="Q41" s="148"/>
      <c r="R41" s="147" t="s">
        <v>242</v>
      </c>
    </row>
    <row r="42" spans="1:23" s="37" customFormat="1">
      <c r="C42" s="131"/>
      <c r="D42" s="153" t="s">
        <v>57</v>
      </c>
      <c r="E42" s="154" t="s">
        <v>62</v>
      </c>
      <c r="F42" s="155"/>
      <c r="G42" s="148"/>
      <c r="H42" s="148"/>
      <c r="I42" s="148"/>
      <c r="J42" s="156">
        <f>IF(OR(J$5&lt;4,J$5&gt;8),'Input FD'!J33,'Input FD'!J33*$G$95/100)</f>
        <v>38.694736261513548</v>
      </c>
      <c r="K42" s="156">
        <f>IF(OR(K$5&lt;4,K$5&gt;8),'Input FD'!K33,'Input FD'!K33*$G$95/100)</f>
        <v>53.537201593277878</v>
      </c>
      <c r="L42" s="156">
        <f>IF(OR(L$5&lt;4,L$5&gt;8),'Input FD'!L33,'Input FD'!L33*$G$95/100)</f>
        <v>46.048073383459695</v>
      </c>
      <c r="M42" s="156">
        <f>IF(OR(M$5&lt;4,M$5&gt;8),'Input FD'!M33,'Input FD'!M33*$G$95/100)</f>
        <v>39.417296012112999</v>
      </c>
      <c r="N42" s="365">
        <f>IF(OR(N$5&lt;4,N$5&gt;8),'Input FD'!N33,'Input FD'!N33*$G$95/100)</f>
        <v>27.854831958516112</v>
      </c>
      <c r="O42" s="157"/>
      <c r="P42" s="158"/>
      <c r="Q42" s="148"/>
      <c r="R42" s="147" t="s">
        <v>242</v>
      </c>
    </row>
    <row r="43" spans="1:23" s="37" customFormat="1">
      <c r="C43" s="131"/>
      <c r="D43" s="153" t="s">
        <v>57</v>
      </c>
      <c r="E43" s="154" t="s">
        <v>218</v>
      </c>
      <c r="F43" s="155"/>
      <c r="G43" s="148"/>
      <c r="H43" s="148"/>
      <c r="I43" s="148"/>
      <c r="J43" s="156">
        <f>IF(OR(J$5&lt;4,J$5&gt;8),'Input FD'!J34,'Input FD'!J34*$G$95/100)</f>
        <v>0</v>
      </c>
      <c r="K43" s="156">
        <f>IF(OR(K$5&lt;4,K$5&gt;8),'Input FD'!K34,'Input FD'!K34*$G$95/100)</f>
        <v>0</v>
      </c>
      <c r="L43" s="156">
        <f>IF(OR(L$5&lt;4,L$5&gt;8),'Input FD'!L34,'Input FD'!L34*$G$95/100)</f>
        <v>0</v>
      </c>
      <c r="M43" s="156">
        <f>IF(OR(M$5&lt;4,M$5&gt;8),'Input FD'!M34,'Input FD'!M34*$G$95/100)</f>
        <v>0</v>
      </c>
      <c r="N43" s="365">
        <f>IF(OR(N$5&lt;4,N$5&gt;8),'Input FD'!N34,'Input FD'!N34*$G$95/100)</f>
        <v>0</v>
      </c>
      <c r="O43" s="157"/>
      <c r="P43" s="158"/>
      <c r="Q43" s="148"/>
      <c r="R43" s="147" t="s">
        <v>242</v>
      </c>
    </row>
    <row r="44" spans="1:23" s="37" customFormat="1">
      <c r="C44" s="131"/>
      <c r="D44" s="153" t="s">
        <v>57</v>
      </c>
      <c r="E44" s="154" t="s">
        <v>219</v>
      </c>
      <c r="F44" s="155"/>
      <c r="G44" s="148"/>
      <c r="H44" s="148"/>
      <c r="I44" s="148"/>
      <c r="J44" s="156">
        <f>IF(OR(J$5&lt;4,J$5&gt;8),'Input FD'!J35,'Input FD'!J35*$G$95/100)</f>
        <v>0</v>
      </c>
      <c r="K44" s="156">
        <f>IF(OR(K$5&lt;4,K$5&gt;8),'Input FD'!K35,'Input FD'!K35*$G$95/100)</f>
        <v>0</v>
      </c>
      <c r="L44" s="156">
        <f>IF(OR(L$5&lt;4,L$5&gt;8),'Input FD'!L35,'Input FD'!L35*$G$95/100)</f>
        <v>0</v>
      </c>
      <c r="M44" s="156">
        <f>IF(OR(M$5&lt;4,M$5&gt;8),'Input FD'!M35,'Input FD'!M35*$G$95/100)</f>
        <v>0</v>
      </c>
      <c r="N44" s="365">
        <f>IF(OR(N$5&lt;4,N$5&gt;8),'Input FD'!N35,'Input FD'!N35*$G$95/100)</f>
        <v>0</v>
      </c>
      <c r="O44" s="157"/>
      <c r="P44" s="158"/>
      <c r="Q44" s="148"/>
      <c r="R44" s="147" t="s">
        <v>242</v>
      </c>
    </row>
    <row r="45" spans="1:23" s="37" customFormat="1">
      <c r="C45" s="131"/>
      <c r="D45" s="153"/>
      <c r="E45" s="154"/>
      <c r="F45" s="155"/>
      <c r="G45" s="148"/>
      <c r="H45" s="148"/>
      <c r="I45" s="148"/>
      <c r="J45" s="156"/>
      <c r="K45" s="156"/>
      <c r="L45" s="156"/>
      <c r="M45" s="156"/>
      <c r="N45" s="365"/>
      <c r="O45" s="157"/>
      <c r="P45" s="158"/>
      <c r="Q45" s="148"/>
      <c r="R45" s="147"/>
    </row>
    <row r="46" spans="1:23" s="37" customFormat="1">
      <c r="C46" s="131"/>
      <c r="D46" s="153" t="s">
        <v>57</v>
      </c>
      <c r="E46" s="154" t="s">
        <v>10</v>
      </c>
      <c r="F46" s="155"/>
      <c r="G46" s="148"/>
      <c r="H46" s="148"/>
      <c r="I46" s="148"/>
      <c r="J46" s="156">
        <f>IF('Input FD'!$O$151=1,0,IF(OR(J$5&lt;4,J$5&gt;8),'Input FD'!J37,'Input FD'!J37*$G$100/100))</f>
        <v>39.640590508201292</v>
      </c>
      <c r="K46" s="156">
        <f>IF('Input FD'!$O$151=1,0,IF(OR(K$5&lt;4,K$5&gt;8),'Input FD'!K37,'Input FD'!K37*$G$100/100))</f>
        <v>36.494855012823066</v>
      </c>
      <c r="L46" s="156">
        <f>IF('Input FD'!$O$151=1,0,IF(OR(L$5&lt;4,L$5&gt;8),'Input FD'!L37,'Input FD'!L37*$G$100/100))</f>
        <v>44.399875834970501</v>
      </c>
      <c r="M46" s="156">
        <f>IF('Input FD'!$O$151=1,0,IF(OR(M$5&lt;4,M$5&gt;8),'Input FD'!M37,'Input FD'!M37*$G$100/100))</f>
        <v>46.225110251649333</v>
      </c>
      <c r="N46" s="365">
        <f>IF('Input FD'!$O$151=1,0,IF(OR(N$5&lt;4,N$5&gt;8),'Input FD'!N37,'Input FD'!N37*$G$100/100))</f>
        <v>45.567919539780114</v>
      </c>
      <c r="O46" s="157"/>
      <c r="P46" s="158"/>
      <c r="Q46" s="148"/>
      <c r="R46" s="147" t="s">
        <v>242</v>
      </c>
    </row>
    <row r="47" spans="1:23" s="37" customFormat="1">
      <c r="C47" s="131"/>
      <c r="D47" s="153" t="s">
        <v>57</v>
      </c>
      <c r="E47" s="154" t="s">
        <v>11</v>
      </c>
      <c r="F47" s="155"/>
      <c r="G47" s="148"/>
      <c r="H47" s="148"/>
      <c r="I47" s="148"/>
      <c r="J47" s="156">
        <f>IF('Input FD'!$O$151=1,0,IF(OR(J$5&lt;4,J$5&gt;8),'Input FD'!J38,'Input FD'!J38*$G$100/100))</f>
        <v>150.75957958585835</v>
      </c>
      <c r="K47" s="156">
        <f>IF('Input FD'!$O$151=1,0,IF(OR(K$5&lt;4,K$5&gt;8),'Input FD'!K38,'Input FD'!K38*$G$100/100))</f>
        <v>226.284601824183</v>
      </c>
      <c r="L47" s="156">
        <f>IF('Input FD'!$O$151=1,0,IF(OR(L$5&lt;4,L$5&gt;8),'Input FD'!L38,'Input FD'!L38*$G$100/100))</f>
        <v>132.78980871196487</v>
      </c>
      <c r="M47" s="156">
        <f>IF('Input FD'!$O$151=1,0,IF(OR(M$5&lt;4,M$5&gt;8),'Input FD'!M38,'Input FD'!M38*$G$100/100))</f>
        <v>146.85726112845211</v>
      </c>
      <c r="N47" s="365">
        <f>IF('Input FD'!$O$151=1,0,IF(OR(N$5&lt;4,N$5&gt;8),'Input FD'!N38,'Input FD'!N38*$G$100/100))</f>
        <v>113.04581801017456</v>
      </c>
      <c r="O47" s="157"/>
      <c r="P47" s="158"/>
      <c r="Q47" s="148"/>
      <c r="R47" s="147" t="s">
        <v>242</v>
      </c>
    </row>
    <row r="48" spans="1:23" s="37" customFormat="1">
      <c r="C48" s="131"/>
      <c r="D48" s="153" t="s">
        <v>57</v>
      </c>
      <c r="E48" s="154" t="s">
        <v>13</v>
      </c>
      <c r="F48" s="155"/>
      <c r="G48" s="148"/>
      <c r="H48" s="148"/>
      <c r="I48" s="148"/>
      <c r="J48" s="156">
        <f>IF('Input FD'!$O$151=1,0,IF(OR(J$5&lt;4,J$5&gt;8),'Input FD'!J39,'Input FD'!J39*$G$100/100))</f>
        <v>57.657577219887052</v>
      </c>
      <c r="K48" s="156">
        <f>IF('Input FD'!$O$151=1,0,IF(OR(K$5&lt;4,K$5&gt;8),'Input FD'!K39,'Input FD'!K39*$G$100/100))</f>
        <v>97.270019882493031</v>
      </c>
      <c r="L48" s="156">
        <f>IF('Input FD'!$O$151=1,0,IF(OR(L$5&lt;4,L$5&gt;8),'Input FD'!L39,'Input FD'!L39*$G$100/100))</f>
        <v>102.4236356921535</v>
      </c>
      <c r="M48" s="156">
        <f>IF('Input FD'!$O$151=1,0,IF(OR(M$5&lt;4,M$5&gt;8),'Input FD'!M39,'Input FD'!M39*$G$100/100))</f>
        <v>85.421238176095116</v>
      </c>
      <c r="N48" s="365">
        <f>IF('Input FD'!$O$151=1,0,IF(OR(N$5&lt;4,N$5&gt;8),'Input FD'!N39,'Input FD'!N39*$G$100/100))</f>
        <v>76.07267385604861</v>
      </c>
      <c r="O48" s="157"/>
      <c r="P48" s="158"/>
      <c r="Q48" s="148"/>
      <c r="R48" s="147" t="s">
        <v>242</v>
      </c>
    </row>
    <row r="49" spans="1:18" s="37" customFormat="1">
      <c r="C49" s="131"/>
      <c r="D49" s="153" t="s">
        <v>57</v>
      </c>
      <c r="E49" s="154" t="s">
        <v>12</v>
      </c>
      <c r="F49" s="155"/>
      <c r="G49" s="148"/>
      <c r="H49" s="148"/>
      <c r="I49" s="148"/>
      <c r="J49" s="156">
        <f>IF('Input FD'!$O$151=1,0,IF(OR(J$5&lt;4,J$5&gt;8),'Input FD'!J40,'Input FD'!J40*$G$100/100))</f>
        <v>276.96771548511396</v>
      </c>
      <c r="K49" s="156">
        <f>IF('Input FD'!$O$151=1,0,IF(OR(K$5&lt;4,K$5&gt;8),'Input FD'!K40,'Input FD'!K40*$G$100/100))</f>
        <v>313.57531138819775</v>
      </c>
      <c r="L49" s="156">
        <f>IF('Input FD'!$O$151=1,0,IF(OR(L$5&lt;4,L$5&gt;8),'Input FD'!L40,'Input FD'!L40*$G$100/100))</f>
        <v>266.61271504601694</v>
      </c>
      <c r="M49" s="156">
        <f>IF('Input FD'!$O$151=1,0,IF(OR(M$5&lt;4,M$5&gt;8),'Input FD'!M40,'Input FD'!M40*$G$100/100))</f>
        <v>166.75292601187698</v>
      </c>
      <c r="N49" s="365">
        <f>IF('Input FD'!$O$151=1,0,IF(OR(N$5&lt;4,N$5&gt;8),'Input FD'!N40,'Input FD'!N40*$G$100/100))</f>
        <v>117.08075287006456</v>
      </c>
      <c r="O49" s="157"/>
      <c r="P49" s="158"/>
      <c r="Q49" s="148"/>
      <c r="R49" s="147" t="s">
        <v>242</v>
      </c>
    </row>
    <row r="50" spans="1:18" s="37" customFormat="1">
      <c r="C50" s="131"/>
      <c r="D50" s="153" t="s">
        <v>57</v>
      </c>
      <c r="E50" s="154" t="s">
        <v>228</v>
      </c>
      <c r="F50" s="155"/>
      <c r="G50" s="148"/>
      <c r="H50" s="148"/>
      <c r="I50" s="148"/>
      <c r="J50" s="156">
        <f>IF('Input FD'!$O$151=1,0,IF(OR(J$5&lt;4,J$5&gt;8),'Input FD'!J41,'Input FD'!J41*$G$100/100))</f>
        <v>127.16970444827261</v>
      </c>
      <c r="K50" s="156">
        <f>IF('Input FD'!$O$151=1,0,IF(OR(K$5&lt;4,K$5&gt;8),'Input FD'!K41,'Input FD'!K41*$G$100/100))</f>
        <v>139.50991052218464</v>
      </c>
      <c r="L50" s="156">
        <f>IF('Input FD'!$O$151=1,0,IF(OR(L$5&lt;4,L$5&gt;8),'Input FD'!L41,'Input FD'!L41*$G$100/100))</f>
        <v>101.76309784432605</v>
      </c>
      <c r="M50" s="156">
        <f>IF('Input FD'!$O$151=1,0,IF(OR(M$5&lt;4,M$5&gt;8),'Input FD'!M41,'Input FD'!M41*$G$100/100))</f>
        <v>92.735644008455694</v>
      </c>
      <c r="N50" s="365">
        <f>IF('Input FD'!$O$151=1,0,IF(OR(N$5&lt;4,N$5&gt;8),'Input FD'!N41,'Input FD'!N41*$G$100/100))</f>
        <v>75.727190707475671</v>
      </c>
      <c r="O50" s="157"/>
      <c r="P50" s="158"/>
      <c r="Q50" s="148"/>
      <c r="R50" s="147" t="s">
        <v>242</v>
      </c>
    </row>
    <row r="51" spans="1:18" s="37" customFormat="1">
      <c r="C51" s="131"/>
      <c r="D51" s="153" t="s">
        <v>57</v>
      </c>
      <c r="E51" s="154" t="s">
        <v>229</v>
      </c>
      <c r="F51" s="155"/>
      <c r="G51" s="148"/>
      <c r="H51" s="148"/>
      <c r="I51" s="148"/>
      <c r="J51" s="156">
        <f>IF('Input FD'!$O$151=1,0,IF(OR(J$5&lt;4,J$5&gt;8),'Input FD'!J42,'Input FD'!J42*$G$100/100))</f>
        <v>15.32657878111219</v>
      </c>
      <c r="K51" s="156">
        <f>IF('Input FD'!$O$151=1,0,IF(OR(K$5&lt;4,K$5&gt;8),'Input FD'!K42,'Input FD'!K42*$G$100/100))</f>
        <v>16.813645518508981</v>
      </c>
      <c r="L51" s="156">
        <f>IF('Input FD'!$O$151=1,0,IF(OR(L$5&lt;4,L$5&gt;8),'Input FD'!L42,'Input FD'!L42*$G$100/100))</f>
        <v>12.263710871371064</v>
      </c>
      <c r="M51" s="156">
        <f>IF('Input FD'!$O$151=1,0,IF(OR(M$5&lt;4,M$5&gt;8),'Input FD'!M42,'Input FD'!M42*$G$100/100))</f>
        <v>11.176459059255167</v>
      </c>
      <c r="N51" s="365">
        <f>IF('Input FD'!$O$151=1,0,IF(OR(N$5&lt;4,N$5&gt;8),'Input FD'!N42,'Input FD'!N42*$G$100/100))</f>
        <v>9.1263876311567103</v>
      </c>
      <c r="O51" s="157"/>
      <c r="P51" s="158"/>
      <c r="Q51" s="148"/>
      <c r="R51" s="147" t="s">
        <v>242</v>
      </c>
    </row>
    <row r="52" spans="1:18" s="37" customFormat="1">
      <c r="A52" s="109"/>
      <c r="B52" s="109"/>
      <c r="C52" s="104"/>
      <c r="D52" s="131"/>
      <c r="E52" s="132"/>
      <c r="F52" s="131"/>
      <c r="G52" s="131"/>
      <c r="H52" s="131"/>
      <c r="I52" s="131"/>
      <c r="J52" s="159"/>
      <c r="K52" s="159"/>
      <c r="L52" s="159"/>
      <c r="M52" s="159"/>
      <c r="N52" s="362"/>
      <c r="O52" s="157"/>
      <c r="P52" s="158"/>
      <c r="Q52" s="148"/>
      <c r="R52" s="160"/>
    </row>
    <row r="53" spans="1:18">
      <c r="A53" s="59"/>
      <c r="B53" s="452"/>
      <c r="C53" s="453"/>
      <c r="D53" s="481"/>
      <c r="E53" s="484" t="s">
        <v>300</v>
      </c>
      <c r="F53" s="440"/>
      <c r="G53" s="440"/>
      <c r="H53" s="440"/>
      <c r="I53" s="440"/>
      <c r="J53" s="440"/>
      <c r="K53" s="440"/>
      <c r="L53" s="440"/>
      <c r="M53" s="440"/>
      <c r="N53" s="446"/>
      <c r="O53" s="440"/>
      <c r="P53" s="475"/>
      <c r="Q53" s="476"/>
      <c r="R53" s="477"/>
    </row>
    <row r="54" spans="1:18" s="37" customFormat="1">
      <c r="C54" s="131"/>
      <c r="D54" s="131"/>
      <c r="E54" s="132"/>
      <c r="F54" s="131"/>
      <c r="G54" s="131"/>
      <c r="H54" s="131"/>
      <c r="I54" s="131"/>
      <c r="J54" s="106"/>
      <c r="K54" s="106"/>
      <c r="L54" s="106"/>
      <c r="M54" s="106"/>
      <c r="N54" s="364"/>
      <c r="P54" s="136"/>
      <c r="Q54" s="131"/>
      <c r="R54" s="147"/>
    </row>
    <row r="55" spans="1:18" s="37" customFormat="1">
      <c r="C55" s="131"/>
      <c r="D55" s="153" t="s">
        <v>57</v>
      </c>
      <c r="E55" s="154" t="s">
        <v>113</v>
      </c>
      <c r="F55" s="155"/>
      <c r="G55" s="148"/>
      <c r="H55" s="148"/>
      <c r="I55" s="148"/>
      <c r="J55" s="156">
        <f>SUM('Input FD'!J10:J13)-'Input FD'!J14-'Input FD'!J17+'Input FD'!J15+'Input FD'!J16</f>
        <v>388.12044076242984</v>
      </c>
      <c r="K55" s="156">
        <f>SUM('Input FD'!K10:K13)-'Input FD'!K14-'Input FD'!K17+'Input FD'!K15+'Input FD'!K16</f>
        <v>500.29059487707758</v>
      </c>
      <c r="L55" s="156">
        <f>SUM('Input FD'!L10:L13)-'Input FD'!L14-'Input FD'!L17+'Input FD'!L15+'Input FD'!L16</f>
        <v>336.7232186974299</v>
      </c>
      <c r="M55" s="156">
        <f>SUM('Input FD'!M10:M13)-'Input FD'!M14-'Input FD'!M17+'Input FD'!M15+'Input FD'!M16</f>
        <v>310.15449025703668</v>
      </c>
      <c r="N55" s="365">
        <f>SUM('Input FD'!N10:N13)-'Input FD'!N14-'Input FD'!N17+'Input FD'!N15+'Input FD'!N16</f>
        <v>247.16279813151507</v>
      </c>
      <c r="O55" s="157"/>
      <c r="P55" s="158"/>
      <c r="Q55" s="148"/>
      <c r="R55" s="147" t="s">
        <v>242</v>
      </c>
    </row>
    <row r="56" spans="1:18" s="37" customFormat="1">
      <c r="C56" s="131"/>
      <c r="D56" s="153" t="s">
        <v>57</v>
      </c>
      <c r="E56" s="154" t="s">
        <v>114</v>
      </c>
      <c r="F56" s="155"/>
      <c r="G56" s="148"/>
      <c r="H56" s="148"/>
      <c r="I56" s="148"/>
      <c r="J56" s="156">
        <f>SUM('Input FD'!J30:J35)</f>
        <v>237.83883424979501</v>
      </c>
      <c r="K56" s="156">
        <f>SUM('Input FD'!K30:K35)</f>
        <v>345.8399322952053</v>
      </c>
      <c r="L56" s="156">
        <f>SUM('Input FD'!L30:L35)</f>
        <v>313.5044690268216</v>
      </c>
      <c r="M56" s="156">
        <f>SUM('Input FD'!M30:M35)</f>
        <v>293.96787326194521</v>
      </c>
      <c r="N56" s="365">
        <f>SUM('Input FD'!N30:N35)</f>
        <v>231.80837184675443</v>
      </c>
      <c r="O56" s="157"/>
      <c r="P56" s="158"/>
      <c r="Q56" s="148"/>
      <c r="R56" s="147" t="s">
        <v>242</v>
      </c>
    </row>
    <row r="57" spans="1:18" s="37" customFormat="1">
      <c r="C57" s="131"/>
      <c r="D57" s="153" t="s">
        <v>57</v>
      </c>
      <c r="E57" s="154" t="s">
        <v>115</v>
      </c>
      <c r="F57" s="155"/>
      <c r="G57" s="148"/>
      <c r="H57" s="148"/>
      <c r="I57" s="148"/>
      <c r="J57" s="156">
        <f>SUM(J39:J44)</f>
        <v>252.8605502789014</v>
      </c>
      <c r="K57" s="156">
        <f t="shared" ref="K57:N57" si="7">SUM(K39:K44)</f>
        <v>367.68291378664532</v>
      </c>
      <c r="L57" s="156">
        <f t="shared" si="7"/>
        <v>333.30516777490993</v>
      </c>
      <c r="M57" s="156">
        <f t="shared" si="7"/>
        <v>312.53465579664004</v>
      </c>
      <c r="N57" s="365">
        <f t="shared" si="7"/>
        <v>246.44920855466663</v>
      </c>
      <c r="O57" s="157"/>
      <c r="P57" s="158"/>
      <c r="Q57" s="148"/>
      <c r="R57" s="147" t="s">
        <v>242</v>
      </c>
    </row>
    <row r="58" spans="1:18" s="37" customFormat="1">
      <c r="C58" s="131"/>
      <c r="D58" s="153"/>
      <c r="E58" s="154"/>
      <c r="F58" s="155"/>
      <c r="G58" s="148"/>
      <c r="H58" s="148"/>
      <c r="I58" s="148"/>
      <c r="J58" s="156"/>
      <c r="K58" s="156"/>
      <c r="L58" s="156"/>
      <c r="M58" s="156"/>
      <c r="N58" s="365"/>
      <c r="O58" s="157"/>
      <c r="P58" s="158"/>
      <c r="Q58" s="148"/>
      <c r="R58" s="147"/>
    </row>
    <row r="59" spans="1:18" s="37" customFormat="1">
      <c r="C59" s="131"/>
      <c r="D59" s="153" t="s">
        <v>57</v>
      </c>
      <c r="E59" s="154" t="s">
        <v>108</v>
      </c>
      <c r="F59" s="155"/>
      <c r="G59" s="148"/>
      <c r="H59" s="148"/>
      <c r="I59" s="148"/>
      <c r="J59" s="156">
        <f>'Input FD'!J85+'Input FD'!J82</f>
        <v>0</v>
      </c>
      <c r="K59" s="156">
        <f>'Input FD'!K85+'Input FD'!K82</f>
        <v>0</v>
      </c>
      <c r="L59" s="156">
        <f>'Input FD'!L85+'Input FD'!L82</f>
        <v>0</v>
      </c>
      <c r="M59" s="156">
        <f>'Input FD'!M85+'Input FD'!M82</f>
        <v>0</v>
      </c>
      <c r="N59" s="365">
        <f>'Input FD'!N85+'Input FD'!N82</f>
        <v>0</v>
      </c>
      <c r="O59" s="157"/>
      <c r="P59" s="158"/>
      <c r="Q59" s="148"/>
      <c r="R59" s="147" t="s">
        <v>242</v>
      </c>
    </row>
    <row r="60" spans="1:18" s="37" customFormat="1">
      <c r="C60" s="131"/>
      <c r="D60" s="153" t="s">
        <v>57</v>
      </c>
      <c r="E60" s="154" t="s">
        <v>107</v>
      </c>
      <c r="F60" s="155"/>
      <c r="G60" s="148"/>
      <c r="H60" s="148"/>
      <c r="I60" s="148"/>
      <c r="J60" s="156">
        <f>'Input FD'!J86+'Input FD'!J88+'Input FD'!J83</f>
        <v>-1.63480322336759</v>
      </c>
      <c r="K60" s="156">
        <f>'Input FD'!K86+'Input FD'!K88+'Input FD'!K83</f>
        <v>-2.49664163081039</v>
      </c>
      <c r="L60" s="156">
        <f>'Input FD'!L86+'Input FD'!L88+'Input FD'!L83</f>
        <v>-1.33179340600143</v>
      </c>
      <c r="M60" s="156">
        <f>'Input FD'!M86+'Input FD'!M88+'Input FD'!M83</f>
        <v>0</v>
      </c>
      <c r="N60" s="365">
        <f>'Input FD'!N86+'Input FD'!N88+'Input FD'!N83</f>
        <v>0.52887650038741996</v>
      </c>
      <c r="O60" s="157"/>
      <c r="P60" s="158"/>
      <c r="Q60" s="148"/>
      <c r="R60" s="147" t="s">
        <v>242</v>
      </c>
    </row>
    <row r="61" spans="1:18" s="37" customFormat="1">
      <c r="C61" s="131"/>
      <c r="D61" s="153"/>
      <c r="E61" s="154"/>
      <c r="F61" s="155"/>
      <c r="G61" s="148"/>
      <c r="H61" s="148"/>
      <c r="I61" s="148"/>
      <c r="J61" s="156"/>
      <c r="K61" s="156"/>
      <c r="L61" s="156"/>
      <c r="M61" s="156"/>
      <c r="N61" s="365"/>
      <c r="O61" s="157"/>
      <c r="P61" s="158"/>
      <c r="Q61" s="148"/>
      <c r="R61" s="147"/>
    </row>
    <row r="62" spans="1:18" s="37" customFormat="1">
      <c r="C62" s="131"/>
      <c r="D62" s="153" t="s">
        <v>57</v>
      </c>
      <c r="E62" s="154" t="s">
        <v>181</v>
      </c>
      <c r="F62" s="155"/>
      <c r="G62" s="148"/>
      <c r="H62" s="148"/>
      <c r="I62" s="148"/>
      <c r="J62" s="156">
        <f>J55+J59</f>
        <v>388.12044076242984</v>
      </c>
      <c r="K62" s="156">
        <f t="shared" ref="K62:N62" si="8">K55+K59</f>
        <v>500.29059487707758</v>
      </c>
      <c r="L62" s="156">
        <f t="shared" si="8"/>
        <v>336.7232186974299</v>
      </c>
      <c r="M62" s="156">
        <f t="shared" si="8"/>
        <v>310.15449025703668</v>
      </c>
      <c r="N62" s="365">
        <f t="shared" si="8"/>
        <v>247.16279813151507</v>
      </c>
      <c r="O62" s="157"/>
      <c r="P62" s="158"/>
      <c r="Q62" s="148"/>
      <c r="R62" s="147" t="s">
        <v>242</v>
      </c>
    </row>
    <row r="63" spans="1:18" s="37" customFormat="1">
      <c r="C63" s="131"/>
      <c r="D63" s="153" t="s">
        <v>57</v>
      </c>
      <c r="E63" s="154" t="s">
        <v>182</v>
      </c>
      <c r="F63" s="155"/>
      <c r="G63" s="148"/>
      <c r="H63" s="148"/>
      <c r="I63" s="148"/>
      <c r="J63" s="156">
        <f>J56+J60</f>
        <v>236.20403102642743</v>
      </c>
      <c r="K63" s="156">
        <f t="shared" ref="K63:N63" si="9">K56+K60</f>
        <v>343.34329066439489</v>
      </c>
      <c r="L63" s="156">
        <f t="shared" si="9"/>
        <v>312.17267562082014</v>
      </c>
      <c r="M63" s="156">
        <f t="shared" si="9"/>
        <v>293.96787326194521</v>
      </c>
      <c r="N63" s="365">
        <f t="shared" si="9"/>
        <v>232.33724834714184</v>
      </c>
      <c r="O63" s="157"/>
      <c r="P63" s="158"/>
      <c r="Q63" s="148"/>
      <c r="R63" s="147" t="s">
        <v>242</v>
      </c>
    </row>
    <row r="64" spans="1:18" s="37" customFormat="1">
      <c r="C64" s="131"/>
      <c r="D64" s="153" t="s">
        <v>57</v>
      </c>
      <c r="E64" s="154" t="s">
        <v>250</v>
      </c>
      <c r="F64" s="155"/>
      <c r="G64" s="148"/>
      <c r="H64" s="148"/>
      <c r="I64" s="148"/>
      <c r="J64" s="156">
        <f>J63*$G$107/100</f>
        <v>251.37988883858398</v>
      </c>
      <c r="K64" s="156">
        <f t="shared" ref="K64:N64" si="10">K63*$G$107/100</f>
        <v>365.40273197552909</v>
      </c>
      <c r="L64" s="156">
        <f t="shared" si="10"/>
        <v>332.22943806249066</v>
      </c>
      <c r="M64" s="156">
        <f t="shared" si="10"/>
        <v>312.85499651119324</v>
      </c>
      <c r="N64" s="365">
        <f t="shared" si="10"/>
        <v>247.26466948412249</v>
      </c>
      <c r="O64" s="157"/>
      <c r="P64" s="158"/>
      <c r="Q64" s="148"/>
      <c r="R64" s="147" t="s">
        <v>242</v>
      </c>
    </row>
    <row r="65" spans="1:18" s="37" customFormat="1">
      <c r="C65" s="131"/>
      <c r="D65" s="153"/>
      <c r="E65" s="154"/>
      <c r="F65" s="155"/>
      <c r="G65" s="148"/>
      <c r="H65" s="148"/>
      <c r="I65" s="148"/>
      <c r="J65" s="156"/>
      <c r="K65" s="156"/>
      <c r="L65" s="156"/>
      <c r="M65" s="156"/>
      <c r="N65" s="365"/>
      <c r="O65" s="157"/>
      <c r="P65" s="158"/>
      <c r="Q65" s="148"/>
      <c r="R65" s="147"/>
    </row>
    <row r="66" spans="1:18" s="37" customFormat="1">
      <c r="C66" s="131"/>
      <c r="D66" s="153" t="s">
        <v>57</v>
      </c>
      <c r="E66" s="154" t="s">
        <v>116</v>
      </c>
      <c r="F66" s="155"/>
      <c r="G66" s="148"/>
      <c r="H66" s="148"/>
      <c r="I66" s="148"/>
      <c r="J66" s="156">
        <f>IF('Input FD'!$O$151=1,0,SUM('Input FD'!J19:J22)-'Input FD'!J23-'Input FD'!J26+'Input FD'!J24+'Input FD'!J25)</f>
        <v>698.40912459999993</v>
      </c>
      <c r="K66" s="156">
        <f>IF('Input FD'!$O$151=1,0,SUM('Input FD'!K19:K22)-'Input FD'!K23-'Input FD'!K26+'Input FD'!K24+'Input FD'!K25)</f>
        <v>859.96959281049408</v>
      </c>
      <c r="L66" s="156">
        <f>IF('Input FD'!$O$151=1,0,SUM('Input FD'!L19:L22)-'Input FD'!L23-'Input FD'!L26+'Input FD'!L24+'Input FD'!L25)</f>
        <v>705.77840135646102</v>
      </c>
      <c r="M66" s="156">
        <f>IF('Input FD'!$O$151=1,0,SUM('Input FD'!M19:M22)-'Input FD'!M23-'Input FD'!M26+'Input FD'!M24+'Input FD'!M25)</f>
        <v>589.08432094065495</v>
      </c>
      <c r="N66" s="365">
        <f>IF('Input FD'!$O$151=1,0,SUM('Input FD'!N19:N22)-'Input FD'!N23-'Input FD'!N26+'Input FD'!N24+'Input FD'!N25)</f>
        <v>474.60351798527</v>
      </c>
      <c r="O66" s="157"/>
      <c r="P66" s="158"/>
      <c r="Q66" s="148"/>
      <c r="R66" s="147" t="s">
        <v>242</v>
      </c>
    </row>
    <row r="67" spans="1:18" s="37" customFormat="1">
      <c r="C67" s="131"/>
      <c r="D67" s="153" t="s">
        <v>57</v>
      </c>
      <c r="E67" s="154" t="s">
        <v>117</v>
      </c>
      <c r="F67" s="155"/>
      <c r="G67" s="148"/>
      <c r="H67" s="148"/>
      <c r="I67" s="148"/>
      <c r="J67" s="156">
        <f>IF('Input FD'!$O$151=1,0,SUM('Input FD'!J37:J42))</f>
        <v>654.4741276462189</v>
      </c>
      <c r="K67" s="156">
        <f>IF('Input FD'!$O$151=1,0,SUM('Input FD'!K37:K42))</f>
        <v>813.72587748593742</v>
      </c>
      <c r="L67" s="156">
        <f>IF('Input FD'!$O$151=1,0,SUM('Input FD'!L37:L42))</f>
        <v>647.34730617292348</v>
      </c>
      <c r="M67" s="156">
        <f>IF('Input FD'!$O$151=1,0,SUM('Input FD'!M37:M42))</f>
        <v>538.43439234787206</v>
      </c>
      <c r="N67" s="365">
        <f>IF('Input FD'!$O$151=1,0,SUM('Input FD'!N37:N42))</f>
        <v>428.08639768691978</v>
      </c>
      <c r="O67" s="157"/>
      <c r="P67" s="158"/>
      <c r="Q67" s="148"/>
      <c r="R67" s="147" t="s">
        <v>242</v>
      </c>
    </row>
    <row r="68" spans="1:18" s="37" customFormat="1">
      <c r="C68" s="131"/>
      <c r="D68" s="153" t="s">
        <v>57</v>
      </c>
      <c r="E68" s="154" t="s">
        <v>118</v>
      </c>
      <c r="F68" s="155"/>
      <c r="G68" s="148"/>
      <c r="H68" s="148"/>
      <c r="I68" s="148"/>
      <c r="J68" s="156">
        <f>SUM(J46:J51)</f>
        <v>667.52174602844536</v>
      </c>
      <c r="K68" s="156">
        <f t="shared" ref="K68:N68" si="11">SUM(K46:K51)</f>
        <v>829.94834414839056</v>
      </c>
      <c r="L68" s="156">
        <f t="shared" si="11"/>
        <v>660.25284400080284</v>
      </c>
      <c r="M68" s="156">
        <f t="shared" si="11"/>
        <v>549.16863863578442</v>
      </c>
      <c r="N68" s="365">
        <f t="shared" si="11"/>
        <v>436.62074261470025</v>
      </c>
      <c r="O68" s="157"/>
      <c r="P68" s="158"/>
      <c r="Q68" s="148"/>
      <c r="R68" s="147" t="s">
        <v>242</v>
      </c>
    </row>
    <row r="69" spans="1:18" s="37" customFormat="1">
      <c r="C69" s="131"/>
      <c r="D69" s="153"/>
      <c r="E69" s="154"/>
      <c r="F69" s="155"/>
      <c r="G69" s="148"/>
      <c r="H69" s="148"/>
      <c r="I69" s="148"/>
      <c r="J69" s="156"/>
      <c r="K69" s="156"/>
      <c r="L69" s="156"/>
      <c r="M69" s="156"/>
      <c r="N69" s="365"/>
      <c r="O69" s="157"/>
      <c r="P69" s="158"/>
      <c r="Q69" s="148"/>
      <c r="R69" s="147"/>
    </row>
    <row r="70" spans="1:18" s="37" customFormat="1">
      <c r="C70" s="131"/>
      <c r="D70" s="153" t="s">
        <v>57</v>
      </c>
      <c r="E70" s="132" t="s">
        <v>119</v>
      </c>
      <c r="F70" s="131"/>
      <c r="G70" s="131"/>
      <c r="H70" s="131"/>
      <c r="I70" s="131"/>
      <c r="J70" s="156">
        <f>'Input FD'!J93+'Input FD'!J90</f>
        <v>12.5972785095222</v>
      </c>
      <c r="K70" s="156">
        <f>'Input FD'!K93+'Input FD'!K90</f>
        <v>-51.295026970738498</v>
      </c>
      <c r="L70" s="156">
        <f>'Input FD'!L93+'Input FD'!L90</f>
        <v>30.783805523921298</v>
      </c>
      <c r="M70" s="156">
        <f>'Input FD'!M93+'Input FD'!M90</f>
        <v>130.97321157648099</v>
      </c>
      <c r="N70" s="365">
        <f>'Input FD'!N93+'Input FD'!N90</f>
        <v>232.06244378456901</v>
      </c>
      <c r="P70" s="136"/>
      <c r="Q70" s="131"/>
      <c r="R70" s="147" t="s">
        <v>242</v>
      </c>
    </row>
    <row r="71" spans="1:18" s="37" customFormat="1">
      <c r="C71" s="131"/>
      <c r="D71" s="153" t="s">
        <v>57</v>
      </c>
      <c r="E71" s="132" t="s">
        <v>120</v>
      </c>
      <c r="F71" s="131"/>
      <c r="G71" s="131"/>
      <c r="H71" s="131"/>
      <c r="I71" s="131"/>
      <c r="J71" s="156">
        <f>'Input FD'!J94+'Input FD'!J96+'Input FD'!J91</f>
        <v>-17.680798795440602</v>
      </c>
      <c r="K71" s="156">
        <f>'Input FD'!K94+'Input FD'!K96+'Input FD'!K91</f>
        <v>-27.812069938126101</v>
      </c>
      <c r="L71" s="156">
        <f>'Input FD'!L94+'Input FD'!L96+'Input FD'!L91</f>
        <v>-30.208876235148601</v>
      </c>
      <c r="M71" s="156">
        <f>'Input FD'!M94+'Input FD'!M96+'Input FD'!M91</f>
        <v>-5.3702994656609304</v>
      </c>
      <c r="N71" s="365">
        <f>'Input FD'!N94+'Input FD'!N96+'Input FD'!N91</f>
        <v>-61.486130087278099</v>
      </c>
      <c r="P71" s="136"/>
      <c r="Q71" s="131"/>
      <c r="R71" s="147" t="s">
        <v>242</v>
      </c>
    </row>
    <row r="72" spans="1:18" s="37" customFormat="1">
      <c r="C72" s="131"/>
      <c r="D72" s="131"/>
      <c r="E72" s="132"/>
      <c r="F72" s="131"/>
      <c r="G72" s="131"/>
      <c r="H72" s="131"/>
      <c r="I72" s="131"/>
      <c r="J72" s="156"/>
      <c r="K72" s="156"/>
      <c r="L72" s="156"/>
      <c r="M72" s="156"/>
      <c r="N72" s="365"/>
      <c r="P72" s="136"/>
      <c r="Q72" s="131"/>
      <c r="R72" s="147"/>
    </row>
    <row r="73" spans="1:18" s="37" customFormat="1">
      <c r="C73" s="131"/>
      <c r="D73" s="153" t="s">
        <v>57</v>
      </c>
      <c r="E73" s="132" t="s">
        <v>183</v>
      </c>
      <c r="F73" s="131"/>
      <c r="G73" s="131"/>
      <c r="H73" s="131"/>
      <c r="I73" s="131"/>
      <c r="J73" s="156">
        <f t="shared" ref="J73:N74" si="12">J66+J70</f>
        <v>711.00640310952213</v>
      </c>
      <c r="K73" s="156">
        <f t="shared" si="12"/>
        <v>808.67456583975559</v>
      </c>
      <c r="L73" s="156">
        <f t="shared" si="12"/>
        <v>736.56220688038229</v>
      </c>
      <c r="M73" s="156">
        <f t="shared" si="12"/>
        <v>720.057532517136</v>
      </c>
      <c r="N73" s="365">
        <f t="shared" si="12"/>
        <v>706.66596176983899</v>
      </c>
      <c r="P73" s="136"/>
      <c r="Q73" s="131"/>
      <c r="R73" s="147" t="s">
        <v>242</v>
      </c>
    </row>
    <row r="74" spans="1:18" s="37" customFormat="1">
      <c r="C74" s="131"/>
      <c r="D74" s="153" t="s">
        <v>57</v>
      </c>
      <c r="E74" s="132" t="s">
        <v>184</v>
      </c>
      <c r="F74" s="131"/>
      <c r="G74" s="131"/>
      <c r="H74" s="131"/>
      <c r="I74" s="131"/>
      <c r="J74" s="156">
        <f t="shared" si="12"/>
        <v>636.79332885077827</v>
      </c>
      <c r="K74" s="156">
        <f t="shared" si="12"/>
        <v>785.9138075478113</v>
      </c>
      <c r="L74" s="156">
        <f t="shared" si="12"/>
        <v>617.13842993777484</v>
      </c>
      <c r="M74" s="156">
        <f t="shared" si="12"/>
        <v>533.06409288221118</v>
      </c>
      <c r="N74" s="365">
        <f t="shared" si="12"/>
        <v>366.60026759964171</v>
      </c>
      <c r="P74" s="136"/>
      <c r="Q74" s="131"/>
      <c r="R74" s="147" t="s">
        <v>242</v>
      </c>
    </row>
    <row r="75" spans="1:18" s="37" customFormat="1">
      <c r="C75" s="131"/>
      <c r="D75" s="153" t="s">
        <v>57</v>
      </c>
      <c r="E75" s="132" t="s">
        <v>109</v>
      </c>
      <c r="F75" s="131"/>
      <c r="G75" s="131"/>
      <c r="H75" s="131"/>
      <c r="I75" s="131"/>
      <c r="J75" s="156">
        <f>J74*$G$111/100</f>
        <v>677.05754858535875</v>
      </c>
      <c r="K75" s="156">
        <f t="shared" ref="K75:N75" si="13">K74*$G$111/100</f>
        <v>835.60686305870081</v>
      </c>
      <c r="L75" s="156">
        <f t="shared" si="13"/>
        <v>656.15987728005916</v>
      </c>
      <c r="M75" s="156">
        <f t="shared" si="13"/>
        <v>566.76954926184885</v>
      </c>
      <c r="N75" s="365">
        <f t="shared" si="13"/>
        <v>389.78027445685387</v>
      </c>
      <c r="P75" s="136"/>
      <c r="Q75" s="131"/>
      <c r="R75" s="147" t="s">
        <v>242</v>
      </c>
    </row>
    <row r="76" spans="1:18" s="37" customFormat="1">
      <c r="C76" s="131"/>
      <c r="D76" s="153"/>
      <c r="E76" s="132"/>
      <c r="F76" s="131"/>
      <c r="G76" s="131"/>
      <c r="H76" s="131"/>
      <c r="I76" s="131"/>
      <c r="J76" s="159"/>
      <c r="K76" s="159"/>
      <c r="L76" s="159"/>
      <c r="M76" s="159"/>
      <c r="N76" s="362"/>
      <c r="P76" s="136"/>
      <c r="Q76" s="131"/>
      <c r="R76" s="147"/>
    </row>
    <row r="77" spans="1:18">
      <c r="A77" s="479"/>
      <c r="B77" s="452"/>
      <c r="C77" s="453"/>
      <c r="D77" s="481"/>
      <c r="E77" s="484" t="s">
        <v>199</v>
      </c>
      <c r="F77" s="440"/>
      <c r="G77" s="440"/>
      <c r="H77" s="440"/>
      <c r="I77" s="440"/>
      <c r="J77" s="440"/>
      <c r="K77" s="440"/>
      <c r="L77" s="440"/>
      <c r="M77" s="440"/>
      <c r="N77" s="446"/>
      <c r="O77" s="440"/>
      <c r="P77" s="475"/>
      <c r="Q77" s="476"/>
      <c r="R77" s="477"/>
    </row>
    <row r="78" spans="1:18" s="37" customFormat="1">
      <c r="C78" s="131"/>
      <c r="D78" s="153"/>
      <c r="E78" s="154"/>
      <c r="F78" s="161"/>
      <c r="G78" s="162"/>
      <c r="H78" s="162"/>
      <c r="I78" s="163"/>
      <c r="J78" s="189"/>
      <c r="K78" s="189"/>
      <c r="L78" s="189"/>
      <c r="M78" s="189"/>
      <c r="N78" s="381"/>
      <c r="P78" s="136"/>
      <c r="Q78" s="131"/>
      <c r="R78" s="147"/>
    </row>
    <row r="79" spans="1:18" s="37" customFormat="1">
      <c r="C79" s="131"/>
      <c r="D79" s="153" t="s">
        <v>57</v>
      </c>
      <c r="E79" s="132" t="s">
        <v>316</v>
      </c>
      <c r="F79" s="161"/>
      <c r="G79" s="162"/>
      <c r="H79" s="162"/>
      <c r="I79" s="163"/>
      <c r="J79" s="156">
        <f>J62*J$21</f>
        <v>344.86666261806266</v>
      </c>
      <c r="K79" s="156">
        <f t="shared" ref="K79:N79" si="14">K62*K$21</f>
        <v>434.35554919574412</v>
      </c>
      <c r="L79" s="156">
        <f t="shared" si="14"/>
        <v>292.93279975655378</v>
      </c>
      <c r="M79" s="156">
        <f t="shared" si="14"/>
        <v>271.75572321198888</v>
      </c>
      <c r="N79" s="365">
        <f t="shared" si="14"/>
        <v>215.11877067270771</v>
      </c>
      <c r="P79" s="136"/>
      <c r="Q79" s="131"/>
      <c r="R79" s="147" t="s">
        <v>242</v>
      </c>
    </row>
    <row r="80" spans="1:18" s="37" customFormat="1">
      <c r="C80" s="131"/>
      <c r="D80" s="153" t="s">
        <v>57</v>
      </c>
      <c r="E80" s="132" t="s">
        <v>317</v>
      </c>
      <c r="F80" s="161"/>
      <c r="G80" s="162"/>
      <c r="H80" s="162"/>
      <c r="I80" s="163"/>
      <c r="J80" s="156">
        <f>J63*J$21</f>
        <v>209.88045802740572</v>
      </c>
      <c r="K80" s="156">
        <f t="shared" ref="K80:N80" si="15">K63*K$21</f>
        <v>298.0928786315672</v>
      </c>
      <c r="L80" s="156">
        <f t="shared" si="15"/>
        <v>271.57502304369393</v>
      </c>
      <c r="M80" s="156">
        <f t="shared" si="15"/>
        <v>257.57309505074221</v>
      </c>
      <c r="N80" s="365">
        <f t="shared" si="15"/>
        <v>202.21531566948187</v>
      </c>
      <c r="P80" s="136"/>
      <c r="Q80" s="131"/>
      <c r="R80" s="147" t="s">
        <v>242</v>
      </c>
    </row>
    <row r="81" spans="1:18" s="37" customFormat="1">
      <c r="C81" s="131"/>
      <c r="D81" s="153" t="s">
        <v>57</v>
      </c>
      <c r="E81" s="132" t="s">
        <v>318</v>
      </c>
      <c r="F81" s="161"/>
      <c r="G81" s="162"/>
      <c r="H81" s="162"/>
      <c r="I81" s="163"/>
      <c r="J81" s="156">
        <f>J64*J$21</f>
        <v>223.36505426707714</v>
      </c>
      <c r="K81" s="156">
        <f t="shared" ref="K81:N81" si="16">K64*K$21</f>
        <v>317.24502908924916</v>
      </c>
      <c r="L81" s="156">
        <f t="shared" si="16"/>
        <v>289.02342947915866</v>
      </c>
      <c r="M81" s="156">
        <f t="shared" si="16"/>
        <v>274.12189250242415</v>
      </c>
      <c r="N81" s="365">
        <f t="shared" si="16"/>
        <v>215.20743466383155</v>
      </c>
      <c r="P81" s="136"/>
      <c r="Q81" s="131"/>
      <c r="R81" s="147" t="s">
        <v>242</v>
      </c>
    </row>
    <row r="82" spans="1:18" s="37" customFormat="1">
      <c r="C82" s="131"/>
      <c r="D82" s="153" t="s">
        <v>57</v>
      </c>
      <c r="E82" s="132" t="s">
        <v>110</v>
      </c>
      <c r="F82" s="164"/>
      <c r="G82" s="164"/>
      <c r="H82" s="164"/>
      <c r="I82" s="164"/>
      <c r="J82" s="156">
        <f>SUM('Input FD'!J65:J70)*J$15</f>
        <v>297.52272336921601</v>
      </c>
      <c r="K82" s="156">
        <f>SUM('Input FD'!K65:K70)*K$15</f>
        <v>292.42004399479276</v>
      </c>
      <c r="L82" s="156">
        <f>SUM('Input FD'!L65:L70)*L$15</f>
        <v>235.14577518492791</v>
      </c>
      <c r="M82" s="156">
        <f>SUM('Input FD'!M65:M70)*M$15</f>
        <v>246.66955855823218</v>
      </c>
      <c r="N82" s="365">
        <f>SUM('Input FD'!N65:N70)*N$15</f>
        <v>261.08059128838113</v>
      </c>
      <c r="O82" s="148"/>
      <c r="P82" s="136"/>
      <c r="Q82" s="131"/>
      <c r="R82" s="147" t="s">
        <v>242</v>
      </c>
    </row>
    <row r="83" spans="1:18" s="37" customFormat="1">
      <c r="C83" s="131"/>
      <c r="D83" s="131"/>
      <c r="E83" s="132"/>
      <c r="F83" s="161"/>
      <c r="G83" s="162"/>
      <c r="H83" s="162"/>
      <c r="I83" s="163"/>
      <c r="J83" s="156"/>
      <c r="K83" s="156"/>
      <c r="L83" s="156"/>
      <c r="M83" s="156"/>
      <c r="N83" s="365"/>
      <c r="P83" s="136"/>
      <c r="Q83" s="131"/>
      <c r="R83" s="147"/>
    </row>
    <row r="84" spans="1:18" s="37" customFormat="1">
      <c r="C84" s="131"/>
      <c r="D84" s="153" t="s">
        <v>57</v>
      </c>
      <c r="E84" s="132" t="s">
        <v>319</v>
      </c>
      <c r="F84" s="161"/>
      <c r="G84" s="162"/>
      <c r="H84" s="162"/>
      <c r="I84" s="163"/>
      <c r="J84" s="156">
        <f>J73*J$21</f>
        <v>631.76885210883097</v>
      </c>
      <c r="K84" s="156">
        <f t="shared" ref="K84:N84" si="17">K73*K$21</f>
        <v>702.09651902862652</v>
      </c>
      <c r="L84" s="156">
        <f t="shared" si="17"/>
        <v>640.77324483588757</v>
      </c>
      <c r="M84" s="156">
        <f t="shared" si="17"/>
        <v>630.91059987965139</v>
      </c>
      <c r="N84" s="365">
        <f t="shared" si="17"/>
        <v>615.04851911931451</v>
      </c>
      <c r="P84" s="136"/>
      <c r="Q84" s="131"/>
      <c r="R84" s="147" t="s">
        <v>242</v>
      </c>
    </row>
    <row r="85" spans="1:18" s="37" customFormat="1">
      <c r="C85" s="131"/>
      <c r="D85" s="153" t="s">
        <v>57</v>
      </c>
      <c r="E85" s="132" t="s">
        <v>320</v>
      </c>
      <c r="F85" s="161"/>
      <c r="G85" s="162"/>
      <c r="H85" s="162"/>
      <c r="I85" s="163"/>
      <c r="J85" s="156">
        <f>J74*J$21</f>
        <v>565.82639571059815</v>
      </c>
      <c r="K85" s="156">
        <f t="shared" ref="K85:N85" si="18">K74*K$21</f>
        <v>682.33548060567136</v>
      </c>
      <c r="L85" s="156">
        <f t="shared" si="18"/>
        <v>536.88037557481334</v>
      </c>
      <c r="M85" s="156">
        <f t="shared" si="18"/>
        <v>467.06793752847017</v>
      </c>
      <c r="N85" s="365">
        <f t="shared" si="18"/>
        <v>319.07147633260689</v>
      </c>
      <c r="P85" s="136"/>
      <c r="Q85" s="131"/>
      <c r="R85" s="147" t="s">
        <v>242</v>
      </c>
    </row>
    <row r="86" spans="1:18" s="37" customFormat="1">
      <c r="C86" s="131"/>
      <c r="D86" s="153" t="s">
        <v>57</v>
      </c>
      <c r="E86" s="132" t="s">
        <v>321</v>
      </c>
      <c r="F86" s="161"/>
      <c r="G86" s="162"/>
      <c r="H86" s="162"/>
      <c r="I86" s="163"/>
      <c r="J86" s="156">
        <f>J75*J$21</f>
        <v>601.60340105334092</v>
      </c>
      <c r="K86" s="156">
        <f t="shared" ref="K86:N86" si="19">K75*K$21</f>
        <v>725.47931468664251</v>
      </c>
      <c r="L86" s="156">
        <f t="shared" si="19"/>
        <v>570.82713417597643</v>
      </c>
      <c r="M86" s="156">
        <f t="shared" si="19"/>
        <v>496.6004800592832</v>
      </c>
      <c r="N86" s="365">
        <f t="shared" si="19"/>
        <v>339.24625432106097</v>
      </c>
      <c r="P86" s="136"/>
      <c r="Q86" s="131"/>
      <c r="R86" s="147" t="s">
        <v>242</v>
      </c>
    </row>
    <row r="87" spans="1:18" s="37" customFormat="1">
      <c r="C87" s="131"/>
      <c r="D87" s="153" t="s">
        <v>57</v>
      </c>
      <c r="E87" s="132" t="s">
        <v>111</v>
      </c>
      <c r="F87" s="131"/>
      <c r="G87" s="132"/>
      <c r="H87" s="132"/>
      <c r="I87" s="131"/>
      <c r="J87" s="156">
        <f>IF('Input FD'!$O$151=1,0,SUM('Input FD'!J72:J77)*J$15)</f>
        <v>516.38523078811454</v>
      </c>
      <c r="K87" s="156">
        <f>IF('Input FD'!$O$151=1,0,SUM('Input FD'!K72:K77)*K$15)</f>
        <v>585.62048966644477</v>
      </c>
      <c r="L87" s="156">
        <f>IF('Input FD'!$O$151=1,0,SUM('Input FD'!L72:L77)*L$15)</f>
        <v>492.89275436076286</v>
      </c>
      <c r="M87" s="156">
        <f>IF('Input FD'!$O$151=1,0,SUM('Input FD'!M72:M77)*M$15)</f>
        <v>498.50581632330659</v>
      </c>
      <c r="N87" s="365">
        <f>IF('Input FD'!$O$151=1,0,SUM('Input FD'!N72:N77)*N$15)</f>
        <v>477.43064765252643</v>
      </c>
      <c r="O87" s="131"/>
      <c r="P87" s="136"/>
      <c r="Q87" s="131"/>
      <c r="R87" s="147" t="s">
        <v>242</v>
      </c>
    </row>
    <row r="88" spans="1:18" s="37" customFormat="1">
      <c r="C88" s="131"/>
      <c r="D88" s="153"/>
      <c r="E88" s="154"/>
      <c r="F88" s="161"/>
      <c r="G88" s="162"/>
      <c r="H88" s="162"/>
      <c r="I88" s="163"/>
      <c r="J88" s="156"/>
      <c r="K88" s="156"/>
      <c r="L88" s="156"/>
      <c r="M88" s="156"/>
      <c r="N88" s="365"/>
      <c r="P88" s="136"/>
      <c r="Q88" s="131"/>
      <c r="R88" s="147"/>
    </row>
    <row r="89" spans="1:18" s="37" customFormat="1">
      <c r="C89" s="131"/>
      <c r="D89" s="153"/>
      <c r="E89" s="154"/>
      <c r="F89" s="161"/>
      <c r="G89" s="162"/>
      <c r="H89" s="162"/>
      <c r="I89" s="163"/>
      <c r="J89" s="189"/>
      <c r="K89" s="189"/>
      <c r="L89" s="189"/>
      <c r="M89" s="189"/>
      <c r="N89" s="381"/>
      <c r="P89" s="136"/>
      <c r="Q89" s="131"/>
      <c r="R89" s="147"/>
    </row>
    <row r="90" spans="1:18">
      <c r="A90" s="479"/>
      <c r="B90" s="452"/>
      <c r="C90" s="453"/>
      <c r="D90" s="467" t="s">
        <v>38</v>
      </c>
      <c r="E90" s="483" t="s">
        <v>76</v>
      </c>
      <c r="F90" s="482"/>
      <c r="G90" s="482"/>
      <c r="H90" s="482"/>
      <c r="I90" s="440"/>
      <c r="J90" s="440"/>
      <c r="K90" s="440"/>
      <c r="L90" s="440"/>
      <c r="M90" s="440"/>
      <c r="N90" s="446"/>
      <c r="O90" s="440"/>
      <c r="P90" s="475"/>
      <c r="Q90" s="476"/>
      <c r="R90" s="477"/>
    </row>
    <row r="91" spans="1:18">
      <c r="C91" s="19"/>
      <c r="D91" s="19"/>
      <c r="E91" s="20"/>
      <c r="F91" s="79"/>
      <c r="G91" s="80"/>
      <c r="H91" s="79"/>
      <c r="I91" s="19"/>
      <c r="J91" s="65"/>
      <c r="K91" s="65"/>
      <c r="L91" s="65"/>
      <c r="M91" s="65"/>
      <c r="N91" s="90"/>
      <c r="P91" s="84"/>
      <c r="Q91" s="19"/>
      <c r="R91" s="100"/>
    </row>
    <row r="92" spans="1:18">
      <c r="A92" s="479"/>
      <c r="B92" s="452"/>
      <c r="C92" s="453"/>
      <c r="D92" s="467" t="s">
        <v>38</v>
      </c>
      <c r="E92" s="483" t="s">
        <v>103</v>
      </c>
      <c r="F92" s="482"/>
      <c r="G92" s="482"/>
      <c r="H92" s="482"/>
      <c r="I92" s="440"/>
      <c r="J92" s="440"/>
      <c r="K92" s="440"/>
      <c r="L92" s="440"/>
      <c r="M92" s="440"/>
      <c r="N92" s="446"/>
      <c r="O92" s="440"/>
      <c r="P92" s="475"/>
      <c r="Q92" s="476"/>
      <c r="R92" s="477"/>
    </row>
    <row r="93" spans="1:18" s="37" customFormat="1">
      <c r="A93" s="109"/>
      <c r="B93" s="109"/>
      <c r="C93" s="104"/>
      <c r="D93" s="104"/>
      <c r="E93" s="173"/>
      <c r="F93" s="104"/>
      <c r="G93" s="148"/>
      <c r="H93" s="104"/>
      <c r="I93" s="104"/>
      <c r="J93" s="106"/>
      <c r="K93" s="106"/>
      <c r="L93" s="106"/>
      <c r="M93" s="106"/>
      <c r="N93" s="364"/>
      <c r="O93" s="109"/>
      <c r="P93" s="136"/>
      <c r="Q93" s="104"/>
      <c r="R93" s="160"/>
    </row>
    <row r="94" spans="1:18" s="37" customFormat="1">
      <c r="A94" s="109"/>
      <c r="B94" s="109"/>
      <c r="C94" s="654" t="s">
        <v>583</v>
      </c>
      <c r="D94" s="104" t="s">
        <v>55</v>
      </c>
      <c r="E94" s="165" t="s">
        <v>175</v>
      </c>
      <c r="F94" s="104"/>
      <c r="G94" s="166">
        <f>SUM(J55:N55)/SUM(J56:N56)*100</f>
        <v>125.26368929866103</v>
      </c>
      <c r="H94" s="167"/>
      <c r="I94" s="168"/>
      <c r="J94" s="106"/>
      <c r="K94" s="106"/>
      <c r="L94" s="106"/>
      <c r="M94" s="106"/>
      <c r="N94" s="364"/>
      <c r="O94" s="109"/>
      <c r="P94" s="136"/>
      <c r="Q94" s="104"/>
      <c r="R94" s="160" t="s">
        <v>75</v>
      </c>
    </row>
    <row r="95" spans="1:18" s="37" customFormat="1">
      <c r="A95" s="109"/>
      <c r="B95" s="109"/>
      <c r="C95" s="104"/>
      <c r="D95" s="104" t="s">
        <v>55</v>
      </c>
      <c r="E95" s="165" t="s">
        <v>308</v>
      </c>
      <c r="F95" s="104"/>
      <c r="G95" s="166">
        <f>IF(G94&gt;'Input FD'!O146,'Input FD'!O137+'Input FD'!O136*'Input FD'!O146,IF(G94&gt;'Input FD'!$O$145,'Input FD'!O137+'Input FD'!O136*G94,'Input FD'!O128+'Input FD'!O127*G94))</f>
        <v>106.31592232466525</v>
      </c>
      <c r="H95" s="104"/>
      <c r="I95" s="104"/>
      <c r="J95" s="106"/>
      <c r="K95" s="106"/>
      <c r="L95" s="106"/>
      <c r="M95" s="106"/>
      <c r="N95" s="364"/>
      <c r="O95" s="109"/>
      <c r="P95" s="136"/>
      <c r="Q95" s="104"/>
      <c r="R95" s="160" t="s">
        <v>75</v>
      </c>
    </row>
    <row r="96" spans="1:18" s="37" customFormat="1">
      <c r="A96" s="109"/>
      <c r="B96" s="109"/>
      <c r="C96" s="104"/>
      <c r="D96" s="104" t="s">
        <v>55</v>
      </c>
      <c r="E96" s="165" t="s">
        <v>14</v>
      </c>
      <c r="F96" s="104"/>
      <c r="G96" s="169">
        <f>IF(G94&gt;'Input FD'!O146,'Input FD'!O135+'Input FD'!O134*'Input FD'!O146,IF(G94&gt;100,'Input FD'!O135+'Input FD'!O134*G94,'Input FD'!O126+'Input FD'!O125*G94))</f>
        <v>0.1736815535066949</v>
      </c>
      <c r="H96" s="104"/>
      <c r="I96" s="104"/>
      <c r="J96" s="106"/>
      <c r="K96" s="106"/>
      <c r="L96" s="106"/>
      <c r="M96" s="106"/>
      <c r="N96" s="364"/>
      <c r="O96" s="109"/>
      <c r="P96" s="136"/>
      <c r="Q96" s="104"/>
      <c r="R96" s="160" t="s">
        <v>75</v>
      </c>
    </row>
    <row r="97" spans="1:18" s="37" customFormat="1">
      <c r="A97" s="109"/>
      <c r="B97" s="109"/>
      <c r="C97" s="104"/>
      <c r="D97" s="104" t="s">
        <v>55</v>
      </c>
      <c r="E97" s="165" t="s">
        <v>309</v>
      </c>
      <c r="F97" s="104"/>
      <c r="G97" s="161">
        <f>IF(G94&gt;'Input FD'!$O$146,'Input FD'!$O$140+'Input FD'!$O$139*'Input FD'!$O$146+'Input FD'!$O$138*'Input FD'!$O$146^2-(G94-'Input FD'!$O$146)*'Input FD'!$O$143,IF(G94&gt;100,'Input FD'!$O$140+'Input FD'!$O$139*G94+'Input FD'!$O$138*G94^2,'Input FD'!$O$131+'Input FD'!$O$130*G94+'Input FD'!$O$129*G94^2))</f>
        <v>-2.6925941936236804</v>
      </c>
      <c r="H97" s="170"/>
      <c r="I97" s="104"/>
      <c r="J97" s="106"/>
      <c r="K97" s="106"/>
      <c r="L97" s="106"/>
      <c r="M97" s="106"/>
      <c r="N97" s="364"/>
      <c r="O97" s="109"/>
      <c r="P97" s="171"/>
      <c r="Q97" s="172"/>
      <c r="R97" s="160" t="s">
        <v>75</v>
      </c>
    </row>
    <row r="98" spans="1:18" s="37" customFormat="1">
      <c r="A98" s="109"/>
      <c r="B98" s="109"/>
      <c r="C98" s="104"/>
      <c r="D98" s="104"/>
      <c r="E98" s="173"/>
      <c r="F98" s="104"/>
      <c r="G98" s="161"/>
      <c r="H98" s="104"/>
      <c r="I98" s="104"/>
      <c r="J98" s="106"/>
      <c r="K98" s="106"/>
      <c r="L98" s="106"/>
      <c r="M98" s="106"/>
      <c r="N98" s="364"/>
      <c r="O98" s="109"/>
      <c r="P98" s="136"/>
      <c r="Q98" s="104"/>
      <c r="R98" s="160"/>
    </row>
    <row r="99" spans="1:18" s="37" customFormat="1">
      <c r="A99" s="109"/>
      <c r="B99" s="109"/>
      <c r="C99" s="654" t="s">
        <v>587</v>
      </c>
      <c r="D99" s="104" t="s">
        <v>55</v>
      </c>
      <c r="E99" s="165" t="s">
        <v>176</v>
      </c>
      <c r="F99" s="104"/>
      <c r="G99" s="660">
        <f>IF(SUM(J67:N67)=0,0,SUM(J66:N66)/SUM(J67:N67)*100)</f>
        <v>107.97441355193162</v>
      </c>
      <c r="H99" s="167"/>
      <c r="I99" s="104"/>
      <c r="J99" s="106"/>
      <c r="K99" s="106"/>
      <c r="L99" s="106"/>
      <c r="M99" s="106"/>
      <c r="N99" s="364"/>
      <c r="O99" s="109"/>
      <c r="P99" s="136"/>
      <c r="Q99" s="104"/>
      <c r="R99" s="160" t="s">
        <v>75</v>
      </c>
    </row>
    <row r="100" spans="1:18" s="37" customFormat="1">
      <c r="A100" s="109"/>
      <c r="B100" s="109"/>
      <c r="C100" s="104"/>
      <c r="D100" s="104" t="s">
        <v>55</v>
      </c>
      <c r="E100" s="165" t="s">
        <v>310</v>
      </c>
      <c r="F100" s="104"/>
      <c r="G100" s="166">
        <f>IF(G99&gt;'Input FD'!O146,'Input FD'!O137+'Input FD'!O136*'Input FD'!O146,IF(G99&gt;'Input FD'!$O$145,'Input FD'!O137+'Input FD'!O136*G99,'Input FD'!O128+'Input FD'!O127*G99))</f>
        <v>101.9936033879829</v>
      </c>
      <c r="H100" s="166"/>
      <c r="I100" s="104"/>
      <c r="J100" s="106"/>
      <c r="K100" s="106"/>
      <c r="L100" s="106"/>
      <c r="M100" s="106"/>
      <c r="N100" s="364"/>
      <c r="O100" s="109"/>
      <c r="P100" s="136"/>
      <c r="Q100" s="104"/>
      <c r="R100" s="160" t="s">
        <v>75</v>
      </c>
    </row>
    <row r="101" spans="1:18" s="37" customFormat="1">
      <c r="A101" s="109"/>
      <c r="B101" s="109"/>
      <c r="C101" s="104"/>
      <c r="D101" s="104" t="s">
        <v>55</v>
      </c>
      <c r="E101" s="165" t="s">
        <v>15</v>
      </c>
      <c r="F101" s="104"/>
      <c r="G101" s="169">
        <f>IF(G99&gt;'Input FD'!O146,'Input FD'!O135+'Input FD'!O134*'Input FD'!O146,IF(G99&gt;100,'Input FD'!O135+'Input FD'!O134*G99,'Input FD'!O126+'Input FD'!O125*G99))</f>
        <v>0.26012793224034192</v>
      </c>
      <c r="H101" s="104"/>
      <c r="I101" s="104"/>
      <c r="J101" s="106"/>
      <c r="K101" s="106"/>
      <c r="L101" s="106"/>
      <c r="M101" s="106"/>
      <c r="N101" s="364"/>
      <c r="O101" s="109"/>
      <c r="P101" s="136"/>
      <c r="Q101" s="104"/>
      <c r="R101" s="160" t="s">
        <v>75</v>
      </c>
    </row>
    <row r="102" spans="1:18" s="37" customFormat="1">
      <c r="A102" s="109"/>
      <c r="B102" s="109"/>
      <c r="C102" s="104"/>
      <c r="D102" s="104" t="s">
        <v>55</v>
      </c>
      <c r="E102" s="165" t="s">
        <v>311</v>
      </c>
      <c r="F102" s="104"/>
      <c r="G102" s="161">
        <f>IF('Input FD'!$O$151=1,0,IF(G99&gt;'Input FD'!$O$146,'Input FD'!$O$140+'Input FD'!$O$139*'Input FD'!$O$146+'Input FD'!$O$138*'Input FD'!$O$146^2-(G99-'Input FD'!$O$146)*'Input FD'!$O$143,IF(G99&gt;100,'Input FD'!$O$140+'Input FD'!$O$139*G99+'Input FD'!$O$138*G99^2,'Input FD'!$O$131+'Input FD'!$O$130*G99+'Input FD'!$O$129*G99^2)))</f>
        <v>-0.67757010576641186</v>
      </c>
      <c r="H102" s="166"/>
      <c r="I102" s="104"/>
      <c r="J102" s="106"/>
      <c r="K102" s="106"/>
      <c r="L102" s="106"/>
      <c r="M102" s="106"/>
      <c r="N102" s="364"/>
      <c r="O102" s="109"/>
      <c r="P102" s="136"/>
      <c r="Q102" s="104"/>
      <c r="R102" s="160" t="s">
        <v>75</v>
      </c>
    </row>
    <row r="103" spans="1:18" s="37" customFormat="1">
      <c r="A103" s="109"/>
      <c r="B103" s="109"/>
      <c r="C103" s="104"/>
      <c r="D103" s="104"/>
      <c r="E103" s="173"/>
      <c r="F103" s="104"/>
      <c r="G103" s="179"/>
      <c r="H103" s="104"/>
      <c r="I103" s="104"/>
      <c r="J103" s="106"/>
      <c r="K103" s="106"/>
      <c r="L103" s="106"/>
      <c r="M103" s="106"/>
      <c r="N103" s="364"/>
      <c r="O103" s="109"/>
      <c r="P103" s="136"/>
      <c r="Q103" s="104"/>
      <c r="R103" s="160"/>
    </row>
    <row r="104" spans="1:18">
      <c r="A104" s="479"/>
      <c r="B104" s="452"/>
      <c r="C104" s="453"/>
      <c r="D104" s="467" t="s">
        <v>38</v>
      </c>
      <c r="E104" s="483" t="s">
        <v>187</v>
      </c>
      <c r="F104" s="440"/>
      <c r="G104" s="440"/>
      <c r="H104" s="440"/>
      <c r="I104" s="440"/>
      <c r="J104" s="440"/>
      <c r="K104" s="440"/>
      <c r="L104" s="440"/>
      <c r="M104" s="440"/>
      <c r="N104" s="446"/>
      <c r="O104" s="440"/>
      <c r="P104" s="475"/>
      <c r="Q104" s="476"/>
      <c r="R104" s="477"/>
    </row>
    <row r="105" spans="1:18" s="37" customFormat="1">
      <c r="C105" s="131"/>
      <c r="D105" s="131"/>
      <c r="E105" s="173"/>
      <c r="F105" s="131"/>
      <c r="G105" s="148"/>
      <c r="H105" s="131"/>
      <c r="I105" s="131"/>
      <c r="J105" s="106"/>
      <c r="K105" s="106"/>
      <c r="L105" s="106"/>
      <c r="M105" s="106"/>
      <c r="N105" s="364"/>
      <c r="P105" s="136"/>
      <c r="Q105" s="131"/>
      <c r="R105" s="147"/>
    </row>
    <row r="106" spans="1:18" s="37" customFormat="1">
      <c r="C106" s="654" t="s">
        <v>584</v>
      </c>
      <c r="D106" s="131" t="s">
        <v>55</v>
      </c>
      <c r="E106" s="173" t="s">
        <v>312</v>
      </c>
      <c r="F106" s="131"/>
      <c r="G106" s="661">
        <f>SUM(J62:N62)/SUM(J63:N63)*100</f>
        <v>125.69957463674039</v>
      </c>
      <c r="H106" s="175"/>
      <c r="I106" s="131"/>
      <c r="J106" s="106"/>
      <c r="K106" s="106"/>
      <c r="L106" s="106"/>
      <c r="M106" s="106"/>
      <c r="N106" s="364"/>
      <c r="P106" s="136"/>
      <c r="Q106" s="131"/>
      <c r="R106" s="147" t="s">
        <v>75</v>
      </c>
    </row>
    <row r="107" spans="1:18" s="37" customFormat="1">
      <c r="C107" s="131"/>
      <c r="D107" s="131" t="s">
        <v>55</v>
      </c>
      <c r="E107" s="173" t="s">
        <v>306</v>
      </c>
      <c r="F107" s="131"/>
      <c r="G107" s="174">
        <f>IF(G106&gt;'Input FD'!O146,'Input FD'!O137+'Input FD'!O136*'Input FD'!O146,IF(G106&gt;'Input FD'!$O$145,'Input FD'!O137+'Input FD'!O136*G106,'Input FD'!O128+'Input FD'!O127*G106))</f>
        <v>106.4248936591851</v>
      </c>
      <c r="H107" s="175"/>
      <c r="I107" s="131"/>
      <c r="J107" s="106"/>
      <c r="K107" s="106"/>
      <c r="L107" s="106"/>
      <c r="M107" s="106"/>
      <c r="N107" s="364"/>
      <c r="P107" s="136"/>
      <c r="Q107" s="131"/>
      <c r="R107" s="147" t="s">
        <v>75</v>
      </c>
    </row>
    <row r="108" spans="1:18" s="37" customFormat="1">
      <c r="C108" s="131"/>
      <c r="D108" s="131" t="s">
        <v>55</v>
      </c>
      <c r="E108" s="173" t="s">
        <v>307</v>
      </c>
      <c r="F108" s="131"/>
      <c r="G108" s="163">
        <f>IF(G106&gt;'Input FD'!O146,'Input FD'!O135+'Input FD'!O134*'Input FD'!O146,IF(G106&gt;100,'Input FD'!O135+'Input FD'!O134*G106,'Input FD'!O126+'Input FD'!O125*G106))</f>
        <v>0.17150212681629806</v>
      </c>
      <c r="H108" s="175"/>
      <c r="I108" s="131"/>
      <c r="J108" s="106"/>
      <c r="K108" s="106"/>
      <c r="L108" s="106"/>
      <c r="M108" s="106"/>
      <c r="N108" s="364"/>
      <c r="P108" s="136"/>
      <c r="Q108" s="131"/>
      <c r="R108" s="147" t="s">
        <v>75</v>
      </c>
    </row>
    <row r="109" spans="1:18" s="37" customFormat="1">
      <c r="C109" s="131"/>
      <c r="D109" s="131"/>
      <c r="E109" s="173"/>
      <c r="F109" s="131"/>
      <c r="G109" s="163"/>
      <c r="H109" s="131"/>
      <c r="I109" s="131"/>
      <c r="J109" s="106"/>
      <c r="K109" s="106"/>
      <c r="L109" s="106"/>
      <c r="M109" s="106"/>
      <c r="N109" s="364"/>
      <c r="P109" s="136"/>
      <c r="Q109" s="131"/>
      <c r="R109" s="147"/>
    </row>
    <row r="110" spans="1:18" s="37" customFormat="1">
      <c r="C110" s="654" t="s">
        <v>588</v>
      </c>
      <c r="D110" s="131" t="s">
        <v>55</v>
      </c>
      <c r="E110" s="173" t="s">
        <v>313</v>
      </c>
      <c r="F110" s="131"/>
      <c r="G110" s="661">
        <f>IF(SUM(J74:N74)=0,0,SUM(J73:N73)/SUM(J74:N74)*100)</f>
        <v>125.29186026948203</v>
      </c>
      <c r="H110" s="174"/>
      <c r="I110" s="131"/>
      <c r="J110" s="106"/>
      <c r="K110" s="106"/>
      <c r="L110" s="106"/>
      <c r="M110" s="106"/>
      <c r="N110" s="364"/>
      <c r="P110" s="136"/>
      <c r="Q110" s="131"/>
      <c r="R110" s="147" t="s">
        <v>75</v>
      </c>
    </row>
    <row r="111" spans="1:18" s="37" customFormat="1">
      <c r="C111" s="131"/>
      <c r="D111" s="131" t="s">
        <v>55</v>
      </c>
      <c r="E111" s="173" t="s">
        <v>314</v>
      </c>
      <c r="F111" s="131"/>
      <c r="G111" s="174">
        <f>IF(G110&gt;'Input FD'!O146,'Input FD'!O137+'Input FD'!O136*'Input FD'!O146,IF(G110&gt;'Input FD'!$O$145,'Input FD'!O137+'Input FD'!O136*G110,'Input FD'!O128+'Input FD'!O127*G110))</f>
        <v>106.3229650673705</v>
      </c>
      <c r="H111" s="174"/>
      <c r="I111" s="131"/>
      <c r="J111" s="106"/>
      <c r="K111" s="106"/>
      <c r="L111" s="106"/>
      <c r="M111" s="106"/>
      <c r="N111" s="364"/>
      <c r="P111" s="136"/>
      <c r="Q111" s="131"/>
      <c r="R111" s="147" t="s">
        <v>75</v>
      </c>
    </row>
    <row r="112" spans="1:18" s="37" customFormat="1">
      <c r="C112" s="131"/>
      <c r="D112" s="131" t="s">
        <v>55</v>
      </c>
      <c r="E112" s="173" t="s">
        <v>315</v>
      </c>
      <c r="F112" s="131"/>
      <c r="G112" s="163">
        <f>IF(G110&gt;'Input FD'!O146,'Input FD'!O135+'Input FD'!O134*'Input FD'!O146,IF(G110&gt;100,'Input FD'!O135+'Input FD'!O134*G110,'Input FD'!O126+'Input FD'!O125*G110))</f>
        <v>0.17354069865258992</v>
      </c>
      <c r="H112" s="163"/>
      <c r="I112" s="131"/>
      <c r="J112" s="106"/>
      <c r="K112" s="106"/>
      <c r="L112" s="106"/>
      <c r="M112" s="106"/>
      <c r="N112" s="364"/>
      <c r="P112" s="136"/>
      <c r="Q112" s="131"/>
      <c r="R112" s="147" t="s">
        <v>75</v>
      </c>
    </row>
    <row r="113" spans="1:18" s="37" customFormat="1">
      <c r="C113" s="131"/>
      <c r="D113" s="131"/>
      <c r="E113" s="173"/>
      <c r="F113" s="131"/>
      <c r="G113" s="163"/>
      <c r="H113" s="131"/>
      <c r="I113" s="131"/>
      <c r="J113" s="106"/>
      <c r="K113" s="106"/>
      <c r="L113" s="106"/>
      <c r="M113" s="106"/>
      <c r="N113" s="364"/>
      <c r="P113" s="136"/>
      <c r="Q113" s="131"/>
      <c r="R113" s="147"/>
    </row>
    <row r="114" spans="1:18">
      <c r="A114" s="479"/>
      <c r="B114" s="452"/>
      <c r="C114" s="453"/>
      <c r="D114" s="467" t="s">
        <v>38</v>
      </c>
      <c r="E114" s="483" t="s">
        <v>188</v>
      </c>
      <c r="F114" s="440"/>
      <c r="G114" s="440"/>
      <c r="H114" s="440"/>
      <c r="I114" s="440"/>
      <c r="J114" s="440"/>
      <c r="K114" s="440"/>
      <c r="L114" s="440"/>
      <c r="M114" s="440"/>
      <c r="N114" s="446"/>
      <c r="O114" s="440"/>
      <c r="P114" s="475"/>
      <c r="Q114" s="476"/>
      <c r="R114" s="477"/>
    </row>
    <row r="115" spans="1:18" s="37" customFormat="1">
      <c r="C115" s="131"/>
      <c r="D115" s="131"/>
      <c r="E115" s="173"/>
      <c r="F115" s="131"/>
      <c r="G115" s="163"/>
      <c r="H115" s="131"/>
      <c r="I115" s="131"/>
      <c r="J115" s="106"/>
      <c r="K115" s="106"/>
      <c r="L115" s="106"/>
      <c r="M115" s="106"/>
      <c r="N115" s="364"/>
      <c r="P115" s="136"/>
      <c r="Q115" s="131"/>
      <c r="R115" s="147"/>
    </row>
    <row r="116" spans="1:18" s="37" customFormat="1">
      <c r="C116" s="654" t="s">
        <v>585</v>
      </c>
      <c r="D116" s="131" t="s">
        <v>55</v>
      </c>
      <c r="E116" s="173" t="s">
        <v>304</v>
      </c>
      <c r="F116" s="131"/>
      <c r="G116" s="661">
        <f>SUM(J82:N82)/SUM(J80:N80)*100</f>
        <v>107.54451285591679</v>
      </c>
      <c r="H116" s="131"/>
      <c r="I116" s="131"/>
      <c r="J116" s="106"/>
      <c r="K116" s="106"/>
      <c r="L116" s="106"/>
      <c r="M116" s="106"/>
      <c r="N116" s="364"/>
      <c r="P116" s="136"/>
      <c r="Q116" s="131"/>
      <c r="R116" s="147" t="s">
        <v>75</v>
      </c>
    </row>
    <row r="117" spans="1:18" s="37" customFormat="1">
      <c r="C117" s="654" t="s">
        <v>586</v>
      </c>
      <c r="D117" s="131" t="s">
        <v>55</v>
      </c>
      <c r="E117" s="173" t="s">
        <v>83</v>
      </c>
      <c r="F117" s="131"/>
      <c r="G117" s="161">
        <f>((G107-G116)*G108)+G97</f>
        <v>-2.8846112670875206</v>
      </c>
      <c r="H117" s="131"/>
      <c r="I117" s="131"/>
      <c r="J117" s="106"/>
      <c r="K117" s="106"/>
      <c r="L117" s="106"/>
      <c r="M117" s="106"/>
      <c r="N117" s="364"/>
      <c r="P117" s="136"/>
      <c r="Q117" s="131"/>
      <c r="R117" s="147" t="s">
        <v>75</v>
      </c>
    </row>
    <row r="118" spans="1:18" s="37" customFormat="1">
      <c r="C118" s="131"/>
      <c r="D118" s="131"/>
      <c r="E118" s="173"/>
      <c r="F118" s="131"/>
      <c r="G118" s="161"/>
      <c r="H118" s="131"/>
      <c r="I118" s="131"/>
      <c r="J118" s="106"/>
      <c r="K118" s="106"/>
      <c r="L118" s="106"/>
      <c r="M118" s="106"/>
      <c r="N118" s="364"/>
      <c r="P118" s="136"/>
      <c r="Q118" s="131"/>
      <c r="R118" s="147"/>
    </row>
    <row r="119" spans="1:18" s="37" customFormat="1">
      <c r="C119" s="654" t="s">
        <v>589</v>
      </c>
      <c r="D119" s="131" t="s">
        <v>55</v>
      </c>
      <c r="E119" s="173" t="s">
        <v>305</v>
      </c>
      <c r="F119" s="131"/>
      <c r="G119" s="661">
        <f>IF(SUM(J85:N85)=0,0,SUM(J87:N87)/SUM(J85:N85)*100)</f>
        <v>99.986514878912544</v>
      </c>
      <c r="H119" s="131"/>
      <c r="I119" s="131"/>
      <c r="J119" s="106"/>
      <c r="K119" s="106"/>
      <c r="L119" s="106"/>
      <c r="M119" s="106"/>
      <c r="N119" s="364"/>
      <c r="P119" s="136"/>
      <c r="Q119" s="131"/>
      <c r="R119" s="147" t="s">
        <v>75</v>
      </c>
    </row>
    <row r="120" spans="1:18" s="37" customFormat="1">
      <c r="C120" s="654" t="s">
        <v>590</v>
      </c>
      <c r="D120" s="131" t="s">
        <v>55</v>
      </c>
      <c r="E120" s="173" t="s">
        <v>84</v>
      </c>
      <c r="F120" s="131"/>
      <c r="G120" s="161">
        <f>IF('Input FD'!$O$151=1,0,((G111-G119)*G112)+G102)</f>
        <v>0.42206188691591762</v>
      </c>
      <c r="H120" s="174"/>
      <c r="I120" s="131"/>
      <c r="J120" s="106"/>
      <c r="K120" s="106"/>
      <c r="L120" s="106"/>
      <c r="M120" s="106"/>
      <c r="N120" s="364"/>
      <c r="P120" s="136"/>
      <c r="Q120" s="131"/>
      <c r="R120" s="147" t="s">
        <v>75</v>
      </c>
    </row>
    <row r="121" spans="1:18" s="37" customFormat="1" ht="12.75" customHeight="1">
      <c r="C121" s="131"/>
      <c r="D121" s="131"/>
      <c r="E121" s="173"/>
      <c r="F121" s="131"/>
      <c r="G121" s="148"/>
      <c r="H121" s="131"/>
      <c r="I121" s="131"/>
      <c r="J121" s="106"/>
      <c r="K121" s="106"/>
      <c r="L121" s="106"/>
      <c r="M121" s="106"/>
      <c r="N121" s="364"/>
      <c r="P121" s="136"/>
      <c r="Q121" s="131"/>
      <c r="R121" s="147"/>
    </row>
    <row r="122" spans="1:18" ht="12.75" customHeight="1">
      <c r="A122" s="479"/>
      <c r="B122" s="452"/>
      <c r="C122" s="453"/>
      <c r="D122" s="481"/>
      <c r="E122" s="483" t="s">
        <v>189</v>
      </c>
      <c r="F122" s="440"/>
      <c r="G122" s="440"/>
      <c r="H122" s="440"/>
      <c r="I122" s="440"/>
      <c r="J122" s="440"/>
      <c r="K122" s="440"/>
      <c r="L122" s="440"/>
      <c r="M122" s="440"/>
      <c r="N122" s="446"/>
      <c r="O122" s="440"/>
      <c r="P122" s="475"/>
      <c r="Q122" s="476"/>
      <c r="R122" s="477"/>
    </row>
    <row r="123" spans="1:18" s="37" customFormat="1" ht="12.75" customHeight="1">
      <c r="A123" s="109"/>
      <c r="B123" s="109"/>
      <c r="C123" s="104"/>
      <c r="D123" s="104"/>
      <c r="E123" s="177"/>
      <c r="F123" s="104"/>
      <c r="G123" s="104"/>
      <c r="H123" s="104"/>
      <c r="I123" s="104"/>
      <c r="J123" s="106"/>
      <c r="K123" s="106"/>
      <c r="L123" s="106"/>
      <c r="M123" s="106"/>
      <c r="N123" s="364"/>
      <c r="O123" s="368"/>
      <c r="P123" s="107"/>
      <c r="Q123" s="104"/>
      <c r="R123" s="160"/>
    </row>
    <row r="124" spans="1:18" s="37" customFormat="1" ht="12.75" customHeight="1">
      <c r="C124" s="131"/>
      <c r="D124" s="131" t="s">
        <v>57</v>
      </c>
      <c r="E124" s="132" t="s">
        <v>323</v>
      </c>
      <c r="F124" s="132"/>
      <c r="G124" s="132"/>
      <c r="H124" s="131"/>
      <c r="I124" s="131"/>
      <c r="J124" s="106"/>
      <c r="K124" s="106"/>
      <c r="L124" s="106"/>
      <c r="M124" s="106"/>
      <c r="N124" s="364"/>
      <c r="O124" s="361"/>
      <c r="P124" s="176">
        <f>SUM(J80:N80)*G117/100</f>
        <v>-35.750048116777315</v>
      </c>
      <c r="Q124" s="148"/>
      <c r="R124" s="147" t="s">
        <v>242</v>
      </c>
    </row>
    <row r="125" spans="1:18" s="37" customFormat="1" ht="12.75" customHeight="1">
      <c r="C125" s="131"/>
      <c r="D125" s="131" t="s">
        <v>57</v>
      </c>
      <c r="E125" s="132" t="s">
        <v>324</v>
      </c>
      <c r="F125" s="132"/>
      <c r="G125" s="132"/>
      <c r="H125" s="131"/>
      <c r="I125" s="131"/>
      <c r="J125" s="106"/>
      <c r="K125" s="106"/>
      <c r="L125" s="106"/>
      <c r="M125" s="106"/>
      <c r="N125" s="364"/>
      <c r="O125" s="361"/>
      <c r="P125" s="176">
        <f>SUM(J85:N85)*G120/100</f>
        <v>10.851977854509688</v>
      </c>
      <c r="Q125" s="148"/>
      <c r="R125" s="147" t="s">
        <v>242</v>
      </c>
    </row>
    <row r="126" spans="1:18" s="37" customFormat="1" ht="12.75" customHeight="1">
      <c r="C126" s="131"/>
      <c r="D126" s="131"/>
      <c r="E126" s="132"/>
      <c r="F126" s="132"/>
      <c r="G126" s="132"/>
      <c r="H126" s="131"/>
      <c r="I126" s="131"/>
      <c r="J126" s="106"/>
      <c r="K126" s="106"/>
      <c r="L126" s="106"/>
      <c r="M126" s="106"/>
      <c r="N126" s="364"/>
      <c r="O126" s="361"/>
      <c r="P126" s="158"/>
      <c r="Q126" s="148"/>
      <c r="R126" s="147"/>
    </row>
    <row r="127" spans="1:18" s="37" customFormat="1" ht="12.75" customHeight="1">
      <c r="C127" s="131"/>
      <c r="D127" s="131" t="s">
        <v>57</v>
      </c>
      <c r="E127" s="132" t="s">
        <v>72</v>
      </c>
      <c r="F127" s="132"/>
      <c r="G127" s="132"/>
      <c r="H127" s="131"/>
      <c r="I127" s="131"/>
      <c r="J127" s="156">
        <f>IF('Input FD'!J49&lt;&gt;"",'Input FD'!J49,J56*$G$97/100)</f>
        <v>-6.4040346411921103</v>
      </c>
      <c r="K127" s="156">
        <f>IF('Input FD'!K49&lt;&gt;"",'Input FD'!K49,K56*$G$97/100)</f>
        <v>-9.3120659362126101</v>
      </c>
      <c r="L127" s="156">
        <f>IF('Input FD'!L49&lt;&gt;"",'Input FD'!L49,L56*$G$97/100)</f>
        <v>-8.4414031297668295</v>
      </c>
      <c r="M127" s="156">
        <f>IF('Input FD'!M49&lt;&gt;"",'Input FD'!M49,M56*$G$97/100)</f>
        <v>-7.9153618865700501</v>
      </c>
      <c r="N127" s="365">
        <f>IF('Input FD'!N49&lt;&gt;"",'Input FD'!N49,N56*$G$97/100)</f>
        <v>-6.2416587606791998</v>
      </c>
      <c r="O127" s="369"/>
      <c r="P127" s="158"/>
      <c r="Q127" s="161"/>
      <c r="R127" s="147" t="s">
        <v>242</v>
      </c>
    </row>
    <row r="128" spans="1:18" s="37" customFormat="1" ht="12.75" customHeight="1">
      <c r="C128" s="131"/>
      <c r="D128" s="131" t="s">
        <v>57</v>
      </c>
      <c r="E128" s="132" t="s">
        <v>73</v>
      </c>
      <c r="F128" s="132"/>
      <c r="G128" s="132"/>
      <c r="H128" s="131"/>
      <c r="I128" s="131"/>
      <c r="J128" s="156">
        <f>IF('Input FD'!J50&lt;&gt;"",'Input FD'!J50,J67*$G$102/100)</f>
        <v>-4.4345210389061096</v>
      </c>
      <c r="K128" s="156">
        <f>IF('Input FD'!K50&lt;&gt;"",'Input FD'!K50,K67*$G$102/100)</f>
        <v>-5.5135632887299098</v>
      </c>
      <c r="L128" s="156">
        <f>IF('Input FD'!L50&lt;&gt;"",'Input FD'!L50,L67*$G$102/100)</f>
        <v>-4.38623182711172</v>
      </c>
      <c r="M128" s="156">
        <f>IF('Input FD'!M50&lt;&gt;"",'Input FD'!M50,M67*$G$102/100)</f>
        <v>-3.6482704817140701</v>
      </c>
      <c r="N128" s="365">
        <f>IF('Input FD'!N50&lt;&gt;"",'Input FD'!N50,N67*$G$102/100)</f>
        <v>-2.90058545757877</v>
      </c>
      <c r="O128" s="369"/>
      <c r="P128" s="158"/>
      <c r="Q128" s="161"/>
      <c r="R128" s="147" t="s">
        <v>242</v>
      </c>
    </row>
    <row r="129" spans="1:18" s="37" customFormat="1" ht="12.75" customHeight="1">
      <c r="C129" s="131"/>
      <c r="D129" s="131"/>
      <c r="E129" s="132"/>
      <c r="F129" s="132"/>
      <c r="G129" s="131"/>
      <c r="H129" s="131"/>
      <c r="I129" s="131"/>
      <c r="J129" s="106"/>
      <c r="K129" s="106"/>
      <c r="L129" s="106"/>
      <c r="M129" s="106"/>
      <c r="N129" s="364"/>
      <c r="O129" s="361"/>
      <c r="P129" s="107"/>
      <c r="Q129" s="131"/>
      <c r="R129" s="147"/>
    </row>
    <row r="130" spans="1:18" s="37" customFormat="1" ht="12.75" customHeight="1">
      <c r="C130" s="131"/>
      <c r="D130" s="131" t="s">
        <v>57</v>
      </c>
      <c r="E130" s="132" t="s">
        <v>81</v>
      </c>
      <c r="F130" s="132"/>
      <c r="G130" s="131"/>
      <c r="H130" s="131"/>
      <c r="I130" s="131"/>
      <c r="J130" s="159"/>
      <c r="K130" s="159"/>
      <c r="L130" s="159"/>
      <c r="M130" s="159"/>
      <c r="N130" s="364"/>
      <c r="O130" s="361"/>
      <c r="P130" s="176">
        <f t="shared" ref="P130:P131" si="20">P124-SUM(J127:N127)</f>
        <v>2.5644762376434826</v>
      </c>
      <c r="Q130" s="131"/>
      <c r="R130" s="147" t="s">
        <v>242</v>
      </c>
    </row>
    <row r="131" spans="1:18" s="37" customFormat="1" ht="12.75" customHeight="1">
      <c r="C131" s="131"/>
      <c r="D131" s="131" t="s">
        <v>57</v>
      </c>
      <c r="E131" s="132" t="s">
        <v>82</v>
      </c>
      <c r="F131" s="132"/>
      <c r="G131" s="131"/>
      <c r="H131" s="131"/>
      <c r="I131" s="131"/>
      <c r="J131" s="106"/>
      <c r="K131" s="106"/>
      <c r="L131" s="106"/>
      <c r="M131" s="106"/>
      <c r="N131" s="364"/>
      <c r="O131" s="361"/>
      <c r="P131" s="176">
        <f t="shared" si="20"/>
        <v>31.735149948550269</v>
      </c>
      <c r="Q131" s="131"/>
      <c r="R131" s="147" t="s">
        <v>242</v>
      </c>
    </row>
    <row r="132" spans="1:18" s="37" customFormat="1" ht="12.75" customHeight="1">
      <c r="C132" s="131"/>
      <c r="D132" s="131"/>
      <c r="E132" s="132"/>
      <c r="F132" s="132"/>
      <c r="G132" s="131"/>
      <c r="H132" s="131"/>
      <c r="I132" s="131"/>
      <c r="J132" s="106"/>
      <c r="K132" s="106"/>
      <c r="L132" s="106"/>
      <c r="M132" s="106"/>
      <c r="N132" s="364"/>
      <c r="O132" s="361"/>
      <c r="P132" s="158"/>
      <c r="Q132" s="131"/>
      <c r="R132" s="147"/>
    </row>
    <row r="133" spans="1:18" s="37" customFormat="1">
      <c r="A133" s="109"/>
      <c r="B133" s="109"/>
      <c r="C133" s="104"/>
      <c r="D133" s="104"/>
      <c r="E133" s="177"/>
      <c r="F133" s="104"/>
      <c r="G133" s="104"/>
      <c r="H133" s="104"/>
      <c r="I133" s="104"/>
      <c r="J133" s="106"/>
      <c r="K133" s="106"/>
      <c r="L133" s="106"/>
      <c r="M133" s="106"/>
      <c r="N133" s="364"/>
      <c r="O133" s="370"/>
      <c r="P133" s="188"/>
      <c r="Q133" s="104"/>
      <c r="R133" s="160"/>
    </row>
    <row r="134" spans="1:18">
      <c r="A134" s="479"/>
      <c r="B134" s="452"/>
      <c r="C134" s="453"/>
      <c r="D134" s="481"/>
      <c r="E134" s="483" t="s">
        <v>99</v>
      </c>
      <c r="F134" s="440"/>
      <c r="G134" s="440"/>
      <c r="H134" s="440"/>
      <c r="I134" s="440"/>
      <c r="J134" s="440"/>
      <c r="K134" s="440"/>
      <c r="L134" s="440"/>
      <c r="M134" s="440"/>
      <c r="N134" s="446"/>
      <c r="O134" s="440"/>
      <c r="P134" s="475"/>
      <c r="Q134" s="476"/>
      <c r="R134" s="477"/>
    </row>
    <row r="135" spans="1:18" ht="12.75" customHeight="1">
      <c r="A135" s="22"/>
      <c r="B135" s="22"/>
      <c r="C135" s="76"/>
      <c r="D135" s="76"/>
      <c r="E135" s="20"/>
      <c r="F135" s="76"/>
      <c r="G135" s="77"/>
      <c r="H135" s="76"/>
      <c r="I135" s="76"/>
      <c r="J135" s="65"/>
      <c r="K135" s="65"/>
      <c r="L135" s="65"/>
      <c r="M135" s="65"/>
      <c r="N135" s="374"/>
      <c r="O135" s="22"/>
      <c r="P135" s="84"/>
      <c r="Q135" s="76"/>
    </row>
    <row r="136" spans="1:18" ht="12.75" customHeight="1">
      <c r="A136" s="479"/>
      <c r="B136" s="452"/>
      <c r="C136" s="453"/>
      <c r="D136" s="481"/>
      <c r="E136" s="483" t="s">
        <v>207</v>
      </c>
      <c r="F136" s="440"/>
      <c r="G136" s="440"/>
      <c r="H136" s="440"/>
      <c r="I136" s="440"/>
      <c r="J136" s="440"/>
      <c r="K136" s="440"/>
      <c r="L136" s="440"/>
      <c r="M136" s="440"/>
      <c r="N136" s="446"/>
      <c r="O136" s="440"/>
      <c r="P136" s="475"/>
      <c r="Q136" s="476"/>
      <c r="R136" s="477"/>
    </row>
    <row r="137" spans="1:18" s="37" customFormat="1" ht="12.75" customHeight="1">
      <c r="A137" s="109"/>
      <c r="B137" s="109"/>
      <c r="C137" s="104"/>
      <c r="D137" s="104"/>
      <c r="E137" s="132"/>
      <c r="F137" s="104"/>
      <c r="G137" s="104"/>
      <c r="H137" s="104"/>
      <c r="I137" s="104"/>
      <c r="J137" s="131"/>
      <c r="K137" s="131"/>
      <c r="L137" s="131"/>
      <c r="M137" s="131"/>
      <c r="N137" s="361"/>
      <c r="O137" s="368"/>
      <c r="P137" s="136"/>
      <c r="Q137" s="104"/>
      <c r="R137" s="147"/>
    </row>
    <row r="138" spans="1:18" s="37" customFormat="1">
      <c r="A138" s="109"/>
      <c r="B138" s="109"/>
      <c r="C138" s="104"/>
      <c r="D138" s="131" t="s">
        <v>57</v>
      </c>
      <c r="E138" s="177" t="s">
        <v>185</v>
      </c>
      <c r="F138" s="104"/>
      <c r="G138" s="178"/>
      <c r="H138" s="179"/>
      <c r="I138" s="180"/>
      <c r="J138" s="156">
        <f>(J57+'Input FD'!J83)*J$29</f>
        <v>253.05452155210151</v>
      </c>
      <c r="K138" s="156">
        <f>(K57+'Input FD'!K83)*K$29</f>
        <v>384.52338965615746</v>
      </c>
      <c r="L138" s="156">
        <f>(L57+'Input FD'!L83)*L$29</f>
        <v>361.46821714224211</v>
      </c>
      <c r="M138" s="156">
        <f>(M57+'Input FD'!M83)*M$29</f>
        <v>349.11095422719768</v>
      </c>
      <c r="N138" s="365">
        <f>(N57+'Input FD'!N83)*N$29</f>
        <v>283.55019283279671</v>
      </c>
      <c r="O138" s="109"/>
      <c r="P138" s="136"/>
      <c r="Q138" s="104"/>
      <c r="R138" s="147" t="s">
        <v>87</v>
      </c>
    </row>
    <row r="139" spans="1:18" s="37" customFormat="1">
      <c r="C139" s="131"/>
      <c r="D139" s="131" t="s">
        <v>57</v>
      </c>
      <c r="E139" s="132" t="s">
        <v>110</v>
      </c>
      <c r="F139" s="131"/>
      <c r="G139" s="131"/>
      <c r="H139" s="182"/>
      <c r="I139" s="148"/>
      <c r="J139" s="156">
        <f>SUM('Input FD'!J65:J70)</f>
        <v>323.03044436918901</v>
      </c>
      <c r="K139" s="156">
        <f>SUM('Input FD'!K65:K70)</f>
        <v>332.72403311955941</v>
      </c>
      <c r="L139" s="156">
        <f>SUM('Input FD'!L65:L70)</f>
        <v>275.8225842037736</v>
      </c>
      <c r="M139" s="156">
        <f>SUM('Input FD'!M65:M70)</f>
        <v>297.68662957640748</v>
      </c>
      <c r="N139" s="365">
        <f>SUM('Input FD'!N65:N70)</f>
        <v>323.44590331990361</v>
      </c>
      <c r="P139" s="136"/>
      <c r="Q139" s="131"/>
      <c r="R139" s="147" t="s">
        <v>87</v>
      </c>
    </row>
    <row r="140" spans="1:18" s="37" customFormat="1">
      <c r="C140" s="131"/>
      <c r="D140" s="131" t="s">
        <v>57</v>
      </c>
      <c r="E140" s="132" t="s">
        <v>192</v>
      </c>
      <c r="F140" s="131"/>
      <c r="G140" s="131"/>
      <c r="H140" s="131"/>
      <c r="I140" s="181"/>
      <c r="J140" s="205">
        <f>(J139-J138)*J$15</f>
        <v>64.450355964032838</v>
      </c>
      <c r="K140" s="205">
        <f>(K139-K138)*K$15</f>
        <v>-45.524725026073035</v>
      </c>
      <c r="L140" s="205">
        <f>(L139-L138)*L$15</f>
        <v>-73.015082527257547</v>
      </c>
      <c r="M140" s="205">
        <f>(M139-M138)*M$15</f>
        <v>-42.611303970270562</v>
      </c>
      <c r="N140" s="675">
        <f>(N139-N138)*N$15</f>
        <v>32.203207945849336</v>
      </c>
      <c r="P140" s="158"/>
      <c r="Q140" s="131"/>
      <c r="R140" s="147" t="s">
        <v>242</v>
      </c>
    </row>
    <row r="141" spans="1:18" s="37" customFormat="1">
      <c r="C141" s="131"/>
      <c r="D141" s="131"/>
      <c r="E141" s="132"/>
      <c r="F141" s="183"/>
      <c r="G141" s="183"/>
      <c r="H141" s="183"/>
      <c r="I141" s="183"/>
      <c r="J141" s="205"/>
      <c r="K141" s="205"/>
      <c r="L141" s="205"/>
      <c r="M141" s="205"/>
      <c r="N141" s="675"/>
      <c r="P141" s="136"/>
      <c r="Q141" s="131"/>
      <c r="R141" s="147"/>
    </row>
    <row r="142" spans="1:18" s="37" customFormat="1">
      <c r="A142" s="109"/>
      <c r="B142" s="109"/>
      <c r="C142" s="104"/>
      <c r="D142" s="131" t="s">
        <v>57</v>
      </c>
      <c r="E142" s="132" t="s">
        <v>186</v>
      </c>
      <c r="F142" s="104"/>
      <c r="G142" s="104"/>
      <c r="H142" s="104"/>
      <c r="I142" s="104"/>
      <c r="J142" s="156">
        <f>(J68+'Input FD'!J91)*J$29</f>
        <v>668.03380709460646</v>
      </c>
      <c r="K142" s="156">
        <f>(K68+'Input FD'!K91)*K$29</f>
        <v>867.96132908323796</v>
      </c>
      <c r="L142" s="156">
        <f>(L68+'Input FD'!L91)*L$29</f>
        <v>716.04175830012628</v>
      </c>
      <c r="M142" s="156">
        <f>(M68+'Input FD'!M91)*M$29</f>
        <v>613.43849045188324</v>
      </c>
      <c r="N142" s="365">
        <f>(N68+'Input FD'!N91)*N$29</f>
        <v>502.3505512119969</v>
      </c>
      <c r="O142" s="109"/>
      <c r="P142" s="136"/>
      <c r="Q142" s="104"/>
      <c r="R142" s="147" t="s">
        <v>87</v>
      </c>
    </row>
    <row r="143" spans="1:18" s="37" customFormat="1">
      <c r="C143" s="131"/>
      <c r="D143" s="131" t="s">
        <v>57</v>
      </c>
      <c r="E143" s="132" t="s">
        <v>111</v>
      </c>
      <c r="F143" s="131"/>
      <c r="G143" s="131"/>
      <c r="H143" s="131"/>
      <c r="I143" s="131"/>
      <c r="J143" s="156">
        <f>IF('Input FD'!$O$151=1,0,SUM('Input FD'!J72:J77))</f>
        <v>560.65684220081368</v>
      </c>
      <c r="K143" s="156">
        <f>IF('Input FD'!$O$151=1,0,SUM('Input FD'!K72:K77))</f>
        <v>666.33602997043704</v>
      </c>
      <c r="L143" s="156">
        <f>IF('Input FD'!$O$151=1,0,SUM('Input FD'!L72:L77))</f>
        <v>578.15605292582541</v>
      </c>
      <c r="M143" s="156">
        <f>IF('Input FD'!$O$151=1,0,SUM('Input FD'!M72:M77))</f>
        <v>601.60855337359283</v>
      </c>
      <c r="N143" s="365">
        <f>IF('Input FD'!$O$151=1,0,SUM('Input FD'!N72:N77))</f>
        <v>591.47631901908562</v>
      </c>
      <c r="P143" s="158"/>
      <c r="Q143" s="131"/>
      <c r="R143" s="147" t="s">
        <v>87</v>
      </c>
    </row>
    <row r="144" spans="1:18" s="37" customFormat="1">
      <c r="C144" s="131"/>
      <c r="D144" s="131" t="s">
        <v>57</v>
      </c>
      <c r="E144" s="132" t="s">
        <v>193</v>
      </c>
      <c r="F144" s="131"/>
      <c r="G144" s="131"/>
      <c r="H144" s="131"/>
      <c r="I144" s="131"/>
      <c r="J144" s="205">
        <f>(J143-J142)*J$15</f>
        <v>-98.898068523256114</v>
      </c>
      <c r="K144" s="205">
        <f>(K143-K142)*K$15</f>
        <v>-177.20174369202348</v>
      </c>
      <c r="L144" s="205">
        <f>(L143-L142)*L$15</f>
        <v>-117.55107425578592</v>
      </c>
      <c r="M144" s="205">
        <f>(M143-M142)*M$15</f>
        <v>-9.8025408834311509</v>
      </c>
      <c r="N144" s="675">
        <f>(N143-N142)*N$15</f>
        <v>71.940958037398659</v>
      </c>
      <c r="P144" s="158"/>
      <c r="Q144" s="131"/>
      <c r="R144" s="147" t="s">
        <v>242</v>
      </c>
    </row>
    <row r="145" spans="1:24" s="37" customFormat="1">
      <c r="C145" s="131"/>
      <c r="D145" s="131"/>
      <c r="E145" s="132"/>
      <c r="F145" s="131"/>
      <c r="G145" s="131"/>
      <c r="H145" s="131"/>
      <c r="I145" s="184"/>
      <c r="J145" s="185"/>
      <c r="K145" s="185"/>
      <c r="L145" s="185"/>
      <c r="M145" s="185"/>
      <c r="N145" s="186"/>
      <c r="O145" s="361"/>
      <c r="P145" s="187"/>
      <c r="Q145" s="161"/>
      <c r="R145" s="147"/>
    </row>
    <row r="146" spans="1:24">
      <c r="A146" s="479"/>
      <c r="B146" s="452"/>
      <c r="C146" s="453"/>
      <c r="D146" s="481"/>
      <c r="E146" s="454" t="s">
        <v>206</v>
      </c>
      <c r="F146" s="440"/>
      <c r="G146" s="440"/>
      <c r="H146" s="440"/>
      <c r="I146" s="440"/>
      <c r="J146" s="440"/>
      <c r="K146" s="440"/>
      <c r="L146" s="440"/>
      <c r="M146" s="440"/>
      <c r="N146" s="446"/>
      <c r="O146" s="440"/>
      <c r="P146" s="475"/>
      <c r="Q146" s="476"/>
      <c r="R146" s="477"/>
    </row>
    <row r="147" spans="1:24" s="37" customFormat="1">
      <c r="C147" s="131"/>
      <c r="D147" s="131"/>
      <c r="E147" s="132"/>
      <c r="F147" s="131"/>
      <c r="G147" s="131"/>
      <c r="H147" s="131"/>
      <c r="I147" s="131"/>
      <c r="J147" s="106"/>
      <c r="K147" s="106"/>
      <c r="L147" s="106"/>
      <c r="M147" s="106"/>
      <c r="N147" s="364"/>
      <c r="O147" s="203"/>
      <c r="P147" s="136"/>
      <c r="Q147" s="131"/>
      <c r="R147" s="147"/>
    </row>
    <row r="148" spans="1:24" s="37" customFormat="1">
      <c r="C148" s="131"/>
      <c r="D148" s="104" t="s">
        <v>57</v>
      </c>
      <c r="E148" s="132" t="s">
        <v>198</v>
      </c>
      <c r="F148" s="182"/>
      <c r="G148" s="182"/>
      <c r="H148" s="182"/>
      <c r="I148" s="205">
        <f>'Input FD'!I$54</f>
        <v>4012.3913144817998</v>
      </c>
      <c r="J148" s="156">
        <f>'Input FD'!J$54</f>
        <v>3993.7173828238001</v>
      </c>
      <c r="K148" s="156">
        <f>'Input FD'!K$54</f>
        <v>4084.8071487515299</v>
      </c>
      <c r="L148" s="156">
        <f>'Input FD'!L$54</f>
        <v>4142.9266328273397</v>
      </c>
      <c r="M148" s="156">
        <f>'Input FD'!M$54</f>
        <v>4183.7220345626502</v>
      </c>
      <c r="N148" s="365">
        <f>'Input FD'!N$54</f>
        <v>4162.73248798022</v>
      </c>
      <c r="O148" s="157"/>
      <c r="P148" s="158"/>
      <c r="Q148" s="148"/>
      <c r="R148" s="147" t="s">
        <v>242</v>
      </c>
    </row>
    <row r="149" spans="1:24" s="37" customFormat="1">
      <c r="C149" s="131" t="s">
        <v>482</v>
      </c>
      <c r="D149" s="131" t="s">
        <v>57</v>
      </c>
      <c r="E149" s="132" t="s">
        <v>77</v>
      </c>
      <c r="F149" s="131"/>
      <c r="G149" s="131"/>
      <c r="H149" s="131"/>
      <c r="I149" s="205"/>
      <c r="J149" s="156"/>
      <c r="K149" s="156"/>
      <c r="L149" s="156"/>
      <c r="M149" s="156"/>
      <c r="N149" s="365"/>
      <c r="O149" s="131"/>
      <c r="P149" s="206">
        <f>SUM(J140:N140)</f>
        <v>-64.497547613718979</v>
      </c>
      <c r="Q149" s="161"/>
      <c r="R149" s="147" t="s">
        <v>242</v>
      </c>
    </row>
    <row r="150" spans="1:24" s="37" customFormat="1">
      <c r="A150" s="109"/>
      <c r="B150" s="109"/>
      <c r="C150" s="104"/>
      <c r="D150" s="104" t="s">
        <v>57</v>
      </c>
      <c r="E150" s="177" t="s">
        <v>386</v>
      </c>
      <c r="F150" s="131"/>
      <c r="G150" s="104"/>
      <c r="H150" s="104"/>
      <c r="I150" s="205"/>
      <c r="J150" s="156">
        <f>IF(J5=8,J148+$P$149,J148)</f>
        <v>3993.7173828238001</v>
      </c>
      <c r="K150" s="156">
        <f>IF(K5=8,K148+$P$149,K148)</f>
        <v>4084.8071487515299</v>
      </c>
      <c r="L150" s="156">
        <f>IF(L5=8,L148+$P$149,L148)</f>
        <v>4142.9266328273397</v>
      </c>
      <c r="M150" s="156">
        <f>IF(M5=8,M148+$P$149,M148)</f>
        <v>4183.7220345626502</v>
      </c>
      <c r="N150" s="365">
        <f>IF(N5=8,N148+$P$149,N148)</f>
        <v>4098.2349403665012</v>
      </c>
      <c r="O150" s="109"/>
      <c r="P150" s="136"/>
      <c r="Q150" s="104"/>
      <c r="R150" s="147" t="s">
        <v>242</v>
      </c>
    </row>
    <row r="151" spans="1:24" s="37" customFormat="1">
      <c r="C151" s="131"/>
      <c r="D151" s="131"/>
      <c r="E151" s="177"/>
      <c r="F151" s="131"/>
      <c r="G151" s="131"/>
      <c r="H151" s="131"/>
      <c r="I151" s="205"/>
      <c r="J151" s="156"/>
      <c r="K151" s="156"/>
      <c r="L151" s="156"/>
      <c r="M151" s="156"/>
      <c r="N151" s="365"/>
      <c r="O151" s="157"/>
      <c r="P151" s="158"/>
      <c r="Q151" s="148"/>
      <c r="R151" s="147"/>
    </row>
    <row r="152" spans="1:24" s="37" customFormat="1">
      <c r="C152" s="131"/>
      <c r="D152" s="104" t="s">
        <v>57</v>
      </c>
      <c r="E152" s="132" t="s">
        <v>209</v>
      </c>
      <c r="F152" s="207"/>
      <c r="G152" s="207"/>
      <c r="H152" s="207"/>
      <c r="I152" s="205">
        <f>'Input FD'!I$55</f>
        <v>3457.1462027174198</v>
      </c>
      <c r="J152" s="156">
        <f>'Input FD'!J$55</f>
        <v>3945.1437194370801</v>
      </c>
      <c r="K152" s="156">
        <f>'Input FD'!K$55</f>
        <v>4581.8359215168202</v>
      </c>
      <c r="L152" s="156">
        <f>'Input FD'!L$55</f>
        <v>4996.3623891277402</v>
      </c>
      <c r="M152" s="156">
        <f>'Input FD'!M$55</f>
        <v>5287.6489470873103</v>
      </c>
      <c r="N152" s="365">
        <f>'Input FD'!N$55</f>
        <v>5449.8897221546404</v>
      </c>
      <c r="O152" s="157"/>
      <c r="P152" s="158"/>
      <c r="Q152" s="148"/>
      <c r="R152" s="147" t="s">
        <v>242</v>
      </c>
    </row>
    <row r="153" spans="1:24" s="37" customFormat="1">
      <c r="C153" s="131" t="s">
        <v>483</v>
      </c>
      <c r="D153" s="131" t="s">
        <v>57</v>
      </c>
      <c r="E153" s="132" t="s">
        <v>78</v>
      </c>
      <c r="F153" s="131"/>
      <c r="G153" s="131"/>
      <c r="H153" s="131"/>
      <c r="I153" s="205"/>
      <c r="J153" s="156"/>
      <c r="K153" s="156"/>
      <c r="L153" s="156"/>
      <c r="M153" s="156"/>
      <c r="N153" s="365"/>
      <c r="O153" s="361"/>
      <c r="P153" s="208">
        <f>SUM(J144:N144)</f>
        <v>-331.51246931709801</v>
      </c>
      <c r="Q153" s="161"/>
      <c r="R153" s="147" t="s">
        <v>242</v>
      </c>
    </row>
    <row r="154" spans="1:24" s="37" customFormat="1">
      <c r="A154" s="109"/>
      <c r="B154" s="109"/>
      <c r="C154" s="104"/>
      <c r="D154" s="104" t="s">
        <v>57</v>
      </c>
      <c r="E154" s="177" t="s">
        <v>387</v>
      </c>
      <c r="F154" s="131"/>
      <c r="G154" s="104"/>
      <c r="H154" s="104"/>
      <c r="I154" s="205"/>
      <c r="J154" s="156">
        <f>IF(J5=8,J152+$P$153,J152)</f>
        <v>3945.1437194370801</v>
      </c>
      <c r="K154" s="156">
        <f>IF(K5=8,K152+$P$153,K152)</f>
        <v>4581.8359215168202</v>
      </c>
      <c r="L154" s="156">
        <f>IF(L5=8,L152+$P$153,L152)</f>
        <v>4996.3623891277402</v>
      </c>
      <c r="M154" s="156">
        <f>IF(M5=8,M152+$P$153,M152)</f>
        <v>5287.6489470873103</v>
      </c>
      <c r="N154" s="365">
        <f>IF(N5=8,N152+$P$153,N152)</f>
        <v>5118.3772528375421</v>
      </c>
      <c r="O154" s="109"/>
      <c r="P154" s="136"/>
      <c r="Q154" s="104"/>
      <c r="R154" s="147" t="s">
        <v>242</v>
      </c>
    </row>
    <row r="155" spans="1:24" s="37" customFormat="1">
      <c r="C155" s="131"/>
      <c r="D155" s="131"/>
      <c r="E155" s="177"/>
      <c r="F155" s="131"/>
      <c r="G155" s="131"/>
      <c r="H155" s="161"/>
      <c r="I155" s="184"/>
      <c r="J155" s="185"/>
      <c r="K155" s="185"/>
      <c r="L155" s="185"/>
      <c r="M155" s="185"/>
      <c r="N155" s="382"/>
      <c r="O155" s="157"/>
      <c r="P155" s="158"/>
      <c r="Q155" s="148"/>
      <c r="R155" s="147"/>
    </row>
    <row r="156" spans="1:24" s="37" customFormat="1">
      <c r="C156" s="131"/>
      <c r="D156" s="131"/>
      <c r="E156" s="132"/>
      <c r="F156" s="131"/>
      <c r="G156" s="131"/>
      <c r="H156" s="131"/>
      <c r="I156" s="131"/>
      <c r="J156" s="159"/>
      <c r="K156" s="159"/>
      <c r="L156" s="159"/>
      <c r="M156" s="159"/>
      <c r="N156" s="362"/>
      <c r="O156" s="157"/>
      <c r="P156" s="158"/>
      <c r="Q156" s="148"/>
      <c r="R156" s="147"/>
    </row>
    <row r="157" spans="1:24">
      <c r="A157" s="479"/>
      <c r="B157" s="452"/>
      <c r="C157" s="453"/>
      <c r="D157" s="481"/>
      <c r="E157" s="483" t="s">
        <v>208</v>
      </c>
      <c r="F157" s="440"/>
      <c r="G157" s="440"/>
      <c r="H157" s="440"/>
      <c r="I157" s="440"/>
      <c r="J157" s="440"/>
      <c r="K157" s="440"/>
      <c r="L157" s="440"/>
      <c r="M157" s="440"/>
      <c r="N157" s="446"/>
      <c r="O157" s="440"/>
      <c r="P157" s="475"/>
      <c r="Q157" s="476"/>
      <c r="R157" s="477"/>
    </row>
    <row r="158" spans="1:24" s="37" customFormat="1">
      <c r="A158" s="109"/>
      <c r="B158" s="109"/>
      <c r="C158" s="104"/>
      <c r="D158" s="104"/>
      <c r="E158" s="132"/>
      <c r="F158" s="104"/>
      <c r="G158" s="104"/>
      <c r="H158" s="104"/>
      <c r="I158" s="104"/>
      <c r="J158" s="106"/>
      <c r="K158" s="106"/>
      <c r="L158" s="106"/>
      <c r="M158" s="106"/>
      <c r="N158" s="364"/>
      <c r="O158" s="361"/>
      <c r="P158" s="136"/>
      <c r="Q158" s="104"/>
      <c r="R158" s="160"/>
      <c r="T158" s="157"/>
      <c r="U158" s="157"/>
      <c r="V158" s="157"/>
      <c r="W158" s="157"/>
      <c r="X158" s="157"/>
    </row>
    <row r="159" spans="1:24" ht="12.75" customHeight="1">
      <c r="A159" s="479"/>
      <c r="B159" s="452"/>
      <c r="C159" s="453"/>
      <c r="D159" s="481"/>
      <c r="E159" s="483" t="s">
        <v>402</v>
      </c>
      <c r="F159" s="440"/>
      <c r="G159" s="440"/>
      <c r="H159" s="440"/>
      <c r="I159" s="440"/>
      <c r="J159" s="440"/>
      <c r="K159" s="440"/>
      <c r="L159" s="440"/>
      <c r="M159" s="440"/>
      <c r="N159" s="446"/>
      <c r="O159" s="440"/>
      <c r="P159" s="475"/>
      <c r="Q159" s="476"/>
      <c r="R159" s="477"/>
    </row>
    <row r="160" spans="1:24" s="37" customFormat="1">
      <c r="A160" s="109"/>
      <c r="B160" s="109"/>
      <c r="C160" s="104"/>
      <c r="D160" s="104"/>
      <c r="E160" s="132"/>
      <c r="F160" s="104"/>
      <c r="G160" s="104"/>
      <c r="H160" s="104"/>
      <c r="I160" s="104"/>
      <c r="J160" s="106"/>
      <c r="K160" s="106"/>
      <c r="L160" s="106"/>
      <c r="M160" s="106"/>
      <c r="N160" s="364"/>
      <c r="O160" s="361"/>
      <c r="P160" s="136"/>
      <c r="Q160" s="104"/>
      <c r="R160" s="160"/>
      <c r="T160" s="157"/>
      <c r="U160" s="157"/>
      <c r="V160" s="157"/>
      <c r="W160" s="157"/>
      <c r="X160" s="157"/>
    </row>
    <row r="161" spans="1:24" s="37" customFormat="1">
      <c r="A161" s="109"/>
      <c r="B161" s="109"/>
      <c r="C161" s="104"/>
      <c r="D161" s="104" t="s">
        <v>57</v>
      </c>
      <c r="E161" s="132" t="s">
        <v>396</v>
      </c>
      <c r="F161" s="104"/>
      <c r="G161" s="104"/>
      <c r="H161" s="104"/>
      <c r="I161" s="104"/>
      <c r="J161" s="360">
        <f>I162</f>
        <v>0</v>
      </c>
      <c r="K161" s="360">
        <f t="shared" ref="K161:N161" si="21">J162</f>
        <v>242.98786746089618</v>
      </c>
      <c r="L161" s="360">
        <f t="shared" si="21"/>
        <v>601.47146461877435</v>
      </c>
      <c r="M161" s="360">
        <f t="shared" si="21"/>
        <v>929.60166232588199</v>
      </c>
      <c r="N161" s="363">
        <f t="shared" si="21"/>
        <v>1238.78472428749</v>
      </c>
      <c r="O161" s="131"/>
      <c r="P161" s="136"/>
      <c r="Q161" s="104"/>
      <c r="R161" s="147" t="s">
        <v>242</v>
      </c>
      <c r="T161" s="157"/>
      <c r="U161" s="157"/>
      <c r="V161" s="157"/>
      <c r="W161" s="157"/>
      <c r="X161" s="157"/>
    </row>
    <row r="162" spans="1:24" s="37" customFormat="1">
      <c r="A162" s="109"/>
      <c r="B162" s="109"/>
      <c r="C162" s="104"/>
      <c r="D162" s="104" t="s">
        <v>57</v>
      </c>
      <c r="E162" s="132" t="s">
        <v>397</v>
      </c>
      <c r="F162" s="104"/>
      <c r="G162" s="104"/>
      <c r="H162" s="104"/>
      <c r="I162" s="179"/>
      <c r="J162" s="360">
        <f>J161+J138*J$26</f>
        <v>242.98786746089618</v>
      </c>
      <c r="K162" s="360">
        <f t="shared" ref="K162:N162" si="22">K161+K138*K$26</f>
        <v>601.47146461877435</v>
      </c>
      <c r="L162" s="360">
        <f t="shared" si="22"/>
        <v>929.60166232588199</v>
      </c>
      <c r="M162" s="360">
        <f t="shared" si="22"/>
        <v>1238.78472428749</v>
      </c>
      <c r="N162" s="363">
        <f t="shared" si="22"/>
        <v>1483.7803325312786</v>
      </c>
      <c r="O162" s="131"/>
      <c r="P162" s="136"/>
      <c r="Q162" s="104"/>
      <c r="R162" s="147" t="s">
        <v>242</v>
      </c>
      <c r="T162" s="157"/>
      <c r="U162" s="157"/>
      <c r="V162" s="157"/>
      <c r="W162" s="157"/>
      <c r="X162" s="157"/>
    </row>
    <row r="163" spans="1:24" s="37" customFormat="1">
      <c r="A163" s="109"/>
      <c r="B163" s="109"/>
      <c r="C163" s="104"/>
      <c r="D163" s="104" t="s">
        <v>57</v>
      </c>
      <c r="E163" s="132" t="s">
        <v>400</v>
      </c>
      <c r="F163" s="104"/>
      <c r="G163" s="104"/>
      <c r="H163" s="104"/>
      <c r="I163" s="104"/>
      <c r="J163" s="360">
        <f>(J162+J161)/2</f>
        <v>121.49393373044809</v>
      </c>
      <c r="K163" s="360">
        <f t="shared" ref="K163:N163" si="23">(K162+K161)/2</f>
        <v>422.22966603983525</v>
      </c>
      <c r="L163" s="360">
        <f t="shared" si="23"/>
        <v>765.53656347232823</v>
      </c>
      <c r="M163" s="360">
        <f t="shared" si="23"/>
        <v>1084.193193306686</v>
      </c>
      <c r="N163" s="363">
        <f t="shared" si="23"/>
        <v>1361.2825284093842</v>
      </c>
      <c r="O163" s="131"/>
      <c r="P163" s="136"/>
      <c r="Q163" s="104"/>
      <c r="R163" s="147" t="s">
        <v>242</v>
      </c>
      <c r="T163" s="157"/>
      <c r="U163" s="157"/>
      <c r="V163" s="157"/>
      <c r="W163" s="157"/>
      <c r="X163" s="157"/>
    </row>
    <row r="164" spans="1:24" s="37" customFormat="1">
      <c r="A164" s="109"/>
      <c r="B164" s="109"/>
      <c r="C164" s="104"/>
      <c r="D164" s="104"/>
      <c r="E164" s="132"/>
      <c r="F164" s="104"/>
      <c r="G164" s="104"/>
      <c r="H164" s="104"/>
      <c r="I164" s="104"/>
      <c r="J164" s="156"/>
      <c r="K164" s="156"/>
      <c r="L164" s="156"/>
      <c r="M164" s="156"/>
      <c r="N164" s="365"/>
      <c r="O164" s="131"/>
      <c r="P164" s="136"/>
      <c r="Q164" s="104"/>
      <c r="R164" s="160"/>
      <c r="T164" s="157"/>
      <c r="U164" s="157"/>
      <c r="V164" s="157"/>
      <c r="W164" s="157"/>
      <c r="X164" s="157"/>
    </row>
    <row r="165" spans="1:24" s="37" customFormat="1">
      <c r="A165" s="109"/>
      <c r="B165" s="109"/>
      <c r="C165" s="104"/>
      <c r="D165" s="104" t="s">
        <v>57</v>
      </c>
      <c r="E165" s="132" t="s">
        <v>398</v>
      </c>
      <c r="F165" s="104"/>
      <c r="G165" s="104"/>
      <c r="H165" s="104"/>
      <c r="I165" s="104"/>
      <c r="J165" s="156">
        <f>I166</f>
        <v>0</v>
      </c>
      <c r="K165" s="156">
        <f t="shared" ref="K165:N165" si="24">J166</f>
        <v>641.45903887467637</v>
      </c>
      <c r="L165" s="156">
        <f t="shared" si="24"/>
        <v>1450.6423234647859</v>
      </c>
      <c r="M165" s="156">
        <f t="shared" si="24"/>
        <v>2100.6439351558847</v>
      </c>
      <c r="N165" s="365">
        <f t="shared" si="24"/>
        <v>2643.9233381836912</v>
      </c>
      <c r="O165" s="131"/>
      <c r="P165" s="136"/>
      <c r="Q165" s="104"/>
      <c r="R165" s="147" t="s">
        <v>242</v>
      </c>
      <c r="T165" s="157"/>
      <c r="U165" s="157"/>
      <c r="V165" s="157"/>
      <c r="W165" s="157"/>
      <c r="X165" s="157"/>
    </row>
    <row r="166" spans="1:24" s="37" customFormat="1">
      <c r="A166" s="109"/>
      <c r="B166" s="109"/>
      <c r="C166" s="104"/>
      <c r="D166" s="104" t="s">
        <v>57</v>
      </c>
      <c r="E166" s="132" t="s">
        <v>399</v>
      </c>
      <c r="F166" s="104"/>
      <c r="G166" s="104"/>
      <c r="H166" s="104"/>
      <c r="I166" s="104"/>
      <c r="J166" s="156">
        <f>J165+J142*J$26</f>
        <v>641.45903887467637</v>
      </c>
      <c r="K166" s="156">
        <f t="shared" ref="K166:N166" si="25">K165+K142*K$26</f>
        <v>1450.6423234647859</v>
      </c>
      <c r="L166" s="156">
        <f t="shared" si="25"/>
        <v>2100.6439351558847</v>
      </c>
      <c r="M166" s="156">
        <f t="shared" si="25"/>
        <v>2643.9233381836912</v>
      </c>
      <c r="N166" s="365">
        <f t="shared" si="25"/>
        <v>3077.9688156923576</v>
      </c>
      <c r="O166" s="131"/>
      <c r="P166" s="136"/>
      <c r="Q166" s="104"/>
      <c r="R166" s="147" t="s">
        <v>242</v>
      </c>
      <c r="T166" s="157"/>
      <c r="U166" s="157"/>
      <c r="V166" s="157"/>
      <c r="W166" s="157"/>
      <c r="X166" s="157"/>
    </row>
    <row r="167" spans="1:24" s="37" customFormat="1">
      <c r="A167" s="109"/>
      <c r="B167" s="109"/>
      <c r="C167" s="104"/>
      <c r="D167" s="104" t="s">
        <v>57</v>
      </c>
      <c r="E167" s="132" t="s">
        <v>401</v>
      </c>
      <c r="F167" s="104"/>
      <c r="G167" s="104"/>
      <c r="H167" s="104"/>
      <c r="I167" s="104"/>
      <c r="J167" s="156">
        <f>(J166+J165)/2</f>
        <v>320.72951943733818</v>
      </c>
      <c r="K167" s="156">
        <f t="shared" ref="K167" si="26">(K166+K165)/2</f>
        <v>1046.0506811697312</v>
      </c>
      <c r="L167" s="156">
        <f t="shared" ref="L167" si="27">(L166+L165)/2</f>
        <v>1775.6431293103353</v>
      </c>
      <c r="M167" s="156">
        <f t="shared" ref="M167" si="28">(M166+M165)/2</f>
        <v>2372.2836366697879</v>
      </c>
      <c r="N167" s="365">
        <f t="shared" ref="N167" si="29">(N166+N165)/2</f>
        <v>2860.9460769380244</v>
      </c>
      <c r="O167" s="131"/>
      <c r="P167" s="136"/>
      <c r="Q167" s="104"/>
      <c r="R167" s="147" t="s">
        <v>242</v>
      </c>
      <c r="T167" s="157"/>
      <c r="U167" s="157"/>
      <c r="V167" s="157"/>
      <c r="W167" s="157"/>
      <c r="X167" s="157"/>
    </row>
    <row r="168" spans="1:24" s="37" customFormat="1">
      <c r="A168" s="109"/>
      <c r="B168" s="109"/>
      <c r="C168" s="104"/>
      <c r="D168" s="104"/>
      <c r="E168" s="132"/>
      <c r="F168" s="104"/>
      <c r="G168" s="104"/>
      <c r="H168" s="104"/>
      <c r="I168" s="104"/>
      <c r="J168" s="156"/>
      <c r="K168" s="156"/>
      <c r="L168" s="156"/>
      <c r="M168" s="156"/>
      <c r="N168" s="365"/>
      <c r="O168" s="131"/>
      <c r="P168" s="136"/>
      <c r="Q168" s="104"/>
      <c r="R168" s="160"/>
      <c r="T168" s="157"/>
      <c r="U168" s="157"/>
      <c r="V168" s="157"/>
      <c r="W168" s="157"/>
      <c r="X168" s="157"/>
    </row>
    <row r="169" spans="1:24" ht="12.75" customHeight="1">
      <c r="A169" s="59"/>
      <c r="B169" s="452"/>
      <c r="C169" s="453"/>
      <c r="D169" s="481"/>
      <c r="E169" s="483" t="s">
        <v>403</v>
      </c>
      <c r="F169" s="440"/>
      <c r="G169" s="440"/>
      <c r="H169" s="440"/>
      <c r="I169" s="440"/>
      <c r="J169" s="440"/>
      <c r="K169" s="440"/>
      <c r="L169" s="440"/>
      <c r="M169" s="440"/>
      <c r="N169" s="446"/>
      <c r="O169" s="440"/>
      <c r="P169" s="475"/>
      <c r="Q169" s="476"/>
      <c r="R169" s="477"/>
    </row>
    <row r="170" spans="1:24" s="37" customFormat="1">
      <c r="A170" s="109"/>
      <c r="B170" s="109"/>
      <c r="C170" s="104"/>
      <c r="D170" s="104"/>
      <c r="E170" s="132"/>
      <c r="F170" s="104"/>
      <c r="G170" s="104"/>
      <c r="H170" s="104"/>
      <c r="I170" s="104"/>
      <c r="J170" s="106"/>
      <c r="K170" s="106"/>
      <c r="L170" s="106"/>
      <c r="M170" s="106"/>
      <c r="N170" s="364"/>
      <c r="O170" s="361"/>
      <c r="P170" s="136"/>
      <c r="Q170" s="104"/>
      <c r="R170" s="160"/>
      <c r="T170" s="157"/>
      <c r="U170" s="157"/>
      <c r="V170" s="157"/>
      <c r="W170" s="157"/>
      <c r="X170" s="157"/>
    </row>
    <row r="171" spans="1:24" s="37" customFormat="1">
      <c r="A171" s="109"/>
      <c r="B171" s="109"/>
      <c r="C171" s="104"/>
      <c r="D171" s="104" t="s">
        <v>57</v>
      </c>
      <c r="E171" s="132" t="s">
        <v>396</v>
      </c>
      <c r="F171" s="104"/>
      <c r="G171" s="104"/>
      <c r="H171" s="104"/>
      <c r="I171" s="104"/>
      <c r="J171" s="360">
        <f>I172</f>
        <v>0</v>
      </c>
      <c r="K171" s="360">
        <f t="shared" ref="K171:N171" si="30">J172</f>
        <v>297.52272336921601</v>
      </c>
      <c r="L171" s="360">
        <f t="shared" si="30"/>
        <v>589.94276736400877</v>
      </c>
      <c r="M171" s="360">
        <f t="shared" si="30"/>
        <v>825.08854254893663</v>
      </c>
      <c r="N171" s="363">
        <f t="shared" si="30"/>
        <v>1071.7581011071688</v>
      </c>
      <c r="O171" s="131"/>
      <c r="P171" s="136"/>
      <c r="Q171" s="104"/>
      <c r="R171" s="147" t="s">
        <v>242</v>
      </c>
      <c r="T171" s="157"/>
      <c r="U171" s="157"/>
      <c r="V171" s="157"/>
      <c r="W171" s="157"/>
      <c r="X171" s="157"/>
    </row>
    <row r="172" spans="1:24" s="37" customFormat="1">
      <c r="A172" s="109"/>
      <c r="B172" s="109"/>
      <c r="C172" s="104"/>
      <c r="D172" s="104" t="s">
        <v>57</v>
      </c>
      <c r="E172" s="132" t="s">
        <v>397</v>
      </c>
      <c r="F172" s="104"/>
      <c r="G172" s="104"/>
      <c r="H172" s="104"/>
      <c r="I172" s="179"/>
      <c r="J172" s="360">
        <f>J171+J139*J$15</f>
        <v>297.52272336921601</v>
      </c>
      <c r="K172" s="360">
        <f t="shared" ref="K172:N172" si="31">K171+K139*K$15</f>
        <v>589.94276736400877</v>
      </c>
      <c r="L172" s="360">
        <f t="shared" si="31"/>
        <v>825.08854254893663</v>
      </c>
      <c r="M172" s="360">
        <f t="shared" si="31"/>
        <v>1071.7581011071688</v>
      </c>
      <c r="N172" s="363">
        <f t="shared" si="31"/>
        <v>1332.83869239555</v>
      </c>
      <c r="O172" s="131"/>
      <c r="P172" s="136"/>
      <c r="Q172" s="104"/>
      <c r="R172" s="147" t="s">
        <v>242</v>
      </c>
      <c r="T172" s="157"/>
      <c r="U172" s="157"/>
      <c r="V172" s="157"/>
      <c r="W172" s="157"/>
      <c r="X172" s="157"/>
    </row>
    <row r="173" spans="1:24" s="37" customFormat="1">
      <c r="A173" s="109"/>
      <c r="B173" s="109"/>
      <c r="C173" s="104"/>
      <c r="D173" s="104" t="s">
        <v>57</v>
      </c>
      <c r="E173" s="132" t="s">
        <v>400</v>
      </c>
      <c r="F173" s="104"/>
      <c r="G173" s="104"/>
      <c r="H173" s="104"/>
      <c r="I173" s="104"/>
      <c r="J173" s="360">
        <f>(J172+J171)/2</f>
        <v>148.761361684608</v>
      </c>
      <c r="K173" s="360">
        <f t="shared" ref="K173" si="32">(K172+K171)/2</f>
        <v>443.73274536661239</v>
      </c>
      <c r="L173" s="360">
        <f t="shared" ref="L173" si="33">(L172+L171)/2</f>
        <v>707.51565495647264</v>
      </c>
      <c r="M173" s="360">
        <f t="shared" ref="M173" si="34">(M172+M171)/2</f>
        <v>948.42332182805274</v>
      </c>
      <c r="N173" s="363">
        <f t="shared" ref="N173" si="35">(N172+N171)/2</f>
        <v>1202.2983967513594</v>
      </c>
      <c r="O173" s="131"/>
      <c r="P173" s="136"/>
      <c r="Q173" s="104"/>
      <c r="R173" s="147" t="s">
        <v>242</v>
      </c>
      <c r="T173" s="157"/>
      <c r="U173" s="157"/>
      <c r="V173" s="157"/>
      <c r="W173" s="157"/>
      <c r="X173" s="157"/>
    </row>
    <row r="174" spans="1:24" s="37" customFormat="1">
      <c r="A174" s="109"/>
      <c r="B174" s="109"/>
      <c r="C174" s="104"/>
      <c r="D174" s="104"/>
      <c r="E174" s="132"/>
      <c r="F174" s="104"/>
      <c r="G174" s="104"/>
      <c r="H174" s="104"/>
      <c r="I174" s="104"/>
      <c r="J174" s="360"/>
      <c r="K174" s="360"/>
      <c r="L174" s="360"/>
      <c r="M174" s="360"/>
      <c r="N174" s="363"/>
      <c r="O174" s="131"/>
      <c r="P174" s="136"/>
      <c r="Q174" s="104"/>
      <c r="R174" s="160"/>
      <c r="T174" s="157"/>
      <c r="U174" s="157"/>
      <c r="V174" s="157"/>
      <c r="W174" s="157"/>
      <c r="X174" s="157"/>
    </row>
    <row r="175" spans="1:24" s="37" customFormat="1">
      <c r="A175" s="109"/>
      <c r="B175" s="109"/>
      <c r="C175" s="104"/>
      <c r="D175" s="104" t="s">
        <v>57</v>
      </c>
      <c r="E175" s="132" t="s">
        <v>398</v>
      </c>
      <c r="F175" s="104"/>
      <c r="G175" s="104"/>
      <c r="H175" s="104"/>
      <c r="I175" s="104"/>
      <c r="J175" s="360">
        <f>I176</f>
        <v>0</v>
      </c>
      <c r="K175" s="360">
        <f t="shared" ref="K175:N175" si="36">J176</f>
        <v>516.38523078811454</v>
      </c>
      <c r="L175" s="360">
        <f t="shared" si="36"/>
        <v>1102.0057204545592</v>
      </c>
      <c r="M175" s="360">
        <f t="shared" si="36"/>
        <v>1594.8984748153221</v>
      </c>
      <c r="N175" s="363">
        <f t="shared" si="36"/>
        <v>2093.4042911386287</v>
      </c>
      <c r="O175" s="131"/>
      <c r="P175" s="136"/>
      <c r="Q175" s="104"/>
      <c r="R175" s="147" t="s">
        <v>242</v>
      </c>
      <c r="T175" s="157"/>
      <c r="U175" s="157"/>
      <c r="V175" s="157"/>
      <c r="W175" s="157"/>
      <c r="X175" s="157"/>
    </row>
    <row r="176" spans="1:24" s="37" customFormat="1">
      <c r="A176" s="109"/>
      <c r="B176" s="109"/>
      <c r="C176" s="104"/>
      <c r="D176" s="104" t="s">
        <v>57</v>
      </c>
      <c r="E176" s="132" t="s">
        <v>399</v>
      </c>
      <c r="F176" s="104"/>
      <c r="G176" s="104"/>
      <c r="H176" s="104"/>
      <c r="I176" s="104"/>
      <c r="J176" s="360">
        <f>J175+J143*J$15</f>
        <v>516.38523078811454</v>
      </c>
      <c r="K176" s="360">
        <f t="shared" ref="K176:N176" si="37">K175+K143*K$15</f>
        <v>1102.0057204545592</v>
      </c>
      <c r="L176" s="360">
        <f t="shared" si="37"/>
        <v>1594.8984748153221</v>
      </c>
      <c r="M176" s="360">
        <f t="shared" si="37"/>
        <v>2093.4042911386287</v>
      </c>
      <c r="N176" s="363">
        <f t="shared" si="37"/>
        <v>2570.8349387911549</v>
      </c>
      <c r="O176" s="131"/>
      <c r="P176" s="136"/>
      <c r="Q176" s="104"/>
      <c r="R176" s="147" t="s">
        <v>242</v>
      </c>
      <c r="T176" s="157"/>
      <c r="U176" s="157"/>
      <c r="V176" s="157"/>
      <c r="W176" s="157"/>
      <c r="X176" s="157"/>
    </row>
    <row r="177" spans="1:24" s="37" customFormat="1">
      <c r="A177" s="109"/>
      <c r="B177" s="109"/>
      <c r="C177" s="104"/>
      <c r="D177" s="104" t="s">
        <v>57</v>
      </c>
      <c r="E177" s="132" t="s">
        <v>401</v>
      </c>
      <c r="F177" s="104"/>
      <c r="G177" s="104"/>
      <c r="H177" s="104"/>
      <c r="I177" s="104"/>
      <c r="J177" s="360">
        <f>(J176+J175)/2</f>
        <v>258.19261539405727</v>
      </c>
      <c r="K177" s="360">
        <f t="shared" ref="K177" si="38">(K176+K175)/2</f>
        <v>809.19547562133687</v>
      </c>
      <c r="L177" s="360">
        <f t="shared" ref="L177" si="39">(L176+L175)/2</f>
        <v>1348.4520976349406</v>
      </c>
      <c r="M177" s="360">
        <f t="shared" ref="M177" si="40">(M176+M175)/2</f>
        <v>1844.1513829769754</v>
      </c>
      <c r="N177" s="363">
        <f t="shared" ref="N177" si="41">(N176+N175)/2</f>
        <v>2332.1196149648918</v>
      </c>
      <c r="O177" s="131"/>
      <c r="P177" s="136"/>
      <c r="Q177" s="104"/>
      <c r="R177" s="147" t="s">
        <v>242</v>
      </c>
      <c r="T177" s="157"/>
      <c r="U177" s="157"/>
      <c r="V177" s="157"/>
      <c r="W177" s="157"/>
      <c r="X177" s="157"/>
    </row>
    <row r="178" spans="1:24" s="37" customFormat="1">
      <c r="A178" s="109"/>
      <c r="B178" s="109"/>
      <c r="C178" s="104"/>
      <c r="D178" s="104"/>
      <c r="E178" s="132"/>
      <c r="F178" s="104"/>
      <c r="G178" s="104"/>
      <c r="H178" s="104"/>
      <c r="I178" s="104"/>
      <c r="J178" s="360"/>
      <c r="K178" s="360"/>
      <c r="L178" s="360"/>
      <c r="M178" s="360"/>
      <c r="N178" s="363"/>
      <c r="O178" s="131"/>
      <c r="P178" s="136"/>
      <c r="Q178" s="104"/>
      <c r="R178" s="160"/>
      <c r="T178" s="157"/>
      <c r="U178" s="157"/>
      <c r="V178" s="157"/>
      <c r="W178" s="157"/>
      <c r="X178" s="157"/>
    </row>
    <row r="179" spans="1:24" ht="12.75" customHeight="1">
      <c r="A179" s="479"/>
      <c r="B179" s="452"/>
      <c r="C179" s="453"/>
      <c r="D179" s="481"/>
      <c r="E179" s="483" t="s">
        <v>404</v>
      </c>
      <c r="F179" s="440"/>
      <c r="G179" s="440"/>
      <c r="H179" s="440"/>
      <c r="I179" s="440"/>
      <c r="J179" s="440"/>
      <c r="K179" s="440"/>
      <c r="L179" s="440"/>
      <c r="M179" s="440"/>
      <c r="N179" s="446"/>
      <c r="O179" s="440"/>
      <c r="P179" s="475"/>
      <c r="Q179" s="476"/>
      <c r="R179" s="477"/>
    </row>
    <row r="180" spans="1:24" s="37" customFormat="1">
      <c r="A180" s="109"/>
      <c r="B180" s="109"/>
      <c r="C180" s="104"/>
      <c r="D180" s="104"/>
      <c r="E180" s="132"/>
      <c r="F180" s="104"/>
      <c r="G180" s="104"/>
      <c r="H180" s="104"/>
      <c r="I180" s="104"/>
      <c r="J180" s="106"/>
      <c r="K180" s="106"/>
      <c r="L180" s="106"/>
      <c r="M180" s="106"/>
      <c r="N180" s="364"/>
      <c r="O180" s="131"/>
      <c r="P180" s="136"/>
      <c r="Q180" s="104"/>
      <c r="R180" s="160"/>
      <c r="T180" s="157"/>
      <c r="U180" s="157"/>
      <c r="V180" s="157"/>
      <c r="W180" s="157"/>
      <c r="X180" s="157"/>
    </row>
    <row r="181" spans="1:24" s="37" customFormat="1">
      <c r="C181" s="131"/>
      <c r="D181" s="153" t="s">
        <v>57</v>
      </c>
      <c r="E181" s="154" t="s">
        <v>246</v>
      </c>
      <c r="F181" s="155"/>
      <c r="G181" s="148"/>
      <c r="H181" s="148"/>
      <c r="I181" s="148"/>
      <c r="J181" s="156">
        <f>(J$139*J$15)-(J$138*J$26)</f>
        <v>54.534855908319827</v>
      </c>
      <c r="K181" s="156">
        <f>(K$139*K$15)-(K$138*K$26)</f>
        <v>-66.06355316308543</v>
      </c>
      <c r="L181" s="156">
        <f>(L$139*L$15)-(L$138*L$26)</f>
        <v>-92.984422522179727</v>
      </c>
      <c r="M181" s="156">
        <f>(M$139*M$15)-(M$138*M$26)</f>
        <v>-62.513503403375836</v>
      </c>
      <c r="N181" s="365">
        <f>(N$139*N$15)-(N$138*N$26)</f>
        <v>16.084983044592491</v>
      </c>
      <c r="O181" s="157"/>
      <c r="P181" s="158"/>
      <c r="Q181" s="148"/>
      <c r="R181" s="147" t="s">
        <v>242</v>
      </c>
    </row>
    <row r="182" spans="1:24" s="37" customFormat="1">
      <c r="C182" s="131"/>
      <c r="D182" s="153" t="s">
        <v>57</v>
      </c>
      <c r="E182" s="154" t="s">
        <v>247</v>
      </c>
      <c r="F182" s="155"/>
      <c r="G182" s="148"/>
      <c r="H182" s="148"/>
      <c r="I182" s="148"/>
      <c r="J182" s="156">
        <f>(J$143*J$15)-(J$142*J$26)</f>
        <v>-125.07380808656183</v>
      </c>
      <c r="K182" s="156">
        <f>(K$143*K$15)-(K$142*K$26)</f>
        <v>-223.56279492366468</v>
      </c>
      <c r="L182" s="156">
        <f>(L$143*L$15)-(L$142*L$26)</f>
        <v>-157.10885733033592</v>
      </c>
      <c r="M182" s="156">
        <f>(M$143*M$15)-(M$142*M$26)</f>
        <v>-44.773586704500076</v>
      </c>
      <c r="N182" s="365">
        <f>(N$143*N$15)-(N$142*N$26)</f>
        <v>43.385170143860023</v>
      </c>
      <c r="O182" s="157"/>
      <c r="P182" s="158"/>
      <c r="Q182" s="148"/>
      <c r="R182" s="147" t="s">
        <v>242</v>
      </c>
    </row>
    <row r="183" spans="1:24" s="37" customFormat="1">
      <c r="C183" s="131"/>
      <c r="D183" s="153"/>
      <c r="E183" s="154"/>
      <c r="F183" s="155"/>
      <c r="G183" s="148"/>
      <c r="H183" s="148"/>
      <c r="I183" s="148"/>
      <c r="J183" s="156"/>
      <c r="K183" s="156"/>
      <c r="L183" s="156"/>
      <c r="M183" s="156"/>
      <c r="N183" s="365"/>
      <c r="O183" s="157"/>
      <c r="P183" s="158"/>
      <c r="Q183" s="148"/>
      <c r="R183" s="147"/>
    </row>
    <row r="184" spans="1:24" s="37" customFormat="1">
      <c r="C184" s="131"/>
      <c r="D184" s="153" t="s">
        <v>57</v>
      </c>
      <c r="E184" s="154" t="s">
        <v>248</v>
      </c>
      <c r="F184" s="155"/>
      <c r="G184" s="148"/>
      <c r="H184" s="148"/>
      <c r="I184" s="148"/>
      <c r="J184" s="156">
        <f>(J173-J163)*'Input FD'!$O$59</f>
        <v>1.3906388256621556</v>
      </c>
      <c r="K184" s="156">
        <f>(K173-K163)*'Input FD'!$O$59</f>
        <v>1.0966570456656342</v>
      </c>
      <c r="L184" s="156">
        <f>(L173-L163)*'Input FD'!$O$59</f>
        <v>-2.9590663343086345</v>
      </c>
      <c r="M184" s="156">
        <f>(M173-M163)*'Input FD'!$O$59</f>
        <v>-6.924263445410296</v>
      </c>
      <c r="N184" s="365">
        <f>(N173-N163)*'Input FD'!$O$59</f>
        <v>-8.1081907145592655</v>
      </c>
      <c r="O184" s="157"/>
      <c r="P184" s="158"/>
      <c r="Q184" s="148"/>
      <c r="R184" s="147" t="s">
        <v>242</v>
      </c>
    </row>
    <row r="185" spans="1:24" s="37" customFormat="1">
      <c r="C185" s="131"/>
      <c r="D185" s="153" t="s">
        <v>57</v>
      </c>
      <c r="E185" s="154" t="s">
        <v>249</v>
      </c>
      <c r="F185" s="155"/>
      <c r="G185" s="148"/>
      <c r="H185" s="148"/>
      <c r="I185" s="148"/>
      <c r="J185" s="156">
        <f>(J177-J167)*'Input FD'!$O$59</f>
        <v>-3.1893821062073262</v>
      </c>
      <c r="K185" s="156">
        <f>(K177-K167)*'Input FD'!$O$59</f>
        <v>-12.07961548296811</v>
      </c>
      <c r="L185" s="156">
        <f>(L177-L167)*'Input FD'!$O$59</f>
        <v>-21.786742615445128</v>
      </c>
      <c r="M185" s="156">
        <f>(M177-M167)*'Input FD'!$O$59</f>
        <v>-26.934744938333441</v>
      </c>
      <c r="N185" s="365">
        <f>(N177-N167)*'Input FD'!$O$59</f>
        <v>-26.970149560629761</v>
      </c>
      <c r="O185" s="157"/>
      <c r="P185" s="158"/>
      <c r="Q185" s="148"/>
      <c r="R185" s="147" t="s">
        <v>242</v>
      </c>
    </row>
    <row r="186" spans="1:24" s="37" customFormat="1">
      <c r="C186" s="131"/>
      <c r="D186" s="153"/>
      <c r="E186" s="154"/>
      <c r="F186" s="155"/>
      <c r="G186" s="148"/>
      <c r="H186" s="148"/>
      <c r="I186" s="148"/>
      <c r="J186" s="156"/>
      <c r="K186" s="156"/>
      <c r="L186" s="156"/>
      <c r="M186" s="156"/>
      <c r="N186" s="365"/>
      <c r="O186" s="157"/>
      <c r="P186" s="158"/>
      <c r="Q186" s="148"/>
      <c r="R186" s="147"/>
    </row>
    <row r="187" spans="1:24" s="37" customFormat="1">
      <c r="C187" s="131"/>
      <c r="D187" s="153" t="s">
        <v>57</v>
      </c>
      <c r="E187" s="154" t="s">
        <v>244</v>
      </c>
      <c r="F187" s="155"/>
      <c r="G187" s="148"/>
      <c r="H187" s="148"/>
      <c r="I187" s="148"/>
      <c r="J187" s="156">
        <f>$P$130*J63/SUM($J$63:$N$63)</f>
        <v>0.42717129387941338</v>
      </c>
      <c r="K187" s="156">
        <f>$P$130*K63/SUM($J$63:$N$63)</f>
        <v>0.62093096836910233</v>
      </c>
      <c r="L187" s="156">
        <f>$P$130*L63/SUM($J$63:$N$63)</f>
        <v>0.56455939883525652</v>
      </c>
      <c r="M187" s="156">
        <f>$P$130*M63/SUM($J$63:$N$63)</f>
        <v>0.53163629864654927</v>
      </c>
      <c r="N187" s="365">
        <f>$P$130*N63/SUM($J$63:$N$63)</f>
        <v>0.4201782779131612</v>
      </c>
      <c r="O187" s="157"/>
      <c r="P187" s="158"/>
      <c r="Q187" s="148"/>
      <c r="R187" s="147" t="s">
        <v>242</v>
      </c>
    </row>
    <row r="188" spans="1:24" s="37" customFormat="1">
      <c r="C188" s="131"/>
      <c r="D188" s="153" t="s">
        <v>57</v>
      </c>
      <c r="E188" s="154" t="s">
        <v>245</v>
      </c>
      <c r="F188" s="155"/>
      <c r="G188" s="148"/>
      <c r="H188" s="148"/>
      <c r="I188" s="148"/>
      <c r="J188" s="156">
        <f>IF(SUM($J$74:$N$74)=0,0,$P$131*J74/SUM($J$74:$N$74))</f>
        <v>6.874864273443789</v>
      </c>
      <c r="K188" s="156">
        <f>IF(SUM($J$74:$N$74)=0,0,$P$131*K74/SUM($J$74:$N$74))</f>
        <v>8.4847791468976581</v>
      </c>
      <c r="L188" s="156">
        <f>IF(SUM($J$74:$N$74)=0,0,$P$131*L74/SUM($J$74:$N$74))</f>
        <v>6.6626686422819237</v>
      </c>
      <c r="M188" s="156">
        <f>IF(SUM($J$74:$N$74)=0,0,$P$131*M74/SUM($J$74:$N$74))</f>
        <v>5.7549963568641678</v>
      </c>
      <c r="N188" s="365">
        <f>IF(SUM($J$74:$N$74)=0,0,$P$131*N74/SUM($J$74:$N$74))</f>
        <v>3.9578415290627289</v>
      </c>
      <c r="O188" s="157"/>
      <c r="P188" s="158"/>
      <c r="Q188" s="148"/>
      <c r="R188" s="147" t="s">
        <v>242</v>
      </c>
    </row>
    <row r="189" spans="1:24" s="37" customFormat="1">
      <c r="C189" s="131"/>
      <c r="D189" s="153"/>
      <c r="E189" s="154"/>
      <c r="F189" s="155"/>
      <c r="G189" s="148"/>
      <c r="H189" s="148"/>
      <c r="I189" s="148"/>
      <c r="J189" s="156"/>
      <c r="K189" s="156"/>
      <c r="L189" s="156"/>
      <c r="M189" s="156"/>
      <c r="N189" s="365"/>
      <c r="O189" s="157"/>
      <c r="P189" s="158"/>
      <c r="Q189" s="148"/>
      <c r="R189" s="147"/>
    </row>
    <row r="190" spans="1:24" s="37" customFormat="1">
      <c r="C190" s="131"/>
      <c r="D190" s="153" t="s">
        <v>57</v>
      </c>
      <c r="E190" s="154" t="s">
        <v>405</v>
      </c>
      <c r="F190" s="155"/>
      <c r="G190" s="148"/>
      <c r="H190" s="148"/>
      <c r="I190" s="148"/>
      <c r="J190" s="156">
        <f>J187+J184</f>
        <v>1.817810119541569</v>
      </c>
      <c r="K190" s="156">
        <f t="shared" ref="K190:N190" si="42">K187+K184</f>
        <v>1.7175880140347366</v>
      </c>
      <c r="L190" s="156">
        <f t="shared" si="42"/>
        <v>-2.3945069354733781</v>
      </c>
      <c r="M190" s="156">
        <f t="shared" si="42"/>
        <v>-6.392627146763747</v>
      </c>
      <c r="N190" s="365">
        <f t="shared" si="42"/>
        <v>-7.6880124366461047</v>
      </c>
      <c r="O190" s="157"/>
      <c r="P190" s="158"/>
      <c r="Q190" s="148"/>
      <c r="R190" s="147" t="s">
        <v>242</v>
      </c>
    </row>
    <row r="191" spans="1:24" s="37" customFormat="1">
      <c r="C191" s="131"/>
      <c r="D191" s="153" t="s">
        <v>57</v>
      </c>
      <c r="E191" s="154" t="s">
        <v>406</v>
      </c>
      <c r="F191" s="155"/>
      <c r="G191" s="148"/>
      <c r="H191" s="148"/>
      <c r="I191" s="148"/>
      <c r="J191" s="156">
        <f>J188+J185</f>
        <v>3.6854821672364628</v>
      </c>
      <c r="K191" s="156">
        <f t="shared" ref="K191:N191" si="43">K188+K185</f>
        <v>-3.5948363360704523</v>
      </c>
      <c r="L191" s="156">
        <f t="shared" si="43"/>
        <v>-15.124073973163204</v>
      </c>
      <c r="M191" s="156">
        <f t="shared" si="43"/>
        <v>-21.179748581469273</v>
      </c>
      <c r="N191" s="365">
        <f t="shared" si="43"/>
        <v>-23.012308031567031</v>
      </c>
      <c r="O191" s="157"/>
      <c r="P191" s="158"/>
      <c r="Q191" s="148"/>
      <c r="R191" s="147" t="s">
        <v>242</v>
      </c>
    </row>
    <row r="192" spans="1:24" s="37" customFormat="1" ht="12.75" customHeight="1">
      <c r="A192" s="109"/>
      <c r="B192" s="109"/>
      <c r="C192" s="104"/>
      <c r="D192" s="104"/>
      <c r="E192" s="132"/>
      <c r="F192" s="104"/>
      <c r="G192" s="104"/>
      <c r="H192" s="104"/>
      <c r="I192" s="104"/>
      <c r="J192" s="156"/>
      <c r="K192" s="156"/>
      <c r="L192" s="156"/>
      <c r="M192" s="156"/>
      <c r="N192" s="365"/>
      <c r="O192" s="109"/>
      <c r="P192" s="136"/>
      <c r="Q192" s="104"/>
      <c r="R192" s="160"/>
    </row>
    <row r="193" spans="1:20" s="37" customFormat="1">
      <c r="A193" s="109"/>
      <c r="B193" s="109"/>
      <c r="C193" s="104"/>
      <c r="D193" s="104" t="s">
        <v>57</v>
      </c>
      <c r="E193" s="132" t="s">
        <v>407</v>
      </c>
      <c r="F193" s="104"/>
      <c r="G193" s="104"/>
      <c r="H193" s="104"/>
      <c r="I193" s="104"/>
      <c r="J193" s="156">
        <f>IF('Input FD'!$O$156=0,(J190/(1+'Input FD'!$O$60)^J$6),(J190/(1+'Input FD'!$O$59)^J$6))</f>
        <v>2.2179889638251225</v>
      </c>
      <c r="K193" s="156">
        <f>IF('Input FD'!$O$156=0,(K190/(1+'Input FD'!$O$60)^K$6),(K190/(1+'Input FD'!$O$59)^K$6))</f>
        <v>1.9940091592232141</v>
      </c>
      <c r="L193" s="156">
        <f>IF('Input FD'!$O$156=0,(L190/(1+'Input FD'!$O$60)^L$6),(L190/(1+'Input FD'!$O$59)^L$6))</f>
        <v>-2.6449747554308285</v>
      </c>
      <c r="M193" s="156">
        <f>IF('Input FD'!$O$156=0,(M190/(1+'Input FD'!$O$60)^M$6),(M190/(1+'Input FD'!$O$59)^M$6))</f>
        <v>-6.7186511312486976</v>
      </c>
      <c r="N193" s="664">
        <f>IF('Input FD'!$O$156=0,(N190/(1+'Input FD'!$O$60)^N$6),(N190/(1+'Input FD'!$O$59)^N$6))</f>
        <v>-7.6880124366461047</v>
      </c>
      <c r="O193" s="109"/>
      <c r="P193" s="622">
        <f>SUM(J193:N193)</f>
        <v>-12.839640200277294</v>
      </c>
      <c r="Q193" s="104"/>
      <c r="R193" s="147" t="s">
        <v>242</v>
      </c>
    </row>
    <row r="194" spans="1:20" s="37" customFormat="1">
      <c r="A194" s="109"/>
      <c r="B194" s="109"/>
      <c r="C194" s="104"/>
      <c r="D194" s="104" t="s">
        <v>57</v>
      </c>
      <c r="E194" s="177" t="s">
        <v>408</v>
      </c>
      <c r="F194" s="104"/>
      <c r="G194" s="104"/>
      <c r="H194" s="104"/>
      <c r="I194" s="104"/>
      <c r="J194" s="156">
        <f>IF('Input FD'!$O$156=0,(J191/(1+'Input FD'!$O$60)^J$6),(J191/(1+'Input FD'!$O$59)^J$6))</f>
        <v>4.496816628662101</v>
      </c>
      <c r="K194" s="156">
        <f>IF('Input FD'!$O$156=0,(K191/(1+'Input FD'!$O$60)^K$6),(K191/(1+'Input FD'!$O$59)^K$6))</f>
        <v>-4.1733736620544049</v>
      </c>
      <c r="L194" s="156">
        <f>IF('Input FD'!$O$156=0,(L191/(1+'Input FD'!$O$60)^L$6),(L191/(1+'Input FD'!$O$59)^L$6))</f>
        <v>-16.706067234830048</v>
      </c>
      <c r="M194" s="156">
        <f>IF('Input FD'!$O$156=0,(M191/(1+'Input FD'!$O$60)^M$6),(M191/(1+'Input FD'!$O$59)^M$6))</f>
        <v>-22.259915759124205</v>
      </c>
      <c r="N194" s="664">
        <f>IF('Input FD'!$O$156=0,(N191/(1+'Input FD'!$O$60)^N$6),(N191/(1+'Input FD'!$O$59)^N$6))</f>
        <v>-23.012308031567031</v>
      </c>
      <c r="O194" s="368"/>
      <c r="P194" s="622">
        <f>SUM(J194:N194)</f>
        <v>-61.654848058913586</v>
      </c>
      <c r="Q194" s="104"/>
      <c r="R194" s="147" t="s">
        <v>242</v>
      </c>
    </row>
    <row r="195" spans="1:20" s="37" customFormat="1">
      <c r="A195" s="109"/>
      <c r="B195" s="109"/>
      <c r="C195" s="131"/>
      <c r="D195" s="104"/>
      <c r="E195" s="177"/>
      <c r="F195" s="104"/>
      <c r="G195" s="104"/>
      <c r="H195" s="104"/>
      <c r="I195" s="104"/>
      <c r="J195" s="156"/>
      <c r="K195" s="156"/>
      <c r="L195" s="156"/>
      <c r="M195" s="156"/>
      <c r="N195" s="383"/>
      <c r="O195" s="384"/>
      <c r="P195" s="150"/>
      <c r="Q195" s="104"/>
      <c r="R195" s="147"/>
    </row>
    <row r="196" spans="1:20" s="37" customFormat="1">
      <c r="A196" s="109"/>
      <c r="B196" s="109"/>
      <c r="C196" s="131"/>
      <c r="D196" s="104" t="s">
        <v>57</v>
      </c>
      <c r="E196" s="132" t="s">
        <v>411</v>
      </c>
      <c r="F196" s="104"/>
      <c r="G196" s="104"/>
      <c r="H196" s="104"/>
      <c r="I196" s="104"/>
      <c r="J196" s="156">
        <f>J193*$L$13/$G$13</f>
        <v>2.6016688892521</v>
      </c>
      <c r="K196" s="156">
        <f t="shared" ref="K196:N197" si="44">K193*$L$13/$G$13</f>
        <v>2.3389438266131077</v>
      </c>
      <c r="L196" s="156">
        <f t="shared" si="44"/>
        <v>-3.102517030650171</v>
      </c>
      <c r="M196" s="156">
        <f t="shared" si="44"/>
        <v>-7.8808803429584389</v>
      </c>
      <c r="N196" s="365">
        <f t="shared" si="44"/>
        <v>-9.0179270964949829</v>
      </c>
      <c r="O196" s="109"/>
      <c r="P196" s="622">
        <f>P193*$L$13/$G$13</f>
        <v>-15.060711754238387</v>
      </c>
      <c r="Q196" s="104"/>
      <c r="R196" s="160" t="s">
        <v>413</v>
      </c>
    </row>
    <row r="197" spans="1:20" s="37" customFormat="1">
      <c r="A197" s="109"/>
      <c r="B197" s="109"/>
      <c r="C197" s="131"/>
      <c r="D197" s="104" t="s">
        <v>57</v>
      </c>
      <c r="E197" s="177" t="s">
        <v>412</v>
      </c>
      <c r="F197" s="104"/>
      <c r="G197" s="104"/>
      <c r="H197" s="131"/>
      <c r="I197" s="131"/>
      <c r="J197" s="156">
        <f>J194*$L$13/$G$13</f>
        <v>5.2747006925072011</v>
      </c>
      <c r="K197" s="156">
        <f t="shared" si="44"/>
        <v>-4.895306783251935</v>
      </c>
      <c r="L197" s="156">
        <f t="shared" si="44"/>
        <v>-19.595974594776248</v>
      </c>
      <c r="M197" s="156">
        <f t="shared" si="44"/>
        <v>-26.1105583717648</v>
      </c>
      <c r="N197" s="365">
        <f t="shared" si="44"/>
        <v>-26.993103596134333</v>
      </c>
      <c r="O197" s="368"/>
      <c r="P197" s="622">
        <f>P194*$L$13/$G$13</f>
        <v>-72.320242653420109</v>
      </c>
      <c r="Q197" s="131"/>
      <c r="R197" s="147" t="s">
        <v>413</v>
      </c>
    </row>
    <row r="198" spans="1:20" s="37" customFormat="1">
      <c r="C198" s="131"/>
      <c r="D198" s="153"/>
      <c r="E198" s="154"/>
      <c r="F198" s="155"/>
      <c r="G198" s="148"/>
      <c r="H198" s="148"/>
      <c r="I198" s="148"/>
      <c r="J198" s="156"/>
      <c r="K198" s="156"/>
      <c r="L198" s="156"/>
      <c r="M198" s="156"/>
      <c r="N198" s="365"/>
      <c r="O198" s="157"/>
      <c r="P198" s="158"/>
      <c r="Q198" s="148"/>
      <c r="R198" s="147"/>
    </row>
    <row r="199" spans="1:20" ht="12.75" customHeight="1">
      <c r="A199" s="479"/>
      <c r="B199" s="452"/>
      <c r="C199" s="453"/>
      <c r="D199" s="481"/>
      <c r="E199" s="483" t="s">
        <v>604</v>
      </c>
      <c r="F199" s="440"/>
      <c r="G199" s="440"/>
      <c r="H199" s="440"/>
      <c r="I199" s="440"/>
      <c r="J199" s="440"/>
      <c r="K199" s="440"/>
      <c r="L199" s="440"/>
      <c r="M199" s="440"/>
      <c r="N199" s="446"/>
      <c r="O199" s="440"/>
      <c r="P199" s="475"/>
      <c r="Q199" s="476"/>
      <c r="R199" s="477"/>
    </row>
    <row r="200" spans="1:20" s="37" customFormat="1">
      <c r="A200" s="109"/>
      <c r="B200" s="109"/>
      <c r="C200" s="104"/>
      <c r="D200" s="104"/>
      <c r="E200" s="132"/>
      <c r="F200" s="104"/>
      <c r="G200" s="104"/>
      <c r="H200" s="104"/>
      <c r="I200" s="104"/>
      <c r="J200" s="156"/>
      <c r="K200" s="156"/>
      <c r="L200" s="156"/>
      <c r="M200" s="156"/>
      <c r="N200" s="365"/>
      <c r="O200" s="109"/>
      <c r="P200" s="530"/>
      <c r="Q200" s="104"/>
      <c r="R200" s="147"/>
      <c r="S200" s="658"/>
    </row>
    <row r="201" spans="1:20" s="37" customFormat="1">
      <c r="A201" s="109"/>
      <c r="B201" s="109"/>
      <c r="C201" s="104" t="s">
        <v>591</v>
      </c>
      <c r="D201" s="104" t="s">
        <v>57</v>
      </c>
      <c r="E201" s="132" t="str">
        <f>Calc!E149</f>
        <v>Water: Ex post RCV adjustment</v>
      </c>
      <c r="G201" s="104"/>
      <c r="H201" s="104"/>
      <c r="I201" s="104"/>
      <c r="J201" s="156"/>
      <c r="K201" s="156"/>
      <c r="L201" s="156"/>
      <c r="M201" s="156"/>
      <c r="N201" s="365"/>
      <c r="O201" s="109"/>
      <c r="P201" s="622">
        <f>P149*$L$13/$G$13</f>
        <v>-75.654688006328144</v>
      </c>
      <c r="Q201" s="104"/>
      <c r="R201" s="147" t="s">
        <v>413</v>
      </c>
      <c r="S201" s="659"/>
      <c r="T201" s="659"/>
    </row>
    <row r="202" spans="1:20" s="37" customFormat="1">
      <c r="A202" s="109"/>
      <c r="B202" s="109"/>
      <c r="C202" s="104" t="s">
        <v>592</v>
      </c>
      <c r="D202" s="104" t="s">
        <v>57</v>
      </c>
      <c r="E202" s="132" t="str">
        <f>Calc!E124</f>
        <v>Water: Total reward/(penalty)</v>
      </c>
      <c r="G202" s="104"/>
      <c r="H202" s="104"/>
      <c r="I202" s="104"/>
      <c r="J202" s="156"/>
      <c r="K202" s="156"/>
      <c r="L202" s="156"/>
      <c r="M202" s="156"/>
      <c r="N202" s="365"/>
      <c r="O202" s="109"/>
      <c r="P202" s="622">
        <f>P124*$L$13/$G$13</f>
        <v>-41.934287993156367</v>
      </c>
      <c r="Q202" s="104"/>
      <c r="R202" s="147" t="s">
        <v>413</v>
      </c>
      <c r="S202" s="659"/>
    </row>
    <row r="203" spans="1:20" s="37" customFormat="1">
      <c r="A203" s="109"/>
      <c r="B203" s="109"/>
      <c r="C203" s="104" t="s">
        <v>593</v>
      </c>
      <c r="D203" s="104" t="s">
        <v>57</v>
      </c>
      <c r="E203" s="132" t="str">
        <f>Calc!E127</f>
        <v>Water: Additional income (applied at FD)</v>
      </c>
      <c r="G203" s="104"/>
      <c r="H203" s="104"/>
      <c r="I203" s="104"/>
      <c r="J203" s="156"/>
      <c r="K203" s="156"/>
      <c r="L203" s="156"/>
      <c r="M203" s="156"/>
      <c r="N203" s="365"/>
      <c r="O203" s="109"/>
      <c r="P203" s="622">
        <f>SUM(J127:N127)*$L$13/$G$13</f>
        <v>-44.942381429832892</v>
      </c>
      <c r="Q203" s="104"/>
      <c r="R203" s="147" t="s">
        <v>413</v>
      </c>
      <c r="S203" s="659"/>
    </row>
    <row r="204" spans="1:20" s="37" customFormat="1">
      <c r="A204" s="109"/>
      <c r="B204" s="109"/>
      <c r="C204" s="104" t="s">
        <v>594</v>
      </c>
      <c r="D204" s="104" t="s">
        <v>57</v>
      </c>
      <c r="E204" s="132" t="str">
        <f>Calc!E187</f>
        <v>Water: Ex post reward/penalty</v>
      </c>
      <c r="G204" s="104"/>
      <c r="H204" s="104"/>
      <c r="I204" s="104"/>
      <c r="J204" s="156"/>
      <c r="K204" s="156"/>
      <c r="L204" s="156"/>
      <c r="M204" s="156"/>
      <c r="N204" s="365"/>
      <c r="O204" s="109"/>
      <c r="P204" s="622">
        <f>SUM(J187:N187)*$L$13/$G$13</f>
        <v>3.0080934366765284</v>
      </c>
      <c r="Q204" s="104"/>
      <c r="R204" s="147" t="s">
        <v>413</v>
      </c>
      <c r="S204" s="659"/>
    </row>
    <row r="205" spans="1:20" s="37" customFormat="1">
      <c r="A205" s="109"/>
      <c r="B205" s="109"/>
      <c r="C205" s="104" t="s">
        <v>595</v>
      </c>
      <c r="D205" s="104" t="s">
        <v>57</v>
      </c>
      <c r="E205" s="132" t="str">
        <f>Calc!E184</f>
        <v>Water: Ex post financing cost of under/(overfunded) capex</v>
      </c>
      <c r="G205" s="104"/>
      <c r="H205" s="104"/>
      <c r="I205" s="104"/>
      <c r="J205" s="156"/>
      <c r="K205" s="156"/>
      <c r="L205" s="156"/>
      <c r="M205" s="156"/>
      <c r="N205" s="365"/>
      <c r="O205" s="662"/>
      <c r="P205" s="622">
        <f>SUM(J184:N184)*$L$13/$G$13</f>
        <v>-18.186230640184018</v>
      </c>
      <c r="Q205" s="104"/>
      <c r="R205" s="147" t="s">
        <v>413</v>
      </c>
      <c r="S205" s="659"/>
    </row>
    <row r="206" spans="1:20" s="37" customFormat="1">
      <c r="A206" s="109"/>
      <c r="B206" s="109"/>
      <c r="C206" s="104" t="s">
        <v>596</v>
      </c>
      <c r="D206" s="104" t="s">
        <v>57</v>
      </c>
      <c r="E206" s="132" t="str">
        <f>Calc!E190</f>
        <v>Water: Ex post total revenue adjustment</v>
      </c>
      <c r="G206" s="104"/>
      <c r="H206" s="104"/>
      <c r="I206" s="104"/>
      <c r="J206" s="156"/>
      <c r="K206" s="156"/>
      <c r="L206" s="156"/>
      <c r="M206" s="156"/>
      <c r="N206" s="365"/>
      <c r="O206" s="109"/>
      <c r="P206" s="622">
        <f>SUM(J190:N190)*$L$13/$G$13</f>
        <v>-15.178137203507491</v>
      </c>
      <c r="Q206" s="104"/>
      <c r="R206" s="147" t="s">
        <v>413</v>
      </c>
      <c r="S206" s="659"/>
      <c r="T206" s="659"/>
    </row>
    <row r="207" spans="1:20" s="37" customFormat="1">
      <c r="A207" s="109"/>
      <c r="B207" s="109"/>
      <c r="C207" s="104" t="s">
        <v>597</v>
      </c>
      <c r="D207" s="104" t="s">
        <v>57</v>
      </c>
      <c r="E207" s="132" t="str">
        <f>Calc!E196</f>
        <v>Water: Future value of ex post revenue adjustment of prior year annual adjustments (2012-13 prices)</v>
      </c>
      <c r="G207" s="104"/>
      <c r="H207" s="104"/>
      <c r="I207" s="104"/>
      <c r="J207" s="156"/>
      <c r="K207" s="156"/>
      <c r="L207" s="156"/>
      <c r="M207" s="156"/>
      <c r="N207" s="365"/>
      <c r="O207" s="109"/>
      <c r="P207" s="622">
        <f>P196</f>
        <v>-15.060711754238387</v>
      </c>
      <c r="Q207" s="104"/>
      <c r="R207" s="147" t="s">
        <v>413</v>
      </c>
      <c r="S207" s="659"/>
    </row>
    <row r="208" spans="1:20" s="37" customFormat="1">
      <c r="A208" s="109"/>
      <c r="B208" s="109"/>
      <c r="C208" s="104"/>
      <c r="D208" s="104"/>
      <c r="E208" s="132"/>
      <c r="G208" s="104"/>
      <c r="H208" s="104"/>
      <c r="I208" s="104"/>
      <c r="J208" s="156"/>
      <c r="K208" s="156"/>
      <c r="L208" s="156"/>
      <c r="M208" s="156"/>
      <c r="N208" s="365"/>
      <c r="O208" s="109"/>
      <c r="P208" s="622"/>
      <c r="Q208" s="104"/>
      <c r="R208" s="147"/>
      <c r="S208" s="659"/>
    </row>
    <row r="209" spans="1:20" s="37" customFormat="1">
      <c r="A209" s="109"/>
      <c r="B209" s="109"/>
      <c r="C209" s="104" t="s">
        <v>598</v>
      </c>
      <c r="D209" s="104" t="s">
        <v>57</v>
      </c>
      <c r="E209" s="132" t="str">
        <f>Calc!E153</f>
        <v>Sewerage: Ex post RCV adjustment</v>
      </c>
      <c r="G209" s="104"/>
      <c r="H209" s="104"/>
      <c r="I209" s="104"/>
      <c r="J209" s="156"/>
      <c r="K209" s="156"/>
      <c r="L209" s="156"/>
      <c r="M209" s="156"/>
      <c r="N209" s="365"/>
      <c r="O209" s="109"/>
      <c r="P209" s="622">
        <f>P153*$L$13/$G$13</f>
        <v>-388.85931890932437</v>
      </c>
      <c r="Q209" s="104"/>
      <c r="R209" s="147" t="s">
        <v>413</v>
      </c>
      <c r="S209" s="659"/>
      <c r="T209" s="659"/>
    </row>
    <row r="210" spans="1:20" s="37" customFormat="1">
      <c r="A210" s="109"/>
      <c r="B210" s="109"/>
      <c r="C210" s="104" t="s">
        <v>599</v>
      </c>
      <c r="D210" s="104" t="s">
        <v>57</v>
      </c>
      <c r="E210" s="132" t="str">
        <f>Calc!E125</f>
        <v>Sewerage: Total reward/(penalty)</v>
      </c>
      <c r="G210" s="104"/>
      <c r="H210" s="104"/>
      <c r="I210" s="104"/>
      <c r="J210" s="156"/>
      <c r="K210" s="156"/>
      <c r="L210" s="156"/>
      <c r="M210" s="156"/>
      <c r="N210" s="365"/>
      <c r="O210" s="109"/>
      <c r="P210" s="622">
        <f>P125*$L$13/$G$13</f>
        <v>12.729212647767104</v>
      </c>
      <c r="Q210" s="104"/>
      <c r="R210" s="147" t="s">
        <v>413</v>
      </c>
      <c r="S210" s="659"/>
    </row>
    <row r="211" spans="1:20" s="37" customFormat="1">
      <c r="A211" s="109"/>
      <c r="B211" s="109"/>
      <c r="C211" s="104" t="s">
        <v>600</v>
      </c>
      <c r="D211" s="104" t="s">
        <v>57</v>
      </c>
      <c r="E211" s="132" t="str">
        <f>Calc!E128</f>
        <v>Sewerage: Additional income (applied at FD)</v>
      </c>
      <c r="G211" s="104"/>
      <c r="H211" s="104"/>
      <c r="I211" s="104"/>
      <c r="J211" s="156"/>
      <c r="K211" s="156"/>
      <c r="L211" s="156"/>
      <c r="M211" s="156"/>
      <c r="N211" s="365"/>
      <c r="O211" s="109"/>
      <c r="P211" s="622">
        <f>SUM(J128:N128)*$L$13/$G$13</f>
        <v>-24.495658018182436</v>
      </c>
      <c r="Q211" s="104"/>
      <c r="R211" s="147" t="s">
        <v>413</v>
      </c>
      <c r="S211" s="659"/>
    </row>
    <row r="212" spans="1:20" s="37" customFormat="1">
      <c r="A212" s="109"/>
      <c r="B212" s="109"/>
      <c r="C212" s="104" t="s">
        <v>601</v>
      </c>
      <c r="D212" s="104" t="s">
        <v>57</v>
      </c>
      <c r="E212" s="132" t="str">
        <f>Calc!E188</f>
        <v>Sewerage: Ex post reward/penalty</v>
      </c>
      <c r="G212" s="104"/>
      <c r="H212" s="104"/>
      <c r="I212" s="104"/>
      <c r="J212" s="156"/>
      <c r="K212" s="156"/>
      <c r="L212" s="156"/>
      <c r="M212" s="156"/>
      <c r="N212" s="365"/>
      <c r="O212" s="109"/>
      <c r="P212" s="622">
        <f>SUM(J188:N188)*$L$13/$G$13</f>
        <v>37.224870665949538</v>
      </c>
      <c r="Q212" s="104"/>
      <c r="R212" s="147" t="s">
        <v>413</v>
      </c>
      <c r="S212" s="659"/>
    </row>
    <row r="213" spans="1:20" s="37" customFormat="1">
      <c r="A213" s="109"/>
      <c r="B213" s="109"/>
      <c r="C213" s="104" t="s">
        <v>602</v>
      </c>
      <c r="D213" s="104" t="s">
        <v>57</v>
      </c>
      <c r="E213" s="132" t="str">
        <f>Calc!E185</f>
        <v>Sewerage: Ex post financing cost of under/(overfunded) capex</v>
      </c>
      <c r="G213" s="104"/>
      <c r="H213" s="104"/>
      <c r="I213" s="104"/>
      <c r="J213" s="156"/>
      <c r="K213" s="156"/>
      <c r="L213" s="156"/>
      <c r="M213" s="156"/>
      <c r="N213" s="365"/>
      <c r="O213" s="109"/>
      <c r="P213" s="622">
        <f>SUM(J185:N185)*$L$13/$G$13</f>
        <v>-106.69550539458747</v>
      </c>
      <c r="Q213" s="104"/>
      <c r="R213" s="147" t="s">
        <v>413</v>
      </c>
      <c r="S213" s="659"/>
    </row>
    <row r="214" spans="1:20" s="37" customFormat="1">
      <c r="A214" s="109"/>
      <c r="B214" s="109"/>
      <c r="C214" s="104" t="s">
        <v>603</v>
      </c>
      <c r="D214" s="104" t="s">
        <v>57</v>
      </c>
      <c r="E214" s="132" t="str">
        <f>Calc!E191</f>
        <v>Sewerage: Ex post total revenue adjustment</v>
      </c>
      <c r="G214" s="104"/>
      <c r="H214" s="104"/>
      <c r="I214" s="104"/>
      <c r="J214" s="156"/>
      <c r="K214" s="156"/>
      <c r="L214" s="156"/>
      <c r="M214" s="156"/>
      <c r="N214" s="365"/>
      <c r="O214" s="109"/>
      <c r="P214" s="622">
        <f>SUM(J191:N191)*$L$13/$G$13</f>
        <v>-69.470634728637918</v>
      </c>
      <c r="Q214" s="104"/>
      <c r="R214" s="147" t="s">
        <v>413</v>
      </c>
      <c r="S214" s="659"/>
    </row>
    <row r="215" spans="1:20" s="37" customFormat="1">
      <c r="A215" s="109"/>
      <c r="B215" s="109"/>
      <c r="C215" s="104" t="s">
        <v>611</v>
      </c>
      <c r="D215" s="104" t="s">
        <v>57</v>
      </c>
      <c r="E215" s="132" t="str">
        <f>Calc!E197</f>
        <v>Sewerage: Future value of ex post revenue adjustment of prior year annual adjustments (2012-13 prices)</v>
      </c>
      <c r="G215" s="104"/>
      <c r="H215" s="104"/>
      <c r="I215" s="104"/>
      <c r="J215" s="156"/>
      <c r="K215" s="156"/>
      <c r="L215" s="156"/>
      <c r="M215" s="156"/>
      <c r="N215" s="365"/>
      <c r="O215" s="109"/>
      <c r="P215" s="622">
        <f>P197</f>
        <v>-72.320242653420109</v>
      </c>
      <c r="Q215" s="104"/>
      <c r="R215" s="147" t="s">
        <v>413</v>
      </c>
      <c r="S215" s="659"/>
    </row>
    <row r="216" spans="1:20" s="37" customFormat="1" ht="13.2" customHeight="1">
      <c r="A216" s="109"/>
      <c r="B216" s="109"/>
      <c r="C216" s="104"/>
      <c r="D216" s="104"/>
      <c r="E216" s="132"/>
      <c r="G216" s="104"/>
      <c r="H216" s="104"/>
      <c r="I216" s="104"/>
      <c r="J216" s="156"/>
      <c r="K216" s="156"/>
      <c r="L216" s="156"/>
      <c r="M216" s="156"/>
      <c r="N216" s="704"/>
      <c r="O216" s="109"/>
      <c r="P216" s="622"/>
      <c r="Q216" s="104"/>
      <c r="R216" s="147"/>
      <c r="S216" s="659"/>
    </row>
    <row r="217" spans="1:20" s="37" customFormat="1">
      <c r="A217" s="109"/>
      <c r="B217" s="109"/>
      <c r="C217" s="104"/>
      <c r="D217" s="104" t="s">
        <v>57</v>
      </c>
      <c r="E217" s="132" t="s">
        <v>826</v>
      </c>
      <c r="G217" s="104"/>
      <c r="H217" s="104"/>
      <c r="I217" s="104"/>
      <c r="J217" s="156">
        <f xml:space="preserve"> J57 * J$32</f>
        <v>242.98786746089615</v>
      </c>
      <c r="K217" s="156">
        <f t="shared" ref="K217:N217" si="45" xml:space="preserve"> K57 * K$32</f>
        <v>358.48359715787819</v>
      </c>
      <c r="L217" s="156">
        <f t="shared" si="45"/>
        <v>328.1301977071077</v>
      </c>
      <c r="M217" s="156">
        <f t="shared" si="45"/>
        <v>309.18306196160796</v>
      </c>
      <c r="N217" s="704">
        <f t="shared" si="45"/>
        <v>244.99560824378867</v>
      </c>
      <c r="O217" s="109"/>
      <c r="P217" s="622">
        <f>SUM(J217:N217)*$L$13/$G$13</f>
        <v>1740.4528122508409</v>
      </c>
      <c r="Q217" s="104"/>
      <c r="R217" s="147" t="s">
        <v>413</v>
      </c>
      <c r="S217" s="659"/>
    </row>
    <row r="218" spans="1:20" s="37" customFormat="1">
      <c r="A218" s="109"/>
      <c r="B218" s="109"/>
      <c r="C218" s="104"/>
      <c r="D218" s="104" t="s">
        <v>57</v>
      </c>
      <c r="E218" s="132" t="s">
        <v>827</v>
      </c>
      <c r="G218" s="104"/>
      <c r="H218" s="104"/>
      <c r="I218" s="104"/>
      <c r="J218" s="156">
        <f xml:space="preserve"> J68 * J$32</f>
        <v>641.45903887467637</v>
      </c>
      <c r="K218" s="156">
        <f t="shared" ref="K218:N218" si="46" xml:space="preserve"> K68 * K$32</f>
        <v>809.18328459010945</v>
      </c>
      <c r="L218" s="156">
        <f t="shared" si="46"/>
        <v>650.0016116910989</v>
      </c>
      <c r="M218" s="156">
        <f t="shared" si="46"/>
        <v>543.27940302780667</v>
      </c>
      <c r="N218" s="704">
        <f t="shared" si="46"/>
        <v>434.04547750866635</v>
      </c>
      <c r="O218" s="109"/>
      <c r="P218" s="622">
        <f>SUM(J218:N218)*$L$13/$G$13</f>
        <v>3610.4127840495048</v>
      </c>
      <c r="Q218" s="104"/>
      <c r="R218" s="147" t="s">
        <v>413</v>
      </c>
      <c r="S218" s="659"/>
    </row>
    <row r="219" spans="1:20" s="37" customFormat="1" ht="13.2" customHeight="1">
      <c r="A219" s="209"/>
      <c r="B219" s="209"/>
      <c r="C219" s="599"/>
      <c r="D219" s="209"/>
      <c r="E219" s="210"/>
      <c r="F219" s="209"/>
      <c r="G219" s="209"/>
      <c r="H219" s="209"/>
      <c r="I219" s="209"/>
      <c r="J219" s="211"/>
      <c r="K219" s="211"/>
      <c r="L219" s="211"/>
      <c r="M219" s="211"/>
      <c r="N219" s="212"/>
      <c r="O219" s="109"/>
      <c r="P219" s="188"/>
      <c r="Q219" s="131"/>
      <c r="R219" s="147"/>
    </row>
    <row r="220" spans="1:20" ht="13.2" customHeight="1">
      <c r="E220" s="149"/>
    </row>
  </sheetData>
  <phoneticPr fontId="12" type="noConversion"/>
  <pageMargins left="0.70866141732283472" right="0.70866141732283472" top="0.74803149606299213" bottom="0.74803149606299213" header="0.31496062992125984" footer="0.31496062992125984"/>
  <pageSetup paperSize="9" scale="47" fitToHeight="0" orientation="landscape" r:id="rId1"/>
  <headerFooter>
    <oddFooter>&amp;LPL14L012 CIS v3.5
Ofwat, February 2016</oddFooter>
  </headerFooter>
  <rowBreaks count="2" manualBreakCount="2">
    <brk id="72" max="36" man="1"/>
    <brk id="133" max="3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e4c319f-f868-4ceb-8801-8cf7367b8c3d"/>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PublishingExpirationDate xmlns="http://schemas.microsoft.com/sharepoint/v3" xsi:nil="true"/>
    <ce9941ced6574acb8cdb7a3424c8a8b0 xmlns="3e4c319f-f868-4ceb-8801-8cf7367b8c3d">
      <Terms xmlns="http://schemas.microsoft.com/office/infopath/2007/PartnerControls"/>
    </ce9941ced6574acb8cdb7a3424c8a8b0>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4F51172C3A4BD47A1A9529415872F16" ma:contentTypeVersion="1" ma:contentTypeDescription="Create a new document." ma:contentTypeScope="" ma:versionID="32fb654694a8b50ad77b709abb91d112">
  <xsd:schema xmlns:xsd="http://www.w3.org/2001/XMLSchema" xmlns:xs="http://www.w3.org/2001/XMLSchema" xmlns:p="http://schemas.microsoft.com/office/2006/metadata/properties" xmlns:ns1="http://schemas.microsoft.com/sharepoint/v3" xmlns:ns2="3e4c319f-f868-4ceb-8801-8cf7367b8c3d" targetNamespace="http://schemas.microsoft.com/office/2006/metadata/properties" ma:root="true" ma:fieldsID="e6e92e02edd5ff6af040f66aaed2a98f" ns1:_="" ns2:_="">
    <xsd:import namespace="http://schemas.microsoft.com/sharepoint/v3"/>
    <xsd:import namespace="3e4c319f-f868-4ceb-8801-8cf7367b8c3d"/>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6" nillable="true" ma:displayName="Scheduling Start Date" ma:description="" ma:hidden="true" ma:internalName="PublishingStartDate">
      <xsd:simpleType>
        <xsd:restriction base="dms:Unknown"/>
      </xsd:simpleType>
    </xsd:element>
    <xsd:element name="PublishingExpirationDate" ma:index="17"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CCBB6C-6B6E-4ED8-B620-E8F0FD2F1446}">
  <ds:schemaRefs>
    <ds:schemaRef ds:uri="http://schemas.openxmlformats.org/package/2006/metadata/core-properties"/>
    <ds:schemaRef ds:uri="http://purl.org/dc/terms/"/>
    <ds:schemaRef ds:uri="http://schemas.microsoft.com/office/2006/documentManagement/types"/>
    <ds:schemaRef ds:uri="http://schemas.microsoft.com/office/2006/metadata/properties"/>
    <ds:schemaRef ds:uri="http://purl.org/dc/elements/1.1/"/>
    <ds:schemaRef ds:uri="http://schemas.microsoft.com/office/infopath/2007/PartnerControls"/>
    <ds:schemaRef ds:uri="3e4c319f-f868-4ceb-8801-8cf7367b8c3d"/>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6C63A1CC-6D53-4E2D-AD3A-8D58567A5E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e4c319f-f868-4ceb-8801-8cf7367b8c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AA22141-E9F0-4E60-9DF2-14096AD9C6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13</vt:i4>
      </vt:variant>
    </vt:vector>
  </HeadingPairs>
  <TitlesOfParts>
    <vt:vector size="43" baseType="lpstr">
      <vt:lpstr>Cover</vt:lpstr>
      <vt:lpstr>Flow chart</vt:lpstr>
      <vt:lpstr>Matrix</vt:lpstr>
      <vt:lpstr>Step 1</vt:lpstr>
      <vt:lpstr>CLEAR_SHEET</vt:lpstr>
      <vt:lpstr>F_Inputs</vt:lpstr>
      <vt:lpstr>F_Inputs FD</vt:lpstr>
      <vt:lpstr>Input FD</vt:lpstr>
      <vt:lpstr>Calc</vt:lpstr>
      <vt:lpstr>Profiling</vt:lpstr>
      <vt:lpstr>Exante outputs</vt:lpstr>
      <vt:lpstr>Rec exante to expost</vt:lpstr>
      <vt:lpstr>Ex post outputs</vt:lpstr>
      <vt:lpstr>Step 2</vt:lpstr>
      <vt:lpstr>Formulae changes in Calc2</vt:lpstr>
      <vt:lpstr>Calc2 FD</vt:lpstr>
      <vt:lpstr>Profiling2 FD</vt:lpstr>
      <vt:lpstr>Exante outputs2 FD</vt:lpstr>
      <vt:lpstr>Rec exante to expost2 FD</vt:lpstr>
      <vt:lpstr>Ex post outputs2 FD</vt:lpstr>
      <vt:lpstr>Step 4</vt:lpstr>
      <vt:lpstr>F_Inputs BYR</vt:lpstr>
      <vt:lpstr>Input BYR</vt:lpstr>
      <vt:lpstr>Calc2 BYR</vt:lpstr>
      <vt:lpstr>Profiling2 BYR</vt:lpstr>
      <vt:lpstr>Exante outputs2 BYR</vt:lpstr>
      <vt:lpstr>Rec exante to expost2 BYR</vt:lpstr>
      <vt:lpstr>Ex post outputs2 BYR</vt:lpstr>
      <vt:lpstr>Outputs comparison</vt:lpstr>
      <vt:lpstr>F_Outputs</vt:lpstr>
      <vt:lpstr>Baseyear</vt:lpstr>
      <vt:lpstr>IDoK_submissions_for_claim_under_RCC4</vt:lpstr>
      <vt:lpstr>Calc!Print_Area</vt:lpstr>
      <vt:lpstr>'Calc2 BYR'!Print_Area</vt:lpstr>
      <vt:lpstr>'Calc2 FD'!Print_Area</vt:lpstr>
      <vt:lpstr>'Flow chart'!Print_Area</vt:lpstr>
      <vt:lpstr>Matrix!Print_Area</vt:lpstr>
      <vt:lpstr>Profiling!Print_Area</vt:lpstr>
      <vt:lpstr>'Profiling2 BYR'!Print_Area</vt:lpstr>
      <vt:lpstr>'Profiling2 FD'!Print_Area</vt:lpstr>
      <vt:lpstr>'Rec exante to expost'!Print_Area</vt:lpstr>
      <vt:lpstr>'Rec exante to expost2 BYR'!Print_Area</vt:lpstr>
      <vt:lpstr>'Rec exante to expost2 FD'!Print_Area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2014-02-17T10:41:49Z</dcterms:created>
  <dcterms:modified xsi:type="dcterms:W3CDTF">2017-12-18T11:40:06Z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0x01010084F51172C3A4BD47A1A9529415872F16</vt:lpwstr>
  </property>
  <property fmtid="{D5CDD505-2E9C-101B-9397-08002B2CF9AE}" pid="3" name="TaxKeyword">
    <vt:lpwstr/>
  </property>
</Properties>
</file>