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firstSheet="23" activeTab="29"/>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Calc!$A$1:$S$220</definedName>
    <definedName name="_xlnm.Print_Area" localSheetId="23">'Calc2 BYR'!$A$1:$S$220</definedName>
    <definedName name="_xlnm.Print_Area" localSheetId="15">'Calc2 FD'!$A$1:$S$220</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N16" i="31" s="1"/>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L23"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177" i="29" l="1"/>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J218" i="29" s="1"/>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217" i="29" s="1"/>
  <c r="J54" i="31"/>
  <c r="M6" i="20"/>
  <c r="N5" i="20"/>
  <c r="U73" i="31" l="1"/>
  <c r="K60" i="32"/>
  <c r="U38"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K218" i="29" s="1"/>
  <c r="U67" i="32"/>
  <c r="J26" i="32"/>
  <c r="J81" i="29"/>
  <c r="J32" i="32" s="1"/>
  <c r="J55" i="32"/>
  <c r="J86" i="29"/>
  <c r="J61" i="32" s="1"/>
  <c r="J18" i="32"/>
  <c r="J60" i="31"/>
  <c r="J138" i="29"/>
  <c r="L6" i="30"/>
  <c r="M5" i="30"/>
  <c r="M26" i="32"/>
  <c r="M55" i="32"/>
  <c r="K55" i="32"/>
  <c r="K86" i="29"/>
  <c r="K61" i="32" s="1"/>
  <c r="K54" i="31"/>
  <c r="K57" i="29"/>
  <c r="K217" i="29" s="1"/>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U62" i="32" s="1"/>
  <c r="M82" i="29"/>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L217" i="29" s="1"/>
  <c r="U55" i="32"/>
  <c r="M85" i="29"/>
  <c r="M60" i="32" s="1"/>
  <c r="M80" i="29"/>
  <c r="M31" i="32" s="1"/>
  <c r="M84" i="29"/>
  <c r="M59" i="32" s="1"/>
  <c r="M79" i="29"/>
  <c r="M30" i="32" s="1"/>
  <c r="N5" i="30"/>
  <c r="M6" i="30"/>
  <c r="L62" i="31"/>
  <c r="L68" i="29"/>
  <c r="L218" i="29" s="1"/>
  <c r="M81" i="29"/>
  <c r="M32" i="32" s="1"/>
  <c r="J162" i="29"/>
  <c r="J140" i="29"/>
  <c r="J181" i="29"/>
  <c r="V8" i="26"/>
  <c r="AX8" i="26" s="1"/>
  <c r="M8" i="26"/>
  <c r="M33" i="32" l="1"/>
  <c r="U33" i="32" s="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U64" i="31" s="1"/>
  <c r="N50" i="29"/>
  <c r="N66" i="31" s="1"/>
  <c r="U66" i="31" s="1"/>
  <c r="M54" i="31"/>
  <c r="M57" i="29"/>
  <c r="M217" i="29" s="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218" i="29" s="1"/>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G120" i="29" s="1"/>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217" i="29" s="1"/>
  <c r="P217" i="29" s="1"/>
  <c r="N62" i="31"/>
  <c r="U62" i="31" s="1"/>
  <c r="N68" i="29"/>
  <c r="N218" i="29" s="1"/>
  <c r="P218" i="29" s="1"/>
  <c r="M47" i="32"/>
  <c r="M68" i="31"/>
  <c r="M142" i="29"/>
  <c r="L165" i="29"/>
  <c r="L166" i="29" s="1"/>
  <c r="K167" i="29"/>
  <c r="K185" i="29" s="1"/>
  <c r="C139" i="21"/>
  <c r="C65" i="21"/>
  <c r="C147" i="21" s="1"/>
  <c r="C141" i="21"/>
  <c r="C95" i="21"/>
  <c r="C149" i="21" s="1"/>
  <c r="P79" i="21"/>
  <c r="E212" i="4"/>
  <c r="E213" i="4"/>
  <c r="E205" i="4"/>
  <c r="E204" i="4"/>
  <c r="L42" i="17" l="1"/>
  <c r="AN15" i="26"/>
  <c r="G63" i="32"/>
  <c r="J5" i="21"/>
  <c r="K5" i="21" s="1"/>
  <c r="AN16" i="26"/>
  <c r="P125" i="29"/>
  <c r="L43" i="17"/>
  <c r="AN11" i="26"/>
  <c r="G117" i="29"/>
  <c r="L38" i="17"/>
  <c r="G34" i="32"/>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E215" i="4"/>
  <c r="E209" i="4"/>
  <c r="E214" i="4"/>
  <c r="E211" i="4"/>
  <c r="E210" i="4"/>
  <c r="E207" i="4"/>
  <c r="E201" i="4"/>
  <c r="E206" i="4"/>
  <c r="E203" i="4"/>
  <c r="E202" i="4"/>
  <c r="J6" i="21" l="1"/>
  <c r="AN12" i="26"/>
  <c r="L39" i="17"/>
  <c r="P124" i="29"/>
  <c r="P210" i="29"/>
  <c r="P131" i="29"/>
  <c r="U66" i="32"/>
  <c r="M163" i="29"/>
  <c r="M184" i="29" s="1"/>
  <c r="N161" i="29"/>
  <c r="N162" i="29" s="1"/>
  <c r="N163" i="29" s="1"/>
  <c r="N184" i="29" s="1"/>
  <c r="N165" i="29"/>
  <c r="N166" i="29" s="1"/>
  <c r="N167" i="29" s="1"/>
  <c r="N185" i="29" s="1"/>
  <c r="M167" i="29"/>
  <c r="M185" i="29" s="1"/>
  <c r="U5" i="30"/>
  <c r="T6" i="30"/>
  <c r="N140" i="29"/>
  <c r="P149" i="29" s="1"/>
  <c r="N181" i="29"/>
  <c r="R127" i="30"/>
  <c r="R51" i="30"/>
  <c r="R35" i="30"/>
  <c r="R98" i="30"/>
  <c r="R68" i="30"/>
  <c r="R110" i="30"/>
  <c r="R86" i="30"/>
  <c r="S62" i="30"/>
  <c r="S80" i="30"/>
  <c r="S20" i="30"/>
  <c r="N182" i="29"/>
  <c r="N144" i="29"/>
  <c r="P153" i="29" s="1"/>
  <c r="L5" i="21"/>
  <c r="K6" i="21"/>
  <c r="P135" i="18"/>
  <c r="P18" i="18"/>
  <c r="P205" i="29" l="1"/>
  <c r="L48" i="17"/>
  <c r="AN21" i="26"/>
  <c r="AH5" i="26"/>
  <c r="N154" i="29"/>
  <c r="F32" i="17"/>
  <c r="P209" i="29"/>
  <c r="O14" i="33"/>
  <c r="AH4" i="26"/>
  <c r="N150" i="29"/>
  <c r="F31" i="17"/>
  <c r="O13" i="33"/>
  <c r="P201" i="29"/>
  <c r="P213" i="29"/>
  <c r="J188" i="29"/>
  <c r="L188" i="29"/>
  <c r="L191" i="29" s="1"/>
  <c r="L194" i="29" s="1"/>
  <c r="L197" i="29" s="1"/>
  <c r="M188" i="29"/>
  <c r="M191" i="29" s="1"/>
  <c r="M194" i="29" s="1"/>
  <c r="M197" i="29" s="1"/>
  <c r="K188" i="29"/>
  <c r="K191" i="29" s="1"/>
  <c r="K194" i="29" s="1"/>
  <c r="K197" i="29" s="1"/>
  <c r="N188" i="29"/>
  <c r="N191" i="29" s="1"/>
  <c r="N194" i="29" s="1"/>
  <c r="N197" i="29" s="1"/>
  <c r="V107" i="30" s="1"/>
  <c r="P130" i="29"/>
  <c r="U37" i="32"/>
  <c r="P202" i="29"/>
  <c r="L52" i="17"/>
  <c r="AN25" i="26"/>
  <c r="S110" i="30"/>
  <c r="S86" i="30"/>
  <c r="S51" i="30"/>
  <c r="S35" i="30"/>
  <c r="S98" i="30"/>
  <c r="S68" i="30"/>
  <c r="S127" i="30"/>
  <c r="V5" i="30"/>
  <c r="V6" i="30" s="1"/>
  <c r="U6"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V95" i="30" l="1"/>
  <c r="U107" i="30"/>
  <c r="U95" i="30"/>
  <c r="U149" i="30" s="1"/>
  <c r="S107" i="30"/>
  <c r="S112" i="30" s="1"/>
  <c r="S95" i="30"/>
  <c r="S149" i="30" s="1"/>
  <c r="AN28" i="26"/>
  <c r="L55" i="17"/>
  <c r="M187" i="29"/>
  <c r="M190" i="29" s="1"/>
  <c r="M193" i="29" s="1"/>
  <c r="M196" i="29" s="1"/>
  <c r="L187" i="29"/>
  <c r="L190" i="29" s="1"/>
  <c r="L193" i="29" s="1"/>
  <c r="L196" i="29" s="1"/>
  <c r="N187" i="29"/>
  <c r="N190" i="29" s="1"/>
  <c r="N193" i="29" s="1"/>
  <c r="N196" i="29" s="1"/>
  <c r="K187" i="29"/>
  <c r="K190" i="29" s="1"/>
  <c r="K193" i="29" s="1"/>
  <c r="K196" i="29" s="1"/>
  <c r="J187" i="29"/>
  <c r="AN24" i="26"/>
  <c r="L51" i="17"/>
  <c r="T107" i="30"/>
  <c r="T95" i="30"/>
  <c r="T149" i="30" s="1"/>
  <c r="L45" i="17"/>
  <c r="AN18" i="26"/>
  <c r="U68" i="32"/>
  <c r="P212" i="29"/>
  <c r="J191" i="29"/>
  <c r="L44" i="17"/>
  <c r="AN17" i="26"/>
  <c r="S37" i="30"/>
  <c r="S36" i="30"/>
  <c r="T127" i="30"/>
  <c r="T98" i="30"/>
  <c r="T68" i="30"/>
  <c r="T110" i="30"/>
  <c r="T86" i="30"/>
  <c r="T51" i="30"/>
  <c r="T35" i="30"/>
  <c r="V80" i="30"/>
  <c r="V62" i="30"/>
  <c r="V20" i="30"/>
  <c r="V149" i="30"/>
  <c r="S100" i="30"/>
  <c r="U62" i="30"/>
  <c r="U80" i="30"/>
  <c r="U20" i="30"/>
  <c r="M6" i="21"/>
  <c r="N5" i="21"/>
  <c r="C94" i="18"/>
  <c r="E98" i="18"/>
  <c r="D98" i="18"/>
  <c r="C64" i="18"/>
  <c r="C47" i="18"/>
  <c r="C31" i="18"/>
  <c r="T94" i="30" l="1"/>
  <c r="T141" i="30" s="1"/>
  <c r="T106" i="30"/>
  <c r="L54" i="17"/>
  <c r="AN27" i="26"/>
  <c r="P204" i="29"/>
  <c r="U39" i="32"/>
  <c r="J190" i="29"/>
  <c r="U94" i="30"/>
  <c r="U141" i="30" s="1"/>
  <c r="U106" i="30"/>
  <c r="J194" i="29"/>
  <c r="P214" i="29"/>
  <c r="S94" i="30"/>
  <c r="S106" i="30"/>
  <c r="S111" i="30" s="1"/>
  <c r="V106" i="30"/>
  <c r="V94" i="30"/>
  <c r="V141" i="30" s="1"/>
  <c r="T37" i="30"/>
  <c r="T36" i="30"/>
  <c r="T100" i="30"/>
  <c r="T99" i="30"/>
  <c r="U110" i="30"/>
  <c r="U98" i="30"/>
  <c r="U68" i="30"/>
  <c r="U127" i="30"/>
  <c r="U51" i="30"/>
  <c r="U35" i="30"/>
  <c r="U86" i="30"/>
  <c r="V127" i="30"/>
  <c r="V51" i="30"/>
  <c r="V35" i="30"/>
  <c r="V86" i="30"/>
  <c r="V110" i="30"/>
  <c r="V68" i="30"/>
  <c r="V98" i="30"/>
  <c r="P21" i="30"/>
  <c r="P45" i="30" s="1"/>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AN29" i="26" l="1"/>
  <c r="L56" i="17"/>
  <c r="J193" i="29"/>
  <c r="P206" i="29"/>
  <c r="P194" i="29"/>
  <c r="J197" i="29"/>
  <c r="S141" i="30"/>
  <c r="S99" i="30"/>
  <c r="L47" i="17"/>
  <c r="AN20" i="26"/>
  <c r="V112" i="30"/>
  <c r="V111" i="30"/>
  <c r="V100" i="30"/>
  <c r="V99" i="30"/>
  <c r="V37" i="30"/>
  <c r="V36" i="30"/>
  <c r="U36" i="30"/>
  <c r="U37" i="30"/>
  <c r="U100" i="30"/>
  <c r="U99" i="30"/>
  <c r="U112" i="30"/>
  <c r="U111" i="30"/>
  <c r="S5" i="21"/>
  <c r="R6" i="21"/>
  <c r="C83" i="18"/>
  <c r="C148" i="18" s="1"/>
  <c r="C140" i="18"/>
  <c r="P78" i="18"/>
  <c r="L49" i="17" l="1"/>
  <c r="AN22" i="26"/>
  <c r="P193" i="29"/>
  <c r="J196" i="29"/>
  <c r="R95" i="30"/>
  <c r="R107" i="30"/>
  <c r="R112" i="30" s="1"/>
  <c r="P114" i="30" s="1"/>
  <c r="P117" i="30" s="1"/>
  <c r="P197" i="29"/>
  <c r="O17" i="33"/>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94" i="30" l="1"/>
  <c r="R106" i="30"/>
  <c r="R111" i="30" s="1"/>
  <c r="P113" i="30" s="1"/>
  <c r="P116" i="30" s="1"/>
  <c r="P14" i="30"/>
  <c r="P215" i="29"/>
  <c r="O20" i="33"/>
  <c r="O16" i="33"/>
  <c r="P196" i="29"/>
  <c r="R100" i="30"/>
  <c r="P102" i="30" s="1"/>
  <c r="R149" i="30"/>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G31" i="20"/>
  <c r="G32" i="20" s="1"/>
  <c r="H31" i="20"/>
  <c r="G29" i="20"/>
  <c r="H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U16" i="22" l="1"/>
  <c r="AN30" i="26"/>
  <c r="L57" i="17"/>
  <c r="O19" i="33"/>
  <c r="P13" i="30"/>
  <c r="P207" i="29"/>
  <c r="P77" i="30"/>
  <c r="R32" i="30"/>
  <c r="P119" i="30"/>
  <c r="P121" i="30" s="1"/>
  <c r="P44" i="30"/>
  <c r="P60" i="30"/>
  <c r="R141" i="30"/>
  <c r="R99" i="30"/>
  <c r="P101" i="30" s="1"/>
  <c r="I29" i="20"/>
  <c r="J29" i="20" s="1"/>
  <c r="K29" i="20" s="1"/>
  <c r="L29" i="20" s="1"/>
  <c r="M29" i="20" s="1"/>
  <c r="N29" i="20" s="1"/>
  <c r="N62" i="20"/>
  <c r="J73" i="20"/>
  <c r="M62" i="20"/>
  <c r="H32" i="20"/>
  <c r="L73" i="20"/>
  <c r="H20" i="20"/>
  <c r="H21" i="20" s="1"/>
  <c r="H18" i="20"/>
  <c r="J74" i="20"/>
  <c r="G99" i="20"/>
  <c r="L13" i="17" s="1"/>
  <c r="L74" i="20"/>
  <c r="K62" i="20"/>
  <c r="I31" i="20"/>
  <c r="H15" i="20"/>
  <c r="N63" i="20"/>
  <c r="N73" i="20"/>
  <c r="K74" i="20"/>
  <c r="M63" i="20"/>
  <c r="I17" i="20"/>
  <c r="G94" i="20"/>
  <c r="L9" i="17" s="1"/>
  <c r="J6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V124" i="30" l="1"/>
  <c r="T124" i="30"/>
  <c r="S124" i="30"/>
  <c r="U124" i="30"/>
  <c r="R124" i="30"/>
  <c r="P59" i="30"/>
  <c r="P43" i="30"/>
  <c r="R31" i="30"/>
  <c r="P118" i="30"/>
  <c r="P120" i="30" s="1"/>
  <c r="P76" i="30"/>
  <c r="R145" i="30"/>
  <c r="R37" i="30"/>
  <c r="P39" i="30" s="1"/>
  <c r="R65" i="30"/>
  <c r="S65" i="30"/>
  <c r="T65" i="30"/>
  <c r="V65" i="30"/>
  <c r="U65" i="30"/>
  <c r="R83" i="30"/>
  <c r="S83" i="30"/>
  <c r="T83" i="30"/>
  <c r="U83" i="30"/>
  <c r="V83" i="30"/>
  <c r="U48" i="30"/>
  <c r="S48" i="30"/>
  <c r="T48" i="30"/>
  <c r="R48" i="30"/>
  <c r="V48" i="30"/>
  <c r="L50" i="17"/>
  <c r="AN23" i="26"/>
  <c r="I32" i="20"/>
  <c r="J31" i="20"/>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S146" i="30" l="1"/>
  <c r="S151" i="30" s="1"/>
  <c r="S157" i="30" s="1"/>
  <c r="S53" i="30"/>
  <c r="V70" i="30"/>
  <c r="V147" i="30"/>
  <c r="R36" i="30"/>
  <c r="P38" i="30" s="1"/>
  <c r="R137" i="30"/>
  <c r="V53" i="30"/>
  <c r="V146" i="30"/>
  <c r="V151" i="30" s="1"/>
  <c r="V157" i="30" s="1"/>
  <c r="U53" i="30"/>
  <c r="U146" i="30"/>
  <c r="U151" i="30" s="1"/>
  <c r="U157" i="30" s="1"/>
  <c r="S88" i="30"/>
  <c r="S148" i="30"/>
  <c r="T70" i="30"/>
  <c r="T147" i="30"/>
  <c r="R47" i="30"/>
  <c r="T47" i="30"/>
  <c r="S47" i="30"/>
  <c r="V47" i="30"/>
  <c r="U47" i="30"/>
  <c r="S129" i="30"/>
  <c r="S150" i="30"/>
  <c r="T88" i="30"/>
  <c r="T148" i="30"/>
  <c r="U129" i="30"/>
  <c r="U150" i="30"/>
  <c r="R146" i="30"/>
  <c r="R151" i="30" s="1"/>
  <c r="R157" i="30" s="1"/>
  <c r="R53" i="30"/>
  <c r="V88" i="30"/>
  <c r="V148" i="30"/>
  <c r="R148" i="30"/>
  <c r="R88" i="30"/>
  <c r="S70" i="30"/>
  <c r="S147" i="30"/>
  <c r="R82" i="30"/>
  <c r="S82" i="30"/>
  <c r="T82" i="30"/>
  <c r="U82" i="30"/>
  <c r="V82" i="30"/>
  <c r="R64" i="30"/>
  <c r="S64" i="30"/>
  <c r="T64" i="30"/>
  <c r="U64" i="30"/>
  <c r="V64" i="30"/>
  <c r="T129" i="30"/>
  <c r="T150" i="30"/>
  <c r="T53" i="30"/>
  <c r="T146" i="30"/>
  <c r="T151" i="30" s="1"/>
  <c r="T157" i="30" s="1"/>
  <c r="U148" i="30"/>
  <c r="U88" i="30"/>
  <c r="U70" i="30"/>
  <c r="U147" i="30"/>
  <c r="R147" i="30"/>
  <c r="R70" i="30"/>
  <c r="S123" i="30"/>
  <c r="T123" i="30"/>
  <c r="U123" i="30"/>
  <c r="V123" i="30"/>
  <c r="R123" i="30"/>
  <c r="R129" i="30"/>
  <c r="R150" i="30"/>
  <c r="V150" i="30"/>
  <c r="V129" i="30"/>
  <c r="K31" i="20"/>
  <c r="J32" i="2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M47" i="20"/>
  <c r="M63" i="22" s="1"/>
  <c r="N48" i="20"/>
  <c r="N64" i="22" s="1"/>
  <c r="N47" i="20"/>
  <c r="N63" i="22" s="1"/>
  <c r="L49" i="20"/>
  <c r="L65" i="22" s="1"/>
  <c r="J47" i="20"/>
  <c r="J63" i="22" s="1"/>
  <c r="J50" i="20"/>
  <c r="J66" i="22" s="1"/>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L56" i="22" s="1"/>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K63" i="22"/>
  <c r="N66" i="22"/>
  <c r="J64" i="22"/>
  <c r="U14" i="26"/>
  <c r="AW14" i="26" s="1"/>
  <c r="G56" i="23"/>
  <c r="J56" i="22"/>
  <c r="L55" i="22"/>
  <c r="J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P131" i="30" l="1"/>
  <c r="P90" i="30"/>
  <c r="P55" i="30"/>
  <c r="P72" i="30"/>
  <c r="G34" i="17"/>
  <c r="AI7" i="26"/>
  <c r="T128" i="30"/>
  <c r="T142" i="30"/>
  <c r="V139" i="30"/>
  <c r="V69" i="30"/>
  <c r="R69" i="30"/>
  <c r="R139" i="30"/>
  <c r="U138" i="30"/>
  <c r="U143" i="30" s="1"/>
  <c r="U156" i="30" s="1"/>
  <c r="U52" i="30"/>
  <c r="R52" i="30"/>
  <c r="R138" i="30"/>
  <c r="R143" i="30" s="1"/>
  <c r="R156" i="30" s="1"/>
  <c r="K34" i="17"/>
  <c r="AM7" i="26"/>
  <c r="R128" i="30"/>
  <c r="R142" i="30"/>
  <c r="S142" i="30"/>
  <c r="S128" i="30"/>
  <c r="U139" i="30"/>
  <c r="U69" i="30"/>
  <c r="V140" i="30"/>
  <c r="V87" i="30"/>
  <c r="R140" i="30"/>
  <c r="R87" i="30"/>
  <c r="V52" i="30"/>
  <c r="V138" i="30"/>
  <c r="V143" i="30" s="1"/>
  <c r="V156" i="30" s="1"/>
  <c r="S140" i="30"/>
  <c r="S87" i="30"/>
  <c r="V142" i="30"/>
  <c r="V128" i="30"/>
  <c r="T69" i="30"/>
  <c r="T139" i="30"/>
  <c r="U87" i="30"/>
  <c r="U140" i="30"/>
  <c r="S52" i="30"/>
  <c r="S138" i="30"/>
  <c r="S143" i="30" s="1"/>
  <c r="S156" i="30" s="1"/>
  <c r="AL7" i="26"/>
  <c r="J34" i="17"/>
  <c r="AK7" i="26"/>
  <c r="I34" i="17"/>
  <c r="U142" i="30"/>
  <c r="U128" i="30"/>
  <c r="S139" i="30"/>
  <c r="S69" i="30"/>
  <c r="T87" i="30"/>
  <c r="T140" i="30"/>
  <c r="T52" i="30"/>
  <c r="T138" i="30"/>
  <c r="T143" i="30" s="1"/>
  <c r="T156" i="30" s="1"/>
  <c r="AJ7" i="26"/>
  <c r="H34" i="17"/>
  <c r="M57" i="20"/>
  <c r="K32" i="20"/>
  <c r="L31" i="20"/>
  <c r="K57" i="20"/>
  <c r="J57" i="20"/>
  <c r="L57" i="20"/>
  <c r="N57" i="20"/>
  <c r="N75" i="20"/>
  <c r="K75" i="20"/>
  <c r="L75" i="20"/>
  <c r="J75" i="20"/>
  <c r="J86" i="20" s="1"/>
  <c r="M75" i="20"/>
  <c r="L68" i="20"/>
  <c r="J85" i="20"/>
  <c r="J60" i="23" s="1"/>
  <c r="J84" i="20"/>
  <c r="J59" i="23" s="1"/>
  <c r="J80" i="20"/>
  <c r="J31" i="23" s="1"/>
  <c r="J79" i="20"/>
  <c r="J30" i="23" s="1"/>
  <c r="J176" i="20"/>
  <c r="J82" i="20"/>
  <c r="J87" i="20"/>
  <c r="J62" i="23" s="1"/>
  <c r="J172" i="20"/>
  <c r="J68" i="20"/>
  <c r="M68" i="20"/>
  <c r="K68" i="20"/>
  <c r="K64" i="20"/>
  <c r="N64" i="20"/>
  <c r="M64" i="20"/>
  <c r="J64" i="20"/>
  <c r="J81" i="20" s="1"/>
  <c r="L64" i="20"/>
  <c r="N68" i="20"/>
  <c r="K14" i="20"/>
  <c r="K15" i="20"/>
  <c r="L1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N142" i="20" l="1"/>
  <c r="J142" i="20"/>
  <c r="J166" i="20" s="1"/>
  <c r="J218" i="20"/>
  <c r="L138" i="20"/>
  <c r="P211" i="20"/>
  <c r="L142" i="20"/>
  <c r="J138" i="20"/>
  <c r="J162" i="20" s="1"/>
  <c r="J217" i="20"/>
  <c r="M138" i="20"/>
  <c r="K142" i="20"/>
  <c r="K144" i="20" s="1"/>
  <c r="K218" i="20"/>
  <c r="K138" i="20"/>
  <c r="K140" i="20" s="1"/>
  <c r="K217" i="20"/>
  <c r="M142" i="20"/>
  <c r="N138" i="20"/>
  <c r="P71" i="30"/>
  <c r="G33" i="17"/>
  <c r="AI6" i="26"/>
  <c r="AJ6" i="26"/>
  <c r="H33" i="17"/>
  <c r="P89" i="30"/>
  <c r="P130" i="30"/>
  <c r="P54" i="30"/>
  <c r="AM6" i="26"/>
  <c r="K33" i="17"/>
  <c r="I33" i="17"/>
  <c r="AK6" i="26"/>
  <c r="J33" i="17"/>
  <c r="AL6" i="26"/>
  <c r="L32" i="20"/>
  <c r="L217" i="20" s="1"/>
  <c r="M31" i="20"/>
  <c r="P203" i="20"/>
  <c r="U19" i="26" s="1"/>
  <c r="AW19" i="26" s="1"/>
  <c r="U26" i="26"/>
  <c r="AW26" i="26" s="1"/>
  <c r="L26" i="17"/>
  <c r="J182" i="20"/>
  <c r="K86" i="20"/>
  <c r="K61" i="23" s="1"/>
  <c r="L14" i="20"/>
  <c r="M13" i="20"/>
  <c r="L15" i="20"/>
  <c r="J144" i="20"/>
  <c r="J33" i="23"/>
  <c r="L20" i="20"/>
  <c r="L21" i="20" s="1"/>
  <c r="L81" i="20" s="1"/>
  <c r="L32" i="23" s="1"/>
  <c r="L18" i="20"/>
  <c r="M17" i="20"/>
  <c r="K84" i="20"/>
  <c r="K59" i="23" s="1"/>
  <c r="K80" i="20"/>
  <c r="K31" i="23" s="1"/>
  <c r="K79" i="20"/>
  <c r="K30" i="23" s="1"/>
  <c r="K85" i="20"/>
  <c r="K60" i="23" s="1"/>
  <c r="K87" i="20"/>
  <c r="K82" i="20"/>
  <c r="K33" i="23" s="1"/>
  <c r="K181" i="20"/>
  <c r="K81" i="20"/>
  <c r="K32" i="23" s="1"/>
  <c r="J167" i="20"/>
  <c r="K165" i="20"/>
  <c r="K171" i="20"/>
  <c r="K172" i="20" s="1"/>
  <c r="J173" i="20"/>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J181" i="20" l="1"/>
  <c r="K182" i="20"/>
  <c r="L218" i="20"/>
  <c r="J184" i="20"/>
  <c r="K166" i="20"/>
  <c r="K161" i="20"/>
  <c r="K162" i="20" s="1"/>
  <c r="J163" i="20"/>
  <c r="J140" i="20"/>
  <c r="M32" i="20"/>
  <c r="N31" i="20"/>
  <c r="N32" i="20" s="1"/>
  <c r="L19" i="17"/>
  <c r="M20" i="20"/>
  <c r="M21" i="20" s="1"/>
  <c r="M18" i="20"/>
  <c r="N17" i="20"/>
  <c r="M14" i="20"/>
  <c r="N13" i="20"/>
  <c r="M15" i="20"/>
  <c r="L171" i="20"/>
  <c r="L172" i="20" s="1"/>
  <c r="K173" i="20"/>
  <c r="K177" i="20"/>
  <c r="L175" i="20"/>
  <c r="L176" i="20" s="1"/>
  <c r="L165" i="20"/>
  <c r="L166" i="20" s="1"/>
  <c r="K167" i="20"/>
  <c r="L79" i="20"/>
  <c r="L30" i="23" s="1"/>
  <c r="L84" i="20"/>
  <c r="L59" i="23" s="1"/>
  <c r="L80" i="20"/>
  <c r="L31" i="23" s="1"/>
  <c r="L85" i="20"/>
  <c r="L60" i="23" s="1"/>
  <c r="J185" i="20"/>
  <c r="K62" i="23"/>
  <c r="L86" i="20"/>
  <c r="L61" i="23" s="1"/>
  <c r="L87" i="20"/>
  <c r="L62" i="23" s="1"/>
  <c r="L82" i="20"/>
  <c r="L33" i="23" s="1"/>
  <c r="L182" i="20"/>
  <c r="L181" i="20"/>
  <c r="L144" i="20"/>
  <c r="L140" i="20"/>
  <c r="U60" i="22"/>
  <c r="U55" i="23"/>
  <c r="U26" i="23"/>
  <c r="U18" i="23"/>
  <c r="U47" i="23"/>
  <c r="U68" i="22"/>
  <c r="M6" i="18"/>
  <c r="N5" i="18"/>
  <c r="R5" i="18" s="1"/>
  <c r="K5" i="4"/>
  <c r="K6" i="4" s="1"/>
  <c r="N218" i="20" l="1"/>
  <c r="N217" i="20"/>
  <c r="K163" i="20"/>
  <c r="K184" i="20" s="1"/>
  <c r="L161" i="20"/>
  <c r="L162" i="20" s="1"/>
  <c r="M218" i="20"/>
  <c r="P218" i="20" s="1"/>
  <c r="M217" i="20"/>
  <c r="P217" i="20" s="1"/>
  <c r="K185" i="20"/>
  <c r="L167" i="20"/>
  <c r="M165" i="20"/>
  <c r="M166" i="20" s="1"/>
  <c r="L173" i="20"/>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L184" i="20" l="1"/>
  <c r="L163" i="20"/>
  <c r="M161" i="20"/>
  <c r="M162" i="20" s="1"/>
  <c r="M60" i="23"/>
  <c r="L185" i="20"/>
  <c r="M173" i="20"/>
  <c r="N171" i="20"/>
  <c r="N172" i="20" s="1"/>
  <c r="N173" i="20" s="1"/>
  <c r="N87" i="20"/>
  <c r="N62" i="23" s="1"/>
  <c r="U62" i="23" s="1"/>
  <c r="N82" i="20"/>
  <c r="N182" i="20"/>
  <c r="N181" i="20"/>
  <c r="N144" i="20"/>
  <c r="P153" i="20" s="1"/>
  <c r="N140" i="20"/>
  <c r="P149" i="20" s="1"/>
  <c r="O4" i="26" s="1"/>
  <c r="AQ4" i="26" s="1"/>
  <c r="N85" i="20"/>
  <c r="N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N161" i="20" l="1"/>
  <c r="N162" i="20" s="1"/>
  <c r="N163" i="20" s="1"/>
  <c r="N184" i="20" s="1"/>
  <c r="M163" i="20"/>
  <c r="M184" i="20" s="1"/>
  <c r="P205" i="20" s="1"/>
  <c r="L21" i="17" s="1"/>
  <c r="U60" i="23"/>
  <c r="G119" i="20"/>
  <c r="F5" i="17"/>
  <c r="N154" i="20"/>
  <c r="P209" i="20"/>
  <c r="O5" i="26"/>
  <c r="AQ5" i="26" s="1"/>
  <c r="O14" i="24"/>
  <c r="G116" i="20"/>
  <c r="G34" i="23" s="1"/>
  <c r="F4" i="17"/>
  <c r="N150" i="20"/>
  <c r="P201" i="20"/>
  <c r="N33" i="23"/>
  <c r="U33" i="23" s="1"/>
  <c r="M185" i="20"/>
  <c r="L15" i="17"/>
  <c r="U15" i="26"/>
  <c r="AW15" i="26" s="1"/>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G63" i="23" l="1"/>
  <c r="G120" i="20"/>
  <c r="U11" i="26"/>
  <c r="AW11" i="26" s="1"/>
  <c r="L24" i="17"/>
  <c r="U24" i="26"/>
  <c r="AW24" i="26" s="1"/>
  <c r="G117" i="20"/>
  <c r="L11" i="17"/>
  <c r="P213" i="20"/>
  <c r="L28" i="17" s="1"/>
  <c r="L17" i="17"/>
  <c r="U17" i="26"/>
  <c r="AW17" i="26" s="1"/>
  <c r="U12" i="26"/>
  <c r="AW12" i="26" s="1"/>
  <c r="S98" i="18"/>
  <c r="S110" i="18"/>
  <c r="S68" i="18"/>
  <c r="S86" i="18"/>
  <c r="S35" i="18"/>
  <c r="S37" i="18" s="1"/>
  <c r="S51" i="18"/>
  <c r="T20" i="18"/>
  <c r="T127" i="18" s="1"/>
  <c r="T62" i="18"/>
  <c r="V5" i="18"/>
  <c r="V6" i="18" s="1"/>
  <c r="V80" i="18" s="1"/>
  <c r="U6" i="18"/>
  <c r="U80" i="18" s="1"/>
  <c r="N25" i="4"/>
  <c r="G29" i="4"/>
  <c r="G31" i="4"/>
  <c r="H28" i="4"/>
  <c r="L16" i="17" l="1"/>
  <c r="U16" i="26"/>
  <c r="AW16" i="26" s="1"/>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N188" i="20" l="1"/>
  <c r="N191" i="20" s="1"/>
  <c r="N194" i="20" s="1"/>
  <c r="N197" i="20" s="1"/>
  <c r="M188" i="20"/>
  <c r="M191" i="20" s="1"/>
  <c r="M194" i="20" s="1"/>
  <c r="M197" i="20" s="1"/>
  <c r="L188" i="20"/>
  <c r="L191" i="20" s="1"/>
  <c r="L194" i="20" s="1"/>
  <c r="L197" i="20" s="1"/>
  <c r="J188" i="20"/>
  <c r="K188" i="20"/>
  <c r="K191" i="20" s="1"/>
  <c r="K194" i="20" s="1"/>
  <c r="K197" i="20" s="1"/>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P212" i="20" l="1"/>
  <c r="J191" i="20"/>
  <c r="U68" i="23"/>
  <c r="S106" i="21"/>
  <c r="S111" i="21" s="1"/>
  <c r="T95" i="21"/>
  <c r="T107" i="21"/>
  <c r="T112" i="21" s="1"/>
  <c r="U95" i="21"/>
  <c r="U107" i="21"/>
  <c r="U112" i="21" s="1"/>
  <c r="S107" i="21"/>
  <c r="S112" i="21" s="1"/>
  <c r="S95" i="21"/>
  <c r="V107" i="21"/>
  <c r="V112" i="21" s="1"/>
  <c r="V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V149" i="21" l="1"/>
  <c r="V100" i="21"/>
  <c r="U149" i="21"/>
  <c r="U100" i="21"/>
  <c r="S100" i="21"/>
  <c r="S149" i="21"/>
  <c r="J194" i="20"/>
  <c r="P214" i="20"/>
  <c r="T100" i="21"/>
  <c r="T149" i="21"/>
  <c r="L27" i="17"/>
  <c r="U27" i="26"/>
  <c r="AW27" i="26" s="1"/>
  <c r="T99" i="21"/>
  <c r="L20" i="17"/>
  <c r="U20" i="26"/>
  <c r="AW20" i="26" s="1"/>
  <c r="J193" i="20"/>
  <c r="P206" i="20"/>
  <c r="V99" i="21"/>
  <c r="V141" i="21"/>
  <c r="M28" i="4"/>
  <c r="L29" i="4"/>
  <c r="L31" i="4"/>
  <c r="L32" i="4" s="1"/>
  <c r="G26" i="4"/>
  <c r="J197" i="20" l="1"/>
  <c r="P194" i="20"/>
  <c r="L29" i="17"/>
  <c r="U29" i="26"/>
  <c r="AW29" i="26" s="1"/>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95" i="21"/>
  <c r="R107" i="21"/>
  <c r="R112" i="21" s="1"/>
  <c r="P114" i="21" s="1"/>
  <c r="P117" i="21" s="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00" i="21" l="1"/>
  <c r="P102" i="21" s="1"/>
  <c r="R149" i="2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82" i="21" l="1"/>
  <c r="S82" i="21"/>
  <c r="T82" i="21"/>
  <c r="V82" i="21"/>
  <c r="U82" i="21"/>
  <c r="R64" i="21"/>
  <c r="S64" i="21"/>
  <c r="T64" i="21"/>
  <c r="U64" i="21"/>
  <c r="V64" i="21"/>
  <c r="L30" i="17"/>
  <c r="U30" i="26"/>
  <c r="AW30" i="26" s="1"/>
  <c r="P44" i="21"/>
  <c r="P77" i="21"/>
  <c r="R32" i="21"/>
  <c r="P60" i="21"/>
  <c r="P119" i="21"/>
  <c r="P121" i="21" s="1"/>
  <c r="S123" i="21"/>
  <c r="V123" i="21"/>
  <c r="T123" i="21"/>
  <c r="U123" i="21"/>
  <c r="R123" i="21"/>
  <c r="R36" i="21"/>
  <c r="P38" i="21" s="1"/>
  <c r="R137" i="21"/>
  <c r="R47" i="21"/>
  <c r="V47" i="21"/>
  <c r="T47" i="21"/>
  <c r="S47" i="21"/>
  <c r="U47" i="21"/>
  <c r="G27" i="11"/>
  <c r="U31" i="8"/>
  <c r="G94" i="4"/>
  <c r="L9" i="26" s="1"/>
  <c r="AD9" i="26" s="1"/>
  <c r="U49" i="8"/>
  <c r="U41" i="8"/>
  <c r="U42" i="8"/>
  <c r="U50" i="8"/>
  <c r="S139" i="21" l="1"/>
  <c r="S69" i="21"/>
  <c r="T140" i="21"/>
  <c r="T87" i="21"/>
  <c r="R65" i="21"/>
  <c r="S65" i="21"/>
  <c r="T65" i="21"/>
  <c r="V65" i="21"/>
  <c r="U65" i="21"/>
  <c r="T69" i="21"/>
  <c r="T139" i="21"/>
  <c r="R83" i="21"/>
  <c r="S83" i="21"/>
  <c r="T83" i="21"/>
  <c r="V83" i="21"/>
  <c r="U83" i="21"/>
  <c r="V139" i="21"/>
  <c r="V69" i="21"/>
  <c r="R69" i="21"/>
  <c r="R139" i="21"/>
  <c r="S140" i="21"/>
  <c r="S87" i="21"/>
  <c r="V140" i="21"/>
  <c r="V87" i="21"/>
  <c r="U69" i="21"/>
  <c r="U139" i="21"/>
  <c r="U140" i="21"/>
  <c r="U87" i="21"/>
  <c r="R87" i="21"/>
  <c r="R140" i="21"/>
  <c r="S124" i="21"/>
  <c r="T124" i="21"/>
  <c r="U124" i="21"/>
  <c r="V124" i="21"/>
  <c r="R124" i="21"/>
  <c r="T48" i="21"/>
  <c r="S48" i="21"/>
  <c r="V48" i="21"/>
  <c r="R48" i="21"/>
  <c r="U48" i="21"/>
  <c r="R37" i="21"/>
  <c r="P39" i="21" s="1"/>
  <c r="R145"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U88" i="21" l="1"/>
  <c r="U148" i="21"/>
  <c r="P71" i="21"/>
  <c r="V88" i="21"/>
  <c r="V148" i="21"/>
  <c r="T147" i="21"/>
  <c r="T70" i="21"/>
  <c r="V70" i="21"/>
  <c r="V147" i="21"/>
  <c r="T88" i="21"/>
  <c r="T148" i="21"/>
  <c r="S70" i="21"/>
  <c r="S147" i="21"/>
  <c r="R88" i="21"/>
  <c r="R148" i="21"/>
  <c r="P89" i="21"/>
  <c r="S88" i="21"/>
  <c r="S148" i="21"/>
  <c r="U147" i="21"/>
  <c r="U70" i="21"/>
  <c r="R147" i="21"/>
  <c r="R70" i="21"/>
  <c r="V150" i="21"/>
  <c r="V129" i="21"/>
  <c r="S53" i="21"/>
  <c r="S146" i="21"/>
  <c r="S151" i="21" s="1"/>
  <c r="S157" i="21" s="1"/>
  <c r="U129" i="21"/>
  <c r="U150" i="21"/>
  <c r="V53" i="21"/>
  <c r="V146" i="21"/>
  <c r="V151" i="21" s="1"/>
  <c r="V157" i="21" s="1"/>
  <c r="U146" i="21"/>
  <c r="U151" i="21" s="1"/>
  <c r="U157" i="21" s="1"/>
  <c r="U53" i="21"/>
  <c r="T146" i="21"/>
  <c r="T151" i="21" s="1"/>
  <c r="T157" i="21" s="1"/>
  <c r="T53" i="21"/>
  <c r="T129" i="21"/>
  <c r="T150" i="21"/>
  <c r="R146" i="21"/>
  <c r="R151" i="21" s="1"/>
  <c r="R157" i="21" s="1"/>
  <c r="R53" i="21"/>
  <c r="R150" i="21"/>
  <c r="R129" i="21"/>
  <c r="S150" i="21"/>
  <c r="S129" i="21"/>
  <c r="T6" i="26"/>
  <c r="AV6" i="26" s="1"/>
  <c r="K6" i="17"/>
  <c r="R6" i="26"/>
  <c r="AT6" i="26" s="1"/>
  <c r="I6" i="17"/>
  <c r="S6" i="26"/>
  <c r="AU6" i="26" s="1"/>
  <c r="J6" i="17"/>
  <c r="P6" i="26"/>
  <c r="AR6" i="26" s="1"/>
  <c r="G6" i="17"/>
  <c r="Q6" i="26"/>
  <c r="AS6" i="26" s="1"/>
  <c r="H6" i="17"/>
  <c r="P54" i="21"/>
  <c r="P130" i="21"/>
  <c r="G32" i="4"/>
  <c r="P55" i="21" l="1"/>
  <c r="P72" i="21"/>
  <c r="P90" i="21"/>
  <c r="K7" i="17"/>
  <c r="T7" i="26"/>
  <c r="AV7" i="26" s="1"/>
  <c r="Q7" i="26"/>
  <c r="AS7" i="26" s="1"/>
  <c r="H7" i="17"/>
  <c r="G7" i="17"/>
  <c r="P7" i="26"/>
  <c r="AR7" i="26" s="1"/>
  <c r="I7" i="17"/>
  <c r="R7" i="26"/>
  <c r="AT7" i="26" s="1"/>
  <c r="P131" i="21"/>
  <c r="S7" i="26"/>
  <c r="AU7" i="26" s="1"/>
  <c r="J7" i="17"/>
  <c r="N152" i="4"/>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N217" i="4" s="1"/>
  <c r="L57" i="4"/>
  <c r="L217" i="4" s="1"/>
  <c r="M57" i="4"/>
  <c r="M217" i="4" s="1"/>
  <c r="J57" i="4"/>
  <c r="J217" i="4" s="1"/>
  <c r="K57" i="4"/>
  <c r="K217" i="4" s="1"/>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P217" i="4" l="1"/>
  <c r="L11" i="26"/>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K218" i="4" s="1"/>
  <c r="M68" i="4"/>
  <c r="M218" i="4" s="1"/>
  <c r="J68" i="4"/>
  <c r="J218" i="4" s="1"/>
  <c r="N68" i="4"/>
  <c r="N218" i="4" s="1"/>
  <c r="L68" i="4"/>
  <c r="L218" i="4" s="1"/>
  <c r="U67" i="8"/>
  <c r="U66" i="8"/>
  <c r="M76" i="8"/>
  <c r="N65" i="8"/>
  <c r="N63" i="8"/>
  <c r="K65" i="8"/>
  <c r="M62" i="8"/>
  <c r="J63" i="8"/>
  <c r="N64" i="8"/>
  <c r="L76" i="8"/>
  <c r="N76" i="8"/>
  <c r="M65" i="8"/>
  <c r="L65" i="8"/>
  <c r="K62" i="8"/>
  <c r="J62" i="8"/>
  <c r="J64" i="8"/>
  <c r="K63" i="8"/>
  <c r="L63" i="8"/>
  <c r="J76" i="8"/>
  <c r="M64" i="8"/>
  <c r="L62" i="8"/>
  <c r="K76" i="8"/>
  <c r="L64" i="8"/>
  <c r="K64" i="8"/>
  <c r="J65" i="8"/>
  <c r="N62" i="8"/>
  <c r="M63" i="8"/>
  <c r="P218" i="4" l="1"/>
  <c r="L25" i="26"/>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<sst xmlns="http://schemas.openxmlformats.org/spreadsheetml/2006/main" count="4998" uniqueCount="829">
  <si>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</si>
  <si>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</si>
  <si>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</si>
  <si>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</si>
  <si>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</si>
  <si>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</si>
  <si>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</si>
  <si>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</si>
  <si>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</si>
  <si>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</si>
  <si>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</si>
  <si>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</si>
  <si>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</si>
  <si>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</si>
  <si>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</si>
  <si>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</si>
  <si>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</si>
  <si>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</si>
  <si>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</si>
  <si>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</si>
  <si>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</si>
  <si>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</si>
  <si>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</si>
  <si>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</si>
  <si>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</si>
  <si>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</si>
  <si>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</si>
  <si>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</si>
  <si>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</si>
  <si>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</si>
  <si>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</si>
  <si>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</si>
  <si>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</si>
  <si>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</si>
  <si>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</si>
  <si>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</si>
  <si>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</si>
  <si>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</si>
  <si>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</si>
  <si>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</si>
  <si>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</si>
  <si>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</si>
  <si>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</si>
  <si>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</si>
  <si>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</si>
  <si>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</si>
  <si>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</si>
  <si>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</si>
  <si>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</si>
  <si>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</si>
  <si>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</si>
  <si>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</si>
  <si>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</si>
  <si>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</si>
  <si>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</si>
  <si>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</si>
  <si>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</si>
  <si>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</si>
  <si>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</si>
  <si>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</si>
  <si>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</si>
  <si>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</si>
  <si>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</si>
  <si>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</si>
  <si>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</si>
  <si>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</si>
  <si>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</si>
  <si>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</si>
  <si>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</si>
  <si>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</si>
  <si>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</si>
  <si>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</si>
  <si>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</si>
  <si>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</si>
  <si>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</si>
  <si>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</si>
  <si>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</si>
  <si>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</si>
  <si>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</si>
  <si>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</si>
  <si>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</si>
  <si>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</si>
  <si>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</si>
  <si>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</si>
  <si>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</si>
  <si>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</si>
  <si>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</si>
  <si>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</si>
  <si>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</si>
  <si>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</si>
  <si>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</si>
  <si>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</si>
  <si>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</si>
  <si>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</si>
  <si>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</si>
  <si>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</si>
  <si>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</si>
  <si>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</si>
  <si>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</si>
  <si>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</si>
  <si>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</si>
  <si>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</si>
  <si>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</si>
  <si>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</si>
  <si>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</si>
  <si>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</si>
  <si>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</si>
  <si>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</si>
  <si>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</si>
  <si>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</si>
  <si>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</si>
  <si>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</si>
  <si>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</si>
  <si>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</si>
  <si>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</si>
  <si>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</si>
  <si>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</si>
  <si>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</si>
  <si>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</si>
  <si>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</si>
  <si>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</si>
  <si>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</si>
  <si>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</si>
  <si>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</si>
  <si>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</si>
  <si>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</si>
  <si>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</si>
  <si>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</si>
  <si>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</si>
  <si>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</si>
  <si>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</si>
  <si>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</si>
  <si>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</si>
  <si>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</si>
  <si>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</si>
  <si>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</si>
  <si>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</si>
  <si>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</si>
  <si>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</si>
  <si>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</si>
  <si>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</si>
  <si>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</si>
  <si>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</si>
  <si>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</si>
  <si>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</si>
  <si>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</si>
  <si>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</si>
  <si>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</si>
  <si>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</si>
  <si>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</si>
  <si>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</si>
  <si>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</si>
  <si>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</si>
  <si>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</si>
  <si>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</si>
  <si>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</si>
  <si>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</si>
  <si>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</si>
  <si>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</si>
  <si>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</si>
  <si>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</si>
  <si>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</si>
  <si>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</si>
  <si>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</si>
  <si>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</si>
  <si>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</si>
  <si>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</si>
  <si>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</si>
  <si>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</si>
  <si>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</si>
  <si>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</si>
  <si>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</si>
  <si>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</si>
  <si>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</si>
  <si>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</si>
  <si>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</si>
  <si>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</si>
  <si>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</si>
  <si>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</si>
  <si>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</si>
  <si>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</si>
  <si>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</si>
  <si>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</si>
  <si>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</si>
  <si>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</si>
  <si>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</si>
  <si>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</si>
  <si>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</si>
  <si>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</si>
  <si>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</si>
  <si>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</si>
  <si>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</si>
  <si>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</si>
  <si>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</si>
  <si>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</si>
  <si>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</si>
  <si>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</si>
  <si>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</si>
  <si>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</si>
  <si>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</si>
  <si>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</si>
  <si>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</si>
  <si>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</si>
  <si>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</si>
  <si>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</si>
  <si>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</si>
  <si>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</si>
  <si>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</si>
  <si>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</si>
  <si>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</si>
  <si>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</si>
  <si>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</si>
  <si>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</si>
  <si>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</si>
  <si>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</si>
  <si>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</si>
  <si>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</si>
  <si>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</si>
  <si>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</si>
  <si>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</si>
  <si>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</si>
  <si>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</si>
  <si>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</si>
  <si>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</si>
  <si>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</si>
  <si>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</si>
  <si>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</si>
  <si>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</si>
  <si>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</si>
  <si>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</si>
  <si>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</si>
  <si>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</si>
  <si>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</si>
  <si>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</si>
  <si>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</si>
  <si>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</si>
  <si>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</si>
  <si>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</si>
  <si>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</si>
  <si>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</si>
  <si>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</si>
  <si>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</si>
  <si>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</si>
  <si>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</si>
  <si>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</si>
  <si>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</si>
  <si>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</si>
  <si>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</si>
  <si>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</si>
  <si>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</si>
  <si>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</si>
  <si>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</si>
  <si>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</si>
  <si>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</si>
  <si>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</si>
  <si>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</si>
  <si>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</si>
  <si>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</si>
  <si>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</si>
  <si>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</si>
  <si>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</si>
  <si>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</si>
  <si>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</si>
  <si>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</si>
  <si>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</si>
  <si>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</si>
  <si>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</si>
  <si>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</si>
  <si>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</si>
  <si>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</si>
  <si>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</si>
  <si>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</si>
  <si>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</si>
  <si>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</si>
  <si>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</si>
  <si>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</si>
  <si>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</si>
  <si>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</si>
  <si>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</si>
  <si>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</si>
  <si>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</si>
  <si>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</si>
  <si>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</si>
  <si>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</si>
  <si>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</si>
  <si>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</si>
  <si>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</si>
  <si>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</si>
  <si>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</si>
  <si>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</si>
  <si>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</si>
  <si>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</si>
  <si>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</si>
  <si>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</si>
  <si>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</si>
  <si>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</si>
  <si>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</si>
  <si>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</si>
  <si>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</si>
  <si>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</si>
  <si>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</si>
  <si>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</si>
  <si>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</si>
  <si>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</si>
  <si>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</si>
  <si>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</si>
  <si>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</si>
  <si>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</si>
  <si>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</si>
  <si>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</si>
  <si>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</si>
  <si>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</si>
  <si>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</si>
  <si>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</si>
  <si>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</si>
  <si>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</si>
  <si>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</si>
  <si>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</si>
  <si>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</si>
  <si>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</si>
  <si>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</si>
  <si>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</si>
  <si>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</si>
  <si>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</si>
  <si>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</si>
  <si>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</si>
  <si>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</si>
  <si>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</si>
  <si>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</si>
  <si>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</si>
  <si>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</si>
  <si>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</si>
  <si>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</si>
  <si>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</si>
  <si>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</si>
  <si>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</si>
  <si>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</si>
  <si>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</si>
  <si>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</si>
  <si>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</si>
  <si>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</si>
  <si>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</si>
  <si>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</si>
  <si>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</si>
  <si>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</si>
  <si>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</si>
  <si>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</si>
  <si>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</si>
  <si>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</si>
  <si>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</si>
  <si>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</si>
  <si>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</si>
  <si>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</si>
  <si>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</si>
  <si>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</si>
  <si>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</si>
  <si>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</si>
  <si>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</si>
  <si>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</si>
  <si>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</si>
  <si>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</si>
  <si>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</si>
  <si>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</si>
  <si>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</si>
  <si>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</si>
  <si>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</si>
  <si>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</si>
  <si>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</si>
  <si>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</si>
  <si>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</si>
  <si>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</si>
  <si>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</si>
  <si>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</si>
  <si>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</si>
  <si>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</si>
  <si>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</si>
  <si>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</si>
  <si>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</si>
  <si>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</si>
  <si>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</si>
  <si>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</si>
  <si>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</si>
  <si>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</si>
  <si>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</si>
  <si>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</si>
  <si>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</si>
  <si>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</si>
  <si>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</si>
  <si>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</si>
  <si>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</si>
  <si>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</si>
  <si>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</si>
  <si>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</si>
  <si>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</si>
  <si>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</si>
  <si>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</si>
  <si>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</si>
  <si>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</si>
  <si>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</si>
  <si>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</si>
  <si>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</si>
  <si>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</si>
  <si>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</si>
  <si>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</si>
  <si>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</si>
  <si>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</si>
  <si>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</si>
  <si>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</si>
  <si>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</si>
  <si>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</si>
  <si>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</si>
  <si>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</si>
  <si>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</si>
  <si>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</si>
  <si>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</si>
  <si>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</si>
  <si>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</si>
  <si>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</si>
  <si>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</si>
  <si>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</si>
  <si>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</si>
  <si>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</si>
  <si>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</si>
  <si>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</si>
  <si>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</si>
  <si>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</si>
  <si>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</si>
  <si>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</si>
  <si>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</si>
  <si>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</si>
  <si>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</si>
  <si>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</si>
  <si>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</si>
  <si>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</si>
  <si>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</si>
  <si>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</si>
  <si>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</si>
  <si>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</si>
  <si>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</si>
  <si>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</si>
  <si>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</si>
  <si>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</si>
  <si>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</si>
  <si>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</si>
  <si>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</si>
  <si>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</si>
  <si>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</si>
  <si>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</si>
  <si>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</si>
  <si>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</si>
  <si>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</si>
  <si>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</si>
  <si>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</si>
  <si>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</si>
  <si>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</si>
  <si>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</si>
  <si>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</si>
  <si>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</si>
  <si>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</si>
  <si>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</si>
  <si>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</si>
  <si>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</si>
  <si>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</si>
  <si>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</si>
  <si>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</si>
  <si>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</si>
  <si>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</si>
  <si>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</si>
  <si>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</si>
  <si>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</si>
  <si>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</si>
  <si>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</si>
  <si>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</si>
  <si>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</si>
  <si>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</si>
  <si>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</si>
  <si>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</si>
  <si>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</si>
  <si>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</si>
  <si>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</si>
  <si>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</si>
  <si>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</si>
  <si>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</si>
  <si>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</si>
  <si>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</si>
  <si>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</si>
  <si>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</si>
  <si>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</si>
  <si>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</si>
  <si>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</si>
  <si>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</si>
  <si>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</si>
  <si>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</si>
  <si>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</si>
  <si>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</si>
  <si>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</si>
  <si>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</si>
  <si>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</si>
  <si>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</si>
  <si>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</si>
  <si>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</si>
  <si>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</si>
  <si>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</si>
  <si>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</si>
  <si>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</si>
  <si>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</si>
  <si>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</si>
  <si>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</si>
  <si>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</si>
  <si>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</si>
  <si>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</si>
  <si>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</si>
  <si>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</si>
  <si>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</si>
  <si>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</si>
  <si>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</si>
  <si>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</si>
  <si>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</si>
  <si>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</si>
  <si>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</si>
  <si>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</si>
  <si>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</si>
  <si>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</si>
  <si>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</si>
  <si>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</si>
  <si>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</si>
  <si>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</si>
  <si>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</si>
  <si>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</si>
  <si>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</si>
  <si>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</si>
  <si>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</si>
  <si>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</si>
  <si>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</si>
  <si>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</si>
  <si>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</si>
  <si>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</si>
  <si>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</si>
  <si>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</si>
  <si>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</si>
  <si>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</si>
  <si>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</si>
  <si>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</si>
  <si>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</si>
  <si>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</si>
  <si>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</si>
  <si>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</si>
  <si>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</si>
  <si>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</si>
  <si>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</si>
  <si>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</si>
  <si>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</si>
  <si>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</si>
  <si>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</si>
  <si>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</si>
  <si>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</si>
  <si>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</si>
  <si>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</si>
  <si>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</si>
  <si>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</si>
  <si>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</si>
  <si>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</si>
  <si>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</si>
  <si>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</si>
  <si>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</si>
  <si>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</si>
  <si>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</si>
  <si>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</si>
  <si>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</si>
  <si>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</si>
  <si>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</si>
  <si>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</si>
  <si>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</si>
  <si>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</si>
  <si>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</si>
  <si>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</si>
  <si>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</si>
  <si>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</si>
  <si>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</si>
  <si>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</si>
  <si>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</si>
  <si>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</si>
  <si>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</si>
  <si>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</si>
  <si>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</si>
  <si>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</si>
  <si>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</si>
  <si>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</si>
  <si>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</si>
  <si>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</si>
  <si>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</si>
  <si>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</si>
  <si>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</si>
  <si>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</si>
  <si>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</si>
  <si>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</si>
  <si>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</si>
  <si>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</si>
  <si>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</si>
  <si>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</si>
  <si>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</si>
  <si>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</si>
  <si>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</si>
  <si>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</si>
  <si>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</si>
  <si>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</si>
  <si>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</si>
  <si>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</si>
  <si>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</si>
  <si>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</si>
  <si>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</si>
  <si>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</si>
  <si>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</si>
  <si>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</si>
  <si>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</si>
  <si>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</si>
  <si>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</si>
  <si>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</si>
  <si>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</si>
  <si>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</si>
  <si>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</si>
  <si>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</si>
  <si>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</si>
  <si>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</si>
  <si>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</si>
  <si>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</si>
  <si>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</si>
  <si>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</si>
  <si>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</si>
  <si>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</si>
  <si>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</si>
  <si>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</si>
  <si>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</si>
  <si>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</si>
  <si>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</si>
  <si>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</si>
  <si>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</si>
  <si>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</si>
  <si>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</si>
  <si>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</si>
  <si>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</si>
  <si>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</si>
  <si>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</si>
  <si>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</si>
  <si>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</si>
  <si>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</si>
  <si>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</si>
  <si>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</si>
  <si>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</si>
  <si>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</si>
  <si>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</si>
  <si>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</si>
  <si>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</si>
  <si>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</si>
  <si>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</si>
  <si>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</si>
  <si>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</si>
  <si>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</si>
  <si>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</si>
  <si>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</si>
  <si>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</si>
  <si>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</si>
  <si>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</si>
  <si>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</si>
  <si>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</si>
  <si>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</si>
  <si>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</si>
  <si>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</si>
  <si>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</si>
  <si>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</si>
  <si>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</si>
  <si>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</si>
  <si>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</si>
  <si>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</si>
  <si>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</si>
  <si>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</si>
  <si>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</si>
  <si>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</si>
  <si>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</si>
  <si>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</si>
  <si>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</si>
  <si>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</si>
  <si>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</si>
  <si>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</si>
  <si>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</si>
  <si>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</si>
  <si>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</si>
  <si>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</si>
  <si>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</si>
  <si>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</si>
  <si>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</si>
  <si>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</si>
  <si>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</si>
  <si>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</si>
  <si>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</si>
  <si>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</si>
  <si>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</si>
  <si>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</si>
  <si>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</si>
  <si>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</si>
  <si>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</si>
  <si>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</si>
  <si>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</si>
  <si>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</si>
  <si>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</si>
  <si>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</si>
  <si>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</si>
  <si>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</si>
  <si>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</si>
  <si>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</si>
  <si>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</si>
  <si>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</si>
  <si>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</si>
  <si>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</si>
  <si>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</si>
  <si>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</si>
  <si>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</si>
  <si>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</si>
  <si>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</si>
  <si>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</si>
  <si>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</si>
  <si>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</si>
  <si>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</si>
  <si>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</si>
  <si>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</si>
  <si>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</si>
  <si>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</si>
  <si>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</si>
  <si>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</si>
  <si>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</si>
  <si>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</si>
  <si>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</si>
  <si>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</si>
  <si>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</si>
  <si>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</si>
  <si>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</si>
  <si>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</si>
  <si>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</si>
  <si>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</si>
  <si>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</si>
  <si>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</si>
  <si>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</si>
  <si>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</si>
  <si>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</si>
  <si>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</si>
  <si>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</si>
  <si>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</si>
  <si>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</si>
  <si>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</si>
  <si>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</si>
  <si>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</si>
  <si>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</si>
  <si>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</si>
  <si>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</si>
  <si>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</si>
  <si>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</si>
  <si>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</si>
  <si>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</si>
  <si>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</si>
  <si>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</si>
  <si>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</si>
  <si>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</si>
  <si>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</si>
  <si>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</si>
  <si>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</si>
  <si>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</si>
  <si>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</si>
  <si>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</si>
  <si>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</si>
  <si>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</si>
  <si>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</si>
  <si>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</si>
  <si>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</si>
  <si>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</si>
  <si>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</si>
  <si>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</si>
  <si>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https://fntlive201/Fountain/rest-services_XLSPF</t>
  </si>
  <si>
    <t>agendaId</t>
  </si>
  <si>
    <t>1_XLSPF</t>
  </si>
  <si>
    <t>inputSheetLastUpdated</t>
  </si>
  <si>
    <t>PL14L012IN_BY</t>
  </si>
  <si>
    <t>NWT Inputs as at FD</t>
  </si>
  <si>
    <t>companyId</t>
  </si>
  <si>
    <t>50_XLSPF</t>
  </si>
  <si>
    <t>companyName</t>
  </si>
  <si>
    <t>United Utilities Water Plc_XLSPF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</si>
  <si>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</si>
  <si>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</si>
  <si>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</si>
  <si>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</si>
  <si>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</si>
  <si>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</si>
  <si>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</si>
  <si>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</si>
  <si>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</si>
  <si>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</si>
  <si>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</si>
  <si>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</si>
  <si>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</si>
  <si>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</si>
  <si>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</si>
  <si>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</si>
  <si>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</si>
  <si>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</si>
  <si>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</si>
  <si>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</si>
  <si>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</si>
  <si>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</si>
  <si>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</si>
  <si>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</si>
  <si>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</si>
  <si>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</si>
  <si>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NWT Blind year update with corrected approach to RCV indexation</t>
  </si>
  <si>
    <t>F_Outputs_TABLE_ID</t>
  </si>
  <si>
    <t>F_Outputs_TEAM</t>
  </si>
  <si>
    <t>F_Outputs_USER</t>
  </si>
  <si>
    <t>F_Outputs_NAME</t>
  </si>
  <si>
    <t>PL14L012_BY_XLSPF</t>
  </si>
  <si>
    <t>F_Outputs_TITLE</t>
  </si>
  <si>
    <t>9365_XLSPF</t>
  </si>
  <si>
    <t>outputSheetLastSent</t>
  </si>
  <si>
    <t>NWT</t>
  </si>
  <si>
    <t>PL14L012_BY</t>
  </si>
  <si>
    <t>29/09/2016 12:11:57_XLSPF</t>
  </si>
  <si>
    <t>13/01/2017 12:34:52_XLSPF</t>
  </si>
  <si>
    <t>OFWAT\Dawn.Harrison_XLSPF</t>
  </si>
  <si>
    <t>XXX_XLSPF</t>
  </si>
  <si>
    <t xml:space="preserve">Water: Allowance capex (gross of adjustment) inflated by FD NI </t>
  </si>
  <si>
    <t xml:space="preserve">Wastewater: Allowance capex (gross of adjustment) inflated by FD NI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</si>
</sst>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40">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3">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66" fontId="40" fillId="22" borderId="39" xfId="25" applyNumberFormat="1" applyFont="1" applyFill="1" applyBorder="1" applyAlignment="1" applyProtection="1">
      <alignment horizontal="right"/>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2007129" y="2144233"/>
          <a:ext cx="8962202" cy="14566834"/>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1" t="s">
        <v>488</v>
      </c>
      <c r="F6" s="732"/>
      <c r="G6" s="732"/>
      <c r="H6" s="732"/>
      <c r="I6" s="732"/>
      <c r="J6" s="732"/>
      <c r="K6" s="732"/>
      <c r="L6" s="732"/>
      <c r="M6" s="732"/>
      <c r="N6" s="733"/>
      <c r="O6" s="535" t="s">
        <v>489</v>
      </c>
    </row>
    <row r="7" spans="1:15" s="531" customFormat="1" ht="12.75" customHeight="1">
      <c r="B7" s="533"/>
      <c r="C7" s="536"/>
      <c r="D7" s="667"/>
      <c r="E7" s="545"/>
      <c r="F7" s="546" t="s">
        <v>410</v>
      </c>
      <c r="G7" s="546" t="s">
        <v>414</v>
      </c>
      <c r="H7" s="727" t="s">
        <v>491</v>
      </c>
      <c r="I7" s="727"/>
      <c r="J7" s="727"/>
      <c r="K7" s="727"/>
      <c r="L7" s="727"/>
      <c r="M7" s="727"/>
      <c r="N7" s="728"/>
      <c r="O7" s="546"/>
    </row>
    <row r="8" spans="1:15" s="531" customFormat="1" ht="45" customHeight="1">
      <c r="B8" s="533"/>
      <c r="C8" s="705" t="s">
        <v>613</v>
      </c>
      <c r="D8" s="707" t="s">
        <v>620</v>
      </c>
      <c r="E8" s="709" t="s">
        <v>616</v>
      </c>
      <c r="F8" s="546" t="s">
        <v>88</v>
      </c>
      <c r="G8" s="546">
        <v>156</v>
      </c>
      <c r="H8" s="727" t="s">
        <v>617</v>
      </c>
      <c r="I8" s="727"/>
      <c r="J8" s="727"/>
      <c r="K8" s="727"/>
      <c r="L8" s="727"/>
      <c r="M8" s="727"/>
      <c r="N8" s="728"/>
      <c r="O8" s="546">
        <v>3.3</v>
      </c>
    </row>
    <row r="9" spans="1:15" s="531" customFormat="1" ht="45" customHeight="1">
      <c r="B9" s="533"/>
      <c r="C9" s="706"/>
      <c r="D9" s="708"/>
      <c r="E9" s="710"/>
      <c r="F9" s="546" t="s">
        <v>614</v>
      </c>
      <c r="G9" s="546" t="s">
        <v>615</v>
      </c>
      <c r="H9" s="727" t="s">
        <v>618</v>
      </c>
      <c r="I9" s="727"/>
      <c r="J9" s="727"/>
      <c r="K9" s="727"/>
      <c r="L9" s="727"/>
      <c r="M9" s="727"/>
      <c r="N9" s="728"/>
      <c r="O9" s="546">
        <v>3.3</v>
      </c>
    </row>
    <row r="10" spans="1:15" s="531" customFormat="1" ht="26.4" customHeight="1">
      <c r="B10" s="533"/>
      <c r="C10" s="674" t="s">
        <v>622</v>
      </c>
      <c r="D10" s="683" t="s">
        <v>619</v>
      </c>
      <c r="E10" s="546" t="s">
        <v>623</v>
      </c>
      <c r="F10" s="546" t="s">
        <v>624</v>
      </c>
      <c r="G10" s="546" t="s">
        <v>698</v>
      </c>
      <c r="H10" s="726" t="s">
        <v>699</v>
      </c>
      <c r="I10" s="727"/>
      <c r="J10" s="727"/>
      <c r="K10" s="727"/>
      <c r="L10" s="727"/>
      <c r="M10" s="727"/>
      <c r="N10" s="728"/>
      <c r="O10" s="546">
        <v>3.4</v>
      </c>
    </row>
    <row r="11" spans="1:15" s="531" customFormat="1" ht="26.4" customHeight="1">
      <c r="B11" s="533"/>
      <c r="C11" s="674" t="s">
        <v>749</v>
      </c>
      <c r="D11" s="683" t="s">
        <v>620</v>
      </c>
      <c r="E11" s="546" t="s">
        <v>748</v>
      </c>
      <c r="F11" s="546" t="s">
        <v>745</v>
      </c>
      <c r="G11" s="546" t="s">
        <v>698</v>
      </c>
      <c r="H11" s="726" t="s">
        <v>750</v>
      </c>
      <c r="I11" s="727"/>
      <c r="J11" s="727"/>
      <c r="K11" s="727"/>
      <c r="L11" s="727"/>
      <c r="M11" s="727"/>
      <c r="N11" s="728"/>
      <c r="O11" s="546">
        <v>3.5</v>
      </c>
    </row>
    <row r="12" spans="1:15" s="531" customFormat="1" ht="40.049999999999997" customHeight="1">
      <c r="B12" s="533"/>
      <c r="C12" s="674" t="s">
        <v>749</v>
      </c>
      <c r="D12" s="683" t="s">
        <v>620</v>
      </c>
      <c r="E12" s="546" t="s">
        <v>756</v>
      </c>
      <c r="F12" s="546" t="s">
        <v>757</v>
      </c>
      <c r="G12" s="546"/>
      <c r="H12" s="726" t="s">
        <v>764</v>
      </c>
      <c r="I12" s="727"/>
      <c r="J12" s="727"/>
      <c r="K12" s="727"/>
      <c r="L12" s="727"/>
      <c r="M12" s="727"/>
      <c r="N12" s="728"/>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3" t="s">
        <v>693</v>
      </c>
      <c r="F17" s="729"/>
      <c r="G17" s="729"/>
      <c r="H17" s="729"/>
      <c r="I17" s="729"/>
      <c r="J17" s="729"/>
      <c r="K17" s="729"/>
      <c r="L17" s="729"/>
      <c r="M17" s="729"/>
      <c r="N17" s="730"/>
    </row>
    <row r="18" spans="1:14" s="531" customFormat="1">
      <c r="B18" s="537"/>
      <c r="C18" s="674" t="s">
        <v>622</v>
      </c>
      <c r="D18" s="668" t="s">
        <v>694</v>
      </c>
      <c r="E18" s="723" t="s">
        <v>695</v>
      </c>
      <c r="F18" s="724"/>
      <c r="G18" s="724"/>
      <c r="H18" s="724"/>
      <c r="I18" s="724"/>
      <c r="J18" s="724"/>
      <c r="K18" s="724"/>
      <c r="L18" s="724"/>
      <c r="M18" s="724"/>
      <c r="N18" s="725"/>
    </row>
    <row r="19" spans="1:14" s="531" customFormat="1">
      <c r="B19" s="537"/>
      <c r="C19" s="674" t="s">
        <v>752</v>
      </c>
      <c r="D19" s="668" t="s">
        <v>751</v>
      </c>
      <c r="E19" s="723" t="s">
        <v>693</v>
      </c>
      <c r="F19" s="729"/>
      <c r="G19" s="729"/>
      <c r="H19" s="729"/>
      <c r="I19" s="729"/>
      <c r="J19" s="729"/>
      <c r="K19" s="729"/>
      <c r="L19" s="729"/>
      <c r="M19" s="729"/>
      <c r="N19" s="730"/>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7" t="s">
        <v>288</v>
      </c>
      <c r="C45" s="718"/>
      <c r="D45" s="719"/>
      <c r="E45" s="750" t="s">
        <v>258</v>
      </c>
      <c r="F45" s="750"/>
      <c r="G45" s="752" t="s">
        <v>289</v>
      </c>
      <c r="H45" s="752"/>
      <c r="I45" s="750" t="s">
        <v>271</v>
      </c>
      <c r="J45" s="750"/>
      <c r="K45" s="750"/>
      <c r="L45" s="750"/>
      <c r="M45" s="750"/>
    </row>
    <row r="46" spans="1:13" s="284" customFormat="1" ht="15" customHeight="1">
      <c r="A46" s="283"/>
      <c r="B46" s="720" t="s">
        <v>278</v>
      </c>
      <c r="C46" s="721"/>
      <c r="D46" s="722"/>
      <c r="E46" s="754"/>
      <c r="F46" s="755"/>
      <c r="G46" s="754"/>
      <c r="H46" s="755"/>
      <c r="I46" s="751"/>
      <c r="J46" s="751"/>
      <c r="K46" s="751"/>
      <c r="L46" s="751"/>
      <c r="M46" s="751"/>
    </row>
    <row r="47" spans="1:13" s="282" customFormat="1" ht="59.25" customHeight="1">
      <c r="A47" s="285"/>
      <c r="B47" s="711" t="s">
        <v>112</v>
      </c>
      <c r="C47" s="712"/>
      <c r="D47" s="713"/>
      <c r="E47" s="711" t="s">
        <v>264</v>
      </c>
      <c r="F47" s="713"/>
      <c r="G47" s="740" t="s">
        <v>283</v>
      </c>
      <c r="H47" s="742"/>
      <c r="I47" s="711" t="s">
        <v>362</v>
      </c>
      <c r="J47" s="712"/>
      <c r="K47" s="712"/>
      <c r="L47" s="712"/>
      <c r="M47" s="713"/>
    </row>
    <row r="48" spans="1:13" s="282" customFormat="1" ht="77.25" customHeight="1">
      <c r="A48" s="285"/>
      <c r="B48" s="714"/>
      <c r="C48" s="715"/>
      <c r="D48" s="716"/>
      <c r="E48" s="714"/>
      <c r="F48" s="716"/>
      <c r="G48" s="743"/>
      <c r="H48" s="745"/>
      <c r="I48" s="714" t="s">
        <v>295</v>
      </c>
      <c r="J48" s="715"/>
      <c r="K48" s="715"/>
      <c r="L48" s="715"/>
      <c r="M48" s="716"/>
    </row>
    <row r="49" spans="1:13" s="282" customFormat="1" ht="50.25" customHeight="1">
      <c r="A49" s="285"/>
      <c r="B49" s="753" t="s">
        <v>162</v>
      </c>
      <c r="C49" s="737"/>
      <c r="D49" s="738"/>
      <c r="E49" s="739" t="s">
        <v>259</v>
      </c>
      <c r="F49" s="739"/>
      <c r="G49" s="739" t="s">
        <v>260</v>
      </c>
      <c r="H49" s="739"/>
      <c r="I49" s="711" t="s">
        <v>362</v>
      </c>
      <c r="J49" s="712"/>
      <c r="K49" s="712"/>
      <c r="L49" s="712"/>
      <c r="M49" s="713"/>
    </row>
    <row r="50" spans="1:13" s="282" customFormat="1" ht="76.5" customHeight="1">
      <c r="A50" s="285"/>
      <c r="B50" s="753" t="s">
        <v>263</v>
      </c>
      <c r="C50" s="737"/>
      <c r="D50" s="738"/>
      <c r="E50" s="739" t="s">
        <v>259</v>
      </c>
      <c r="F50" s="739"/>
      <c r="G50" s="739" t="s">
        <v>261</v>
      </c>
      <c r="H50" s="739"/>
      <c r="I50" s="753" t="s">
        <v>363</v>
      </c>
      <c r="J50" s="737"/>
      <c r="K50" s="737"/>
      <c r="L50" s="737"/>
      <c r="M50" s="738"/>
    </row>
    <row r="51" spans="1:13" s="282" customFormat="1" ht="29.25" customHeight="1">
      <c r="A51" s="285"/>
      <c r="B51" s="753" t="s">
        <v>194</v>
      </c>
      <c r="C51" s="737"/>
      <c r="D51" s="738"/>
      <c r="E51" s="739" t="s">
        <v>259</v>
      </c>
      <c r="F51" s="739"/>
      <c r="G51" s="739" t="s">
        <v>262</v>
      </c>
      <c r="H51" s="739"/>
      <c r="I51" s="747"/>
      <c r="J51" s="748"/>
      <c r="K51" s="748"/>
      <c r="L51" s="748"/>
      <c r="M51" s="749"/>
    </row>
    <row r="52" spans="1:13" s="282" customFormat="1" ht="16.5" customHeight="1">
      <c r="B52" s="711" t="s">
        <v>195</v>
      </c>
      <c r="C52" s="712"/>
      <c r="D52" s="713"/>
      <c r="E52" s="711" t="s">
        <v>259</v>
      </c>
      <c r="F52" s="713"/>
      <c r="G52" s="711" t="s">
        <v>265</v>
      </c>
      <c r="H52" s="713"/>
      <c r="I52" s="711" t="s">
        <v>507</v>
      </c>
      <c r="J52" s="712"/>
      <c r="K52" s="712"/>
      <c r="L52" s="712"/>
      <c r="M52" s="713"/>
    </row>
    <row r="53" spans="1:13" s="282" customFormat="1" ht="13.5" customHeight="1">
      <c r="B53" s="763"/>
      <c r="C53" s="761"/>
      <c r="D53" s="764"/>
      <c r="E53" s="763"/>
      <c r="F53" s="764"/>
      <c r="G53" s="763"/>
      <c r="H53" s="764"/>
      <c r="I53" s="760" t="s">
        <v>509</v>
      </c>
      <c r="J53" s="761"/>
      <c r="K53" s="761"/>
      <c r="L53" s="761"/>
      <c r="M53" s="762"/>
    </row>
    <row r="54" spans="1:13" s="282" customFormat="1" ht="11.4" customHeight="1">
      <c r="B54" s="763"/>
      <c r="C54" s="761"/>
      <c r="D54" s="764"/>
      <c r="E54" s="763"/>
      <c r="F54" s="764"/>
      <c r="G54" s="763"/>
      <c r="H54" s="764"/>
      <c r="I54" s="760" t="s">
        <v>508</v>
      </c>
      <c r="J54" s="761"/>
      <c r="K54" s="761"/>
      <c r="L54" s="761"/>
      <c r="M54" s="762"/>
    </row>
    <row r="55" spans="1:13" s="282" customFormat="1" ht="11.4">
      <c r="B55" s="763"/>
      <c r="C55" s="761"/>
      <c r="D55" s="762"/>
      <c r="E55" s="763"/>
      <c r="F55" s="762"/>
      <c r="G55" s="763"/>
      <c r="H55" s="762"/>
      <c r="I55" s="760" t="s">
        <v>510</v>
      </c>
      <c r="J55" s="761"/>
      <c r="K55" s="761"/>
      <c r="L55" s="761"/>
      <c r="M55" s="764"/>
    </row>
    <row r="56" spans="1:13" s="282" customFormat="1" ht="11.4">
      <c r="B56" s="714"/>
      <c r="C56" s="715"/>
      <c r="D56" s="716"/>
      <c r="E56" s="714"/>
      <c r="F56" s="716"/>
      <c r="G56" s="714"/>
      <c r="H56" s="716"/>
      <c r="I56" s="743" t="s">
        <v>360</v>
      </c>
      <c r="J56" s="715"/>
      <c r="K56" s="715"/>
      <c r="L56" s="715"/>
      <c r="M56" s="716"/>
    </row>
    <row r="57" spans="1:13" s="282" customFormat="1" ht="15" customHeight="1">
      <c r="A57" s="285"/>
      <c r="B57" s="720" t="s">
        <v>280</v>
      </c>
      <c r="C57" s="721"/>
      <c r="D57" s="722"/>
      <c r="E57" s="735"/>
      <c r="F57" s="735"/>
      <c r="G57" s="735"/>
      <c r="H57" s="735"/>
      <c r="I57" s="768"/>
      <c r="J57" s="769"/>
      <c r="K57" s="769"/>
      <c r="L57" s="769"/>
      <c r="M57" s="770"/>
    </row>
    <row r="58" spans="1:13" s="282" customFormat="1" ht="56.25" customHeight="1">
      <c r="A58" s="285"/>
      <c r="B58" s="753" t="s">
        <v>279</v>
      </c>
      <c r="C58" s="737"/>
      <c r="D58" s="738"/>
      <c r="E58" s="739" t="s">
        <v>266</v>
      </c>
      <c r="F58" s="739"/>
      <c r="G58" s="739" t="s">
        <v>272</v>
      </c>
      <c r="H58" s="739"/>
      <c r="I58" s="753" t="s">
        <v>506</v>
      </c>
      <c r="J58" s="737"/>
      <c r="K58" s="737"/>
      <c r="L58" s="737"/>
      <c r="M58" s="738"/>
    </row>
    <row r="59" spans="1:13" s="282" customFormat="1" ht="27" customHeight="1">
      <c r="A59" s="285"/>
      <c r="B59" s="720" t="s">
        <v>287</v>
      </c>
      <c r="C59" s="721"/>
      <c r="D59" s="722"/>
      <c r="E59" s="734"/>
      <c r="F59" s="734"/>
      <c r="G59" s="734"/>
      <c r="H59" s="734"/>
      <c r="I59" s="735"/>
      <c r="J59" s="735"/>
      <c r="K59" s="735"/>
      <c r="L59" s="735"/>
      <c r="M59" s="735"/>
    </row>
    <row r="60" spans="1:13" s="282" customFormat="1" ht="37.5" customHeight="1">
      <c r="A60" s="285"/>
      <c r="B60" s="740" t="s">
        <v>291</v>
      </c>
      <c r="C60" s="741"/>
      <c r="D60" s="742"/>
      <c r="E60" s="711" t="s">
        <v>276</v>
      </c>
      <c r="F60" s="713"/>
      <c r="G60" s="711" t="s">
        <v>281</v>
      </c>
      <c r="H60" s="713"/>
      <c r="I60" s="771" t="s">
        <v>290</v>
      </c>
      <c r="J60" s="772"/>
      <c r="K60" s="772"/>
      <c r="L60" s="772"/>
      <c r="M60" s="773"/>
    </row>
    <row r="61" spans="1:13" s="282" customFormat="1" ht="61.5" customHeight="1">
      <c r="A61" s="285"/>
      <c r="B61" s="743"/>
      <c r="C61" s="744"/>
      <c r="D61" s="745"/>
      <c r="E61" s="714"/>
      <c r="F61" s="716"/>
      <c r="G61" s="714"/>
      <c r="H61" s="716"/>
      <c r="I61" s="765" t="s">
        <v>369</v>
      </c>
      <c r="J61" s="766"/>
      <c r="K61" s="766"/>
      <c r="L61" s="766"/>
      <c r="M61" s="767"/>
    </row>
    <row r="62" spans="1:13" s="282" customFormat="1" ht="57.75" customHeight="1">
      <c r="A62" s="285"/>
      <c r="B62" s="736" t="s">
        <v>292</v>
      </c>
      <c r="C62" s="737"/>
      <c r="D62" s="738"/>
      <c r="E62" s="739" t="s">
        <v>755</v>
      </c>
      <c r="F62" s="739"/>
      <c r="G62" s="739" t="s">
        <v>282</v>
      </c>
      <c r="H62" s="739"/>
      <c r="I62" s="774" t="s">
        <v>293</v>
      </c>
      <c r="J62" s="775"/>
      <c r="K62" s="775"/>
      <c r="L62" s="775"/>
      <c r="M62" s="776"/>
    </row>
    <row r="63" spans="1:13" s="282" customFormat="1" ht="29.25" customHeight="1">
      <c r="A63" s="285"/>
      <c r="B63" s="736" t="s">
        <v>273</v>
      </c>
      <c r="C63" s="737"/>
      <c r="D63" s="738"/>
      <c r="E63" s="739" t="s">
        <v>755</v>
      </c>
      <c r="F63" s="739"/>
      <c r="G63" s="739" t="s">
        <v>282</v>
      </c>
      <c r="H63" s="739"/>
      <c r="I63" s="746"/>
      <c r="J63" s="746"/>
      <c r="K63" s="746"/>
      <c r="L63" s="746"/>
      <c r="M63" s="746"/>
    </row>
    <row r="64" spans="1:13" s="282" customFormat="1" ht="15" customHeight="1">
      <c r="A64" s="285"/>
      <c r="B64" s="720" t="s">
        <v>286</v>
      </c>
      <c r="C64" s="721"/>
      <c r="D64" s="722"/>
      <c r="E64" s="734"/>
      <c r="F64" s="734"/>
      <c r="G64" s="734"/>
      <c r="H64" s="734"/>
      <c r="I64" s="735"/>
      <c r="J64" s="735"/>
      <c r="K64" s="735"/>
      <c r="L64" s="735"/>
      <c r="M64" s="735"/>
    </row>
    <row r="65" spans="1:13" s="282" customFormat="1" ht="50.25" customHeight="1">
      <c r="A65" s="285"/>
      <c r="B65" s="711" t="s">
        <v>171</v>
      </c>
      <c r="C65" s="712"/>
      <c r="D65" s="713"/>
      <c r="E65" s="756" t="s">
        <v>294</v>
      </c>
      <c r="F65" s="757"/>
      <c r="G65" s="711"/>
      <c r="H65" s="713"/>
      <c r="I65" s="711" t="s">
        <v>298</v>
      </c>
      <c r="J65" s="712"/>
      <c r="K65" s="712"/>
      <c r="L65" s="712"/>
      <c r="M65" s="713"/>
    </row>
    <row r="66" spans="1:13" s="282" customFormat="1" ht="42" customHeight="1">
      <c r="A66" s="285"/>
      <c r="B66" s="714"/>
      <c r="C66" s="715"/>
      <c r="D66" s="716"/>
      <c r="E66" s="758" t="s">
        <v>754</v>
      </c>
      <c r="F66" s="759"/>
      <c r="G66" s="714"/>
      <c r="H66" s="716"/>
      <c r="I66" s="714"/>
      <c r="J66" s="715"/>
      <c r="K66" s="715"/>
      <c r="L66" s="715"/>
      <c r="M66" s="716"/>
    </row>
    <row r="67" spans="1:13" s="282" customFormat="1" ht="68.25" customHeight="1">
      <c r="A67" s="285"/>
      <c r="B67" s="711" t="s">
        <v>172</v>
      </c>
      <c r="C67" s="712"/>
      <c r="D67" s="713"/>
      <c r="E67" s="711" t="s">
        <v>259</v>
      </c>
      <c r="F67" s="713"/>
      <c r="G67" s="711" t="s">
        <v>296</v>
      </c>
      <c r="H67" s="713"/>
      <c r="I67" s="771" t="s">
        <v>370</v>
      </c>
      <c r="J67" s="772"/>
      <c r="K67" s="772"/>
      <c r="L67" s="772"/>
      <c r="M67" s="773"/>
    </row>
    <row r="68" spans="1:13" s="282" customFormat="1" ht="55.5" customHeight="1">
      <c r="A68" s="285"/>
      <c r="B68" s="714"/>
      <c r="C68" s="715"/>
      <c r="D68" s="716"/>
      <c r="E68" s="714" t="s">
        <v>582</v>
      </c>
      <c r="F68" s="716"/>
      <c r="G68" s="714"/>
      <c r="H68" s="716"/>
      <c r="I68" s="765" t="s">
        <v>372</v>
      </c>
      <c r="J68" s="766"/>
      <c r="K68" s="766"/>
      <c r="L68" s="766"/>
      <c r="M68" s="767"/>
    </row>
    <row r="69" spans="1:13" s="282" customFormat="1" ht="15" customHeight="1">
      <c r="A69" s="285"/>
      <c r="B69" s="720" t="s">
        <v>285</v>
      </c>
      <c r="C69" s="721"/>
      <c r="D69" s="722"/>
      <c r="E69" s="734"/>
      <c r="F69" s="734"/>
      <c r="G69" s="734"/>
      <c r="H69" s="734"/>
      <c r="I69" s="735"/>
      <c r="J69" s="735"/>
      <c r="K69" s="735"/>
      <c r="L69" s="735"/>
      <c r="M69" s="735"/>
    </row>
    <row r="70" spans="1:13" s="282" customFormat="1" ht="39" customHeight="1">
      <c r="A70" s="285"/>
      <c r="B70" s="739" t="s">
        <v>269</v>
      </c>
      <c r="C70" s="739"/>
      <c r="D70" s="739"/>
      <c r="E70" s="739" t="s">
        <v>264</v>
      </c>
      <c r="F70" s="739"/>
      <c r="G70" s="777" t="s">
        <v>284</v>
      </c>
      <c r="H70" s="739"/>
      <c r="I70" s="746"/>
      <c r="J70" s="746"/>
      <c r="K70" s="746"/>
      <c r="L70" s="746"/>
      <c r="M70" s="746"/>
    </row>
    <row r="71" spans="1:13" s="282" customFormat="1" ht="30.75" customHeight="1">
      <c r="A71" s="285"/>
      <c r="B71" s="739" t="s">
        <v>174</v>
      </c>
      <c r="C71" s="739"/>
      <c r="D71" s="739"/>
      <c r="E71" s="739" t="s">
        <v>580</v>
      </c>
      <c r="F71" s="739"/>
      <c r="G71" s="739" t="s">
        <v>88</v>
      </c>
      <c r="H71" s="739"/>
      <c r="I71" s="746"/>
      <c r="J71" s="746"/>
      <c r="K71" s="746"/>
      <c r="L71" s="746"/>
      <c r="M71" s="746"/>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A3" sqref="A3"/>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-17.02018314845445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-27.220638167833602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-17.02018314845445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-27.220638167833602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-17.02018314845445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-27.220638167833602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-17.02018314845445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-27.220638167833602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-17.02018314845445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-27.220638167833602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-3.6489730179876658</v>
      </c>
      <c r="S47" s="616">
        <f t="shared" si="8"/>
        <v>-3.6489730179876658</v>
      </c>
      <c r="T47" s="616">
        <f t="shared" si="8"/>
        <v>-3.6489730179876658</v>
      </c>
      <c r="U47" s="616">
        <f t="shared" si="8"/>
        <v>-3.6489730179876658</v>
      </c>
      <c r="V47" s="623">
        <f t="shared" si="8"/>
        <v>-3.6489730179876658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-5.8358581303427188</v>
      </c>
      <c r="S48" s="616">
        <f t="shared" si="8"/>
        <v>-5.8358581303427188</v>
      </c>
      <c r="T48" s="616">
        <f t="shared" si="8"/>
        <v>-5.8358581303427188</v>
      </c>
      <c r="U48" s="616">
        <f t="shared" si="8"/>
        <v>-5.8358581303427188</v>
      </c>
      <c r="V48" s="623">
        <f t="shared" si="8"/>
        <v>-5.8358581303427188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-3.6489730179876658</v>
      </c>
      <c r="S52" s="616">
        <f t="shared" ref="S52" si="9">S47*S51</f>
        <v>-3.5221747277873221</v>
      </c>
      <c r="T52" s="616">
        <f t="shared" ref="T52" si="10">T47*T51</f>
        <v>-3.3997825557792685</v>
      </c>
      <c r="U52" s="616">
        <f t="shared" ref="U52" si="11">U47*U51</f>
        <v>-3.2816433936093325</v>
      </c>
      <c r="V52" s="621">
        <f t="shared" ref="V52" si="12">V47*V51</f>
        <v>-3.1676094532908614</v>
      </c>
    </row>
    <row r="53" spans="1:22" s="37" customFormat="1">
      <c r="C53" s="131"/>
      <c r="D53" s="104" t="s">
        <v>57</v>
      </c>
      <c r="E53" s="644" t="s">
        <v>412</v>
      </c>
      <c r="F53" s="131"/>
      <c r="G53" s="148"/>
      <c r="H53" s="148"/>
      <c r="I53" s="148"/>
      <c r="J53" s="106"/>
      <c r="K53" s="106"/>
      <c r="L53" s="106"/>
      <c r="M53" s="106"/>
      <c r="N53" s="612"/>
      <c r="O53" s="203"/>
      <c r="P53" s="136"/>
      <c r="Q53" s="131"/>
      <c r="R53" s="603">
        <f>R48*R51</f>
        <v>-5.8358581303427188</v>
      </c>
      <c r="S53" s="616">
        <f t="shared" ref="S53:V53" si="13">S48*S51</f>
        <v>-5.6330676933810029</v>
      </c>
      <c r="T53" s="616">
        <f t="shared" si="13"/>
        <v>-5.4373240283600408</v>
      </c>
      <c r="U53" s="616">
        <f t="shared" si="13"/>
        <v>-5.2483822667567965</v>
      </c>
      <c r="V53" s="621">
        <f t="shared" si="13"/>
        <v>-5.0660060489930467</v>
      </c>
    </row>
    <row r="54" spans="1:22" s="37" customFormat="1">
      <c r="C54" s="131"/>
      <c r="D54" s="104" t="s">
        <v>57</v>
      </c>
      <c r="E54" s="643" t="s">
        <v>557</v>
      </c>
      <c r="F54" s="131"/>
      <c r="G54" s="148"/>
      <c r="H54" s="148"/>
      <c r="I54" s="148"/>
      <c r="J54" s="106"/>
      <c r="K54" s="106"/>
      <c r="L54" s="106"/>
      <c r="M54" s="106"/>
      <c r="N54" s="612"/>
      <c r="O54" s="203"/>
      <c r="P54" s="622">
        <f>SUM(R52:V52)</f>
        <v>-17.02018314845445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-27.220638167833606</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-17.02018314845445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-27.220638167833602</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-3.4040366296908902</v>
      </c>
      <c r="S64" s="616">
        <f t="shared" ref="S64:V64" si="17">IF(S$62+1&lt;=$P$61,$P59/$P$61,0)</f>
        <v>-3.4040366296908902</v>
      </c>
      <c r="T64" s="616">
        <f t="shared" si="17"/>
        <v>-3.4040366296908902</v>
      </c>
      <c r="U64" s="616">
        <f t="shared" si="17"/>
        <v>-3.4040366296908902</v>
      </c>
      <c r="V64" s="623">
        <f t="shared" si="17"/>
        <v>-3.4040366296908902</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-5.4441276335667208</v>
      </c>
      <c r="S65" s="616">
        <f t="shared" si="18"/>
        <v>-5.4441276335667208</v>
      </c>
      <c r="T65" s="616">
        <f t="shared" si="18"/>
        <v>-5.4441276335667208</v>
      </c>
      <c r="U65" s="616">
        <f t="shared" si="18"/>
        <v>-5.4441276335667208</v>
      </c>
      <c r="V65" s="623">
        <f t="shared" si="18"/>
        <v>-5.4441276335667208</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-3.4040366296908902</v>
      </c>
      <c r="S69" s="616">
        <f t="shared" ref="S69" si="19">S64*S68</f>
        <v>-3.2857496425587742</v>
      </c>
      <c r="T69" s="616">
        <f t="shared" ref="T69" si="20">T64*T68</f>
        <v>-3.1715730140528708</v>
      </c>
      <c r="U69" s="616">
        <f t="shared" ref="U69" si="21">U64*U68</f>
        <v>-3.0613639131784467</v>
      </c>
      <c r="V69" s="621">
        <f t="shared" ref="V69" si="22">V64*V68</f>
        <v>-2.9549844721799676</v>
      </c>
    </row>
    <row r="70" spans="1:22" s="37" customFormat="1">
      <c r="C70" s="131"/>
      <c r="D70" s="104" t="s">
        <v>57</v>
      </c>
      <c r="E70" s="644" t="s">
        <v>412</v>
      </c>
      <c r="F70" s="131"/>
      <c r="G70" s="148"/>
      <c r="H70" s="148"/>
      <c r="I70" s="148"/>
      <c r="J70" s="106"/>
      <c r="K70" s="106"/>
      <c r="L70" s="106"/>
      <c r="M70" s="106"/>
      <c r="N70" s="612"/>
      <c r="O70" s="203"/>
      <c r="P70" s="136"/>
      <c r="Q70" s="131"/>
      <c r="R70" s="603">
        <f>R65*R68</f>
        <v>-5.4441276335667208</v>
      </c>
      <c r="S70" s="616">
        <f t="shared" ref="S70:V70" si="23">S65*S68</f>
        <v>-5.2549494532497301</v>
      </c>
      <c r="T70" s="616">
        <f t="shared" si="23"/>
        <v>-5.0723450320943337</v>
      </c>
      <c r="U70" s="616">
        <f t="shared" si="23"/>
        <v>-4.8960859383149939</v>
      </c>
      <c r="V70" s="621">
        <f t="shared" si="23"/>
        <v>-4.725951677910226</v>
      </c>
    </row>
    <row r="71" spans="1:22" s="37" customFormat="1">
      <c r="C71" s="131"/>
      <c r="D71" s="104" t="s">
        <v>57</v>
      </c>
      <c r="E71" s="643" t="s">
        <v>557</v>
      </c>
      <c r="F71" s="131"/>
      <c r="G71" s="148"/>
      <c r="H71" s="148"/>
      <c r="I71" s="148"/>
      <c r="J71" s="106"/>
      <c r="K71" s="106"/>
      <c r="L71" s="106"/>
      <c r="M71" s="106"/>
      <c r="N71" s="612"/>
      <c r="O71" s="203"/>
      <c r="P71" s="622">
        <f>SUM(R69:V69)</f>
        <v>-15.87770767166095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-25.393459735136005</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-17.02018314845445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-27.220638167833602</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-3.4040366296908902</v>
      </c>
      <c r="S82" s="616">
        <f t="shared" ref="S82:V82" si="26">IF(S$62+1&lt;=$P$78,$P76/$P$78,0) * (1+$P$79)^S$80</f>
        <v>-3.5265819483597625</v>
      </c>
      <c r="T82" s="616">
        <f t="shared" si="26"/>
        <v>-3.6535388985007136</v>
      </c>
      <c r="U82" s="616">
        <f t="shared" si="26"/>
        <v>-3.7850662988467394</v>
      </c>
      <c r="V82" s="623">
        <f t="shared" si="26"/>
        <v>-3.9213286856052223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-5.4441276335667208</v>
      </c>
      <c r="S83" s="616">
        <f t="shared" ref="S83:V83" si="27">IF(S$62+1&lt;=$P$78,$P77/$P$78,0) * (1+$P$79)^S$80</f>
        <v>-5.6401162283751232</v>
      </c>
      <c r="T83" s="616">
        <f t="shared" si="27"/>
        <v>-5.8431604125966272</v>
      </c>
      <c r="U83" s="616">
        <f t="shared" si="27"/>
        <v>-6.0535141874501059</v>
      </c>
      <c r="V83" s="623">
        <f t="shared" si="27"/>
        <v>-6.27144069819831</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-3.4040366296908902</v>
      </c>
      <c r="S87" s="616">
        <f t="shared" ref="S87" si="28">S82*S86</f>
        <v>-3.4040366296908902</v>
      </c>
      <c r="T87" s="616">
        <f t="shared" ref="T87" si="29">T82*T86</f>
        <v>-3.4040366296908897</v>
      </c>
      <c r="U87" s="616">
        <f t="shared" ref="U87" si="30">U82*U86</f>
        <v>-3.4040366296908902</v>
      </c>
      <c r="V87" s="621">
        <f t="shared" ref="V87" si="31">V82*V86</f>
        <v>-3.4040366296908902</v>
      </c>
    </row>
    <row r="88" spans="1:22" s="37" customFormat="1">
      <c r="C88" s="131"/>
      <c r="D88" s="104" t="s">
        <v>57</v>
      </c>
      <c r="E88" s="644" t="s">
        <v>412</v>
      </c>
      <c r="F88" s="131"/>
      <c r="G88" s="148"/>
      <c r="H88" s="148"/>
      <c r="I88" s="148"/>
      <c r="J88" s="106"/>
      <c r="K88" s="106"/>
      <c r="L88" s="106"/>
      <c r="M88" s="106"/>
      <c r="N88" s="612"/>
      <c r="O88" s="203"/>
      <c r="P88" s="136"/>
      <c r="Q88" s="131"/>
      <c r="R88" s="603">
        <f>R83*R86</f>
        <v>-5.4441276335667208</v>
      </c>
      <c r="S88" s="616">
        <f t="shared" ref="S88:V88" si="32">S83*S86</f>
        <v>-5.4441276335667208</v>
      </c>
      <c r="T88" s="616">
        <f t="shared" si="32"/>
        <v>-5.4441276335667208</v>
      </c>
      <c r="U88" s="616">
        <f t="shared" si="32"/>
        <v>-5.4441276335667208</v>
      </c>
      <c r="V88" s="621">
        <f t="shared" si="32"/>
        <v>-5.4441276335667208</v>
      </c>
    </row>
    <row r="89" spans="1:22" s="37" customFormat="1">
      <c r="C89" s="131"/>
      <c r="D89" s="104" t="s">
        <v>57</v>
      </c>
      <c r="E89" s="643" t="s">
        <v>557</v>
      </c>
      <c r="F89" s="131"/>
      <c r="G89" s="148"/>
      <c r="H89" s="148"/>
      <c r="I89" s="148"/>
      <c r="J89" s="106"/>
      <c r="K89" s="106"/>
      <c r="L89" s="106"/>
      <c r="M89" s="106"/>
      <c r="N89" s="612"/>
      <c r="O89" s="203"/>
      <c r="P89" s="622">
        <f>SUM(R87:V87)</f>
        <v>-17.02018314845445</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-27.220638167833606</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5.1238676131540251</v>
      </c>
      <c r="S94" s="616">
        <f>Calc!K196</f>
        <v>-8.0763313658928235E-2</v>
      </c>
      <c r="T94" s="616">
        <f>Calc!L196</f>
        <v>-5.9578572002314658</v>
      </c>
      <c r="U94" s="616">
        <f>Calc!M196</f>
        <v>-7.9559643938117848</v>
      </c>
      <c r="V94" s="623">
        <f>Calc!N196</f>
        <v>-8.1494658539062961</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-2.1502100913499409</v>
      </c>
      <c r="S95" s="616">
        <f>Calc!K197</f>
        <v>-1.3698159572758828</v>
      </c>
      <c r="T95" s="616">
        <f>Calc!L197</f>
        <v>-4.7960537797296139</v>
      </c>
      <c r="U95" s="616">
        <f>Calc!M197</f>
        <v>-9.8930451419106475</v>
      </c>
      <c r="V95" s="623">
        <f>Calc!N197</f>
        <v>-9.0115131975675222</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5.1238676131540251</v>
      </c>
      <c r="S99" s="616">
        <f t="shared" ref="S99" si="33">S94*S98</f>
        <v>-7.795686646614694E-2</v>
      </c>
      <c r="T99" s="616">
        <f t="shared" ref="T99" si="34">T94*T98</f>
        <v>-5.5509917117286056</v>
      </c>
      <c r="U99" s="616">
        <f t="shared" ref="U99" si="35">U94*U98</f>
        <v>-7.1550646891716125</v>
      </c>
      <c r="V99" s="621">
        <f t="shared" ref="V99" si="36">V94*V98</f>
        <v>-7.0744083200540455</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-2.1502100913499409</v>
      </c>
      <c r="S100" s="616">
        <f t="shared" ref="S100:V100" si="37">S95*S98</f>
        <v>-1.3222161749767207</v>
      </c>
      <c r="T100" s="616">
        <f t="shared" si="37"/>
        <v>-4.4685285137833493</v>
      </c>
      <c r="U100" s="616">
        <f t="shared" si="37"/>
        <v>-8.8971461484069856</v>
      </c>
      <c r="V100" s="621">
        <f t="shared" si="37"/>
        <v>-7.8227364939004671</v>
      </c>
    </row>
    <row r="101" spans="1:22" s="37" customFormat="1">
      <c r="C101" s="131"/>
      <c r="D101" s="104" t="s">
        <v>57</v>
      </c>
      <c r="E101" s="643" t="s">
        <v>557</v>
      </c>
      <c r="F101" s="131"/>
      <c r="G101" s="148"/>
      <c r="H101" s="148"/>
      <c r="I101" s="148"/>
      <c r="J101" s="106"/>
      <c r="K101" s="106"/>
      <c r="L101" s="106"/>
      <c r="M101" s="106"/>
      <c r="N101" s="612"/>
      <c r="O101" s="203"/>
      <c r="P101" s="622">
        <f>SUM(R99:V99)</f>
        <v>-14.734553974266387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-24.660837422417465</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5.1238676131540251</v>
      </c>
      <c r="S106" s="616">
        <f>Calc!K196</f>
        <v>-8.0763313658928235E-2</v>
      </c>
      <c r="T106" s="616">
        <f>Calc!L196</f>
        <v>-5.9578572002314658</v>
      </c>
      <c r="U106" s="616">
        <f>Calc!M196</f>
        <v>-7.9559643938117848</v>
      </c>
      <c r="V106" s="623">
        <f>Calc!N196</f>
        <v>-8.1494658539062961</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-2.1502100913499409</v>
      </c>
      <c r="S107" s="616">
        <f>Calc!K197</f>
        <v>-1.3698159572758828</v>
      </c>
      <c r="T107" s="616">
        <f>Calc!L197</f>
        <v>-4.7960537797296139</v>
      </c>
      <c r="U107" s="616">
        <f>Calc!M197</f>
        <v>-9.8930451419106475</v>
      </c>
      <c r="V107" s="623">
        <f>Calc!N197</f>
        <v>-9.0115131975675222</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5.1238676131540251</v>
      </c>
      <c r="S111" s="616">
        <f t="shared" ref="S111" si="38">S106*S110</f>
        <v>-7.795686646614694E-2</v>
      </c>
      <c r="T111" s="616">
        <f t="shared" ref="T111" si="39">T106*T110</f>
        <v>-5.5509917117286056</v>
      </c>
      <c r="U111" s="616">
        <f t="shared" ref="U111" si="40">U106*U110</f>
        <v>-7.1550646891716125</v>
      </c>
      <c r="V111" s="621">
        <f t="shared" ref="V111" si="41">V106*V110</f>
        <v>-7.0744083200540455</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-2.1502100913499409</v>
      </c>
      <c r="S112" s="616">
        <f t="shared" ref="S112:V112" si="42">S107*S110</f>
        <v>-1.3222161749767207</v>
      </c>
      <c r="T112" s="616">
        <f t="shared" si="42"/>
        <v>-4.4685285137833493</v>
      </c>
      <c r="U112" s="616">
        <f t="shared" si="42"/>
        <v>-8.8971461484069856</v>
      </c>
      <c r="V112" s="621">
        <f t="shared" si="42"/>
        <v>-7.8227364939004671</v>
      </c>
    </row>
    <row r="113" spans="3:22" s="37" customFormat="1">
      <c r="C113" s="131"/>
      <c r="D113" s="104" t="s">
        <v>57</v>
      </c>
      <c r="E113" s="643" t="s">
        <v>557</v>
      </c>
      <c r="F113" s="131"/>
      <c r="G113" s="148"/>
      <c r="H113" s="148"/>
      <c r="I113" s="148"/>
      <c r="J113" s="106"/>
      <c r="K113" s="106"/>
      <c r="L113" s="106"/>
      <c r="M113" s="106"/>
      <c r="N113" s="612"/>
      <c r="O113" s="203"/>
      <c r="P113" s="622">
        <f>SUM(R111:V111)</f>
        <v>-14.734553974266387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-24.660837422417465</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-14.734553974266387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-24.660837422417465</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-17.02018314845445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-27.220638167833602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1.1551203503125964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1.1038002360410193</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5.9186837522618445</v>
      </c>
      <c r="S123" s="616">
        <f t="shared" si="43"/>
        <v>-9.3291347166107291E-2</v>
      </c>
      <c r="T123" s="616">
        <f t="shared" si="43"/>
        <v>-6.8820420962437954</v>
      </c>
      <c r="U123" s="616">
        <f t="shared" si="43"/>
        <v>-9.1900963776544131</v>
      </c>
      <c r="V123" s="621">
        <f t="shared" si="43"/>
        <v>-9.413613852024783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-2.3734024063698462</v>
      </c>
      <c r="S124" s="616">
        <f t="shared" si="43"/>
        <v>-1.5120031769738742</v>
      </c>
      <c r="T124" s="616">
        <f t="shared" si="43"/>
        <v>-5.2938852941309706</v>
      </c>
      <c r="U124" s="616">
        <f t="shared" si="43"/>
        <v>-10.919945562805433</v>
      </c>
      <c r="V124" s="621">
        <f t="shared" si="43"/>
        <v>-9.946910394561792</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5.9186837522618445</v>
      </c>
      <c r="S128" s="616">
        <f t="shared" ref="S128" si="44">S123*S127</f>
        <v>-9.0049562901647964E-2</v>
      </c>
      <c r="T128" s="616">
        <f t="shared" ref="T128" si="45">T123*T127</f>
        <v>-6.4120634906342655</v>
      </c>
      <c r="U128" s="616">
        <f t="shared" ref="U128" si="46">U123*U127</f>
        <v>-8.2649608302652027</v>
      </c>
      <c r="V128" s="621">
        <f t="shared" ref="V128" si="47">V123*V127</f>
        <v>-8.171793016915176</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-2.3734024063698462</v>
      </c>
      <c r="S129" s="616">
        <f t="shared" ref="S129:V129" si="48">S124*S127</f>
        <v>-1.4594625260365581</v>
      </c>
      <c r="T129" s="616">
        <f t="shared" si="48"/>
        <v>-4.9323628282700858</v>
      </c>
      <c r="U129" s="616">
        <f t="shared" si="48"/>
        <v>-9.8206720187030783</v>
      </c>
      <c r="V129" s="621">
        <f t="shared" si="48"/>
        <v>-8.6347383884540321</v>
      </c>
    </row>
    <row r="130" spans="1:22" s="37" customFormat="1">
      <c r="C130" s="131"/>
      <c r="D130" s="131" t="s">
        <v>57</v>
      </c>
      <c r="E130" s="643" t="s">
        <v>557</v>
      </c>
      <c r="F130" s="131"/>
      <c r="G130" s="148"/>
      <c r="H130" s="148"/>
      <c r="I130" s="148"/>
      <c r="J130" s="106"/>
      <c r="K130" s="106"/>
      <c r="L130" s="106"/>
      <c r="M130" s="106"/>
      <c r="N130" s="612"/>
      <c r="O130" s="203"/>
      <c r="P130" s="622">
        <f>SUM(R128:V128)</f>
        <v>-17.02018314845445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-27.220638167833599</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-17.02018314845445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-3.6489730179876658</v>
      </c>
      <c r="S138" s="616">
        <f>S47</f>
        <v>-3.6489730179876658</v>
      </c>
      <c r="T138" s="616">
        <f>T47</f>
        <v>-3.6489730179876658</v>
      </c>
      <c r="U138" s="616">
        <f>U47</f>
        <v>-3.6489730179876658</v>
      </c>
      <c r="V138" s="621">
        <f>V47</f>
        <v>-3.6489730179876658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-3.4040366296908902</v>
      </c>
      <c r="S139" s="616">
        <f>S64</f>
        <v>-3.4040366296908902</v>
      </c>
      <c r="T139" s="616">
        <f>T64</f>
        <v>-3.4040366296908902</v>
      </c>
      <c r="U139" s="616">
        <f>U64</f>
        <v>-3.4040366296908902</v>
      </c>
      <c r="V139" s="621">
        <f>V64</f>
        <v>-3.4040366296908902</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-3.4040366296908902</v>
      </c>
      <c r="S140" s="616">
        <f>S82</f>
        <v>-3.5265819483597625</v>
      </c>
      <c r="T140" s="616">
        <f>T82</f>
        <v>-3.6535388985007136</v>
      </c>
      <c r="U140" s="616">
        <f>U82</f>
        <v>-3.7850662988467394</v>
      </c>
      <c r="V140" s="621">
        <f>V82</f>
        <v>-3.9213286856052223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5.1238676131540251</v>
      </c>
      <c r="S141" s="616">
        <f>S94</f>
        <v>-8.0763313658928235E-2</v>
      </c>
      <c r="T141" s="616">
        <f>T94</f>
        <v>-5.9578572002314658</v>
      </c>
      <c r="U141" s="616">
        <f>U94</f>
        <v>-7.9559643938117848</v>
      </c>
      <c r="V141" s="621">
        <f>V94</f>
        <v>-8.1494658539062961</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5.9186837522618445</v>
      </c>
      <c r="S142" s="616">
        <f t="shared" si="50"/>
        <v>-9.3291347166107291E-2</v>
      </c>
      <c r="T142" s="616">
        <f t="shared" si="50"/>
        <v>-6.8820420962437954</v>
      </c>
      <c r="U142" s="616">
        <f t="shared" si="50"/>
        <v>-9.1900963776544131</v>
      </c>
      <c r="V142" s="621">
        <f t="shared" si="50"/>
        <v>-9.413613852024783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-3.6489730179876658</v>
      </c>
      <c r="S143" s="630">
        <f t="shared" ref="S143:V143" si="51">CHOOSE($P$135+1,S137,S138,S139,S140,S141,S142)</f>
        <v>-3.6489730179876658</v>
      </c>
      <c r="T143" s="630">
        <f t="shared" si="51"/>
        <v>-3.6489730179876658</v>
      </c>
      <c r="U143" s="630">
        <f t="shared" si="51"/>
        <v>-3.6489730179876658</v>
      </c>
      <c r="V143" s="631">
        <f t="shared" si="51"/>
        <v>-3.6489730179876658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-27.220638167833602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-5.8358581303427188</v>
      </c>
      <c r="S146" s="616">
        <f>S48</f>
        <v>-5.8358581303427188</v>
      </c>
      <c r="T146" s="616">
        <f>T48</f>
        <v>-5.8358581303427188</v>
      </c>
      <c r="U146" s="616">
        <f>U48</f>
        <v>-5.8358581303427188</v>
      </c>
      <c r="V146" s="621">
        <f>V48</f>
        <v>-5.8358581303427188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-5.4441276335667208</v>
      </c>
      <c r="S147" s="616">
        <f>S65</f>
        <v>-5.4441276335667208</v>
      </c>
      <c r="T147" s="616">
        <f>T65</f>
        <v>-5.4441276335667208</v>
      </c>
      <c r="U147" s="616">
        <f>U65</f>
        <v>-5.4441276335667208</v>
      </c>
      <c r="V147" s="621">
        <f>V65</f>
        <v>-5.4441276335667208</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-5.4441276335667208</v>
      </c>
      <c r="S148" s="616">
        <f>S83</f>
        <v>-5.6401162283751232</v>
      </c>
      <c r="T148" s="616">
        <f>T83</f>
        <v>-5.8431604125966272</v>
      </c>
      <c r="U148" s="616">
        <f>U83</f>
        <v>-6.0535141874501059</v>
      </c>
      <c r="V148" s="621">
        <f>V83</f>
        <v>-6.27144069819831</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-2.1502100913499409</v>
      </c>
      <c r="S149" s="616">
        <f>S95</f>
        <v>-1.3698159572758828</v>
      </c>
      <c r="T149" s="616">
        <f>T95</f>
        <v>-4.7960537797296139</v>
      </c>
      <c r="U149" s="616">
        <f>U95</f>
        <v>-9.8930451419106475</v>
      </c>
      <c r="V149" s="621">
        <f>V95</f>
        <v>-9.0115131975675222</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-2.3734024063698462</v>
      </c>
      <c r="S150" s="616">
        <f t="shared" si="53"/>
        <v>-1.5120031769738742</v>
      </c>
      <c r="T150" s="616">
        <f t="shared" si="53"/>
        <v>-5.2938852941309706</v>
      </c>
      <c r="U150" s="616">
        <f t="shared" si="53"/>
        <v>-10.919945562805433</v>
      </c>
      <c r="V150" s="621">
        <f t="shared" si="53"/>
        <v>-9.946910394561792</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-5.8358581303427188</v>
      </c>
      <c r="S151" s="630">
        <f t="shared" ref="S151" si="54">CHOOSE($P$135+1,S145,S146,S147,S148,S149,S150)</f>
        <v>-5.8358581303427188</v>
      </c>
      <c r="T151" s="630">
        <f t="shared" ref="T151" si="55">CHOOSE($P$135+1,T145,T146,T147,T148,T149,T150)</f>
        <v>-5.8358581303427188</v>
      </c>
      <c r="U151" s="630">
        <f t="shared" ref="U151" si="56">CHOOSE($P$135+1,U145,U146,U147,U148,U149,U150)</f>
        <v>-5.8358581303427188</v>
      </c>
      <c r="V151" s="631">
        <f t="shared" ref="V151" si="57">CHOOSE($P$135+1,V145,V146,V147,V148,V149,V150)</f>
        <v>-5.8358581303427188</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-3.6489730179876658</v>
      </c>
      <c r="S156" s="627">
        <f t="shared" ref="S156:V156" si="58">S143</f>
        <v>-3.6489730179876658</v>
      </c>
      <c r="T156" s="627">
        <f t="shared" si="58"/>
        <v>-3.6489730179876658</v>
      </c>
      <c r="U156" s="627">
        <f t="shared" si="58"/>
        <v>-3.6489730179876658</v>
      </c>
      <c r="V156" s="628">
        <f t="shared" si="58"/>
        <v>-3.6489730179876658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-5.8358581303427188</v>
      </c>
      <c r="S157" s="627">
        <f t="shared" ref="S157:V157" si="59">S151</f>
        <v>-5.8358581303427188</v>
      </c>
      <c r="T157" s="627">
        <f t="shared" si="59"/>
        <v>-5.8358581303427188</v>
      </c>
      <c r="U157" s="627">
        <f t="shared" si="59"/>
        <v>-5.8358581303427188</v>
      </c>
      <c r="V157" s="628">
        <f t="shared" si="59"/>
        <v>-5.8358581303427188</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96.677407217414597</v>
      </c>
      <c r="K16" s="121">
        <f>'Input FD'!K10</f>
        <v>111.965967265263</v>
      </c>
      <c r="L16" s="121">
        <f>'Input FD'!L10</f>
        <v>90.137927472951105</v>
      </c>
      <c r="M16" s="121">
        <f>'Input FD'!M10</f>
        <v>90.6667343285458</v>
      </c>
      <c r="N16" s="121">
        <f>'Input FD'!N10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71.716342883676703</v>
      </c>
      <c r="K17" s="121">
        <f>'Input FD'!K11</f>
        <v>108.91078858467</v>
      </c>
      <c r="L17" s="121">
        <f>'Input FD'!L11</f>
        <v>106.472526906772</v>
      </c>
      <c r="M17" s="121">
        <f>'Input FD'!M11</f>
        <v>87.405386500713803</v>
      </c>
      <c r="N17" s="121">
        <f>'Input FD'!N11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87.974174160817597</v>
      </c>
      <c r="K18" s="121">
        <f>'Input FD'!K12</f>
        <v>67.934574112969699</v>
      </c>
      <c r="L18" s="121">
        <f>'Input FD'!L12</f>
        <v>55.8016539052811</v>
      </c>
      <c r="M18" s="121">
        <f>'Input FD'!M12</f>
        <v>42.176527049686499</v>
      </c>
      <c r="N18" s="121">
        <f>'Input FD'!N12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18.6694271158755</v>
      </c>
      <c r="K19" s="121">
        <f>'Input FD'!K13</f>
        <v>39.4846614157779</v>
      </c>
      <c r="L19" s="121">
        <f>'Input FD'!L13</f>
        <v>46.933763093227697</v>
      </c>
      <c r="M19" s="121">
        <f>'Input FD'!M13</f>
        <v>39.4447534992862</v>
      </c>
      <c r="N19" s="121">
        <f>'Input FD'!N13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-8.6940000000000008</v>
      </c>
      <c r="K20" s="121">
        <f>-'Input FD'!K14</f>
        <v>-12.15</v>
      </c>
      <c r="L20" s="121">
        <f>-'Input FD'!L14</f>
        <v>-9.1080000000000005</v>
      </c>
      <c r="M20" s="121">
        <f>-'Input FD'!M14</f>
        <v>-8.3810000000000002</v>
      </c>
      <c r="N20" s="121">
        <f>-'Input FD'!N14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266.34335137778442</v>
      </c>
      <c r="K24" s="121">
        <f>Calc!K55</f>
        <v>316.14599137868066</v>
      </c>
      <c r="L24" s="121">
        <f>Calc!L55</f>
        <v>290.23787137823189</v>
      </c>
      <c r="M24" s="121">
        <f>Calc!M55</f>
        <v>251.31240137823229</v>
      </c>
      <c r="N24" s="121">
        <f>Calc!N55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65.399928000000003</v>
      </c>
      <c r="K26" s="121">
        <f>'Input FD'!K19</f>
        <v>53.841191999999999</v>
      </c>
      <c r="L26" s="121">
        <f>'Input FD'!L19</f>
        <v>58.89132</v>
      </c>
      <c r="M26" s="121">
        <f>'Input FD'!M19</f>
        <v>43.576680000000003</v>
      </c>
      <c r="N26" s="121">
        <f>'Input FD'!N19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89.125</v>
      </c>
      <c r="K27" s="121">
        <f>'Input FD'!K20</f>
        <v>107.69795999999999</v>
      </c>
      <c r="L27" s="121">
        <f>'Input FD'!L20</f>
        <v>207.51151999999999</v>
      </c>
      <c r="M27" s="121">
        <f>'Input FD'!M20</f>
        <v>195.52484000000001</v>
      </c>
      <c r="N27" s="121">
        <f>'Input FD'!N20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FD'!E21</f>
        <v>Sewerage: FBP infrastructure expenditure</v>
      </c>
      <c r="F28" s="113"/>
      <c r="G28" s="120"/>
      <c r="H28" s="120"/>
      <c r="I28" s="120"/>
      <c r="J28" s="121">
        <f>'Input FD'!J21</f>
        <v>85.553712000000004</v>
      </c>
      <c r="K28" s="121">
        <f>'Input FD'!K21</f>
        <v>96.272447999999997</v>
      </c>
      <c r="L28" s="121">
        <f>'Input FD'!L21</f>
        <v>99.670320000000004</v>
      </c>
      <c r="M28" s="121">
        <f>'Input FD'!M21</f>
        <v>122.7456</v>
      </c>
      <c r="N28" s="121">
        <f>'Input FD'!N21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FD'!E22</f>
        <v>Sewerage: FBP non-infrastructure expenditure</v>
      </c>
      <c r="F29" s="113"/>
      <c r="G29" s="120"/>
      <c r="H29" s="120"/>
      <c r="I29" s="120"/>
      <c r="J29" s="121">
        <f>'Input FD'!J22</f>
        <v>140.163582953222</v>
      </c>
      <c r="K29" s="121">
        <f>'Input FD'!K22</f>
        <v>171.371845860523</v>
      </c>
      <c r="L29" s="121">
        <f>'Input FD'!L22</f>
        <v>196.860884900516</v>
      </c>
      <c r="M29" s="121">
        <f>'Input FD'!M22</f>
        <v>216.38377787543601</v>
      </c>
      <c r="N29" s="121">
        <f>'Input FD'!N22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-4.2930000000000001</v>
      </c>
      <c r="K30" s="121">
        <f>-'Input FD'!K23</f>
        <v>-5.3529999999999998</v>
      </c>
      <c r="L30" s="121">
        <f>-'Input FD'!L23</f>
        <v>-6.4130000000000003</v>
      </c>
      <c r="M30" s="121">
        <f>-'Input FD'!M23</f>
        <v>-7.4729999999999999</v>
      </c>
      <c r="N30" s="121">
        <f>-'Input FD'!N23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375.94922295322203</v>
      </c>
      <c r="K34" s="121">
        <f>Calc!K66</f>
        <v>423.83044586052296</v>
      </c>
      <c r="L34" s="121">
        <f>Calc!L66</f>
        <v>556.52104490051602</v>
      </c>
      <c r="M34" s="121">
        <f>Calc!M66</f>
        <v>570.75789787543613</v>
      </c>
      <c r="N34" s="121">
        <f>Calc!N66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103.80792034644401</v>
      </c>
      <c r="K37" s="121">
        <f>'Input FD'!K30</f>
        <v>119.721029127333</v>
      </c>
      <c r="L37" s="121">
        <f>'Input FD'!L30</f>
        <v>96.053451727038393</v>
      </c>
      <c r="M37" s="121">
        <f>'Input FD'!M30</f>
        <v>96.095368777823097</v>
      </c>
      <c r="N37" s="121">
        <f>'Input FD'!N30</f>
        <v>89.772718548515499</v>
      </c>
      <c r="O37" s="113"/>
      <c r="P37" s="113"/>
      <c r="Q37" s="113"/>
      <c r="R37" s="113"/>
      <c r="S37" s="113"/>
      <c r="T37" s="115"/>
      <c r="U37" s="122">
        <f t="shared" ref="U37:U51" si="4">SUM(J37:N37)</f>
        <v>505.45048852715399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75.265681003525302</v>
      </c>
      <c r="K38" s="121">
        <f>'Input FD'!K31</f>
        <v>113.700229518434</v>
      </c>
      <c r="L38" s="121">
        <f>'Input FD'!L31</f>
        <v>110.786225626804</v>
      </c>
      <c r="M38" s="121">
        <f>'Input FD'!M31</f>
        <v>90.6493817737949</v>
      </c>
      <c r="N38" s="121">
        <f>'Input FD'!N31</f>
        <v>65.836563884895199</v>
      </c>
      <c r="O38" s="113"/>
      <c r="P38" s="113"/>
      <c r="Q38" s="113"/>
      <c r="R38" s="113"/>
      <c r="S38" s="113"/>
      <c r="T38" s="115"/>
      <c r="U38" s="122">
        <f t="shared" si="4"/>
        <v>456.2380818074534</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90.195537485563605</v>
      </c>
      <c r="K39" s="121">
        <f>'Input FD'!K32</f>
        <v>65.017064698534796</v>
      </c>
      <c r="L39" s="121">
        <f>'Input FD'!L32</f>
        <v>55.705633608524998</v>
      </c>
      <c r="M39" s="121">
        <f>'Input FD'!M32</f>
        <v>41.216315092907003</v>
      </c>
      <c r="N39" s="121">
        <f>'Input FD'!N32</f>
        <v>25.456763531865899</v>
      </c>
      <c r="O39" s="113"/>
      <c r="P39" s="113"/>
      <c r="Q39" s="113"/>
      <c r="R39" s="113"/>
      <c r="S39" s="113"/>
      <c r="T39" s="115"/>
      <c r="U39" s="122">
        <f t="shared" si="4"/>
        <v>277.59131441739629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19.0224934156209</v>
      </c>
      <c r="K40" s="121">
        <f>'Input FD'!K33</f>
        <v>39.011896238409797</v>
      </c>
      <c r="L40" s="121">
        <f>'Input FD'!L33</f>
        <v>47.689766045647701</v>
      </c>
      <c r="M40" s="121">
        <f>'Input FD'!M33</f>
        <v>39.478637687882802</v>
      </c>
      <c r="N40" s="121">
        <f>'Input FD'!N33</f>
        <v>22.255885369039198</v>
      </c>
      <c r="O40" s="113"/>
      <c r="P40" s="113"/>
      <c r="Q40" s="113"/>
      <c r="R40" s="113"/>
      <c r="S40" s="113"/>
      <c r="T40" s="115"/>
      <c r="U40" s="122">
        <f t="shared" si="4"/>
        <v>167.45867875660039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288.29163225115377</v>
      </c>
      <c r="K43" s="121">
        <f>Calc!K56</f>
        <v>337.45021958271161</v>
      </c>
      <c r="L43" s="121">
        <f>Calc!L56</f>
        <v>310.23507700801508</v>
      </c>
      <c r="M43" s="121">
        <f>Calc!M56</f>
        <v>267.43970333240776</v>
      </c>
      <c r="N43" s="121">
        <f>Calc!N56</f>
        <v>203.32193133431579</v>
      </c>
      <c r="O43" s="113"/>
      <c r="P43" s="113"/>
      <c r="Q43" s="113"/>
      <c r="R43" s="113"/>
      <c r="S43" s="113"/>
      <c r="T43" s="115"/>
      <c r="U43" s="122">
        <f t="shared" si="4"/>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61.6804104414325</v>
      </c>
      <c r="K45" s="121">
        <f>'Input FD'!K37</f>
        <v>50.209440835250099</v>
      </c>
      <c r="L45" s="121">
        <f>'Input FD'!L37</f>
        <v>54.790899940376299</v>
      </c>
      <c r="M45" s="121">
        <f>'Input FD'!M37</f>
        <v>40.725630109452801</v>
      </c>
      <c r="N45" s="121">
        <f>'Input FD'!N37</f>
        <v>38.962195347971402</v>
      </c>
      <c r="O45" s="113"/>
      <c r="P45" s="113"/>
      <c r="Q45" s="113"/>
      <c r="R45" s="113"/>
      <c r="S45" s="113"/>
      <c r="T45" s="115"/>
      <c r="U45" s="122">
        <f t="shared" si="4"/>
        <v>246.36857667448311</v>
      </c>
    </row>
    <row r="46" spans="1:28" s="117" customFormat="1" ht="17.399999999999999">
      <c r="A46" s="110"/>
      <c r="B46" s="119" t="s">
        <v>149</v>
      </c>
      <c r="C46" s="119"/>
      <c r="D46" s="113"/>
      <c r="E46" s="113" t="str">
        <f>'Input FD'!E38</f>
        <v>Sewerage: MNI (net of grants &amp; contributions)</v>
      </c>
      <c r="F46" s="113"/>
      <c r="G46" s="120"/>
      <c r="H46" s="120"/>
      <c r="I46" s="120"/>
      <c r="J46" s="121">
        <f>'Input FD'!J38</f>
        <v>84.866015878888305</v>
      </c>
      <c r="K46" s="121">
        <f>'Input FD'!K38</f>
        <v>102.064067113831</v>
      </c>
      <c r="L46" s="121">
        <f>'Input FD'!L38</f>
        <v>195.97937785216899</v>
      </c>
      <c r="M46" s="121">
        <f>'Input FD'!M38</f>
        <v>184.31207761888501</v>
      </c>
      <c r="N46" s="121">
        <f>'Input FD'!N38</f>
        <v>129.43099034378901</v>
      </c>
      <c r="O46" s="113"/>
      <c r="P46" s="113"/>
      <c r="Q46" s="113"/>
      <c r="R46" s="113"/>
      <c r="S46" s="113"/>
      <c r="T46" s="115"/>
      <c r="U46" s="122">
        <f t="shared" si="4"/>
        <v>696.65252880756225</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67.587233517949599</v>
      </c>
      <c r="K47" s="121">
        <f>'Input FD'!K39</f>
        <v>84.706725777189106</v>
      </c>
      <c r="L47" s="121">
        <f>'Input FD'!L39</f>
        <v>87.541415854037893</v>
      </c>
      <c r="M47" s="121">
        <f>'Input FD'!M39</f>
        <v>107.245021066265</v>
      </c>
      <c r="N47" s="121">
        <f>'Input FD'!N39</f>
        <v>76.235230318249805</v>
      </c>
      <c r="O47" s="113"/>
      <c r="P47" s="113"/>
      <c r="Q47" s="113"/>
      <c r="R47" s="113"/>
      <c r="S47" s="113"/>
      <c r="T47" s="115"/>
      <c r="U47" s="122">
        <f t="shared" si="4"/>
        <v>423.31562653369144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120.02013853845</v>
      </c>
      <c r="K48" s="121">
        <f>'Input FD'!K40</f>
        <v>162.37038949922999</v>
      </c>
      <c r="L48" s="121">
        <f>'Input FD'!L40</f>
        <v>181.138395550187</v>
      </c>
      <c r="M48" s="121">
        <f>'Input FD'!M40</f>
        <v>199.24701421961501</v>
      </c>
      <c r="N48" s="121">
        <f>'Input FD'!N40</f>
        <v>116.624132542399</v>
      </c>
      <c r="O48" s="113"/>
      <c r="P48" s="113"/>
      <c r="Q48" s="113"/>
      <c r="R48" s="113"/>
      <c r="S48" s="113"/>
      <c r="T48" s="115"/>
      <c r="U48" s="122">
        <f t="shared" si="4"/>
        <v>779.40007034988105</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334.15379837672037</v>
      </c>
      <c r="K51" s="121">
        <f>Calc!K67</f>
        <v>399.35062322550021</v>
      </c>
      <c r="L51" s="121">
        <f>Calc!L67</f>
        <v>519.45008919677025</v>
      </c>
      <c r="M51" s="121">
        <f>Calc!M67</f>
        <v>531.52974301421784</v>
      </c>
      <c r="N51" s="121">
        <f>Calc!N67</f>
        <v>361.25254855240917</v>
      </c>
      <c r="O51" s="113"/>
      <c r="P51" s="113"/>
      <c r="Q51" s="113"/>
      <c r="R51" s="113"/>
      <c r="S51" s="113"/>
      <c r="T51" s="115"/>
      <c r="U51" s="122">
        <f t="shared" si="4"/>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102.1466765207702</v>
      </c>
      <c r="K54" s="121">
        <f>Calc!K39</f>
        <v>117.80512695168643</v>
      </c>
      <c r="L54" s="121">
        <f>Calc!L39</f>
        <v>94.516303086706671</v>
      </c>
      <c r="M54" s="121">
        <f>Calc!M39</f>
        <v>94.557549336635589</v>
      </c>
      <c r="N54" s="121">
        <f>Calc!N39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74.061200194787816</v>
      </c>
      <c r="K55" s="121">
        <f>Calc!K40</f>
        <v>111.88067852815482</v>
      </c>
      <c r="L55" s="121">
        <f>Calc!L40</f>
        <v>109.0133076001446</v>
      </c>
      <c r="M55" s="121">
        <f>Calc!M40</f>
        <v>89.198714760427436</v>
      </c>
      <c r="N55" s="121">
        <f>Calc!N40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88.752133367157569</v>
      </c>
      <c r="K56" s="121">
        <f>Calc!K41</f>
        <v>63.976593056935478</v>
      </c>
      <c r="L56" s="121">
        <f>Calc!L41</f>
        <v>54.814173307821846</v>
      </c>
      <c r="M56" s="121">
        <f>Calc!M41</f>
        <v>40.556728148706519</v>
      </c>
      <c r="N56" s="121">
        <f>Calc!N41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18.718075413312821</v>
      </c>
      <c r="K57" s="121">
        <f>Calc!K42</f>
        <v>38.387586729678695</v>
      </c>
      <c r="L57" s="121">
        <f>Calc!L42</f>
        <v>46.9265841118727</v>
      </c>
      <c r="M57" s="121">
        <f>Calc!M42</f>
        <v>38.846858890213674</v>
      </c>
      <c r="N57" s="121">
        <f>Calc!N42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283.67808549602842</v>
      </c>
      <c r="K60" s="121">
        <f>Calc!K57</f>
        <v>332.04998526645539</v>
      </c>
      <c r="L60" s="121">
        <f>Calc!L57</f>
        <v>305.27036810654579</v>
      </c>
      <c r="M60" s="121">
        <f>Calc!M57</f>
        <v>263.15985113598322</v>
      </c>
      <c r="N60" s="121">
        <f>Calc!N57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62.89706239845075</v>
      </c>
      <c r="K62" s="121">
        <f>Calc!K46</f>
        <v>51.199826826779834</v>
      </c>
      <c r="L62" s="121">
        <f>Calc!L46</f>
        <v>55.871655648098887</v>
      </c>
      <c r="M62" s="121">
        <f>Calc!M46</f>
        <v>41.528947033235525</v>
      </c>
      <c r="N62" s="121">
        <f>Calc!N46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Calc!E47</f>
        <v>Sewerage: MNI</v>
      </c>
      <c r="F63" s="113"/>
      <c r="G63" s="120"/>
      <c r="H63" s="120"/>
      <c r="I63" s="120"/>
      <c r="J63" s="121">
        <f>Calc!J47</f>
        <v>86.540006106327425</v>
      </c>
      <c r="K63" s="121">
        <f>Calc!K47</f>
        <v>104.07729053609071</v>
      </c>
      <c r="L63" s="121">
        <f>Calc!L47</f>
        <v>199.84508970286214</v>
      </c>
      <c r="M63" s="121">
        <f>Calc!M47</f>
        <v>187.94765086381409</v>
      </c>
      <c r="N63" s="121">
        <f>Calc!N47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Calc!E48</f>
        <v>Sewerage: Infrastructure enhancements</v>
      </c>
      <c r="F64" s="113"/>
      <c r="G64" s="120"/>
      <c r="H64" s="120"/>
      <c r="I64" s="120"/>
      <c r="J64" s="121">
        <f>Calc!J48</f>
        <v>68.92039812143652</v>
      </c>
      <c r="K64" s="121">
        <f>Calc!K48</f>
        <v>86.37757399223598</v>
      </c>
      <c r="L64" s="121">
        <f>Calc!L48</f>
        <v>89.268178600211527</v>
      </c>
      <c r="M64" s="121">
        <f>Calc!M48</f>
        <v>109.36043929754655</v>
      </c>
      <c r="N64" s="121">
        <f>Calc!N48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Calc!E49</f>
        <v>Sewerage: Non-infrastructure enhancements</v>
      </c>
      <c r="F65" s="113"/>
      <c r="G65" s="120"/>
      <c r="H65" s="120"/>
      <c r="I65" s="120"/>
      <c r="J65" s="121">
        <f>Calc!J49</f>
        <v>122.38754717580109</v>
      </c>
      <c r="K65" s="121">
        <f>Calc!K49</f>
        <v>165.57316086103268</v>
      </c>
      <c r="L65" s="121">
        <f>Calc!L49</f>
        <v>184.71136761473804</v>
      </c>
      <c r="M65" s="121">
        <f>Calc!M49</f>
        <v>203.17718050815677</v>
      </c>
      <c r="N65" s="121">
        <f>Calc!N49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340.74501380201582</v>
      </c>
      <c r="K68" s="121">
        <f>Calc!K68</f>
        <v>407.22785221613924</v>
      </c>
      <c r="L68" s="121">
        <f>Calc!L68</f>
        <v>529.69629156591054</v>
      </c>
      <c r="M68" s="121">
        <f>Calc!M68</f>
        <v>542.01421770275294</v>
      </c>
      <c r="N68" s="121">
        <f>Calc!N68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1.3932488413005999</v>
      </c>
      <c r="K73" s="121">
        <f>Calc!K127</f>
        <v>1.6308212755223499</v>
      </c>
      <c r="L73" s="121">
        <f>Calc!L127</f>
        <v>1.49929659143095</v>
      </c>
      <c r="M73" s="121">
        <f>Calc!M127</f>
        <v>1.2924761425647</v>
      </c>
      <c r="N73" s="121">
        <f>Calc!N127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-2.23738932875133</v>
      </c>
      <c r="K76" s="121">
        <f>Calc!K128</f>
        <v>-2.6739268779090901</v>
      </c>
      <c r="L76" s="121">
        <f>Calc!L128</f>
        <v>-3.4780753414555399</v>
      </c>
      <c r="M76" s="121">
        <f>Calc!M128</f>
        <v>-3.5589569255568101</v>
      </c>
      <c r="N76" s="121">
        <f>Calc!N128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266.34335137778442</v>
      </c>
      <c r="K16" s="121">
        <f>Calc!K55</f>
        <v>316.14599137868066</v>
      </c>
      <c r="L16" s="121">
        <f>Calc!L55</f>
        <v>290.23787137823189</v>
      </c>
      <c r="M16" s="121">
        <f>Calc!M55</f>
        <v>251.31240137823229</v>
      </c>
      <c r="N16" s="121">
        <f>Calc!N55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Calc!E56</f>
        <v>Water: Baseline capex (gross of adjustments)</v>
      </c>
      <c r="F17" s="124"/>
      <c r="G17" s="113"/>
      <c r="H17" s="120"/>
      <c r="I17" s="120"/>
      <c r="J17" s="121">
        <f>Calc!J56</f>
        <v>288.29163225115377</v>
      </c>
      <c r="K17" s="121">
        <f>Calc!K56</f>
        <v>337.45021958271161</v>
      </c>
      <c r="L17" s="121">
        <f>Calc!L56</f>
        <v>310.23507700801508</v>
      </c>
      <c r="M17" s="121">
        <f>Calc!M56</f>
        <v>267.43970333240776</v>
      </c>
      <c r="N17" s="121">
        <f>Calc!N56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Calc!E57</f>
        <v>Water: Allowance capex (gross of adjustments)</v>
      </c>
      <c r="F18" s="124"/>
      <c r="G18" s="113"/>
      <c r="H18" s="286"/>
      <c r="I18" s="120"/>
      <c r="J18" s="121">
        <f>Calc!J57</f>
        <v>283.67808549602842</v>
      </c>
      <c r="K18" s="121">
        <f>Calc!K57</f>
        <v>332.04998526645539</v>
      </c>
      <c r="L18" s="121">
        <f>Calc!L57</f>
        <v>305.27036810654579</v>
      </c>
      <c r="M18" s="121">
        <f>Calc!M57</f>
        <v>263.15985113598322</v>
      </c>
      <c r="N18" s="121">
        <f>Calc!N57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Calc!E94</f>
        <v>Water: CIS bid ratio</v>
      </c>
      <c r="F19" s="124"/>
      <c r="G19" s="301">
        <f>Calc!G94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266.34335137778442</v>
      </c>
      <c r="K24" s="121">
        <f>Calc!K62</f>
        <v>316.14599137868066</v>
      </c>
      <c r="L24" s="121">
        <f>Calc!L62</f>
        <v>290.23787137823189</v>
      </c>
      <c r="M24" s="121">
        <f>Calc!M62</f>
        <v>251.31240137823229</v>
      </c>
      <c r="N24" s="121">
        <f>Calc!N62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288.29163225115377</v>
      </c>
      <c r="K25" s="121">
        <f>Calc!K63</f>
        <v>337.45021958271161</v>
      </c>
      <c r="L25" s="121">
        <f>Calc!L63</f>
        <v>310.23507700801508</v>
      </c>
      <c r="M25" s="121">
        <f>Calc!M63</f>
        <v>267.43970333240776</v>
      </c>
      <c r="N25" s="121">
        <f>Calc!N63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Calc!E64</f>
        <v>Water: Allowance capex (net of adjustments)</v>
      </c>
      <c r="F26" s="113"/>
      <c r="G26" s="113"/>
      <c r="H26" s="120"/>
      <c r="I26" s="120"/>
      <c r="J26" s="121">
        <f>Calc!J64</f>
        <v>284.0667039678151</v>
      </c>
      <c r="K26" s="121">
        <f>Calc!K64</f>
        <v>332.50486974442077</v>
      </c>
      <c r="L26" s="121">
        <f>Calc!L64</f>
        <v>305.68856644473573</v>
      </c>
      <c r="M26" s="121">
        <f>Calc!M64</f>
        <v>263.52036110983352</v>
      </c>
      <c r="N26" s="121">
        <f>Calc!N64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Calc!E106</f>
        <v>Water: Restated CIS bid ratio</v>
      </c>
      <c r="F27" s="113"/>
      <c r="G27" s="301">
        <f>Calc!G106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236.66092545841994</v>
      </c>
      <c r="K30" s="121">
        <f>Calc!K79</f>
        <v>274.48000645516748</v>
      </c>
      <c r="L30" s="121">
        <f>Calc!L79</f>
        <v>252.49281171372024</v>
      </c>
      <c r="M30" s="121">
        <f>Calc!M79</f>
        <v>220.4095535742369</v>
      </c>
      <c r="N30" s="121">
        <f>Calc!N79</f>
        <v>169.77616291818572</v>
      </c>
      <c r="O30" s="113"/>
      <c r="P30" s="113"/>
      <c r="Q30" s="113"/>
      <c r="R30" s="113"/>
      <c r="S30" s="113"/>
      <c r="T30" s="115"/>
      <c r="U30" s="295">
        <f t="shared" ref="U30:U33" si="3">SUM(J30:N30)</f>
        <v>1153.8194601197304</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256.16319738239702</v>
      </c>
      <c r="K31" s="121">
        <f>Calc!K80</f>
        <v>292.9764759800982</v>
      </c>
      <c r="L31" s="121">
        <f>Calc!L80</f>
        <v>269.88940662362933</v>
      </c>
      <c r="M31" s="121">
        <f>Calc!M80</f>
        <v>234.55374783040071</v>
      </c>
      <c r="N31" s="121">
        <f>Calc!N80</f>
        <v>172.07974366500872</v>
      </c>
      <c r="O31" s="113"/>
      <c r="P31" s="113"/>
      <c r="Q31" s="113"/>
      <c r="R31" s="113"/>
      <c r="S31" s="113"/>
      <c r="T31" s="115"/>
      <c r="U31" s="295">
        <f t="shared" si="3"/>
        <v>1225.6625714815339</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252.40911291827183</v>
      </c>
      <c r="K32" s="121">
        <f>Calc!K81</f>
        <v>288.68289107770028</v>
      </c>
      <c r="L32" s="121">
        <f>Calc!L81</f>
        <v>265.93416387685306</v>
      </c>
      <c r="M32" s="121">
        <f>Calc!M81</f>
        <v>231.11635092979131</v>
      </c>
      <c r="N32" s="121">
        <f>Calc!N81</f>
        <v>169.55790641873514</v>
      </c>
      <c r="O32" s="113"/>
      <c r="P32" s="113"/>
      <c r="Q32" s="113"/>
      <c r="R32" s="113"/>
      <c r="S32" s="113"/>
      <c r="T32" s="115"/>
      <c r="U32" s="295">
        <f t="shared" si="3"/>
        <v>1207.7004252213517</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203.58491404496485</v>
      </c>
      <c r="K33" s="121">
        <f>Calc!K82</f>
        <v>206.98890692040311</v>
      </c>
      <c r="L33" s="121">
        <f>Calc!L82</f>
        <v>244.0780388951334</v>
      </c>
      <c r="M33" s="121">
        <f>Calc!M82</f>
        <v>257.60033158588942</v>
      </c>
      <c r="N33" s="121">
        <f>Calc!N82</f>
        <v>218.06568743685364</v>
      </c>
      <c r="O33" s="113"/>
      <c r="P33" s="113"/>
      <c r="Q33" s="113"/>
      <c r="R33" s="113"/>
      <c r="S33" s="113"/>
      <c r="T33" s="115"/>
      <c r="U33" s="295">
        <f t="shared" si="3"/>
        <v>1130.3178788832445</v>
      </c>
    </row>
    <row r="34" spans="1:21" s="117" customFormat="1" ht="17.399999999999999">
      <c r="A34" s="110"/>
      <c r="B34" s="118" t="s">
        <v>145</v>
      </c>
      <c r="C34" s="118"/>
      <c r="D34" s="113"/>
      <c r="E34" s="113" t="str">
        <f>Calc!E116</f>
        <v>Water: CIS outturn ratio</v>
      </c>
      <c r="F34" s="113"/>
      <c r="G34" s="301">
        <f>Calc!G116</f>
        <v>92.220967269724127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32.540251646361988</v>
      </c>
    </row>
    <row r="38" spans="1:21" s="117" customFormat="1" ht="17.399999999999999">
      <c r="A38" s="110"/>
      <c r="B38" s="118" t="s">
        <v>152</v>
      </c>
      <c r="C38" s="119"/>
      <c r="D38" s="113"/>
      <c r="E38" s="113" t="str">
        <f>Calc!E127</f>
        <v>Water: Additional income (applied at FD)</v>
      </c>
      <c r="F38" s="113"/>
      <c r="G38" s="113"/>
      <c r="H38" s="113"/>
      <c r="I38" s="113"/>
      <c r="J38" s="121">
        <f>Calc!J127</f>
        <v>1.3932488413005999</v>
      </c>
      <c r="K38" s="121">
        <f>Calc!K127</f>
        <v>1.6308212755223499</v>
      </c>
      <c r="L38" s="121">
        <f>Calc!L127</f>
        <v>1.49929659143095</v>
      </c>
      <c r="M38" s="121">
        <f>Calc!M127</f>
        <v>1.2924761425647</v>
      </c>
      <c r="N38" s="121">
        <f>Calc!N127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25.741799473758608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375.94922295322203</v>
      </c>
      <c r="K45" s="121">
        <f>Calc!K66</f>
        <v>423.83044586052296</v>
      </c>
      <c r="L45" s="121">
        <f>Calc!L66</f>
        <v>556.52104490051602</v>
      </c>
      <c r="M45" s="121">
        <f>Calc!M66</f>
        <v>570.75789787543613</v>
      </c>
      <c r="N45" s="121">
        <f>Calc!N66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Calc!E67</f>
        <v>Sewerage: Baseline capex (gross of adjustments)</v>
      </c>
      <c r="F46" s="124"/>
      <c r="G46" s="113"/>
      <c r="H46" s="120"/>
      <c r="I46" s="120"/>
      <c r="J46" s="121">
        <f>Calc!J67</f>
        <v>334.15379837672037</v>
      </c>
      <c r="K46" s="121">
        <f>Calc!K67</f>
        <v>399.35062322550021</v>
      </c>
      <c r="L46" s="121">
        <f>Calc!L67</f>
        <v>519.45008919677025</v>
      </c>
      <c r="M46" s="121">
        <f>Calc!M67</f>
        <v>531.52974301421784</v>
      </c>
      <c r="N46" s="121">
        <f>Calc!N67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Calc!E68</f>
        <v>Sewerage: Allowance capex (gross of adjustments)</v>
      </c>
      <c r="F47" s="124"/>
      <c r="G47" s="113"/>
      <c r="H47" s="286"/>
      <c r="I47" s="120"/>
      <c r="J47" s="121">
        <f>Calc!J68</f>
        <v>340.74501380201582</v>
      </c>
      <c r="K47" s="121">
        <f>Calc!K68</f>
        <v>407.22785221613924</v>
      </c>
      <c r="L47" s="121">
        <f>Calc!L68</f>
        <v>529.69629156591054</v>
      </c>
      <c r="M47" s="121">
        <f>Calc!M68</f>
        <v>542.01421770275294</v>
      </c>
      <c r="N47" s="121">
        <f>Calc!N68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Calc!E99</f>
        <v>Sewerage: CIS bid ratio</v>
      </c>
      <c r="F48" s="124"/>
      <c r="G48" s="301">
        <f>Calc!G99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0.28246441316447002</v>
      </c>
      <c r="K50" s="121">
        <f>Calc!K70</f>
        <v>13.0264552418378</v>
      </c>
      <c r="L50" s="121">
        <f>Calc!L70</f>
        <v>21.714323113048199</v>
      </c>
      <c r="M50" s="121">
        <f>Calc!M70</f>
        <v>24.644042771550598</v>
      </c>
      <c r="N50" s="121">
        <f>Calc!N70</f>
        <v>25.447532113894798</v>
      </c>
      <c r="O50" s="113"/>
      <c r="P50" s="113"/>
      <c r="Q50" s="113"/>
      <c r="R50" s="113"/>
      <c r="S50" s="113"/>
      <c r="T50" s="115"/>
      <c r="U50" s="295">
        <f t="shared" ref="U50:U51" si="6">SUM(J50:N50)</f>
        <v>85.114817653495862</v>
      </c>
    </row>
    <row r="51" spans="1:21" s="117" customFormat="1" ht="17.399999999999999">
      <c r="A51" s="110"/>
      <c r="B51" s="118" t="s">
        <v>331</v>
      </c>
      <c r="C51" s="119"/>
      <c r="D51" s="113"/>
      <c r="E51" s="113" t="str">
        <f>Calc!E71</f>
        <v>Sewerage: Adjustments to baseline capex</v>
      </c>
      <c r="F51" s="113"/>
      <c r="G51" s="113"/>
      <c r="H51" s="120"/>
      <c r="I51" s="120"/>
      <c r="J51" s="121">
        <f>Calc!J71</f>
        <v>-0.25087185000408396</v>
      </c>
      <c r="K51" s="121">
        <f>Calc!K71</f>
        <v>8.0982589914362286</v>
      </c>
      <c r="L51" s="121">
        <f>Calc!L71</f>
        <v>13.247889365438461</v>
      </c>
      <c r="M51" s="121">
        <f>Calc!M71</f>
        <v>-4.7143338434357993</v>
      </c>
      <c r="N51" s="121">
        <f>Calc!N71</f>
        <v>19.0084165137119</v>
      </c>
      <c r="O51" s="113"/>
      <c r="P51" s="113"/>
      <c r="Q51" s="113"/>
      <c r="R51" s="113"/>
      <c r="S51" s="113"/>
      <c r="T51" s="115"/>
      <c r="U51" s="295">
        <f t="shared" si="6"/>
        <v>35.389359177146702</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376.2316873663865</v>
      </c>
      <c r="K53" s="121">
        <f>Calc!K73</f>
        <v>436.85690110236078</v>
      </c>
      <c r="L53" s="121">
        <f>Calc!L73</f>
        <v>578.2353680135642</v>
      </c>
      <c r="M53" s="121">
        <f>Calc!M73</f>
        <v>595.40194064698676</v>
      </c>
      <c r="N53" s="121">
        <f>Calc!N73</f>
        <v>413.42517217432282</v>
      </c>
      <c r="O53" s="113"/>
      <c r="P53" s="113"/>
      <c r="Q53" s="113"/>
      <c r="R53" s="113"/>
      <c r="S53" s="113"/>
      <c r="T53" s="115"/>
      <c r="U53" s="295">
        <f t="shared" ref="U53:U55" si="7">SUM(J53:N53)</f>
        <v>2400.1510693036212</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333.90292652671627</v>
      </c>
      <c r="K54" s="121">
        <f>Calc!K74</f>
        <v>407.44888221693645</v>
      </c>
      <c r="L54" s="121">
        <f>Calc!L74</f>
        <v>532.69797856220873</v>
      </c>
      <c r="M54" s="121">
        <f>Calc!M74</f>
        <v>526.815409170782</v>
      </c>
      <c r="N54" s="121">
        <f>Calc!N74</f>
        <v>380.26096506612106</v>
      </c>
      <c r="O54" s="113"/>
      <c r="P54" s="113"/>
      <c r="Q54" s="113"/>
      <c r="R54" s="113"/>
      <c r="S54" s="113"/>
      <c r="T54" s="115"/>
      <c r="U54" s="295">
        <f t="shared" si="7"/>
        <v>2181.1261615427647</v>
      </c>
    </row>
    <row r="55" spans="1:21" s="117" customFormat="1" ht="17.399999999999999">
      <c r="A55" s="110"/>
      <c r="B55" s="118" t="s">
        <v>334</v>
      </c>
      <c r="C55" s="119"/>
      <c r="D55" s="113"/>
      <c r="E55" s="113" t="str">
        <f>Calc!E75</f>
        <v>Sewerage: Allowance capex (net of adjustments)</v>
      </c>
      <c r="F55" s="113"/>
      <c r="G55" s="113"/>
      <c r="H55" s="120"/>
      <c r="I55" s="120"/>
      <c r="J55" s="121">
        <f>Calc!J75</f>
        <v>342.2854147767157</v>
      </c>
      <c r="K55" s="121">
        <f>Calc!K75</f>
        <v>417.67770980819625</v>
      </c>
      <c r="L55" s="121">
        <f>Calc!L75</f>
        <v>546.07113043166055</v>
      </c>
      <c r="M55" s="121">
        <f>Calc!M75</f>
        <v>540.04088168528961</v>
      </c>
      <c r="N55" s="121">
        <f>Calc!N75</f>
        <v>389.80725178111686</v>
      </c>
      <c r="O55" s="113"/>
      <c r="P55" s="113"/>
      <c r="Q55" s="113"/>
      <c r="R55" s="113"/>
      <c r="S55" s="113"/>
      <c r="T55" s="115"/>
      <c r="U55" s="295">
        <f t="shared" si="7"/>
        <v>2235.882388482979</v>
      </c>
    </row>
    <row r="56" spans="1:21" s="117" customFormat="1" ht="17.399999999999999">
      <c r="A56" s="110"/>
      <c r="B56" s="118" t="s">
        <v>335</v>
      </c>
      <c r="C56" s="119"/>
      <c r="D56" s="113"/>
      <c r="E56" s="113" t="str">
        <f>Calc!E110</f>
        <v>Sewerage: Restated CIS bid ratio</v>
      </c>
      <c r="F56" s="113"/>
      <c r="G56" s="301">
        <f>Calc!G110</f>
        <v>110.04182663170363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334.3028420207026</v>
      </c>
      <c r="K59" s="121">
        <f>Calc!K84</f>
        <v>379.28200358211626</v>
      </c>
      <c r="L59" s="121">
        <f>Calc!L84</f>
        <v>503.03660652126996</v>
      </c>
      <c r="M59" s="121">
        <f>Calc!M84</f>
        <v>522.1878236630605</v>
      </c>
      <c r="N59" s="121">
        <f>Calc!N84</f>
        <v>364.33719365782832</v>
      </c>
      <c r="O59" s="113"/>
      <c r="P59" s="113"/>
      <c r="Q59" s="113"/>
      <c r="R59" s="113"/>
      <c r="S59" s="113"/>
      <c r="T59" s="115"/>
      <c r="U59" s="295">
        <f t="shared" ref="U59:U62" si="8">SUM(J59:N59)</f>
        <v>2103.1464694449778</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296.69137673724805</v>
      </c>
      <c r="K60" s="121">
        <f>Calc!K85</f>
        <v>353.74977026704505</v>
      </c>
      <c r="L60" s="121">
        <f>Calc!L85</f>
        <v>463.42129565202896</v>
      </c>
      <c r="M60" s="121">
        <f>Calc!M85</f>
        <v>462.03509462553109</v>
      </c>
      <c r="N60" s="121">
        <f>Calc!N85</f>
        <v>335.11073392355172</v>
      </c>
      <c r="O60" s="113"/>
      <c r="P60" s="113"/>
      <c r="Q60" s="113"/>
      <c r="R60" s="113"/>
      <c r="S60" s="113"/>
      <c r="T60" s="115"/>
      <c r="U60" s="295">
        <f t="shared" si="8"/>
        <v>1911.008271205405</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304.13968515804038</v>
      </c>
      <c r="K61" s="121">
        <f>Calc!K86</f>
        <v>362.6305049271117</v>
      </c>
      <c r="L61" s="121">
        <f>Calc!L86</f>
        <v>475.0552864229719</v>
      </c>
      <c r="M61" s="121">
        <f>Calc!M86</f>
        <v>473.63428542051207</v>
      </c>
      <c r="N61" s="121">
        <f>Calc!N86</f>
        <v>343.52354365475992</v>
      </c>
      <c r="O61" s="113"/>
      <c r="P61" s="113"/>
      <c r="Q61" s="113"/>
      <c r="R61" s="113"/>
      <c r="S61" s="113"/>
      <c r="T61" s="115"/>
      <c r="U61" s="295">
        <f t="shared" si="8"/>
        <v>1958.983305583396</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356.76059745372982</v>
      </c>
      <c r="K62" s="121">
        <f>Calc!K87</f>
        <v>397.72932790281243</v>
      </c>
      <c r="L62" s="121">
        <f>Calc!L87</f>
        <v>426.17236177241989</v>
      </c>
      <c r="M62" s="121">
        <f>Calc!M87</f>
        <v>427.50332309213047</v>
      </c>
      <c r="N62" s="121">
        <f>Calc!N87</f>
        <v>417.02418172311752</v>
      </c>
      <c r="O62" s="113"/>
      <c r="P62" s="113"/>
      <c r="Q62" s="113"/>
      <c r="R62" s="113"/>
      <c r="S62" s="113"/>
      <c r="T62" s="115"/>
      <c r="U62" s="295">
        <f t="shared" si="8"/>
        <v>2025.1897919442104</v>
      </c>
    </row>
    <row r="63" spans="1:21" s="117" customFormat="1" ht="17.399999999999999">
      <c r="A63" s="110"/>
      <c r="B63" s="118" t="s">
        <v>340</v>
      </c>
      <c r="C63" s="118"/>
      <c r="D63" s="113"/>
      <c r="E63" s="113" t="str">
        <f>Calc!E119</f>
        <v>Sewerage: CIS outturn ratio</v>
      </c>
      <c r="F63" s="113"/>
      <c r="G63" s="301">
        <f>Calc!G119</f>
        <v>105.97493597799989</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-29.333289342879439</v>
      </c>
    </row>
    <row r="67" spans="1:24" s="117" customFormat="1" ht="17.399999999999999">
      <c r="A67" s="110"/>
      <c r="B67" s="118" t="s">
        <v>342</v>
      </c>
      <c r="C67" s="119"/>
      <c r="D67" s="113"/>
      <c r="E67" s="113" t="str">
        <f>Calc!E128</f>
        <v>Sewerage: Additional income (applied at FD)</v>
      </c>
      <c r="F67" s="113"/>
      <c r="G67" s="113"/>
      <c r="H67" s="113"/>
      <c r="I67" s="113"/>
      <c r="J67" s="121">
        <f>Calc!J128</f>
        <v>-2.23738932875133</v>
      </c>
      <c r="K67" s="121">
        <f>Calc!K128</f>
        <v>-2.6739268779090901</v>
      </c>
      <c r="L67" s="121">
        <f>Calc!L128</f>
        <v>-3.4780753414555399</v>
      </c>
      <c r="M67" s="121">
        <f>Calc!M128</f>
        <v>-3.5589569255568101</v>
      </c>
      <c r="N67" s="121">
        <f>Calc!N128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-14.966106784297788</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-117.62483464113225</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55.656617508939384</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-14.51013944991533</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-23.206287046730154</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-17.02018314845445</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-27.220638167833602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election activeCell="A3" sqref="A3"/>
    </sheetView>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20"/>
  <sheetViews>
    <sheetView showGridLines="0" zoomScale="70" zoomScaleNormal="70" workbookViewId="0">
      <pane xSplit="6" ySplit="7" topLeftCell="G186" activePane="bottomRight" state="frozen"/>
      <selection activeCell="P219" sqref="P219"/>
      <selection pane="topRight" activeCell="P219" sqref="P219"/>
      <selection pane="bottomLeft" activeCell="P219" sqref="P219"/>
      <selection pane="bottomRight" activeCell="P219" sqref="P219"/>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258.245833333333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2.5870630296610075E-2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0.80772519724423031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117.80275077500001</v>
      </c>
      <c r="N17" s="375">
        <f>IF('Input FD'!N106=0,M17*(1+'Input FD'!N107),'Input FD'!N106)</f>
        <v>121.43339195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1.0584254337376462</v>
      </c>
      <c r="N18" s="377">
        <f t="shared" si="4"/>
        <v>1.0910457497753818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87.703413108736427</v>
      </c>
      <c r="N20" s="375">
        <f>((N17/'Input FD'!$G$117)/(N13/'Input FD'!$G$116))*100</f>
        <v>88.126514343979935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0.87703413108736428</v>
      </c>
      <c r="N21" s="377">
        <f t="shared" si="5"/>
        <v>0.88126514343979934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102.1466765207702</v>
      </c>
      <c r="K39" s="156">
        <f>IF(OR(K$5&lt;4,K$5&gt;8),'Input FD'!K30,'Input FD'!K30*$G$95/100)</f>
        <v>117.80512695168643</v>
      </c>
      <c r="L39" s="156">
        <f>IF(OR(L$5&lt;4,L$5&gt;8),'Input FD'!L30,'Input FD'!L30*$G$95/100)</f>
        <v>94.516303086706671</v>
      </c>
      <c r="M39" s="156">
        <f>IF(OR(M$5&lt;4,M$5&gt;8),'Input FD'!M30,'Input FD'!M30*$G$95/100)</f>
        <v>94.557549336635589</v>
      </c>
      <c r="N39" s="365">
        <f>IF(OR(N$5&lt;4,N$5&gt;8),'Input FD'!N30,'Input FD'!N30*$G$95/100)</f>
        <v>88.336080824679414</v>
      </c>
      <c r="O39" s="157"/>
      <c r="P39" s="158"/>
      <c r="Q39" s="148"/>
      <c r="R39" s="147" t="s">
        <v>242</v>
      </c>
    </row>
    <row r="40" spans="1:23" s="37" customFormat="1">
      <c r="C40" s="131"/>
      <c r="D40" s="153" t="s">
        <v>57</v>
      </c>
      <c r="E40" s="154" t="s">
        <v>61</v>
      </c>
      <c r="F40" s="155"/>
      <c r="G40" s="148"/>
      <c r="H40" s="148"/>
      <c r="I40" s="148"/>
      <c r="J40" s="156">
        <f>IF(OR(J$5&lt;4,J$5&gt;8),'Input FD'!J31,'Input FD'!J31*$G$95/100)</f>
        <v>74.061200194787816</v>
      </c>
      <c r="K40" s="156">
        <f>IF(OR(K$5&lt;4,K$5&gt;8),'Input FD'!K31,'Input FD'!K31*$G$95/100)</f>
        <v>111.88067852815482</v>
      </c>
      <c r="L40" s="156">
        <f>IF(OR(L$5&lt;4,L$5&gt;8),'Input FD'!L31,'Input FD'!L31*$G$95/100)</f>
        <v>109.0133076001446</v>
      </c>
      <c r="M40" s="156">
        <f>IF(OR(M$5&lt;4,M$5&gt;8),'Input FD'!M31,'Input FD'!M31*$G$95/100)</f>
        <v>89.198714760427436</v>
      </c>
      <c r="N40" s="365">
        <f>IF(OR(N$5&lt;4,N$5&gt;8),'Input FD'!N31,'Input FD'!N31*$G$95/100)</f>
        <v>64.782977753005127</v>
      </c>
      <c r="O40" s="157"/>
      <c r="P40" s="158"/>
      <c r="Q40" s="148"/>
      <c r="R40" s="147" t="s">
        <v>242</v>
      </c>
    </row>
    <row r="41" spans="1:23" s="37" customFormat="1">
      <c r="C41" s="131"/>
      <c r="D41" s="153" t="s">
        <v>57</v>
      </c>
      <c r="E41" s="154" t="s">
        <v>63</v>
      </c>
      <c r="F41" s="155"/>
      <c r="G41" s="148"/>
      <c r="H41" s="148"/>
      <c r="I41" s="148"/>
      <c r="J41" s="156">
        <f>IF(OR(J$5&lt;4,J$5&gt;8),'Input FD'!J32,'Input FD'!J32*$G$95/100)</f>
        <v>88.752133367157569</v>
      </c>
      <c r="K41" s="156">
        <f>IF(OR(K$5&lt;4,K$5&gt;8),'Input FD'!K32,'Input FD'!K32*$G$95/100)</f>
        <v>63.976593056935478</v>
      </c>
      <c r="L41" s="156">
        <f>IF(OR(L$5&lt;4,L$5&gt;8),'Input FD'!L32,'Input FD'!L32*$G$95/100)</f>
        <v>54.814173307821846</v>
      </c>
      <c r="M41" s="156">
        <f>IF(OR(M$5&lt;4,M$5&gt;8),'Input FD'!M32,'Input FD'!M32*$G$95/100)</f>
        <v>40.556728148706519</v>
      </c>
      <c r="N41" s="365">
        <f>IF(OR(N$5&lt;4,N$5&gt;8),'Input FD'!N32,'Input FD'!N32*$G$95/100)</f>
        <v>25.049377553052199</v>
      </c>
      <c r="O41" s="157"/>
      <c r="P41" s="158"/>
      <c r="Q41" s="148"/>
      <c r="R41" s="147" t="s">
        <v>242</v>
      </c>
    </row>
    <row r="42" spans="1:23" s="37" customFormat="1">
      <c r="C42" s="131"/>
      <c r="D42" s="153" t="s">
        <v>57</v>
      </c>
      <c r="E42" s="154" t="s">
        <v>62</v>
      </c>
      <c r="F42" s="155"/>
      <c r="G42" s="148"/>
      <c r="H42" s="148"/>
      <c r="I42" s="148"/>
      <c r="J42" s="156">
        <f>IF(OR(J$5&lt;4,J$5&gt;8),'Input FD'!J33,'Input FD'!J33*$G$95/100)</f>
        <v>18.718075413312821</v>
      </c>
      <c r="K42" s="156">
        <f>IF(OR(K$5&lt;4,K$5&gt;8),'Input FD'!K33,'Input FD'!K33*$G$95/100)</f>
        <v>38.387586729678695</v>
      </c>
      <c r="L42" s="156">
        <f>IF(OR(L$5&lt;4,L$5&gt;8),'Input FD'!L33,'Input FD'!L33*$G$95/100)</f>
        <v>46.9265841118727</v>
      </c>
      <c r="M42" s="156">
        <f>IF(OR(M$5&lt;4,M$5&gt;8),'Input FD'!M33,'Input FD'!M33*$G$95/100)</f>
        <v>38.846858890213674</v>
      </c>
      <c r="N42" s="365">
        <f>IF(OR(N$5&lt;4,N$5&gt;8),'Input FD'!N33,'Input FD'!N33*$G$95/100)</f>
        <v>21.899723218493943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62.89706239845075</v>
      </c>
      <c r="K46" s="156">
        <f>IF('Input FD'!$O$151=1,0,IF(OR(K$5&lt;4,K$5&gt;8),'Input FD'!K37,'Input FD'!K37*$G$100/100))</f>
        <v>51.199826826779834</v>
      </c>
      <c r="L46" s="156">
        <f>IF('Input FD'!$O$151=1,0,IF(OR(L$5&lt;4,L$5&gt;8),'Input FD'!L37,'Input FD'!L37*$G$100/100))</f>
        <v>55.871655648098887</v>
      </c>
      <c r="M46" s="156">
        <f>IF('Input FD'!$O$151=1,0,IF(OR(M$5&lt;4,M$5&gt;8),'Input FD'!M37,'Input FD'!M37*$G$100/100))</f>
        <v>41.528947033235525</v>
      </c>
      <c r="N46" s="365">
        <f>IF('Input FD'!$O$151=1,0,IF(OR(N$5&lt;4,N$5&gt;8),'Input FD'!N37,'Input FD'!N37*$G$100/100))</f>
        <v>39.730728353516945</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86.540006106327425</v>
      </c>
      <c r="K47" s="156">
        <f>IF('Input FD'!$O$151=1,0,IF(OR(K$5&lt;4,K$5&gt;8),'Input FD'!K38,'Input FD'!K38*$G$100/100))</f>
        <v>104.07729053609071</v>
      </c>
      <c r="L47" s="156">
        <f>IF('Input FD'!$O$151=1,0,IF(OR(L$5&lt;4,L$5&gt;8),'Input FD'!L38,'Input FD'!L38*$G$100/100))</f>
        <v>199.84508970286214</v>
      </c>
      <c r="M47" s="156">
        <f>IF('Input FD'!$O$151=1,0,IF(OR(M$5&lt;4,M$5&gt;8),'Input FD'!M38,'Input FD'!M38*$G$100/100))</f>
        <v>187.94765086381409</v>
      </c>
      <c r="N47" s="365">
        <f>IF('Input FD'!$O$151=1,0,IF(OR(N$5&lt;4,N$5&gt;8),'Input FD'!N38,'Input FD'!N38*$G$100/100))</f>
        <v>131.98402892724829</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68.92039812143652</v>
      </c>
      <c r="K48" s="156">
        <f>IF('Input FD'!$O$151=1,0,IF(OR(K$5&lt;4,K$5&gt;8),'Input FD'!K39,'Input FD'!K39*$G$100/100))</f>
        <v>86.37757399223598</v>
      </c>
      <c r="L48" s="156">
        <f>IF('Input FD'!$O$151=1,0,IF(OR(L$5&lt;4,L$5&gt;8),'Input FD'!L39,'Input FD'!L39*$G$100/100))</f>
        <v>89.268178600211527</v>
      </c>
      <c r="M48" s="156">
        <f>IF('Input FD'!$O$151=1,0,IF(OR(M$5&lt;4,M$5&gt;8),'Input FD'!M39,'Input FD'!M39*$G$100/100))</f>
        <v>109.36043929754655</v>
      </c>
      <c r="N48" s="365">
        <f>IF('Input FD'!$O$151=1,0,IF(OR(N$5&lt;4,N$5&gt;8),'Input FD'!N39,'Input FD'!N39*$G$100/100))</f>
        <v>77.73897748038172</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122.38754717580109</v>
      </c>
      <c r="K49" s="156">
        <f>IF('Input FD'!$O$151=1,0,IF(OR(K$5&lt;4,K$5&gt;8),'Input FD'!K40,'Input FD'!K40*$G$100/100))</f>
        <v>165.57316086103268</v>
      </c>
      <c r="L49" s="156">
        <f>IF('Input FD'!$O$151=1,0,IF(OR(L$5&lt;4,L$5&gt;8),'Input FD'!L40,'Input FD'!L40*$G$100/100))</f>
        <v>184.71136761473804</v>
      </c>
      <c r="M49" s="156">
        <f>IF('Input FD'!$O$151=1,0,IF(OR(M$5&lt;4,M$5&gt;8),'Input FD'!M40,'Input FD'!M40*$G$100/100))</f>
        <v>203.17718050815677</v>
      </c>
      <c r="N49" s="365">
        <f>IF('Input FD'!$O$151=1,0,IF(OR(N$5&lt;4,N$5&gt;8),'Input FD'!N40,'Input FD'!N40*$G$100/100))</f>
        <v>118.92455463877911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266.34335137778442</v>
      </c>
      <c r="K55" s="156">
        <f>SUM('Input FD'!K10:K13)-'Input FD'!K14-'Input FD'!K17+'Input FD'!K15+'Input FD'!K16</f>
        <v>316.14599137868066</v>
      </c>
      <c r="L55" s="156">
        <f>SUM('Input FD'!L10:L13)-'Input FD'!L14-'Input FD'!L17+'Input FD'!L15+'Input FD'!L16</f>
        <v>290.23787137823189</v>
      </c>
      <c r="M55" s="156">
        <f>SUM('Input FD'!M10:M13)-'Input FD'!M14-'Input FD'!M17+'Input FD'!M15+'Input FD'!M16</f>
        <v>251.31240137823229</v>
      </c>
      <c r="N55" s="365">
        <f>SUM('Input FD'!N10:N13)-'Input FD'!N14-'Input FD'!N17+'Input FD'!N15+'Input FD'!N16</f>
        <v>192.65049137823232</v>
      </c>
      <c r="O55" s="157"/>
      <c r="P55" s="158"/>
      <c r="Q55" s="148"/>
      <c r="R55" s="147" t="s">
        <v>242</v>
      </c>
    </row>
    <row r="56" spans="1:18" s="37" customFormat="1">
      <c r="C56" s="131"/>
      <c r="D56" s="153" t="s">
        <v>57</v>
      </c>
      <c r="E56" s="154" t="s">
        <v>114</v>
      </c>
      <c r="F56" s="155"/>
      <c r="G56" s="148"/>
      <c r="H56" s="148"/>
      <c r="I56" s="148"/>
      <c r="J56" s="156">
        <f>SUM('Input FD'!J30:J35)</f>
        <v>288.29163225115377</v>
      </c>
      <c r="K56" s="156">
        <f>SUM('Input FD'!K30:K35)</f>
        <v>337.45021958271161</v>
      </c>
      <c r="L56" s="156">
        <f>SUM('Input FD'!L30:L35)</f>
        <v>310.23507700801508</v>
      </c>
      <c r="M56" s="156">
        <f>SUM('Input FD'!M30:M35)</f>
        <v>267.43970333240776</v>
      </c>
      <c r="N56" s="365">
        <f>SUM('Input FD'!N30:N35)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3"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si="8"/>
        <v>337.45021958271161</v>
      </c>
      <c r="L63" s="156">
        <f t="shared" si="8"/>
        <v>310.23507700801508</v>
      </c>
      <c r="M63" s="156">
        <f t="shared" si="8"/>
        <v>267.43970333240776</v>
      </c>
      <c r="N63" s="365">
        <f t="shared" si="8"/>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9">K63*$G$107/100</f>
        <v>332.50486974442077</v>
      </c>
      <c r="L64" s="156">
        <f t="shared" si="9"/>
        <v>305.68856644473573</v>
      </c>
      <c r="M64" s="156">
        <f t="shared" si="9"/>
        <v>263.52036110983352</v>
      </c>
      <c r="N64" s="365">
        <f t="shared" si="9"/>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375.94922295322203</v>
      </c>
      <c r="K66" s="156">
        <f>IF('Input FD'!$O$151=1,0,SUM('Input FD'!K19:K22)-'Input FD'!K23-'Input FD'!K26+'Input FD'!K24+'Input FD'!K25)</f>
        <v>423.83044586052296</v>
      </c>
      <c r="L66" s="156">
        <f>IF('Input FD'!$O$151=1,0,SUM('Input FD'!L19:L22)-'Input FD'!L23-'Input FD'!L26+'Input FD'!L24+'Input FD'!L25)</f>
        <v>556.52104490051602</v>
      </c>
      <c r="M66" s="156">
        <f>IF('Input FD'!$O$151=1,0,SUM('Input FD'!M19:M22)-'Input FD'!M23-'Input FD'!M26+'Input FD'!M24+'Input FD'!M25)</f>
        <v>570.75789787543613</v>
      </c>
      <c r="N66" s="365">
        <f>IF('Input FD'!$O$151=1,0,SUM('Input FD'!N19:N22)-'Input FD'!N23-'Input FD'!N26+'Input FD'!N24+'Input FD'!N25)</f>
        <v>387.97764006042803</v>
      </c>
      <c r="O66" s="157"/>
      <c r="P66" s="158"/>
      <c r="Q66" s="148"/>
      <c r="R66" s="147" t="s">
        <v>242</v>
      </c>
    </row>
    <row r="67" spans="1:18" s="37" customFormat="1">
      <c r="C67" s="131"/>
      <c r="D67" s="153" t="s">
        <v>57</v>
      </c>
      <c r="E67" s="154" t="s">
        <v>117</v>
      </c>
      <c r="F67" s="155"/>
      <c r="G67" s="148"/>
      <c r="H67" s="148"/>
      <c r="I67" s="148"/>
      <c r="J67" s="156">
        <f>IF('Input FD'!$O$151=1,0,SUM('Input FD'!J37:J42))</f>
        <v>334.15379837672037</v>
      </c>
      <c r="K67" s="156">
        <f>IF('Input FD'!$O$151=1,0,SUM('Input FD'!K37:K42))</f>
        <v>399.35062322550021</v>
      </c>
      <c r="L67" s="156">
        <f>IF('Input FD'!$O$151=1,0,SUM('Input FD'!L37:L42))</f>
        <v>519.45008919677025</v>
      </c>
      <c r="M67" s="156">
        <f>IF('Input FD'!$O$151=1,0,SUM('Input FD'!M37:M42))</f>
        <v>531.52974301421784</v>
      </c>
      <c r="N67" s="365">
        <f>IF('Input FD'!$O$151=1,0,SUM('Input FD'!N37:N42))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0">SUM(K46:K51)</f>
        <v>407.22785221613924</v>
      </c>
      <c r="L68" s="156">
        <f t="shared" si="10"/>
        <v>529.69629156591054</v>
      </c>
      <c r="M68" s="156">
        <f t="shared" si="10"/>
        <v>542.01421770275294</v>
      </c>
      <c r="N68" s="365">
        <f t="shared" si="10"/>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0.28246441316447002</v>
      </c>
      <c r="K70" s="156">
        <f>'Input FD'!K93+'Input FD'!K90</f>
        <v>13.0264552418378</v>
      </c>
      <c r="L70" s="156">
        <f>'Input FD'!L93+'Input FD'!L90</f>
        <v>21.714323113048199</v>
      </c>
      <c r="M70" s="156">
        <f>'Input FD'!M93+'Input FD'!M90</f>
        <v>24.644042771550598</v>
      </c>
      <c r="N70" s="365">
        <f>'Input FD'!N93+'Input FD'!N90</f>
        <v>25.447532113894798</v>
      </c>
      <c r="P70" s="136"/>
      <c r="Q70" s="131"/>
      <c r="R70" s="147" t="s">
        <v>242</v>
      </c>
    </row>
    <row r="71" spans="1:18" s="37" customFormat="1">
      <c r="C71" s="131"/>
      <c r="D71" s="153" t="s">
        <v>57</v>
      </c>
      <c r="E71" s="132" t="s">
        <v>120</v>
      </c>
      <c r="F71" s="131"/>
      <c r="G71" s="131"/>
      <c r="H71" s="131"/>
      <c r="I71" s="131"/>
      <c r="J71" s="156">
        <f>'Input FD'!J94+'Input FD'!J96+'Input FD'!J91</f>
        <v>-0.25087185000408396</v>
      </c>
      <c r="K71" s="156">
        <f>'Input FD'!K94+'Input FD'!K96+'Input FD'!K91</f>
        <v>8.0982589914362286</v>
      </c>
      <c r="L71" s="156">
        <f>'Input FD'!L94+'Input FD'!L96+'Input FD'!L91</f>
        <v>13.247889365438461</v>
      </c>
      <c r="M71" s="156">
        <f>'Input FD'!M94+'Input FD'!M96+'Input FD'!M91</f>
        <v>-4.7143338434357993</v>
      </c>
      <c r="N71" s="365">
        <f>'Input FD'!N94+'Input FD'!N96+'Input FD'!N91</f>
        <v>19.0084165137119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376.2316873663865</v>
      </c>
      <c r="K73" s="156">
        <f t="shared" si="11"/>
        <v>436.85690110236078</v>
      </c>
      <c r="L73" s="156">
        <f t="shared" si="11"/>
        <v>578.2353680135642</v>
      </c>
      <c r="M73" s="156">
        <f t="shared" si="11"/>
        <v>595.40194064698676</v>
      </c>
      <c r="N73" s="365">
        <f t="shared" si="11"/>
        <v>413.42517217432282</v>
      </c>
      <c r="P73" s="136"/>
      <c r="Q73" s="131"/>
      <c r="R73" s="147" t="s">
        <v>242</v>
      </c>
    </row>
    <row r="74" spans="1:18" s="37" customFormat="1">
      <c r="C74" s="131"/>
      <c r="D74" s="153" t="s">
        <v>57</v>
      </c>
      <c r="E74" s="132" t="s">
        <v>184</v>
      </c>
      <c r="F74" s="131"/>
      <c r="G74" s="131"/>
      <c r="H74" s="131"/>
      <c r="I74" s="131"/>
      <c r="J74" s="156">
        <f t="shared" si="11"/>
        <v>333.90292652671627</v>
      </c>
      <c r="K74" s="156">
        <f t="shared" si="11"/>
        <v>407.44888221693645</v>
      </c>
      <c r="L74" s="156">
        <f t="shared" si="11"/>
        <v>532.69797856220873</v>
      </c>
      <c r="M74" s="156">
        <f t="shared" si="11"/>
        <v>526.815409170782</v>
      </c>
      <c r="N74" s="365">
        <f t="shared" si="11"/>
        <v>380.26096506612106</v>
      </c>
      <c r="P74" s="136"/>
      <c r="Q74" s="131"/>
      <c r="R74" s="147" t="s">
        <v>242</v>
      </c>
    </row>
    <row r="75" spans="1:18" s="37" customFormat="1">
      <c r="C75" s="131"/>
      <c r="D75" s="153" t="s">
        <v>57</v>
      </c>
      <c r="E75" s="132" t="s">
        <v>109</v>
      </c>
      <c r="F75" s="131"/>
      <c r="G75" s="131"/>
      <c r="H75" s="131"/>
      <c r="I75" s="131"/>
      <c r="J75" s="156">
        <f>J74*$G$111/100</f>
        <v>342.2854147767157</v>
      </c>
      <c r="K75" s="156">
        <f t="shared" ref="K75:N75" si="12">K74*$G$111/100</f>
        <v>417.67770980819625</v>
      </c>
      <c r="L75" s="156">
        <f t="shared" si="12"/>
        <v>546.07113043166055</v>
      </c>
      <c r="M75" s="156">
        <f t="shared" si="12"/>
        <v>540.04088168528961</v>
      </c>
      <c r="N75" s="365">
        <f t="shared" si="12"/>
        <v>389.80725178111686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81" si="13">K62*K$21</f>
        <v>274.48000645516748</v>
      </c>
      <c r="L79" s="156">
        <f t="shared" si="13"/>
        <v>252.49281171372024</v>
      </c>
      <c r="M79" s="156">
        <f t="shared" si="13"/>
        <v>220.4095535742369</v>
      </c>
      <c r="N79" s="365">
        <f t="shared" si="13"/>
        <v>169.77616291818572</v>
      </c>
      <c r="P79" s="136"/>
      <c r="Q79" s="131"/>
      <c r="R79" s="147" t="s">
        <v>242</v>
      </c>
    </row>
    <row r="80" spans="1:18" s="37" customFormat="1">
      <c r="C80" s="131"/>
      <c r="D80" s="153" t="s">
        <v>57</v>
      </c>
      <c r="E80" s="132" t="s">
        <v>317</v>
      </c>
      <c r="F80" s="161"/>
      <c r="G80" s="162"/>
      <c r="H80" s="162"/>
      <c r="I80" s="163"/>
      <c r="J80" s="156">
        <f>J63*J$21</f>
        <v>256.16319738239702</v>
      </c>
      <c r="K80" s="156">
        <f t="shared" si="13"/>
        <v>292.9764759800982</v>
      </c>
      <c r="L80" s="156">
        <f t="shared" si="13"/>
        <v>269.88940662362933</v>
      </c>
      <c r="M80" s="156">
        <f t="shared" si="13"/>
        <v>234.55374783040071</v>
      </c>
      <c r="N80" s="365">
        <f t="shared" si="13"/>
        <v>172.07974366500872</v>
      </c>
      <c r="P80" s="136"/>
      <c r="Q80" s="131"/>
      <c r="R80" s="147" t="s">
        <v>242</v>
      </c>
    </row>
    <row r="81" spans="1:18" s="37" customFormat="1">
      <c r="C81" s="131"/>
      <c r="D81" s="153" t="s">
        <v>57</v>
      </c>
      <c r="E81" s="132" t="s">
        <v>318</v>
      </c>
      <c r="F81" s="161"/>
      <c r="G81" s="162"/>
      <c r="H81" s="162"/>
      <c r="I81" s="163"/>
      <c r="J81" s="156">
        <f>J64*J$21</f>
        <v>252.40911291827183</v>
      </c>
      <c r="K81" s="156">
        <f t="shared" si="13"/>
        <v>288.68289107770028</v>
      </c>
      <c r="L81" s="156">
        <f t="shared" si="13"/>
        <v>265.93416387685306</v>
      </c>
      <c r="M81" s="156">
        <f t="shared" si="13"/>
        <v>231.11635092979131</v>
      </c>
      <c r="N81" s="365">
        <f t="shared" si="13"/>
        <v>169.55790641873514</v>
      </c>
      <c r="P81" s="136"/>
      <c r="Q81" s="131"/>
      <c r="R81" s="147" t="s">
        <v>242</v>
      </c>
    </row>
    <row r="82" spans="1:18" s="37" customFormat="1">
      <c r="C82" s="131"/>
      <c r="D82" s="153" t="s">
        <v>57</v>
      </c>
      <c r="E82" s="132" t="s">
        <v>110</v>
      </c>
      <c r="F82" s="164"/>
      <c r="G82" s="164"/>
      <c r="H82" s="164"/>
      <c r="I82" s="164"/>
      <c r="J82" s="156">
        <f>SUM('Input FD'!J65:J70)*J$15</f>
        <v>203.58491404496485</v>
      </c>
      <c r="K82" s="156">
        <f>SUM('Input FD'!K65:K70)*K$15</f>
        <v>206.98890692040311</v>
      </c>
      <c r="L82" s="156">
        <f>SUM('Input FD'!L65:L70)*L$15</f>
        <v>244.0780388951334</v>
      </c>
      <c r="M82" s="156">
        <f>SUM('Input FD'!M65:M70)*M$15</f>
        <v>257.60033158588942</v>
      </c>
      <c r="N82" s="365">
        <f>SUM('Input FD'!N65:N70)*N$15</f>
        <v>218.06568743685364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6" si="14">K73*K$21</f>
        <v>379.28200358211626</v>
      </c>
      <c r="L84" s="156">
        <f t="shared" si="14"/>
        <v>503.03660652126996</v>
      </c>
      <c r="M84" s="156">
        <f t="shared" si="14"/>
        <v>522.1878236630605</v>
      </c>
      <c r="N84" s="365">
        <f t="shared" si="14"/>
        <v>364.33719365782832</v>
      </c>
      <c r="P84" s="136"/>
      <c r="Q84" s="131"/>
      <c r="R84" s="147" t="s">
        <v>242</v>
      </c>
    </row>
    <row r="85" spans="1:18" s="37" customFormat="1">
      <c r="C85" s="131"/>
      <c r="D85" s="153" t="s">
        <v>57</v>
      </c>
      <c r="E85" s="132" t="s">
        <v>320</v>
      </c>
      <c r="F85" s="161"/>
      <c r="G85" s="162"/>
      <c r="H85" s="162"/>
      <c r="I85" s="163"/>
      <c r="J85" s="156">
        <f>J74*J$21</f>
        <v>296.69137673724805</v>
      </c>
      <c r="K85" s="156">
        <f t="shared" si="14"/>
        <v>353.74977026704505</v>
      </c>
      <c r="L85" s="156">
        <f t="shared" si="14"/>
        <v>463.42129565202896</v>
      </c>
      <c r="M85" s="156">
        <f t="shared" si="14"/>
        <v>462.03509462553109</v>
      </c>
      <c r="N85" s="365">
        <f t="shared" si="14"/>
        <v>335.11073392355172</v>
      </c>
      <c r="P85" s="136"/>
      <c r="Q85" s="131"/>
      <c r="R85" s="147" t="s">
        <v>242</v>
      </c>
    </row>
    <row r="86" spans="1:18" s="37" customFormat="1">
      <c r="C86" s="131"/>
      <c r="D86" s="153" t="s">
        <v>57</v>
      </c>
      <c r="E86" s="132" t="s">
        <v>321</v>
      </c>
      <c r="F86" s="161"/>
      <c r="G86" s="162"/>
      <c r="H86" s="162"/>
      <c r="I86" s="163"/>
      <c r="J86" s="156">
        <f>J75*J$21</f>
        <v>304.13968515804038</v>
      </c>
      <c r="K86" s="156">
        <f t="shared" si="14"/>
        <v>362.6305049271117</v>
      </c>
      <c r="L86" s="156">
        <f t="shared" si="14"/>
        <v>475.0552864229719</v>
      </c>
      <c r="M86" s="156">
        <f t="shared" si="14"/>
        <v>473.63428542051207</v>
      </c>
      <c r="N86" s="365">
        <f t="shared" si="14"/>
        <v>343.52354365475992</v>
      </c>
      <c r="P86" s="136"/>
      <c r="Q86" s="131"/>
      <c r="R86" s="147" t="s">
        <v>242</v>
      </c>
    </row>
    <row r="87" spans="1:18" s="37" customFormat="1">
      <c r="C87" s="131"/>
      <c r="D87" s="153" t="s">
        <v>57</v>
      </c>
      <c r="E87" s="132" t="s">
        <v>111</v>
      </c>
      <c r="F87" s="131"/>
      <c r="G87" s="132"/>
      <c r="H87" s="132"/>
      <c r="I87" s="131"/>
      <c r="J87" s="156">
        <f>IF('Input FD'!$O$151=1,0,SUM('Input FD'!J72:J77)*J$15)</f>
        <v>356.76059745372982</v>
      </c>
      <c r="K87" s="156">
        <f>IF('Input FD'!$O$151=1,0,SUM('Input FD'!K72:K77)*K$15)</f>
        <v>397.72932790281243</v>
      </c>
      <c r="L87" s="156">
        <f>IF('Input FD'!$O$151=1,0,SUM('Input FD'!L72:L77)*L$15)</f>
        <v>426.17236177241989</v>
      </c>
      <c r="M87" s="156">
        <f>IF('Input FD'!$O$151=1,0,SUM('Input FD'!M72:M77)*M$15)</f>
        <v>427.50332309213047</v>
      </c>
      <c r="N87" s="365">
        <f>IF('Input FD'!$O$151=1,0,SUM('Input FD'!N72:N77)*N$15)</f>
        <v>417.02418172311752</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110.04182663170363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102.51045665792591</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0.24979086684148188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92.220967269724127</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2.6549110989844933</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105.97493597799989</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-1.5349640179410058</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32.540251646361988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-29.333289342879439</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1.3932488413005999</v>
      </c>
      <c r="K127" s="156">
        <f>IF('Input FD'!K49&lt;&gt;"",'Input FD'!K49,K56*$G$97/100)</f>
        <v>1.6308212755223499</v>
      </c>
      <c r="L127" s="156">
        <f>IF('Input FD'!L49&lt;&gt;"",'Input FD'!L49,L56*$G$97/100)</f>
        <v>1.49929659143095</v>
      </c>
      <c r="M127" s="156">
        <f>IF('Input FD'!M49&lt;&gt;"",'Input FD'!M49,M56*$G$97/100)</f>
        <v>1.2924761425647</v>
      </c>
      <c r="N127" s="365">
        <f>IF('Input FD'!N49&lt;&gt;"",'Input FD'!N49,N56*$G$97/100)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-2.23738932875133</v>
      </c>
      <c r="K128" s="156">
        <f>IF('Input FD'!K50&lt;&gt;"",'Input FD'!K50,K67*$G$102/100)</f>
        <v>-2.6739268779090901</v>
      </c>
      <c r="L128" s="156">
        <f>IF('Input FD'!L50&lt;&gt;"",'Input FD'!L50,L67*$G$102/100)</f>
        <v>-3.4780753414555399</v>
      </c>
      <c r="M128" s="156">
        <f>IF('Input FD'!M50&lt;&gt;"",'Input FD'!M50,M67*$G$102/100)</f>
        <v>-3.5589569255568101</v>
      </c>
      <c r="N128" s="365">
        <f>IF('Input FD'!N50&lt;&gt;"",'Input FD'!N50,N67*$G$102/100)</f>
        <v>-2.4188340849088799</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25.741799473758604</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-14.966106784297789</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282.49826918712654</v>
      </c>
      <c r="K138" s="156">
        <f>(K57+'Input FD'!K83)*K$29</f>
        <v>340.57865849517219</v>
      </c>
      <c r="L138" s="156">
        <f>(L57+'Input FD'!L83)*L$29</f>
        <v>321.56521199201211</v>
      </c>
      <c r="M138" s="156">
        <f>(M57+'Input FD'!M83)*M$29</f>
        <v>284.13707556775717</v>
      </c>
      <c r="N138" s="365">
        <f>(N57+'Input FD'!N83)*N$29</f>
        <v>221.41656868622596</v>
      </c>
      <c r="O138" s="104"/>
      <c r="P138" s="136"/>
      <c r="Q138" s="104"/>
      <c r="R138" s="147" t="s">
        <v>87</v>
      </c>
      <c r="S138" s="147"/>
    </row>
    <row r="139" spans="1:19" s="37" customFormat="1">
      <c r="C139" s="104"/>
      <c r="D139" s="104" t="s">
        <v>57</v>
      </c>
      <c r="E139" s="104" t="s">
        <v>110</v>
      </c>
      <c r="F139" s="104"/>
      <c r="G139" s="104"/>
      <c r="H139" s="104"/>
      <c r="I139" s="104"/>
      <c r="J139" s="156">
        <f>SUM('Input FD'!J65:J70)</f>
        <v>221.03900000000002</v>
      </c>
      <c r="K139" s="156">
        <f>SUM('Input FD'!K65:K70)</f>
        <v>235.518</v>
      </c>
      <c r="L139" s="156">
        <f>SUM('Input FD'!L65:L70)</f>
        <v>286.3</v>
      </c>
      <c r="M139" s="156">
        <f>SUM('Input FD'!M65:M70)</f>
        <v>310.87814376359415</v>
      </c>
      <c r="N139" s="365">
        <f>SUM('Input FD'!N65:N70)</f>
        <v>269.9750957142885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-67.675411872748526</v>
      </c>
      <c r="K140" s="672">
        <f>(K$139*K$15)-(K$138*K$26)</f>
        <v>-110.52588124821511</v>
      </c>
      <c r="L140" s="672">
        <f>(L$139*L$15)-(L$138*L$26)</f>
        <v>-47.829386385207073</v>
      </c>
      <c r="M140" s="672">
        <f>(M$139*M$15)-(M$138*M$26)</f>
        <v>5.9600723012040078</v>
      </c>
      <c r="N140" s="673">
        <f>(N$139*N$15)-(N$138*N$26)</f>
        <v>26.755336424247361</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339.32785630901577</v>
      </c>
      <c r="K142" s="156">
        <f>(K68+'Input FD'!K91)*K$29</f>
        <v>417.6874620197554</v>
      </c>
      <c r="L142" s="156">
        <f>(L68+'Input FD'!L91)*L$29</f>
        <v>557.97063221453993</v>
      </c>
      <c r="M142" s="156">
        <f>(M68+'Input FD'!M91)*M$29</f>
        <v>585.21972128121411</v>
      </c>
      <c r="N142" s="365">
        <f>(N68+'Input FD'!N91)*N$29</f>
        <v>407.68634590702948</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387.34699999999998</v>
      </c>
      <c r="K143" s="156">
        <f>IF('Input FD'!$O$151=1,0,SUM('Input FD'!K72:K77))</f>
        <v>452.54799999999994</v>
      </c>
      <c r="L143" s="156">
        <f>IF('Input FD'!$O$151=1,0,SUM('Input FD'!L72:L77))</f>
        <v>499.89400000000001</v>
      </c>
      <c r="M143" s="156">
        <f>IF('Input FD'!$O$151=1,0,SUM('Input FD'!M72:M77))</f>
        <v>515.92107322787899</v>
      </c>
      <c r="N143" s="365">
        <f>IF('Input FD'!$O$151=1,0,SUM('Input FD'!N72:N77))</f>
        <v>516.29462983933968</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30.931398003409186</v>
      </c>
      <c r="K144" s="672">
        <f>(K$143*K$15)-(K$142*K$26)</f>
        <v>8.3275180246683362</v>
      </c>
      <c r="L144" s="672">
        <f>(L$143*L$15)-(L$142*L$26)</f>
        <v>-80.336938853781191</v>
      </c>
      <c r="M144" s="672">
        <f>(M$143*M$15)-(M$142*M$26)</f>
        <v>-90.784697249651117</v>
      </c>
      <c r="N144" s="673">
        <f>(N$143*N$15)-(N$142*N$26)</f>
        <v>64.771329096499358</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2867.40088440411</v>
      </c>
      <c r="J148" s="156">
        <f>'Input FD'!J$54</f>
        <v>2914.37304229662</v>
      </c>
      <c r="K148" s="156">
        <f>'Input FD'!K$54</f>
        <v>3016.39800363107</v>
      </c>
      <c r="L148" s="156">
        <f>'Input FD'!L$54</f>
        <v>3091.1413005823201</v>
      </c>
      <c r="M148" s="156">
        <f>'Input FD'!M$54</f>
        <v>3124.1710249800299</v>
      </c>
      <c r="N148" s="365">
        <f>'Input FD'!N$54</f>
        <v>3098.6894026936502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-193.31527078071935</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2905.3741319129308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4386.8190647615502</v>
      </c>
      <c r="J152" s="156">
        <f>'Input FD'!J$55</f>
        <v>4424.3880377428904</v>
      </c>
      <c r="K152" s="156">
        <f>'Input FD'!K$55</f>
        <v>4540.9914889670299</v>
      </c>
      <c r="L152" s="156">
        <f>'Input FD'!L$55</f>
        <v>4763.56972769604</v>
      </c>
      <c r="M152" s="156">
        <f>'Input FD'!M$55</f>
        <v>4987.76281366284</v>
      </c>
      <c r="N152" s="365">
        <f>'Input FD'!N$55</f>
        <v>5036.0908804693399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-67.091390978855429</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4968.9994894904848</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271.26032591771337</v>
      </c>
      <c r="L161" s="360">
        <f t="shared" si="16"/>
        <v>588.77511408633154</v>
      </c>
      <c r="M161" s="360">
        <f t="shared" si="16"/>
        <v>880.68253936667202</v>
      </c>
      <c r="N161" s="363">
        <f t="shared" si="16"/>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17">K161+K138*K$26</f>
        <v>588.77511408633154</v>
      </c>
      <c r="L162" s="360">
        <f t="shared" si="17"/>
        <v>880.68253936667202</v>
      </c>
      <c r="M162" s="360">
        <f t="shared" si="17"/>
        <v>1132.3227986513575</v>
      </c>
      <c r="N162" s="363">
        <f t="shared" si="17"/>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18">(K162+K161)/2</f>
        <v>430.01772000202243</v>
      </c>
      <c r="L163" s="360">
        <f t="shared" si="18"/>
        <v>734.72882672650178</v>
      </c>
      <c r="M163" s="360">
        <f t="shared" si="18"/>
        <v>1006.5026690090148</v>
      </c>
      <c r="N163" s="363">
        <f t="shared" si="18"/>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325.82919945032063</v>
      </c>
      <c r="L165" s="156">
        <f t="shared" si="19"/>
        <v>715.23100932846478</v>
      </c>
      <c r="M165" s="156">
        <f t="shared" si="19"/>
        <v>1221.7403099546659</v>
      </c>
      <c r="N165" s="365">
        <f t="shared" si="19"/>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0">K165+K142*K$26</f>
        <v>715.23100932846478</v>
      </c>
      <c r="L166" s="156">
        <f t="shared" si="20"/>
        <v>1221.7403099546659</v>
      </c>
      <c r="M166" s="156">
        <f t="shared" si="20"/>
        <v>1740.0283302964476</v>
      </c>
      <c r="N166" s="365">
        <f t="shared" si="20"/>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N167" si="21">(K166+K165)/2</f>
        <v>520.5301043893927</v>
      </c>
      <c r="L167" s="156">
        <f t="shared" si="21"/>
        <v>968.48565964156535</v>
      </c>
      <c r="M167" s="156">
        <f t="shared" si="21"/>
        <v>1480.8843201255568</v>
      </c>
      <c r="N167" s="365">
        <f t="shared" si="21"/>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203.58491404496485</v>
      </c>
      <c r="L171" s="360">
        <f t="shared" si="22"/>
        <v>410.57382096536799</v>
      </c>
      <c r="M171" s="360">
        <f t="shared" si="22"/>
        <v>654.65185986050142</v>
      </c>
      <c r="N171" s="363">
        <f t="shared" si="22"/>
        <v>912.25219144639084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23">K171+K139*K$15</f>
        <v>410.57382096536799</v>
      </c>
      <c r="L172" s="360">
        <f t="shared" si="23"/>
        <v>654.65185986050142</v>
      </c>
      <c r="M172" s="360">
        <f t="shared" si="23"/>
        <v>912.25219144639084</v>
      </c>
      <c r="N172" s="363">
        <f t="shared" si="23"/>
        <v>1130.3178788832445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N173" si="24">(K172+K171)/2</f>
        <v>307.07936750516643</v>
      </c>
      <c r="L173" s="360">
        <f t="shared" si="24"/>
        <v>532.6128404129347</v>
      </c>
      <c r="M173" s="360">
        <f t="shared" si="24"/>
        <v>783.45202565344607</v>
      </c>
      <c r="N173" s="363">
        <f t="shared" si="24"/>
        <v>1021.2850351648176</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356.76059745372982</v>
      </c>
      <c r="L175" s="360">
        <f t="shared" si="25"/>
        <v>754.48992535654224</v>
      </c>
      <c r="M175" s="360">
        <f t="shared" si="25"/>
        <v>1180.6622871289621</v>
      </c>
      <c r="N175" s="363">
        <f t="shared" si="25"/>
        <v>1608.1656102210927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26">K175+K143*K$15</f>
        <v>754.48992535654224</v>
      </c>
      <c r="L176" s="360">
        <f t="shared" si="26"/>
        <v>1180.6622871289621</v>
      </c>
      <c r="M176" s="360">
        <f t="shared" si="26"/>
        <v>1608.1656102210927</v>
      </c>
      <c r="N176" s="363">
        <f t="shared" si="26"/>
        <v>2025.1897919442104</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N177" si="27">(K176+K175)/2</f>
        <v>555.62526140513603</v>
      </c>
      <c r="L177" s="360">
        <f t="shared" si="27"/>
        <v>967.57610624275219</v>
      </c>
      <c r="M177" s="360">
        <f t="shared" si="27"/>
        <v>1394.4139486750273</v>
      </c>
      <c r="N177" s="363">
        <f t="shared" si="27"/>
        <v>1816.6777010826515</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5.9600723012040078</v>
      </c>
      <c r="N181" s="365">
        <f>(N$139*N$15)-(N$138*N$26)</f>
        <v>26.755336424247361</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-90.784697249651117</v>
      </c>
      <c r="N182" s="365">
        <f>(N$143*N$15)-(N$142*N$26)</f>
        <v>64.771329096499358</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-1.7257230027550874</v>
      </c>
      <c r="K184" s="156">
        <f>(K173-K163)*'Input FD'!$O$59</f>
        <v>-6.2698559773396552</v>
      </c>
      <c r="L184" s="156">
        <f>(L173-L163)*'Input FD'!$O$59</f>
        <v>-10.307915301991921</v>
      </c>
      <c r="M184" s="156">
        <f>(M173-M163)*'Input FD'!$O$59</f>
        <v>-11.375582811134002</v>
      </c>
      <c r="N184" s="365">
        <f>(N173-N163)*'Input FD'!$O$59</f>
        <v>-10.541339888635003</v>
      </c>
      <c r="O184" s="157"/>
      <c r="P184" s="158"/>
      <c r="Q184" s="148"/>
      <c r="R184" s="147" t="s">
        <v>242</v>
      </c>
    </row>
    <row r="185" spans="1:24" s="37" customFormat="1">
      <c r="C185" s="131"/>
      <c r="D185" s="153" t="s">
        <v>57</v>
      </c>
      <c r="E185" s="154" t="s">
        <v>249</v>
      </c>
      <c r="F185" s="155"/>
      <c r="G185" s="148"/>
      <c r="H185" s="148"/>
      <c r="I185" s="148"/>
      <c r="J185" s="156">
        <f>(J177-J167)*'Input FD'!$O$59</f>
        <v>0.78875064908693415</v>
      </c>
      <c r="K185" s="156">
        <f>(K177-K167)*'Input FD'!$O$59</f>
        <v>1.7898530078029096</v>
      </c>
      <c r="L185" s="156">
        <f>(L177-L167)*'Input FD'!$O$59</f>
        <v>-4.6387223339471116E-2</v>
      </c>
      <c r="M185" s="156">
        <f>(M177-M167)*'Input FD'!$O$59</f>
        <v>-4.4099889439770017</v>
      </c>
      <c r="N185" s="365">
        <f>(N177-N167)*'Input FD'!$O$59</f>
        <v>-5.0733298318823659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5.3058167021728648</v>
      </c>
      <c r="K187" s="156">
        <f>$P$130*K63/SUM($J$63:$N$63)</f>
        <v>6.2105479691968632</v>
      </c>
      <c r="L187" s="156">
        <f>$P$130*L63/SUM($J$63:$N$63)</f>
        <v>5.7096712809028247</v>
      </c>
      <c r="M187" s="156">
        <f>$P$130*M63/SUM($J$63:$N$63)</f>
        <v>4.9220507500857797</v>
      </c>
      <c r="N187" s="365">
        <f>$P$130*N63/SUM($J$63:$N$63)</f>
        <v>3.5937127714002748</v>
      </c>
      <c r="O187" s="157"/>
      <c r="P187" s="158"/>
      <c r="Q187" s="148"/>
      <c r="R187" s="147" t="s">
        <v>242</v>
      </c>
    </row>
    <row r="188" spans="1:24" s="37" customFormat="1">
      <c r="C188" s="131"/>
      <c r="D188" s="153" t="s">
        <v>57</v>
      </c>
      <c r="E188" s="154" t="s">
        <v>245</v>
      </c>
      <c r="F188" s="155"/>
      <c r="G188" s="148"/>
      <c r="H188" s="148"/>
      <c r="I188" s="148"/>
      <c r="J188" s="156">
        <f>IF(SUM($J$74:$N$74)=0,0,$P$131*J74/SUM($J$74:$N$74))</f>
        <v>-2.2911223303349457</v>
      </c>
      <c r="K188" s="156">
        <f>IF(SUM($J$74:$N$74)=0,0,$P$131*K74/SUM($J$74:$N$74))</f>
        <v>-2.7957683456917644</v>
      </c>
      <c r="L188" s="156">
        <f>IF(SUM($J$74:$N$74)=0,0,$P$131*L74/SUM($J$74:$N$74))</f>
        <v>-3.6551828002936353</v>
      </c>
      <c r="M188" s="156">
        <f>IF(SUM($J$74:$N$74)=0,0,$P$131*M74/SUM($J$74:$N$74))</f>
        <v>-3.6148187153404465</v>
      </c>
      <c r="N188" s="365">
        <f>IF(SUM($J$74:$N$74)=0,0,$P$131*N74/SUM($J$74:$N$74))</f>
        <v>-2.6092145926369956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3.5800936994177777</v>
      </c>
      <c r="K190" s="156">
        <f t="shared" ref="K190:N191" si="28">K187+K184</f>
        <v>-5.9308008142791913E-2</v>
      </c>
      <c r="L190" s="156">
        <f t="shared" si="28"/>
        <v>-4.598244021089096</v>
      </c>
      <c r="M190" s="156">
        <f t="shared" si="28"/>
        <v>-6.4535320610482225</v>
      </c>
      <c r="N190" s="365">
        <f t="shared" si="28"/>
        <v>-6.9476271172347275</v>
      </c>
      <c r="O190" s="157"/>
      <c r="P190" s="158"/>
      <c r="Q190" s="148"/>
      <c r="R190" s="147" t="s">
        <v>242</v>
      </c>
    </row>
    <row r="191" spans="1:24" s="37" customFormat="1">
      <c r="C191" s="131"/>
      <c r="D191" s="153" t="s">
        <v>57</v>
      </c>
      <c r="E191" s="154" t="s">
        <v>406</v>
      </c>
      <c r="F191" s="155"/>
      <c r="G191" s="148"/>
      <c r="H191" s="148"/>
      <c r="I191" s="148"/>
      <c r="J191" s="156">
        <f>J188+J185</f>
        <v>-1.5023716812480115</v>
      </c>
      <c r="K191" s="156">
        <f t="shared" si="28"/>
        <v>-1.0059153378888548</v>
      </c>
      <c r="L191" s="156">
        <f t="shared" si="28"/>
        <v>-3.7015700236331064</v>
      </c>
      <c r="M191" s="156">
        <f t="shared" si="28"/>
        <v>-8.0248076593174478</v>
      </c>
      <c r="N191" s="365">
        <f t="shared" si="28"/>
        <v>-7.6825444245193619</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4.3682275884628794</v>
      </c>
      <c r="K193" s="156">
        <f>IF('Input FD'!$O$156=0,(K190/(1+'Input FD'!$O$60)^K$6),(K190/(1+'Input FD'!$O$59)^K$6))</f>
        <v>-6.8852781042765432E-2</v>
      </c>
      <c r="L193" s="156">
        <f>IF('Input FD'!$O$156=0,(L190/(1+'Input FD'!$O$60)^L$6),(L190/(1+'Input FD'!$O$59)^L$6))</f>
        <v>-5.0792249439390362</v>
      </c>
      <c r="M193" s="156">
        <f>IF('Input FD'!$O$156=0,(M190/(1+'Input FD'!$O$60)^M$6),(M190/(1+'Input FD'!$O$59)^M$6))</f>
        <v>-6.7826621961616809</v>
      </c>
      <c r="N193" s="664">
        <f>IF('Input FD'!$O$156=0,(N190/(1+'Input FD'!$O$60)^N$6),(N190/(1+'Input FD'!$O$59)^N$6))</f>
        <v>-6.9476271172347275</v>
      </c>
      <c r="O193" s="109"/>
      <c r="P193" s="622">
        <f>SUM(J193:N193)</f>
        <v>-14.51013944991533</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-1.8331088449501196</v>
      </c>
      <c r="K194" s="156">
        <f>IF('Input FD'!$O$156=0,(K191/(1+'Input FD'!$O$60)^K$6),(K191/(1+'Input FD'!$O$59)^K$6))</f>
        <v>-1.1678029776428827</v>
      </c>
      <c r="L194" s="156">
        <f>IF('Input FD'!$O$156=0,(L191/(1+'Input FD'!$O$60)^L$6),(L191/(1+'Input FD'!$O$59)^L$6))</f>
        <v>-4.0887579496751529</v>
      </c>
      <c r="M194" s="156">
        <f>IF('Input FD'!$O$156=0,(M191/(1+'Input FD'!$O$60)^M$6),(M191/(1+'Input FD'!$O$59)^M$6))</f>
        <v>-8.4340728499426376</v>
      </c>
      <c r="N194" s="664">
        <f>IF('Input FD'!$O$156=0,(N191/(1+'Input FD'!$O$60)^N$6),(N191/(1+'Input FD'!$O$59)^N$6))</f>
        <v>-7.6825444245193619</v>
      </c>
      <c r="O194" s="368"/>
      <c r="P194" s="622">
        <f>SUM(J194:N194)</f>
        <v>-23.206287046730154</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5.1238676131540251</v>
      </c>
      <c r="K196" s="156">
        <f t="shared" ref="K196:N197" si="29">K193*$L$13/$G$13</f>
        <v>-8.0763313658928235E-2</v>
      </c>
      <c r="L196" s="156">
        <f t="shared" si="29"/>
        <v>-5.9578572002314658</v>
      </c>
      <c r="M196" s="156">
        <f t="shared" si="29"/>
        <v>-7.9559643938117848</v>
      </c>
      <c r="N196" s="365">
        <f t="shared" si="29"/>
        <v>-8.1494658539062961</v>
      </c>
      <c r="O196" s="109"/>
      <c r="P196" s="622">
        <f>P193*$L$13/$G$13</f>
        <v>-17.02018314845445</v>
      </c>
      <c r="Q196" s="104"/>
      <c r="R196" s="160" t="s">
        <v>413</v>
      </c>
    </row>
    <row r="197" spans="1:20" s="37" customFormat="1">
      <c r="A197" s="109"/>
      <c r="B197" s="109"/>
      <c r="C197" s="131"/>
      <c r="D197" s="104" t="s">
        <v>57</v>
      </c>
      <c r="E197" s="177" t="s">
        <v>412</v>
      </c>
      <c r="F197" s="104"/>
      <c r="G197" s="104"/>
      <c r="H197" s="131"/>
      <c r="I197" s="131"/>
      <c r="J197" s="156">
        <f>J194*$L$13/$G$13</f>
        <v>-2.1502100913499409</v>
      </c>
      <c r="K197" s="156">
        <f t="shared" si="29"/>
        <v>-1.3698159572758828</v>
      </c>
      <c r="L197" s="156">
        <f t="shared" si="29"/>
        <v>-4.7960537797296139</v>
      </c>
      <c r="M197" s="156">
        <f t="shared" si="29"/>
        <v>-9.8930451419106475</v>
      </c>
      <c r="N197" s="365">
        <f t="shared" si="29"/>
        <v>-9.0115131975675222</v>
      </c>
      <c r="O197" s="368"/>
      <c r="P197" s="622">
        <f>P194*$L$13/$G$13</f>
        <v>-27.220638167833602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-226.75600916434388</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38.169243281883773</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30.194757474692391</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-47.177965842525772</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-16.98320836783337</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-17.02018314845445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-78.697228657671332</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-34.40752300732219</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-17.555026219238808</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-8.1535422425206381</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-25.708568461759448</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-27.220638167833602</v>
      </c>
      <c r="Q215" s="104"/>
      <c r="R215" s="147" t="s">
        <v>413</v>
      </c>
      <c r="S215" s="659"/>
    </row>
    <row r="216" spans="1:20" s="37" customForma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827</v>
      </c>
      <c r="G217" s="104"/>
      <c r="H217" s="104"/>
      <c r="I217" s="104"/>
      <c r="J217" s="156">
        <f xml:space="preserve"> J57 * J$32</f>
        <v>271.26032591771343</v>
      </c>
      <c r="K217" s="156">
        <f t="shared" ref="K217:N217" si="30" xml:space="preserve"> K57 * K$32</f>
        <v>317.51478816861828</v>
      </c>
      <c r="L217" s="156">
        <f t="shared" si="30"/>
        <v>291.90742528034053</v>
      </c>
      <c r="M217" s="156">
        <f t="shared" si="30"/>
        <v>251.64025928468547</v>
      </c>
      <c r="N217" s="704">
        <f t="shared" si="30"/>
        <v>191.31035101260633</v>
      </c>
      <c r="O217" s="109"/>
      <c r="P217" s="622">
        <f>SUM(J217:N217)*$L$13/$G$13</f>
        <v>1552.6024892047296</v>
      </c>
      <c r="Q217" s="104"/>
      <c r="R217" s="147" t="s">
        <v>413</v>
      </c>
      <c r="S217" s="659"/>
    </row>
    <row r="218" spans="1:20" s="37" customFormat="1">
      <c r="A218" s="109"/>
      <c r="B218" s="109"/>
      <c r="C218" s="104"/>
      <c r="D218" s="104" t="s">
        <v>57</v>
      </c>
      <c r="E218" s="132" t="s">
        <v>828</v>
      </c>
      <c r="G218" s="104"/>
      <c r="H218" s="104"/>
      <c r="I218" s="104"/>
      <c r="J218" s="156">
        <f xml:space="preserve"> J68 * J$32</f>
        <v>325.82919945032074</v>
      </c>
      <c r="K218" s="156">
        <f t="shared" ref="K218:N218" si="31" xml:space="preserve"> K68 * K$32</f>
        <v>389.40180987814415</v>
      </c>
      <c r="L218" s="156">
        <f t="shared" si="31"/>
        <v>506.5093006262012</v>
      </c>
      <c r="M218" s="156">
        <f t="shared" si="31"/>
        <v>518.2880203417817</v>
      </c>
      <c r="N218" s="704">
        <f t="shared" si="31"/>
        <v>352.25285262661828</v>
      </c>
      <c r="O218" s="109"/>
      <c r="P218" s="622">
        <f>SUM(J218:N218)*$L$13/$G$13</f>
        <v>2454.2154852704261</v>
      </c>
      <c r="Q218" s="104"/>
      <c r="R218" s="147" t="s">
        <v>413</v>
      </c>
      <c r="S218" s="659"/>
    </row>
    <row r="219" spans="1:20" s="37" customFormat="1" ht="13.2" customHeight="1">
      <c r="A219" s="209"/>
      <c r="B219" s="209"/>
      <c r="C219" s="599"/>
      <c r="D219" s="209"/>
      <c r="E219" s="210"/>
      <c r="F219" s="209"/>
      <c r="G219" s="209"/>
      <c r="H219" s="209"/>
      <c r="I219" s="209"/>
      <c r="J219" s="211"/>
      <c r="K219" s="211"/>
      <c r="L219" s="211"/>
      <c r="M219" s="211"/>
      <c r="N219" s="212"/>
      <c r="O219" s="109"/>
      <c r="P219" s="188"/>
      <c r="Q219" s="131"/>
      <c r="R219" s="147"/>
    </row>
    <row r="220" spans="1:20">
      <c r="E220"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-17.02018314845445</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-27.220638167833602</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-17.02018314845445</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-27.220638167833602</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-17.02018314845445</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-27.220638167833602</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-17.02018314845445</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-27.220638167833602</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-17.02018314845445</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-27.220638167833602</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-3.6489730179876658</v>
      </c>
      <c r="S47" s="616">
        <f t="shared" si="8"/>
        <v>-3.6489730179876658</v>
      </c>
      <c r="T47" s="616">
        <f t="shared" si="8"/>
        <v>-3.6489730179876658</v>
      </c>
      <c r="U47" s="616">
        <f t="shared" si="8"/>
        <v>-3.6489730179876658</v>
      </c>
      <c r="V47" s="623">
        <f t="shared" si="8"/>
        <v>-3.6489730179876658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-5.8358581303427188</v>
      </c>
      <c r="S48" s="616">
        <f t="shared" si="8"/>
        <v>-5.8358581303427188</v>
      </c>
      <c r="T48" s="616">
        <f t="shared" si="8"/>
        <v>-5.8358581303427188</v>
      </c>
      <c r="U48" s="616">
        <f t="shared" si="8"/>
        <v>-5.8358581303427188</v>
      </c>
      <c r="V48" s="623">
        <f t="shared" si="8"/>
        <v>-5.8358581303427188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-3.6489730179876658</v>
      </c>
      <c r="S52" s="616">
        <f t="shared" ref="S52:V52" si="9">S47*S51</f>
        <v>-3.5221747277873221</v>
      </c>
      <c r="T52" s="616">
        <f t="shared" si="9"/>
        <v>-3.3997825557792685</v>
      </c>
      <c r="U52" s="616">
        <f t="shared" si="9"/>
        <v>-3.2816433936093325</v>
      </c>
      <c r="V52" s="621">
        <f t="shared" si="9"/>
        <v>-3.1676094532908614</v>
      </c>
    </row>
    <row r="53" spans="1:22" s="37" customFormat="1">
      <c r="C53" s="131"/>
      <c r="D53" s="104" t="s">
        <v>57</v>
      </c>
      <c r="E53" s="644" t="s">
        <v>412</v>
      </c>
      <c r="F53" s="131"/>
      <c r="G53" s="148"/>
      <c r="H53" s="148"/>
      <c r="I53" s="148"/>
      <c r="J53" s="106"/>
      <c r="K53" s="106"/>
      <c r="L53" s="106"/>
      <c r="M53" s="106"/>
      <c r="N53" s="612"/>
      <c r="O53" s="203"/>
      <c r="P53" s="136"/>
      <c r="Q53" s="131"/>
      <c r="R53" s="603">
        <f>R48*R51</f>
        <v>-5.8358581303427188</v>
      </c>
      <c r="S53" s="616">
        <f t="shared" ref="S53:V53" si="10">S48*S51</f>
        <v>-5.6330676933810029</v>
      </c>
      <c r="T53" s="616">
        <f t="shared" si="10"/>
        <v>-5.4373240283600408</v>
      </c>
      <c r="U53" s="616">
        <f t="shared" si="10"/>
        <v>-5.2483822667567965</v>
      </c>
      <c r="V53" s="621">
        <f t="shared" si="10"/>
        <v>-5.0660060489930467</v>
      </c>
    </row>
    <row r="54" spans="1:22" s="37" customFormat="1">
      <c r="C54" s="131"/>
      <c r="D54" s="104" t="s">
        <v>57</v>
      </c>
      <c r="E54" s="643" t="s">
        <v>557</v>
      </c>
      <c r="F54" s="131"/>
      <c r="G54" s="148"/>
      <c r="H54" s="148"/>
      <c r="I54" s="148"/>
      <c r="J54" s="106"/>
      <c r="K54" s="106"/>
      <c r="L54" s="106"/>
      <c r="M54" s="106"/>
      <c r="N54" s="612"/>
      <c r="O54" s="203"/>
      <c r="P54" s="622">
        <f>SUM(R52:V52)</f>
        <v>-17.02018314845445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-27.220638167833606</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-17.02018314845445</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-27.220638167833602</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-3.4040366296908902</v>
      </c>
      <c r="S64" s="616">
        <f t="shared" ref="S64:V64" si="14">IF(S$62+1&lt;=$P$61,$P59/$P$61,0)</f>
        <v>-3.4040366296908902</v>
      </c>
      <c r="T64" s="616">
        <f t="shared" si="14"/>
        <v>-3.4040366296908902</v>
      </c>
      <c r="U64" s="616">
        <f t="shared" si="14"/>
        <v>-3.4040366296908902</v>
      </c>
      <c r="V64" s="623">
        <f t="shared" si="14"/>
        <v>-3.4040366296908902</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-5.4441276335667208</v>
      </c>
      <c r="S65" s="616">
        <f t="shared" si="15"/>
        <v>-5.4441276335667208</v>
      </c>
      <c r="T65" s="616">
        <f t="shared" si="15"/>
        <v>-5.4441276335667208</v>
      </c>
      <c r="U65" s="616">
        <f t="shared" si="15"/>
        <v>-5.4441276335667208</v>
      </c>
      <c r="V65" s="623">
        <f t="shared" si="15"/>
        <v>-5.4441276335667208</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-3.4040366296908902</v>
      </c>
      <c r="S69" s="616">
        <f t="shared" ref="S69:V69" si="16">S64*S68</f>
        <v>-3.2857496425587742</v>
      </c>
      <c r="T69" s="616">
        <f t="shared" si="16"/>
        <v>-3.1715730140528708</v>
      </c>
      <c r="U69" s="616">
        <f t="shared" si="16"/>
        <v>-3.0613639131784467</v>
      </c>
      <c r="V69" s="621">
        <f t="shared" si="16"/>
        <v>-2.9549844721799676</v>
      </c>
    </row>
    <row r="70" spans="1:22" s="37" customFormat="1">
      <c r="C70" s="131"/>
      <c r="D70" s="104" t="s">
        <v>57</v>
      </c>
      <c r="E70" s="644" t="s">
        <v>412</v>
      </c>
      <c r="F70" s="131"/>
      <c r="G70" s="148"/>
      <c r="H70" s="148"/>
      <c r="I70" s="148"/>
      <c r="J70" s="106"/>
      <c r="K70" s="106"/>
      <c r="L70" s="106"/>
      <c r="M70" s="106"/>
      <c r="N70" s="612"/>
      <c r="O70" s="203"/>
      <c r="P70" s="136"/>
      <c r="Q70" s="131"/>
      <c r="R70" s="603">
        <f>R65*R68</f>
        <v>-5.4441276335667208</v>
      </c>
      <c r="S70" s="616">
        <f t="shared" ref="S70:V70" si="17">S65*S68</f>
        <v>-5.2549494532497301</v>
      </c>
      <c r="T70" s="616">
        <f t="shared" si="17"/>
        <v>-5.0723450320943337</v>
      </c>
      <c r="U70" s="616">
        <f t="shared" si="17"/>
        <v>-4.8960859383149939</v>
      </c>
      <c r="V70" s="621">
        <f t="shared" si="17"/>
        <v>-4.725951677910226</v>
      </c>
    </row>
    <row r="71" spans="1:22" s="37" customFormat="1">
      <c r="C71" s="131"/>
      <c r="D71" s="104" t="s">
        <v>57</v>
      </c>
      <c r="E71" s="643" t="s">
        <v>557</v>
      </c>
      <c r="F71" s="131"/>
      <c r="G71" s="148"/>
      <c r="H71" s="148"/>
      <c r="I71" s="148"/>
      <c r="J71" s="106"/>
      <c r="K71" s="106"/>
      <c r="L71" s="106"/>
      <c r="M71" s="106"/>
      <c r="N71" s="612"/>
      <c r="O71" s="203"/>
      <c r="P71" s="622">
        <f>SUM(R69:V69)</f>
        <v>-15.87770767166095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-25.393459735136005</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-17.02018314845445</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-27.220638167833602</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-3.4040366296908902</v>
      </c>
      <c r="S82" s="616">
        <f t="shared" ref="S82:V83" si="20">IF(S$62+1&lt;=$P$78,$P76/$P$78,0) * (1+$P$79)^S$80</f>
        <v>-3.5265819483597625</v>
      </c>
      <c r="T82" s="616">
        <f t="shared" si="20"/>
        <v>-3.6535388985007136</v>
      </c>
      <c r="U82" s="616">
        <f t="shared" si="20"/>
        <v>-3.7850662988467394</v>
      </c>
      <c r="V82" s="623">
        <f t="shared" si="20"/>
        <v>-3.9213286856052223</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-5.4441276335667208</v>
      </c>
      <c r="S83" s="616">
        <f t="shared" si="20"/>
        <v>-5.6401162283751232</v>
      </c>
      <c r="T83" s="616">
        <f t="shared" si="20"/>
        <v>-5.8431604125966272</v>
      </c>
      <c r="U83" s="616">
        <f t="shared" si="20"/>
        <v>-6.0535141874501059</v>
      </c>
      <c r="V83" s="623">
        <f t="shared" si="20"/>
        <v>-6.27144069819831</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-3.4040366296908902</v>
      </c>
      <c r="S87" s="616">
        <f t="shared" ref="S87:V87" si="21">S82*S86</f>
        <v>-3.4040366296908902</v>
      </c>
      <c r="T87" s="616">
        <f t="shared" si="21"/>
        <v>-3.4040366296908897</v>
      </c>
      <c r="U87" s="616">
        <f t="shared" si="21"/>
        <v>-3.4040366296908902</v>
      </c>
      <c r="V87" s="621">
        <f t="shared" si="21"/>
        <v>-3.4040366296908902</v>
      </c>
    </row>
    <row r="88" spans="1:22" s="37" customFormat="1">
      <c r="C88" s="131"/>
      <c r="D88" s="104" t="s">
        <v>57</v>
      </c>
      <c r="E88" s="644" t="s">
        <v>412</v>
      </c>
      <c r="F88" s="131"/>
      <c r="G88" s="148"/>
      <c r="H88" s="148"/>
      <c r="I88" s="148"/>
      <c r="J88" s="106"/>
      <c r="K88" s="106"/>
      <c r="L88" s="106"/>
      <c r="M88" s="106"/>
      <c r="N88" s="612"/>
      <c r="O88" s="203"/>
      <c r="P88" s="136"/>
      <c r="Q88" s="131"/>
      <c r="R88" s="603">
        <f>R83*R86</f>
        <v>-5.4441276335667208</v>
      </c>
      <c r="S88" s="616">
        <f t="shared" ref="S88:V88" si="22">S83*S86</f>
        <v>-5.4441276335667208</v>
      </c>
      <c r="T88" s="616">
        <f t="shared" si="22"/>
        <v>-5.4441276335667208</v>
      </c>
      <c r="U88" s="616">
        <f t="shared" si="22"/>
        <v>-5.4441276335667208</v>
      </c>
      <c r="V88" s="621">
        <f t="shared" si="22"/>
        <v>-5.4441276335667208</v>
      </c>
    </row>
    <row r="89" spans="1:22" s="37" customFormat="1">
      <c r="C89" s="131"/>
      <c r="D89" s="104" t="s">
        <v>57</v>
      </c>
      <c r="E89" s="643" t="s">
        <v>557</v>
      </c>
      <c r="F89" s="131"/>
      <c r="G89" s="148"/>
      <c r="H89" s="148"/>
      <c r="I89" s="148"/>
      <c r="J89" s="106"/>
      <c r="K89" s="106"/>
      <c r="L89" s="106"/>
      <c r="M89" s="106"/>
      <c r="N89" s="612"/>
      <c r="O89" s="203"/>
      <c r="P89" s="622">
        <f>SUM(R87:V87)</f>
        <v>-17.02018314845445</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-27.220638167833606</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5.1238676131540251</v>
      </c>
      <c r="S94" s="616">
        <f>'Calc2 FD'!K196</f>
        <v>-8.0763313658928235E-2</v>
      </c>
      <c r="T94" s="616">
        <f>'Calc2 FD'!L196</f>
        <v>-5.9578572002314658</v>
      </c>
      <c r="U94" s="616">
        <f>'Calc2 FD'!M196</f>
        <v>-7.9559643938117848</v>
      </c>
      <c r="V94" s="623">
        <f>'Calc2 FD'!N196</f>
        <v>-8.1494658539062961</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-2.1502100913499409</v>
      </c>
      <c r="S95" s="616">
        <f>'Calc2 FD'!K197</f>
        <v>-1.3698159572758828</v>
      </c>
      <c r="T95" s="616">
        <f>'Calc2 FD'!L197</f>
        <v>-4.7960537797296139</v>
      </c>
      <c r="U95" s="616">
        <f>'Calc2 FD'!M197</f>
        <v>-9.8930451419106475</v>
      </c>
      <c r="V95" s="623">
        <f>'Calc2 FD'!N197</f>
        <v>-9.0115131975675222</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5.1238676131540251</v>
      </c>
      <c r="S99" s="616">
        <f t="shared" ref="S99:V99" si="23">S94*S98</f>
        <v>-7.795686646614694E-2</v>
      </c>
      <c r="T99" s="616">
        <f t="shared" si="23"/>
        <v>-5.5509917117286056</v>
      </c>
      <c r="U99" s="616">
        <f t="shared" si="23"/>
        <v>-7.1550646891716125</v>
      </c>
      <c r="V99" s="621">
        <f t="shared" si="23"/>
        <v>-7.0744083200540455</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-2.1502100913499409</v>
      </c>
      <c r="S100" s="616">
        <f t="shared" ref="S100:V100" si="24">S95*S98</f>
        <v>-1.3222161749767207</v>
      </c>
      <c r="T100" s="616">
        <f t="shared" si="24"/>
        <v>-4.4685285137833493</v>
      </c>
      <c r="U100" s="616">
        <f t="shared" si="24"/>
        <v>-8.8971461484069856</v>
      </c>
      <c r="V100" s="621">
        <f t="shared" si="24"/>
        <v>-7.8227364939004671</v>
      </c>
    </row>
    <row r="101" spans="1:22" s="37" customFormat="1">
      <c r="C101" s="131"/>
      <c r="D101" s="104" t="s">
        <v>57</v>
      </c>
      <c r="E101" s="643" t="s">
        <v>557</v>
      </c>
      <c r="F101" s="131"/>
      <c r="G101" s="148"/>
      <c r="H101" s="148"/>
      <c r="I101" s="148"/>
      <c r="J101" s="106"/>
      <c r="K101" s="106"/>
      <c r="L101" s="106"/>
      <c r="M101" s="106"/>
      <c r="N101" s="612"/>
      <c r="O101" s="203"/>
      <c r="P101" s="622">
        <f>SUM(R99:V99)</f>
        <v>-14.734553974266387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-24.660837422417465</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5.1238676131540251</v>
      </c>
      <c r="S106" s="616">
        <f>'Calc2 FD'!K196</f>
        <v>-8.0763313658928235E-2</v>
      </c>
      <c r="T106" s="616">
        <f>'Calc2 FD'!L196</f>
        <v>-5.9578572002314658</v>
      </c>
      <c r="U106" s="616">
        <f>'Calc2 FD'!M196</f>
        <v>-7.9559643938117848</v>
      </c>
      <c r="V106" s="623">
        <f>'Calc2 FD'!N196</f>
        <v>-8.1494658539062961</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-2.1502100913499409</v>
      </c>
      <c r="S107" s="616">
        <f>'Calc2 FD'!K197</f>
        <v>-1.3698159572758828</v>
      </c>
      <c r="T107" s="616">
        <f>'Calc2 FD'!L197</f>
        <v>-4.7960537797296139</v>
      </c>
      <c r="U107" s="616">
        <f>'Calc2 FD'!M197</f>
        <v>-9.8930451419106475</v>
      </c>
      <c r="V107" s="623">
        <f>'Calc2 FD'!N197</f>
        <v>-9.0115131975675222</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5.1238676131540251</v>
      </c>
      <c r="S111" s="616">
        <f t="shared" ref="S111:V111" si="25">S106*S110</f>
        <v>-7.795686646614694E-2</v>
      </c>
      <c r="T111" s="616">
        <f t="shared" si="25"/>
        <v>-5.5509917117286056</v>
      </c>
      <c r="U111" s="616">
        <f t="shared" si="25"/>
        <v>-7.1550646891716125</v>
      </c>
      <c r="V111" s="621">
        <f t="shared" si="25"/>
        <v>-7.0744083200540455</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-2.1502100913499409</v>
      </c>
      <c r="S112" s="616">
        <f t="shared" ref="S112:V112" si="26">S107*S110</f>
        <v>-1.3222161749767207</v>
      </c>
      <c r="T112" s="616">
        <f t="shared" si="26"/>
        <v>-4.4685285137833493</v>
      </c>
      <c r="U112" s="616">
        <f t="shared" si="26"/>
        <v>-8.8971461484069856</v>
      </c>
      <c r="V112" s="621">
        <f t="shared" si="26"/>
        <v>-7.8227364939004671</v>
      </c>
    </row>
    <row r="113" spans="3:22" s="37" customFormat="1">
      <c r="C113" s="131"/>
      <c r="D113" s="104" t="s">
        <v>57</v>
      </c>
      <c r="E113" s="643" t="s">
        <v>557</v>
      </c>
      <c r="F113" s="131"/>
      <c r="G113" s="148"/>
      <c r="H113" s="148"/>
      <c r="I113" s="148"/>
      <c r="J113" s="106"/>
      <c r="K113" s="106"/>
      <c r="L113" s="106"/>
      <c r="M113" s="106"/>
      <c r="N113" s="612"/>
      <c r="O113" s="203"/>
      <c r="P113" s="622">
        <f>SUM(R111:V111)</f>
        <v>-14.734553974266387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-24.660837422417465</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-14.734553974266387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-24.660837422417465</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-17.02018314845445</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-27.220638167833602</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1.1551203503125964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1.1038002360410193</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5.9186837522618445</v>
      </c>
      <c r="S123" s="616">
        <f t="shared" si="27"/>
        <v>-9.3291347166107291E-2</v>
      </c>
      <c r="T123" s="616">
        <f t="shared" si="27"/>
        <v>-6.8820420962437954</v>
      </c>
      <c r="U123" s="616">
        <f t="shared" si="27"/>
        <v>-9.1900963776544131</v>
      </c>
      <c r="V123" s="621">
        <f t="shared" si="27"/>
        <v>-9.413613852024783</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-2.3734024063698462</v>
      </c>
      <c r="S124" s="616">
        <f t="shared" si="27"/>
        <v>-1.5120031769738742</v>
      </c>
      <c r="T124" s="616">
        <f t="shared" si="27"/>
        <v>-5.2938852941309706</v>
      </c>
      <c r="U124" s="616">
        <f t="shared" si="27"/>
        <v>-10.919945562805433</v>
      </c>
      <c r="V124" s="621">
        <f t="shared" si="27"/>
        <v>-9.946910394561792</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5.9186837522618445</v>
      </c>
      <c r="S128" s="616">
        <f t="shared" ref="S128:V128" si="28">S123*S127</f>
        <v>-9.0049562901647964E-2</v>
      </c>
      <c r="T128" s="616">
        <f t="shared" si="28"/>
        <v>-6.4120634906342655</v>
      </c>
      <c r="U128" s="616">
        <f t="shared" si="28"/>
        <v>-8.2649608302652027</v>
      </c>
      <c r="V128" s="621">
        <f t="shared" si="28"/>
        <v>-8.171793016915176</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-2.3734024063698462</v>
      </c>
      <c r="S129" s="616">
        <f t="shared" ref="S129:V129" si="29">S124*S127</f>
        <v>-1.4594625260365581</v>
      </c>
      <c r="T129" s="616">
        <f t="shared" si="29"/>
        <v>-4.9323628282700858</v>
      </c>
      <c r="U129" s="616">
        <f t="shared" si="29"/>
        <v>-9.8206720187030783</v>
      </c>
      <c r="V129" s="621">
        <f t="shared" si="29"/>
        <v>-8.6347383884540321</v>
      </c>
    </row>
    <row r="130" spans="1:22" s="37" customFormat="1">
      <c r="C130" s="131"/>
      <c r="D130" s="131" t="s">
        <v>57</v>
      </c>
      <c r="E130" s="643" t="s">
        <v>557</v>
      </c>
      <c r="F130" s="131"/>
      <c r="G130" s="148"/>
      <c r="H130" s="148"/>
      <c r="I130" s="148"/>
      <c r="J130" s="106"/>
      <c r="K130" s="106"/>
      <c r="L130" s="106"/>
      <c r="M130" s="106"/>
      <c r="N130" s="612"/>
      <c r="O130" s="203"/>
      <c r="P130" s="622">
        <f>SUM(R128:V128)</f>
        <v>-17.02018314845445</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-27.220638167833599</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-17.02018314845445</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-3.6489730179876658</v>
      </c>
      <c r="S138" s="616">
        <f>S47</f>
        <v>-3.6489730179876658</v>
      </c>
      <c r="T138" s="616">
        <f>T47</f>
        <v>-3.6489730179876658</v>
      </c>
      <c r="U138" s="616">
        <f>U47</f>
        <v>-3.6489730179876658</v>
      </c>
      <c r="V138" s="621">
        <f>V47</f>
        <v>-3.6489730179876658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-3.4040366296908902</v>
      </c>
      <c r="S139" s="616">
        <f>S64</f>
        <v>-3.4040366296908902</v>
      </c>
      <c r="T139" s="616">
        <f>T64</f>
        <v>-3.4040366296908902</v>
      </c>
      <c r="U139" s="616">
        <f>U64</f>
        <v>-3.4040366296908902</v>
      </c>
      <c r="V139" s="621">
        <f>V64</f>
        <v>-3.4040366296908902</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-3.4040366296908902</v>
      </c>
      <c r="S140" s="616">
        <f>S82</f>
        <v>-3.5265819483597625</v>
      </c>
      <c r="T140" s="616">
        <f>T82</f>
        <v>-3.6535388985007136</v>
      </c>
      <c r="U140" s="616">
        <f>U82</f>
        <v>-3.7850662988467394</v>
      </c>
      <c r="V140" s="621">
        <f>V82</f>
        <v>-3.9213286856052223</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5.1238676131540251</v>
      </c>
      <c r="S141" s="616">
        <f>S94</f>
        <v>-8.0763313658928235E-2</v>
      </c>
      <c r="T141" s="616">
        <f>T94</f>
        <v>-5.9578572002314658</v>
      </c>
      <c r="U141" s="616">
        <f>U94</f>
        <v>-7.9559643938117848</v>
      </c>
      <c r="V141" s="621">
        <f>V94</f>
        <v>-8.1494658539062961</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5.9186837522618445</v>
      </c>
      <c r="S142" s="616">
        <f t="shared" si="31"/>
        <v>-9.3291347166107291E-2</v>
      </c>
      <c r="T142" s="616">
        <f t="shared" si="31"/>
        <v>-6.8820420962437954</v>
      </c>
      <c r="U142" s="616">
        <f t="shared" si="31"/>
        <v>-9.1900963776544131</v>
      </c>
      <c r="V142" s="621">
        <f t="shared" si="31"/>
        <v>-9.413613852024783</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-3.6489730179876658</v>
      </c>
      <c r="S143" s="630">
        <f t="shared" ref="S143:V143" si="32">CHOOSE($P$135+1,S137,S138,S139,S140,S141,S142)</f>
        <v>-3.6489730179876658</v>
      </c>
      <c r="T143" s="630">
        <f t="shared" si="32"/>
        <v>-3.6489730179876658</v>
      </c>
      <c r="U143" s="630">
        <f t="shared" si="32"/>
        <v>-3.6489730179876658</v>
      </c>
      <c r="V143" s="631">
        <f t="shared" si="32"/>
        <v>-3.6489730179876658</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-27.220638167833602</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-5.8358581303427188</v>
      </c>
      <c r="S146" s="616">
        <f>S48</f>
        <v>-5.8358581303427188</v>
      </c>
      <c r="T146" s="616">
        <f>T48</f>
        <v>-5.8358581303427188</v>
      </c>
      <c r="U146" s="616">
        <f>U48</f>
        <v>-5.8358581303427188</v>
      </c>
      <c r="V146" s="621">
        <f>V48</f>
        <v>-5.8358581303427188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-5.4441276335667208</v>
      </c>
      <c r="S147" s="616">
        <f>S65</f>
        <v>-5.4441276335667208</v>
      </c>
      <c r="T147" s="616">
        <f>T65</f>
        <v>-5.4441276335667208</v>
      </c>
      <c r="U147" s="616">
        <f>U65</f>
        <v>-5.4441276335667208</v>
      </c>
      <c r="V147" s="621">
        <f>V65</f>
        <v>-5.4441276335667208</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-5.4441276335667208</v>
      </c>
      <c r="S148" s="616">
        <f>S83</f>
        <v>-5.6401162283751232</v>
      </c>
      <c r="T148" s="616">
        <f>T83</f>
        <v>-5.8431604125966272</v>
      </c>
      <c r="U148" s="616">
        <f>U83</f>
        <v>-6.0535141874501059</v>
      </c>
      <c r="V148" s="621">
        <f>V83</f>
        <v>-6.27144069819831</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-2.1502100913499409</v>
      </c>
      <c r="S149" s="616">
        <f>S95</f>
        <v>-1.3698159572758828</v>
      </c>
      <c r="T149" s="616">
        <f>T95</f>
        <v>-4.7960537797296139</v>
      </c>
      <c r="U149" s="616">
        <f>U95</f>
        <v>-9.8930451419106475</v>
      </c>
      <c r="V149" s="621">
        <f>V95</f>
        <v>-9.0115131975675222</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-2.3734024063698462</v>
      </c>
      <c r="S150" s="616">
        <f t="shared" si="34"/>
        <v>-1.5120031769738742</v>
      </c>
      <c r="T150" s="616">
        <f t="shared" si="34"/>
        <v>-5.2938852941309706</v>
      </c>
      <c r="U150" s="616">
        <f t="shared" si="34"/>
        <v>-10.919945562805433</v>
      </c>
      <c r="V150" s="621">
        <f t="shared" si="34"/>
        <v>-9.946910394561792</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-5.8358581303427188</v>
      </c>
      <c r="S151" s="630">
        <f t="shared" ref="S151:V151" si="35">CHOOSE($P$135+1,S145,S146,S147,S148,S149,S150)</f>
        <v>-5.8358581303427188</v>
      </c>
      <c r="T151" s="630">
        <f t="shared" si="35"/>
        <v>-5.8358581303427188</v>
      </c>
      <c r="U151" s="630">
        <f t="shared" si="35"/>
        <v>-5.8358581303427188</v>
      </c>
      <c r="V151" s="631">
        <f t="shared" si="35"/>
        <v>-5.8358581303427188</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-3.6489730179876658</v>
      </c>
      <c r="S156" s="627">
        <f t="shared" ref="S156:V156" si="36">S143</f>
        <v>-3.6489730179876658</v>
      </c>
      <c r="T156" s="627">
        <f t="shared" si="36"/>
        <v>-3.6489730179876658</v>
      </c>
      <c r="U156" s="627">
        <f t="shared" si="36"/>
        <v>-3.6489730179876658</v>
      </c>
      <c r="V156" s="628">
        <f t="shared" si="36"/>
        <v>-3.6489730179876658</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-5.8358581303427188</v>
      </c>
      <c r="S157" s="627">
        <f t="shared" ref="S157:V157" si="37">S151</f>
        <v>-5.8358581303427188</v>
      </c>
      <c r="T157" s="627">
        <f t="shared" si="37"/>
        <v>-5.8358581303427188</v>
      </c>
      <c r="U157" s="627">
        <f t="shared" si="37"/>
        <v>-5.8358581303427188</v>
      </c>
      <c r="V157" s="628">
        <f t="shared" si="37"/>
        <v>-5.8358581303427188</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E3" sqref="E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96.677407217414597</v>
      </c>
      <c r="K16" s="121">
        <f>'Input FD'!K10</f>
        <v>111.965967265263</v>
      </c>
      <c r="L16" s="121">
        <f>'Input FD'!L10</f>
        <v>90.137927472951105</v>
      </c>
      <c r="M16" s="121">
        <f>'Input FD'!M10</f>
        <v>90.6667343285458</v>
      </c>
      <c r="N16" s="121">
        <f>'Input FD'!N10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71.716342883676703</v>
      </c>
      <c r="K17" s="121">
        <f>'Input FD'!K11</f>
        <v>108.91078858467</v>
      </c>
      <c r="L17" s="121">
        <f>'Input FD'!L11</f>
        <v>106.472526906772</v>
      </c>
      <c r="M17" s="121">
        <f>'Input FD'!M11</f>
        <v>87.405386500713803</v>
      </c>
      <c r="N17" s="121">
        <f>'Input FD'!N11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87.974174160817597</v>
      </c>
      <c r="K18" s="121">
        <f>'Input FD'!K12</f>
        <v>67.934574112969699</v>
      </c>
      <c r="L18" s="121">
        <f>'Input FD'!L12</f>
        <v>55.8016539052811</v>
      </c>
      <c r="M18" s="121">
        <f>'Input FD'!M12</f>
        <v>42.176527049686499</v>
      </c>
      <c r="N18" s="121">
        <f>'Input FD'!N12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18.6694271158755</v>
      </c>
      <c r="K19" s="121">
        <f>'Input FD'!K13</f>
        <v>39.4846614157779</v>
      </c>
      <c r="L19" s="121">
        <f>'Input FD'!L13</f>
        <v>46.933763093227697</v>
      </c>
      <c r="M19" s="121">
        <f>'Input FD'!M13</f>
        <v>39.4447534992862</v>
      </c>
      <c r="N19" s="121">
        <f>'Input FD'!N13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-8.6940000000000008</v>
      </c>
      <c r="K20" s="121">
        <f>-'Input FD'!K14</f>
        <v>-12.15</v>
      </c>
      <c r="L20" s="121">
        <f>-'Input FD'!L14</f>
        <v>-9.1080000000000005</v>
      </c>
      <c r="M20" s="121">
        <f>-'Input FD'!M14</f>
        <v>-8.3810000000000002</v>
      </c>
      <c r="N20" s="121">
        <f>-'Input FD'!N14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266.34335137778442</v>
      </c>
      <c r="K24" s="121">
        <f>'Calc2 FD'!K55</f>
        <v>316.14599137868066</v>
      </c>
      <c r="L24" s="121">
        <f>'Calc2 FD'!L55</f>
        <v>290.23787137823189</v>
      </c>
      <c r="M24" s="121">
        <f>'Calc2 FD'!M55</f>
        <v>251.31240137823229</v>
      </c>
      <c r="N24" s="121">
        <f>'Calc2 FD'!N55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65.399928000000003</v>
      </c>
      <c r="K26" s="121">
        <f>'Input FD'!K19</f>
        <v>53.841191999999999</v>
      </c>
      <c r="L26" s="121">
        <f>'Input FD'!L19</f>
        <v>58.89132</v>
      </c>
      <c r="M26" s="121">
        <f>'Input FD'!M19</f>
        <v>43.576680000000003</v>
      </c>
      <c r="N26" s="121">
        <f>'Input FD'!N19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89.125</v>
      </c>
      <c r="K27" s="121">
        <f>'Input FD'!K20</f>
        <v>107.69795999999999</v>
      </c>
      <c r="L27" s="121">
        <f>'Input FD'!L20</f>
        <v>207.51151999999999</v>
      </c>
      <c r="M27" s="121">
        <f>'Input FD'!M20</f>
        <v>195.52484000000001</v>
      </c>
      <c r="N27" s="121">
        <f>'Input FD'!N20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FD'!E21</f>
        <v>Sewerage: FBP infrastructure expenditure</v>
      </c>
      <c r="F28" s="113"/>
      <c r="G28" s="120"/>
      <c r="H28" s="120"/>
      <c r="I28" s="120"/>
      <c r="J28" s="121">
        <f>'Input FD'!J21</f>
        <v>85.553712000000004</v>
      </c>
      <c r="K28" s="121">
        <f>'Input FD'!K21</f>
        <v>96.272447999999997</v>
      </c>
      <c r="L28" s="121">
        <f>'Input FD'!L21</f>
        <v>99.670320000000004</v>
      </c>
      <c r="M28" s="121">
        <f>'Input FD'!M21</f>
        <v>122.7456</v>
      </c>
      <c r="N28" s="121">
        <f>'Input FD'!N21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FD'!E22</f>
        <v>Sewerage: FBP non-infrastructure expenditure</v>
      </c>
      <c r="F29" s="113"/>
      <c r="G29" s="120"/>
      <c r="H29" s="120"/>
      <c r="I29" s="120"/>
      <c r="J29" s="121">
        <f>'Input FD'!J22</f>
        <v>140.163582953222</v>
      </c>
      <c r="K29" s="121">
        <f>'Input FD'!K22</f>
        <v>171.371845860523</v>
      </c>
      <c r="L29" s="121">
        <f>'Input FD'!L22</f>
        <v>196.860884900516</v>
      </c>
      <c r="M29" s="121">
        <f>'Input FD'!M22</f>
        <v>216.38377787543601</v>
      </c>
      <c r="N29" s="121">
        <f>'Input FD'!N22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-4.2930000000000001</v>
      </c>
      <c r="K30" s="121">
        <f>-'Input FD'!K23</f>
        <v>-5.3529999999999998</v>
      </c>
      <c r="L30" s="121">
        <f>-'Input FD'!L23</f>
        <v>-6.4130000000000003</v>
      </c>
      <c r="M30" s="121">
        <f>-'Input FD'!M23</f>
        <v>-7.4729999999999999</v>
      </c>
      <c r="N30" s="121">
        <f>-'Input FD'!N23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375.94922295322203</v>
      </c>
      <c r="K34" s="121">
        <f>'Calc2 FD'!K66</f>
        <v>423.83044586052296</v>
      </c>
      <c r="L34" s="121">
        <f>'Calc2 FD'!L66</f>
        <v>556.52104490051602</v>
      </c>
      <c r="M34" s="121">
        <f>'Calc2 FD'!M66</f>
        <v>570.75789787543613</v>
      </c>
      <c r="N34" s="121">
        <f>'Calc2 FD'!N66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103.80792034644401</v>
      </c>
      <c r="K37" s="121">
        <f>'Input FD'!K30</f>
        <v>119.721029127333</v>
      </c>
      <c r="L37" s="121">
        <f>'Input FD'!L30</f>
        <v>96.053451727038393</v>
      </c>
      <c r="M37" s="121">
        <f>'Input FD'!M30</f>
        <v>96.095368777823097</v>
      </c>
      <c r="N37" s="121">
        <f>'Input FD'!N30</f>
        <v>89.772718548515499</v>
      </c>
      <c r="O37" s="113"/>
      <c r="P37" s="113"/>
      <c r="Q37" s="113"/>
      <c r="R37" s="113"/>
      <c r="S37" s="113"/>
      <c r="T37" s="115"/>
      <c r="U37" s="122">
        <f t="shared" ref="U37:U51" si="3">SUM(J37:N37)</f>
        <v>505.45048852715399</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75.265681003525302</v>
      </c>
      <c r="K38" s="121">
        <f>'Input FD'!K31</f>
        <v>113.700229518434</v>
      </c>
      <c r="L38" s="121">
        <f>'Input FD'!L31</f>
        <v>110.786225626804</v>
      </c>
      <c r="M38" s="121">
        <f>'Input FD'!M31</f>
        <v>90.6493817737949</v>
      </c>
      <c r="N38" s="121">
        <f>'Input FD'!N31</f>
        <v>65.836563884895199</v>
      </c>
      <c r="O38" s="113"/>
      <c r="P38" s="113"/>
      <c r="Q38" s="113"/>
      <c r="R38" s="113"/>
      <c r="S38" s="113"/>
      <c r="T38" s="115"/>
      <c r="U38" s="122">
        <f t="shared" si="3"/>
        <v>456.2380818074534</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90.195537485563605</v>
      </c>
      <c r="K39" s="121">
        <f>'Input FD'!K32</f>
        <v>65.017064698534796</v>
      </c>
      <c r="L39" s="121">
        <f>'Input FD'!L32</f>
        <v>55.705633608524998</v>
      </c>
      <c r="M39" s="121">
        <f>'Input FD'!M32</f>
        <v>41.216315092907003</v>
      </c>
      <c r="N39" s="121">
        <f>'Input FD'!N32</f>
        <v>25.456763531865899</v>
      </c>
      <c r="O39" s="113"/>
      <c r="P39" s="113"/>
      <c r="Q39" s="113"/>
      <c r="R39" s="113"/>
      <c r="S39" s="113"/>
      <c r="T39" s="115"/>
      <c r="U39" s="122">
        <f t="shared" si="3"/>
        <v>277.59131441739629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19.0224934156209</v>
      </c>
      <c r="K40" s="121">
        <f>'Input FD'!K33</f>
        <v>39.011896238409797</v>
      </c>
      <c r="L40" s="121">
        <f>'Input FD'!L33</f>
        <v>47.689766045647701</v>
      </c>
      <c r="M40" s="121">
        <f>'Input FD'!M33</f>
        <v>39.478637687882802</v>
      </c>
      <c r="N40" s="121">
        <f>'Input FD'!N33</f>
        <v>22.255885369039198</v>
      </c>
      <c r="O40" s="113"/>
      <c r="P40" s="113"/>
      <c r="Q40" s="113"/>
      <c r="R40" s="113"/>
      <c r="S40" s="113"/>
      <c r="T40" s="115"/>
      <c r="U40" s="122">
        <f t="shared" si="3"/>
        <v>167.45867875660039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288.29163225115377</v>
      </c>
      <c r="K43" s="121">
        <f>'Calc2 FD'!K56</f>
        <v>337.45021958271161</v>
      </c>
      <c r="L43" s="121">
        <f>'Calc2 FD'!L56</f>
        <v>310.23507700801508</v>
      </c>
      <c r="M43" s="121">
        <f>'Calc2 FD'!M56</f>
        <v>267.43970333240776</v>
      </c>
      <c r="N43" s="121">
        <f>'Calc2 FD'!N56</f>
        <v>203.32193133431579</v>
      </c>
      <c r="O43" s="113"/>
      <c r="P43" s="113"/>
      <c r="Q43" s="113"/>
      <c r="R43" s="113"/>
      <c r="S43" s="113"/>
      <c r="T43" s="115"/>
      <c r="U43" s="122">
        <f t="shared" si="3"/>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61.6804104414325</v>
      </c>
      <c r="K45" s="121">
        <f>'Input FD'!K37</f>
        <v>50.209440835250099</v>
      </c>
      <c r="L45" s="121">
        <f>'Input FD'!L37</f>
        <v>54.790899940376299</v>
      </c>
      <c r="M45" s="121">
        <f>'Input FD'!M37</f>
        <v>40.725630109452801</v>
      </c>
      <c r="N45" s="121">
        <f>'Input FD'!N37</f>
        <v>38.962195347971402</v>
      </c>
      <c r="O45" s="113"/>
      <c r="P45" s="113"/>
      <c r="Q45" s="113"/>
      <c r="R45" s="113"/>
      <c r="S45" s="113"/>
      <c r="T45" s="115"/>
      <c r="U45" s="122">
        <f t="shared" si="3"/>
        <v>246.36857667448311</v>
      </c>
    </row>
    <row r="46" spans="1:28" s="117" customFormat="1" ht="17.399999999999999">
      <c r="A46" s="110"/>
      <c r="B46" s="119" t="s">
        <v>149</v>
      </c>
      <c r="C46" s="119"/>
      <c r="D46" s="113"/>
      <c r="E46" s="113" t="str">
        <f>'Input FD'!E38</f>
        <v>Sewerage: MNI (net of grants &amp; contributions)</v>
      </c>
      <c r="F46" s="113"/>
      <c r="G46" s="120"/>
      <c r="H46" s="120"/>
      <c r="I46" s="120"/>
      <c r="J46" s="121">
        <f>'Input FD'!J38</f>
        <v>84.866015878888305</v>
      </c>
      <c r="K46" s="121">
        <f>'Input FD'!K38</f>
        <v>102.064067113831</v>
      </c>
      <c r="L46" s="121">
        <f>'Input FD'!L38</f>
        <v>195.97937785216899</v>
      </c>
      <c r="M46" s="121">
        <f>'Input FD'!M38</f>
        <v>184.31207761888501</v>
      </c>
      <c r="N46" s="121">
        <f>'Input FD'!N38</f>
        <v>129.43099034378901</v>
      </c>
      <c r="O46" s="113"/>
      <c r="P46" s="113"/>
      <c r="Q46" s="113"/>
      <c r="R46" s="113"/>
      <c r="S46" s="113"/>
      <c r="T46" s="115"/>
      <c r="U46" s="122">
        <f t="shared" si="3"/>
        <v>696.65252880756225</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67.587233517949599</v>
      </c>
      <c r="K47" s="121">
        <f>'Input FD'!K39</f>
        <v>84.706725777189106</v>
      </c>
      <c r="L47" s="121">
        <f>'Input FD'!L39</f>
        <v>87.541415854037893</v>
      </c>
      <c r="M47" s="121">
        <f>'Input FD'!M39</f>
        <v>107.245021066265</v>
      </c>
      <c r="N47" s="121">
        <f>'Input FD'!N39</f>
        <v>76.235230318249805</v>
      </c>
      <c r="O47" s="113"/>
      <c r="P47" s="113"/>
      <c r="Q47" s="113"/>
      <c r="R47" s="113"/>
      <c r="S47" s="113"/>
      <c r="T47" s="115"/>
      <c r="U47" s="122">
        <f t="shared" si="3"/>
        <v>423.31562653369144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120.02013853845</v>
      </c>
      <c r="K48" s="121">
        <f>'Input FD'!K40</f>
        <v>162.37038949922999</v>
      </c>
      <c r="L48" s="121">
        <f>'Input FD'!L40</f>
        <v>181.138395550187</v>
      </c>
      <c r="M48" s="121">
        <f>'Input FD'!M40</f>
        <v>199.24701421961501</v>
      </c>
      <c r="N48" s="121">
        <f>'Input FD'!N40</f>
        <v>116.624132542399</v>
      </c>
      <c r="O48" s="113"/>
      <c r="P48" s="113"/>
      <c r="Q48" s="113"/>
      <c r="R48" s="113"/>
      <c r="S48" s="113"/>
      <c r="T48" s="115"/>
      <c r="U48" s="122">
        <f t="shared" si="3"/>
        <v>779.40007034988105</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334.15379837672037</v>
      </c>
      <c r="K51" s="121">
        <f>'Calc2 FD'!K67</f>
        <v>399.35062322550021</v>
      </c>
      <c r="L51" s="121">
        <f>'Calc2 FD'!L67</f>
        <v>519.45008919677025</v>
      </c>
      <c r="M51" s="121">
        <f>'Calc2 FD'!M67</f>
        <v>531.52974301421784</v>
      </c>
      <c r="N51" s="121">
        <f>'Calc2 FD'!N67</f>
        <v>361.25254855240917</v>
      </c>
      <c r="O51" s="113"/>
      <c r="P51" s="113"/>
      <c r="Q51" s="113"/>
      <c r="R51" s="113"/>
      <c r="S51" s="113"/>
      <c r="T51" s="115"/>
      <c r="U51" s="122">
        <f t="shared" si="3"/>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102.1466765207702</v>
      </c>
      <c r="K54" s="121">
        <f>'Calc2 FD'!K39</f>
        <v>117.80512695168643</v>
      </c>
      <c r="L54" s="121">
        <f>'Calc2 FD'!L39</f>
        <v>94.516303086706671</v>
      </c>
      <c r="M54" s="121">
        <f>'Calc2 FD'!M39</f>
        <v>94.557549336635589</v>
      </c>
      <c r="N54" s="121">
        <f>'Calc2 FD'!N39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74.061200194787816</v>
      </c>
      <c r="K55" s="121">
        <f>'Calc2 FD'!K40</f>
        <v>111.88067852815482</v>
      </c>
      <c r="L55" s="121">
        <f>'Calc2 FD'!L40</f>
        <v>109.0133076001446</v>
      </c>
      <c r="M55" s="121">
        <f>'Calc2 FD'!M40</f>
        <v>89.198714760427436</v>
      </c>
      <c r="N55" s="121">
        <f>'Calc2 FD'!N40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88.752133367157569</v>
      </c>
      <c r="K56" s="121">
        <f>'Calc2 FD'!K41</f>
        <v>63.976593056935478</v>
      </c>
      <c r="L56" s="121">
        <f>'Calc2 FD'!L41</f>
        <v>54.814173307821846</v>
      </c>
      <c r="M56" s="121">
        <f>'Calc2 FD'!M41</f>
        <v>40.556728148706519</v>
      </c>
      <c r="N56" s="121">
        <f>'Calc2 FD'!N41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18.718075413312821</v>
      </c>
      <c r="K57" s="121">
        <f>'Calc2 FD'!K42</f>
        <v>38.387586729678695</v>
      </c>
      <c r="L57" s="121">
        <f>'Calc2 FD'!L42</f>
        <v>46.9265841118727</v>
      </c>
      <c r="M57" s="121">
        <f>'Calc2 FD'!M42</f>
        <v>38.846858890213674</v>
      </c>
      <c r="N57" s="121">
        <f>'Calc2 FD'!N42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283.67808549602842</v>
      </c>
      <c r="K60" s="121">
        <f>'Calc2 FD'!K57</f>
        <v>332.04998526645539</v>
      </c>
      <c r="L60" s="121">
        <f>'Calc2 FD'!L57</f>
        <v>305.27036810654579</v>
      </c>
      <c r="M60" s="121">
        <f>'Calc2 FD'!M57</f>
        <v>263.15985113598322</v>
      </c>
      <c r="N60" s="121">
        <f>'Calc2 FD'!N57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62.89706239845075</v>
      </c>
      <c r="K62" s="121">
        <f>'Calc2 FD'!K46</f>
        <v>51.199826826779834</v>
      </c>
      <c r="L62" s="121">
        <f>'Calc2 FD'!L46</f>
        <v>55.871655648098887</v>
      </c>
      <c r="M62" s="121">
        <f>'Calc2 FD'!M46</f>
        <v>41.528947033235525</v>
      </c>
      <c r="N62" s="121">
        <f>'Calc2 FD'!N46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'Calc2 FD'!E47</f>
        <v>Sewerage: MNI</v>
      </c>
      <c r="F63" s="113"/>
      <c r="G63" s="120"/>
      <c r="H63" s="120"/>
      <c r="I63" s="120"/>
      <c r="J63" s="121">
        <f>'Calc2 FD'!J47</f>
        <v>86.540006106327425</v>
      </c>
      <c r="K63" s="121">
        <f>'Calc2 FD'!K47</f>
        <v>104.07729053609071</v>
      </c>
      <c r="L63" s="121">
        <f>'Calc2 FD'!L47</f>
        <v>199.84508970286214</v>
      </c>
      <c r="M63" s="121">
        <f>'Calc2 FD'!M47</f>
        <v>187.94765086381409</v>
      </c>
      <c r="N63" s="121">
        <f>'Calc2 FD'!N47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'Calc2 FD'!E48</f>
        <v>Sewerage: Infrastructure enhancements</v>
      </c>
      <c r="F64" s="113"/>
      <c r="G64" s="120"/>
      <c r="H64" s="120"/>
      <c r="I64" s="120"/>
      <c r="J64" s="121">
        <f>'Calc2 FD'!J48</f>
        <v>68.92039812143652</v>
      </c>
      <c r="K64" s="121">
        <f>'Calc2 FD'!K48</f>
        <v>86.37757399223598</v>
      </c>
      <c r="L64" s="121">
        <f>'Calc2 FD'!L48</f>
        <v>89.268178600211527</v>
      </c>
      <c r="M64" s="121">
        <f>'Calc2 FD'!M48</f>
        <v>109.36043929754655</v>
      </c>
      <c r="N64" s="121">
        <f>'Calc2 FD'!N48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'Calc2 FD'!E49</f>
        <v>Sewerage: Non-infrastructure enhancements</v>
      </c>
      <c r="F65" s="113"/>
      <c r="G65" s="120"/>
      <c r="H65" s="120"/>
      <c r="I65" s="120"/>
      <c r="J65" s="121">
        <f>'Calc2 FD'!J49</f>
        <v>122.38754717580109</v>
      </c>
      <c r="K65" s="121">
        <f>'Calc2 FD'!K49</f>
        <v>165.57316086103268</v>
      </c>
      <c r="L65" s="121">
        <f>'Calc2 FD'!L49</f>
        <v>184.71136761473804</v>
      </c>
      <c r="M65" s="121">
        <f>'Calc2 FD'!M49</f>
        <v>203.17718050815677</v>
      </c>
      <c r="N65" s="121">
        <f>'Calc2 FD'!N49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340.74501380201582</v>
      </c>
      <c r="K68" s="121">
        <f>'Calc2 FD'!K68</f>
        <v>407.22785221613924</v>
      </c>
      <c r="L68" s="121">
        <f>'Calc2 FD'!L68</f>
        <v>529.69629156591054</v>
      </c>
      <c r="M68" s="121">
        <f>'Calc2 FD'!M68</f>
        <v>542.01421770275294</v>
      </c>
      <c r="N68" s="121">
        <f>'Calc2 FD'!N68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1.3932488413005999</v>
      </c>
      <c r="K73" s="121">
        <f>'Calc2 FD'!K127</f>
        <v>1.6308212755223499</v>
      </c>
      <c r="L73" s="121">
        <f>'Calc2 FD'!L127</f>
        <v>1.49929659143095</v>
      </c>
      <c r="M73" s="121">
        <f>'Calc2 FD'!M127</f>
        <v>1.2924761425647</v>
      </c>
      <c r="N73" s="121">
        <f>'Calc2 FD'!N127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-2.23738932875133</v>
      </c>
      <c r="K76" s="121">
        <f>'Calc2 FD'!K128</f>
        <v>-2.6739268779090901</v>
      </c>
      <c r="L76" s="121">
        <f>'Calc2 FD'!L128</f>
        <v>-3.4780753414555399</v>
      </c>
      <c r="M76" s="121">
        <f>'Calc2 FD'!M128</f>
        <v>-3.5589569255568101</v>
      </c>
      <c r="N76" s="121">
        <f>'Calc2 FD'!N128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E3" sqref="E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266.34335137778442</v>
      </c>
      <c r="K16" s="121">
        <f>'Calc2 FD'!K55</f>
        <v>316.14599137868066</v>
      </c>
      <c r="L16" s="121">
        <f>'Calc2 FD'!L55</f>
        <v>290.23787137823189</v>
      </c>
      <c r="M16" s="121">
        <f>'Calc2 FD'!M55</f>
        <v>251.31240137823229</v>
      </c>
      <c r="N16" s="121">
        <f>'Calc2 FD'!N55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'Calc2 FD'!E56</f>
        <v>Water: Baseline capex (gross of adjustments)</v>
      </c>
      <c r="F17" s="124"/>
      <c r="G17" s="113"/>
      <c r="H17" s="120"/>
      <c r="I17" s="120"/>
      <c r="J17" s="121">
        <f>'Calc2 FD'!J56</f>
        <v>288.29163225115377</v>
      </c>
      <c r="K17" s="121">
        <f>'Calc2 FD'!K56</f>
        <v>337.45021958271161</v>
      </c>
      <c r="L17" s="121">
        <f>'Calc2 FD'!L56</f>
        <v>310.23507700801508</v>
      </c>
      <c r="M17" s="121">
        <f>'Calc2 FD'!M56</f>
        <v>267.43970333240776</v>
      </c>
      <c r="N17" s="121">
        <f>'Calc2 FD'!N56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'Calc2 FD'!E57</f>
        <v>Water: Allowance capex (gross of adjustments)</v>
      </c>
      <c r="F18" s="124"/>
      <c r="G18" s="113"/>
      <c r="H18" s="286"/>
      <c r="I18" s="120"/>
      <c r="J18" s="121">
        <f>'Calc2 FD'!J57</f>
        <v>283.67808549602842</v>
      </c>
      <c r="K18" s="121">
        <f>'Calc2 FD'!K57</f>
        <v>332.04998526645539</v>
      </c>
      <c r="L18" s="121">
        <f>'Calc2 FD'!L57</f>
        <v>305.27036810654579</v>
      </c>
      <c r="M18" s="121">
        <f>'Calc2 FD'!M57</f>
        <v>263.15985113598322</v>
      </c>
      <c r="N18" s="121">
        <f>'Calc2 FD'!N57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'Calc2 FD'!E94</f>
        <v>Water: CIS bid ratio</v>
      </c>
      <c r="F19" s="124"/>
      <c r="G19" s="301">
        <f>'Calc2 FD'!G94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266.34335137778442</v>
      </c>
      <c r="K24" s="121">
        <f>'Calc2 FD'!K62</f>
        <v>316.14599137868066</v>
      </c>
      <c r="L24" s="121">
        <f>'Calc2 FD'!L62</f>
        <v>290.23787137823189</v>
      </c>
      <c r="M24" s="121">
        <f>'Calc2 FD'!M62</f>
        <v>251.31240137823229</v>
      </c>
      <c r="N24" s="121">
        <f>'Calc2 FD'!N62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288.29163225115377</v>
      </c>
      <c r="K25" s="121">
        <f>'Calc2 FD'!K63</f>
        <v>337.45021958271161</v>
      </c>
      <c r="L25" s="121">
        <f>'Calc2 FD'!L63</f>
        <v>310.23507700801508</v>
      </c>
      <c r="M25" s="121">
        <f>'Calc2 FD'!M63</f>
        <v>267.43970333240776</v>
      </c>
      <c r="N25" s="121">
        <f>'Calc2 FD'!N63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'Calc2 FD'!E64</f>
        <v>Water: Allowance capex (net of adjustments)</v>
      </c>
      <c r="F26" s="113"/>
      <c r="G26" s="113"/>
      <c r="H26" s="120"/>
      <c r="I26" s="120"/>
      <c r="J26" s="121">
        <f>'Calc2 FD'!J64</f>
        <v>284.0667039678151</v>
      </c>
      <c r="K26" s="121">
        <f>'Calc2 FD'!K64</f>
        <v>332.50486974442077</v>
      </c>
      <c r="L26" s="121">
        <f>'Calc2 FD'!L64</f>
        <v>305.68856644473573</v>
      </c>
      <c r="M26" s="121">
        <f>'Calc2 FD'!M64</f>
        <v>263.52036110983352</v>
      </c>
      <c r="N26" s="121">
        <f>'Calc2 FD'!N64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'Calc2 FD'!E106</f>
        <v>Water: Restated CIS bid ratio</v>
      </c>
      <c r="F27" s="113"/>
      <c r="G27" s="301">
        <f>'Calc2 FD'!G106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236.66092545841994</v>
      </c>
      <c r="K30" s="121">
        <f>'Calc2 FD'!K79</f>
        <v>274.48000645516748</v>
      </c>
      <c r="L30" s="121">
        <f>'Calc2 FD'!L79</f>
        <v>252.49281171372024</v>
      </c>
      <c r="M30" s="121">
        <f>'Calc2 FD'!M79</f>
        <v>220.4095535742369</v>
      </c>
      <c r="N30" s="121">
        <f>'Calc2 FD'!N79</f>
        <v>169.77616291818572</v>
      </c>
      <c r="O30" s="113"/>
      <c r="P30" s="113"/>
      <c r="Q30" s="113"/>
      <c r="R30" s="113"/>
      <c r="S30" s="113"/>
      <c r="T30" s="115"/>
      <c r="U30" s="295">
        <f t="shared" ref="U30:U33" si="3">SUM(J30:N30)</f>
        <v>1153.8194601197304</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256.16319738239702</v>
      </c>
      <c r="K31" s="121">
        <f>'Calc2 FD'!K80</f>
        <v>292.9764759800982</v>
      </c>
      <c r="L31" s="121">
        <f>'Calc2 FD'!L80</f>
        <v>269.88940662362933</v>
      </c>
      <c r="M31" s="121">
        <f>'Calc2 FD'!M80</f>
        <v>234.55374783040071</v>
      </c>
      <c r="N31" s="121">
        <f>'Calc2 FD'!N80</f>
        <v>172.07974366500872</v>
      </c>
      <c r="O31" s="113"/>
      <c r="P31" s="113"/>
      <c r="Q31" s="113"/>
      <c r="R31" s="113"/>
      <c r="S31" s="113"/>
      <c r="T31" s="115"/>
      <c r="U31" s="295">
        <f t="shared" si="3"/>
        <v>1225.6625714815339</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252.40911291827183</v>
      </c>
      <c r="K32" s="121">
        <f>'Calc2 FD'!K81</f>
        <v>288.68289107770028</v>
      </c>
      <c r="L32" s="121">
        <f>'Calc2 FD'!L81</f>
        <v>265.93416387685306</v>
      </c>
      <c r="M32" s="121">
        <f>'Calc2 FD'!M81</f>
        <v>231.11635092979131</v>
      </c>
      <c r="N32" s="121">
        <f>'Calc2 FD'!N81</f>
        <v>169.55790641873514</v>
      </c>
      <c r="O32" s="113"/>
      <c r="P32" s="113"/>
      <c r="Q32" s="113"/>
      <c r="R32" s="113"/>
      <c r="S32" s="113"/>
      <c r="T32" s="115"/>
      <c r="U32" s="295">
        <f t="shared" si="3"/>
        <v>1207.7004252213517</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203.58491404496485</v>
      </c>
      <c r="K33" s="121">
        <f>'Calc2 FD'!K82</f>
        <v>206.98890692040311</v>
      </c>
      <c r="L33" s="121">
        <f>'Calc2 FD'!L82</f>
        <v>244.0780388951334</v>
      </c>
      <c r="M33" s="121">
        <f>'Calc2 FD'!M82</f>
        <v>257.60033158588942</v>
      </c>
      <c r="N33" s="121">
        <f>'Calc2 FD'!N82</f>
        <v>218.06568743685364</v>
      </c>
      <c r="O33" s="113"/>
      <c r="P33" s="113"/>
      <c r="Q33" s="113"/>
      <c r="R33" s="113"/>
      <c r="S33" s="113"/>
      <c r="T33" s="115"/>
      <c r="U33" s="295">
        <f t="shared" si="3"/>
        <v>1130.3178788832445</v>
      </c>
    </row>
    <row r="34" spans="1:21" s="117" customFormat="1" ht="17.399999999999999">
      <c r="A34" s="110"/>
      <c r="B34" s="118" t="s">
        <v>145</v>
      </c>
      <c r="C34" s="118"/>
      <c r="D34" s="113"/>
      <c r="E34" s="113" t="str">
        <f>'Calc2 FD'!E116</f>
        <v>Water: CIS outturn ratio</v>
      </c>
      <c r="F34" s="113"/>
      <c r="G34" s="301">
        <f>'Calc2 FD'!G116</f>
        <v>92.220967269724127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32.540251646361988</v>
      </c>
    </row>
    <row r="38" spans="1:21" s="117" customFormat="1" ht="17.399999999999999">
      <c r="A38" s="110"/>
      <c r="B38" s="118" t="s">
        <v>152</v>
      </c>
      <c r="C38" s="119"/>
      <c r="D38" s="113"/>
      <c r="E38" s="113" t="str">
        <f>'Calc2 FD'!E127</f>
        <v>Water: Additional income (applied at FD)</v>
      </c>
      <c r="F38" s="113"/>
      <c r="G38" s="113"/>
      <c r="H38" s="113"/>
      <c r="I38" s="113"/>
      <c r="J38" s="121">
        <f>'Calc2 FD'!J127</f>
        <v>1.3932488413005999</v>
      </c>
      <c r="K38" s="121">
        <f>'Calc2 FD'!K127</f>
        <v>1.6308212755223499</v>
      </c>
      <c r="L38" s="121">
        <f>'Calc2 FD'!L127</f>
        <v>1.49929659143095</v>
      </c>
      <c r="M38" s="121">
        <f>'Calc2 FD'!M127</f>
        <v>1.2924761425647</v>
      </c>
      <c r="N38" s="121">
        <f>'Calc2 FD'!N127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25.741799473758608</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375.94922295322203</v>
      </c>
      <c r="K45" s="121">
        <f>'Calc2 FD'!K66</f>
        <v>423.83044586052296</v>
      </c>
      <c r="L45" s="121">
        <f>'Calc2 FD'!L66</f>
        <v>556.52104490051602</v>
      </c>
      <c r="M45" s="121">
        <f>'Calc2 FD'!M66</f>
        <v>570.75789787543613</v>
      </c>
      <c r="N45" s="121">
        <f>'Calc2 FD'!N66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'Calc2 FD'!E67</f>
        <v>Sewerage: Baseline capex (gross of adjustments)</v>
      </c>
      <c r="F46" s="124"/>
      <c r="G46" s="113"/>
      <c r="H46" s="120"/>
      <c r="I46" s="120"/>
      <c r="J46" s="121">
        <f>'Calc2 FD'!J67</f>
        <v>334.15379837672037</v>
      </c>
      <c r="K46" s="121">
        <f>'Calc2 FD'!K67</f>
        <v>399.35062322550021</v>
      </c>
      <c r="L46" s="121">
        <f>'Calc2 FD'!L67</f>
        <v>519.45008919677025</v>
      </c>
      <c r="M46" s="121">
        <f>'Calc2 FD'!M67</f>
        <v>531.52974301421784</v>
      </c>
      <c r="N46" s="121">
        <f>'Calc2 FD'!N67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'Calc2 FD'!E68</f>
        <v>Sewerage: Allowance capex (gross of adjustments)</v>
      </c>
      <c r="F47" s="124"/>
      <c r="G47" s="113"/>
      <c r="H47" s="286"/>
      <c r="I47" s="120"/>
      <c r="J47" s="121">
        <f>'Calc2 FD'!J68</f>
        <v>340.74501380201582</v>
      </c>
      <c r="K47" s="121">
        <f>'Calc2 FD'!K68</f>
        <v>407.22785221613924</v>
      </c>
      <c r="L47" s="121">
        <f>'Calc2 FD'!L68</f>
        <v>529.69629156591054</v>
      </c>
      <c r="M47" s="121">
        <f>'Calc2 FD'!M68</f>
        <v>542.01421770275294</v>
      </c>
      <c r="N47" s="121">
        <f>'Calc2 FD'!N68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'Calc2 FD'!E99</f>
        <v>Sewerage: CIS bid ratio</v>
      </c>
      <c r="F48" s="124"/>
      <c r="G48" s="301">
        <f>'Calc2 FD'!G99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0.28246441316447002</v>
      </c>
      <c r="K50" s="121">
        <f>'Calc2 FD'!K70</f>
        <v>13.0264552418378</v>
      </c>
      <c r="L50" s="121">
        <f>'Calc2 FD'!L70</f>
        <v>21.714323113048199</v>
      </c>
      <c r="M50" s="121">
        <f>'Calc2 FD'!M70</f>
        <v>24.644042771550598</v>
      </c>
      <c r="N50" s="121">
        <f>'Calc2 FD'!N70</f>
        <v>25.447532113894798</v>
      </c>
      <c r="O50" s="113"/>
      <c r="P50" s="113"/>
      <c r="Q50" s="113"/>
      <c r="R50" s="113"/>
      <c r="S50" s="113"/>
      <c r="T50" s="115"/>
      <c r="U50" s="295">
        <f t="shared" ref="U50:U51" si="6">SUM(J50:N50)</f>
        <v>85.114817653495862</v>
      </c>
    </row>
    <row r="51" spans="1:21" s="117" customFormat="1" ht="17.399999999999999">
      <c r="A51" s="110"/>
      <c r="B51" s="118" t="s">
        <v>331</v>
      </c>
      <c r="C51" s="119"/>
      <c r="D51" s="113"/>
      <c r="E51" s="113" t="str">
        <f>'Calc2 FD'!E71</f>
        <v>Sewerage: Adjustments to baseline capex</v>
      </c>
      <c r="F51" s="113"/>
      <c r="G51" s="113"/>
      <c r="H51" s="120"/>
      <c r="I51" s="120"/>
      <c r="J51" s="121">
        <f>'Calc2 FD'!J71</f>
        <v>-0.25087185000408396</v>
      </c>
      <c r="K51" s="121">
        <f>'Calc2 FD'!K71</f>
        <v>8.0982589914362286</v>
      </c>
      <c r="L51" s="121">
        <f>'Calc2 FD'!L71</f>
        <v>13.247889365438461</v>
      </c>
      <c r="M51" s="121">
        <f>'Calc2 FD'!M71</f>
        <v>-4.7143338434357993</v>
      </c>
      <c r="N51" s="121">
        <f>'Calc2 FD'!N71</f>
        <v>19.0084165137119</v>
      </c>
      <c r="O51" s="113"/>
      <c r="P51" s="113"/>
      <c r="Q51" s="113"/>
      <c r="R51" s="113"/>
      <c r="S51" s="113"/>
      <c r="T51" s="115"/>
      <c r="U51" s="295">
        <f t="shared" si="6"/>
        <v>35.389359177146702</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376.2316873663865</v>
      </c>
      <c r="K53" s="121">
        <f>'Calc2 FD'!K73</f>
        <v>436.85690110236078</v>
      </c>
      <c r="L53" s="121">
        <f>'Calc2 FD'!L73</f>
        <v>578.2353680135642</v>
      </c>
      <c r="M53" s="121">
        <f>'Calc2 FD'!M73</f>
        <v>595.40194064698676</v>
      </c>
      <c r="N53" s="121">
        <f>'Calc2 FD'!N73</f>
        <v>413.42517217432282</v>
      </c>
      <c r="O53" s="113"/>
      <c r="P53" s="113"/>
      <c r="Q53" s="113"/>
      <c r="R53" s="113"/>
      <c r="S53" s="113"/>
      <c r="T53" s="115"/>
      <c r="U53" s="295">
        <f t="shared" ref="U53:U55" si="7">SUM(J53:N53)</f>
        <v>2400.1510693036212</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333.90292652671627</v>
      </c>
      <c r="K54" s="121">
        <f>'Calc2 FD'!K74</f>
        <v>407.44888221693645</v>
      </c>
      <c r="L54" s="121">
        <f>'Calc2 FD'!L74</f>
        <v>532.69797856220873</v>
      </c>
      <c r="M54" s="121">
        <f>'Calc2 FD'!M74</f>
        <v>526.815409170782</v>
      </c>
      <c r="N54" s="121">
        <f>'Calc2 FD'!N74</f>
        <v>380.26096506612106</v>
      </c>
      <c r="O54" s="113"/>
      <c r="P54" s="113"/>
      <c r="Q54" s="113"/>
      <c r="R54" s="113"/>
      <c r="S54" s="113"/>
      <c r="T54" s="115"/>
      <c r="U54" s="295">
        <f t="shared" si="7"/>
        <v>2181.1261615427647</v>
      </c>
    </row>
    <row r="55" spans="1:21" s="117" customFormat="1" ht="17.399999999999999">
      <c r="A55" s="110"/>
      <c r="B55" s="118" t="s">
        <v>334</v>
      </c>
      <c r="C55" s="119"/>
      <c r="D55" s="113"/>
      <c r="E55" s="113" t="str">
        <f>'Calc2 FD'!E75</f>
        <v>Sewerage: Allowance capex (net of adjustments)</v>
      </c>
      <c r="F55" s="113"/>
      <c r="G55" s="113"/>
      <c r="H55" s="120"/>
      <c r="I55" s="120"/>
      <c r="J55" s="121">
        <f>'Calc2 FD'!J75</f>
        <v>342.2854147767157</v>
      </c>
      <c r="K55" s="121">
        <f>'Calc2 FD'!K75</f>
        <v>417.67770980819625</v>
      </c>
      <c r="L55" s="121">
        <f>'Calc2 FD'!L75</f>
        <v>546.07113043166055</v>
      </c>
      <c r="M55" s="121">
        <f>'Calc2 FD'!M75</f>
        <v>540.04088168528961</v>
      </c>
      <c r="N55" s="121">
        <f>'Calc2 FD'!N75</f>
        <v>389.80725178111686</v>
      </c>
      <c r="O55" s="113"/>
      <c r="P55" s="113"/>
      <c r="Q55" s="113"/>
      <c r="R55" s="113"/>
      <c r="S55" s="113"/>
      <c r="T55" s="115"/>
      <c r="U55" s="295">
        <f t="shared" si="7"/>
        <v>2235.882388482979</v>
      </c>
    </row>
    <row r="56" spans="1:21" s="117" customFormat="1" ht="17.399999999999999">
      <c r="A56" s="110"/>
      <c r="B56" s="118" t="s">
        <v>335</v>
      </c>
      <c r="C56" s="119"/>
      <c r="D56" s="113"/>
      <c r="E56" s="113" t="str">
        <f>'Calc2 FD'!E110</f>
        <v>Sewerage: Restated CIS bid ratio</v>
      </c>
      <c r="F56" s="113"/>
      <c r="G56" s="301">
        <f>'Calc2 FD'!G110</f>
        <v>110.04182663170363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334.3028420207026</v>
      </c>
      <c r="K59" s="121">
        <f>'Calc2 FD'!K84</f>
        <v>379.28200358211626</v>
      </c>
      <c r="L59" s="121">
        <f>'Calc2 FD'!L84</f>
        <v>503.03660652126996</v>
      </c>
      <c r="M59" s="121">
        <f>'Calc2 FD'!M84</f>
        <v>522.1878236630605</v>
      </c>
      <c r="N59" s="121">
        <f>'Calc2 FD'!N84</f>
        <v>364.33719365782832</v>
      </c>
      <c r="O59" s="113"/>
      <c r="P59" s="113"/>
      <c r="Q59" s="113"/>
      <c r="R59" s="113"/>
      <c r="S59" s="113"/>
      <c r="T59" s="115"/>
      <c r="U59" s="295">
        <f t="shared" ref="U59:U62" si="8">SUM(J59:N59)</f>
        <v>2103.1464694449778</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296.69137673724805</v>
      </c>
      <c r="K60" s="121">
        <f>'Calc2 FD'!K85</f>
        <v>353.74977026704505</v>
      </c>
      <c r="L60" s="121">
        <f>'Calc2 FD'!L85</f>
        <v>463.42129565202896</v>
      </c>
      <c r="M60" s="121">
        <f>'Calc2 FD'!M85</f>
        <v>462.03509462553109</v>
      </c>
      <c r="N60" s="121">
        <f>'Calc2 FD'!N85</f>
        <v>335.11073392355172</v>
      </c>
      <c r="O60" s="113"/>
      <c r="P60" s="113"/>
      <c r="Q60" s="113"/>
      <c r="R60" s="113"/>
      <c r="S60" s="113"/>
      <c r="T60" s="115"/>
      <c r="U60" s="295">
        <f t="shared" si="8"/>
        <v>1911.008271205405</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304.13968515804038</v>
      </c>
      <c r="K61" s="121">
        <f>'Calc2 FD'!K86</f>
        <v>362.6305049271117</v>
      </c>
      <c r="L61" s="121">
        <f>'Calc2 FD'!L86</f>
        <v>475.0552864229719</v>
      </c>
      <c r="M61" s="121">
        <f>'Calc2 FD'!M86</f>
        <v>473.63428542051207</v>
      </c>
      <c r="N61" s="121">
        <f>'Calc2 FD'!N86</f>
        <v>343.52354365475992</v>
      </c>
      <c r="O61" s="113"/>
      <c r="P61" s="113"/>
      <c r="Q61" s="113"/>
      <c r="R61" s="113"/>
      <c r="S61" s="113"/>
      <c r="T61" s="115"/>
      <c r="U61" s="295">
        <f t="shared" si="8"/>
        <v>1958.983305583396</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356.76059745372982</v>
      </c>
      <c r="K62" s="121">
        <f>'Calc2 FD'!K87</f>
        <v>397.72932790281243</v>
      </c>
      <c r="L62" s="121">
        <f>'Calc2 FD'!L87</f>
        <v>426.17236177241989</v>
      </c>
      <c r="M62" s="121">
        <f>'Calc2 FD'!M87</f>
        <v>427.50332309213047</v>
      </c>
      <c r="N62" s="121">
        <f>'Calc2 FD'!N87</f>
        <v>417.02418172311752</v>
      </c>
      <c r="O62" s="113"/>
      <c r="P62" s="113"/>
      <c r="Q62" s="113"/>
      <c r="R62" s="113"/>
      <c r="S62" s="113"/>
      <c r="T62" s="115"/>
      <c r="U62" s="295">
        <f t="shared" si="8"/>
        <v>2025.1897919442104</v>
      </c>
    </row>
    <row r="63" spans="1:21" s="117" customFormat="1" ht="17.399999999999999">
      <c r="A63" s="110"/>
      <c r="B63" s="118" t="s">
        <v>340</v>
      </c>
      <c r="C63" s="118"/>
      <c r="D63" s="113"/>
      <c r="E63" s="113" t="str">
        <f>'Calc2 FD'!E119</f>
        <v>Sewerage: CIS outturn ratio</v>
      </c>
      <c r="F63" s="113"/>
      <c r="G63" s="301">
        <f>'Calc2 FD'!G119</f>
        <v>105.97493597799989</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-29.333289342879439</v>
      </c>
    </row>
    <row r="67" spans="1:24" s="117" customFormat="1" ht="17.399999999999999">
      <c r="A67" s="110"/>
      <c r="B67" s="118" t="s">
        <v>342</v>
      </c>
      <c r="C67" s="119"/>
      <c r="D67" s="113"/>
      <c r="E67" s="113" t="str">
        <f>'Calc2 FD'!E128</f>
        <v>Sewerage: Additional income (applied at FD)</v>
      </c>
      <c r="F67" s="113"/>
      <c r="G67" s="113"/>
      <c r="H67" s="113"/>
      <c r="I67" s="113"/>
      <c r="J67" s="121">
        <f>'Calc2 FD'!J128</f>
        <v>-2.23738932875133</v>
      </c>
      <c r="K67" s="121">
        <f>'Calc2 FD'!K128</f>
        <v>-2.6739268779090901</v>
      </c>
      <c r="L67" s="121">
        <f>'Calc2 FD'!L128</f>
        <v>-3.4780753414555399</v>
      </c>
      <c r="M67" s="121">
        <f>'Calc2 FD'!M128</f>
        <v>-3.5589569255568101</v>
      </c>
      <c r="N67" s="121">
        <f>'Calc2 FD'!N128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-14.966106784297788</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topLeftCell="A58" zoomScale="80" zoomScaleNormal="80" workbookViewId="0">
      <selection activeCell="A3" sqref="A3"/>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8" t="s">
        <v>364</v>
      </c>
      <c r="B1" s="778"/>
      <c r="C1" s="778"/>
      <c r="D1" s="778"/>
      <c r="E1" s="778"/>
      <c r="F1" s="778"/>
      <c r="G1" s="778"/>
      <c r="H1" s="778"/>
      <c r="I1" s="778"/>
      <c r="J1" s="778"/>
      <c r="K1" s="778"/>
      <c r="L1" s="778"/>
      <c r="M1" s="778"/>
      <c r="N1" s="778"/>
      <c r="O1" s="778"/>
      <c r="P1" s="778"/>
      <c r="Q1" s="778"/>
      <c r="R1" s="778"/>
      <c r="S1" s="778"/>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M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NWT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-193.31527078071935</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-67.091390978855429</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-14.51013944991533</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-23.206287046730154</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-17.02018314845445</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-27.220638167833602</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election activeCell="A3" sqref="A3"/>
    </sheetView>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sqref="A1:XFD1048576"/>
    </sheetView>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821</v>
      </c>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A5" t="s">
        <v>821</v>
      </c>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A6" t="s">
        <v>821</v>
      </c>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A7" t="s">
        <v>821</v>
      </c>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A8" t="s">
        <v>821</v>
      </c>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A9" t="s">
        <v>821</v>
      </c>
      <c r="B9" t="s">
        <v>456</v>
      </c>
      <c r="C9" t="s">
        <v>220</v>
      </c>
      <c r="D9" t="s">
        <v>497</v>
      </c>
      <c r="E9" t="s">
        <v>742</v>
      </c>
      <c r="F9" s="566"/>
      <c r="G9" s="566"/>
      <c r="H9" s="566"/>
      <c r="I9" s="566">
        <v>0</v>
      </c>
      <c r="J9" s="566">
        <v>0</v>
      </c>
      <c r="K9" s="566">
        <v>0</v>
      </c>
      <c r="L9" s="566">
        <v>0</v>
      </c>
      <c r="M9" s="566">
        <v>0</v>
      </c>
      <c r="N9" s="566"/>
      <c r="O9" s="566"/>
    </row>
    <row r="10" spans="1:15">
      <c r="A10" t="s">
        <v>821</v>
      </c>
      <c r="B10" t="s">
        <v>457</v>
      </c>
      <c r="C10" t="s">
        <v>221</v>
      </c>
      <c r="D10" t="s">
        <v>497</v>
      </c>
      <c r="E10" t="s">
        <v>742</v>
      </c>
      <c r="F10" s="566"/>
      <c r="G10" s="566"/>
      <c r="H10" s="566"/>
      <c r="I10" s="566">
        <v>0</v>
      </c>
      <c r="J10" s="566">
        <v>0</v>
      </c>
      <c r="K10" s="566">
        <v>0</v>
      </c>
      <c r="L10" s="566">
        <v>0</v>
      </c>
      <c r="M10" s="566">
        <v>0</v>
      </c>
      <c r="N10" s="566"/>
      <c r="O10" s="566"/>
    </row>
    <row r="11" spans="1:15">
      <c r="A11" t="s">
        <v>821</v>
      </c>
      <c r="B11" t="s">
        <v>458</v>
      </c>
      <c r="C11" t="s">
        <v>416</v>
      </c>
      <c r="D11" t="s">
        <v>497</v>
      </c>
      <c r="E11" t="s">
        <v>742</v>
      </c>
      <c r="F11" s="566"/>
      <c r="G11" s="566"/>
      <c r="H11" s="566"/>
      <c r="I11" s="566">
        <v>0</v>
      </c>
      <c r="J11" s="566">
        <v>0</v>
      </c>
      <c r="K11" s="566">
        <v>0</v>
      </c>
      <c r="L11" s="566">
        <v>0</v>
      </c>
      <c r="M11" s="566">
        <v>0</v>
      </c>
      <c r="N11" s="566"/>
      <c r="O11" s="566"/>
    </row>
    <row r="12" spans="1:15">
      <c r="A12" t="s">
        <v>821</v>
      </c>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A13" t="s">
        <v>821</v>
      </c>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A14" t="s">
        <v>821</v>
      </c>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A15" t="s">
        <v>821</v>
      </c>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A16" t="s">
        <v>821</v>
      </c>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1:15">
      <c r="A17" t="s">
        <v>821</v>
      </c>
      <c r="B17" t="s">
        <v>449</v>
      </c>
      <c r="C17" t="s">
        <v>222</v>
      </c>
      <c r="D17" t="s">
        <v>497</v>
      </c>
      <c r="E17" t="s">
        <v>742</v>
      </c>
      <c r="F17" s="566"/>
      <c r="G17" s="566"/>
      <c r="H17" s="566"/>
      <c r="I17" s="566">
        <v>0</v>
      </c>
      <c r="J17" s="566">
        <v>0</v>
      </c>
      <c r="K17" s="566">
        <v>0</v>
      </c>
      <c r="L17" s="566">
        <v>0</v>
      </c>
      <c r="M17" s="566">
        <v>0</v>
      </c>
      <c r="N17" s="566"/>
      <c r="O17" s="566"/>
    </row>
    <row r="18" spans="1:15">
      <c r="A18" t="s">
        <v>821</v>
      </c>
      <c r="B18" t="s">
        <v>450</v>
      </c>
      <c r="C18" t="s">
        <v>223</v>
      </c>
      <c r="D18" t="s">
        <v>497</v>
      </c>
      <c r="E18" t="s">
        <v>742</v>
      </c>
      <c r="F18" s="566"/>
      <c r="G18" s="566"/>
      <c r="H18" s="566"/>
      <c r="I18" s="566">
        <v>0</v>
      </c>
      <c r="J18" s="566">
        <v>0</v>
      </c>
      <c r="K18" s="566">
        <v>0</v>
      </c>
      <c r="L18" s="566">
        <v>0</v>
      </c>
      <c r="M18" s="566">
        <v>0</v>
      </c>
      <c r="N18" s="566"/>
      <c r="O18" s="566"/>
    </row>
    <row r="19" spans="1:15">
      <c r="A19" t="s">
        <v>821</v>
      </c>
      <c r="B19" t="s">
        <v>443</v>
      </c>
      <c r="C19" t="s">
        <v>417</v>
      </c>
      <c r="D19" t="s">
        <v>497</v>
      </c>
      <c r="E19" t="s">
        <v>742</v>
      </c>
      <c r="F19" s="566"/>
      <c r="G19" s="566"/>
      <c r="H19" s="566"/>
      <c r="I19" s="566">
        <v>0</v>
      </c>
      <c r="J19" s="566">
        <v>0</v>
      </c>
      <c r="K19" s="566">
        <v>0</v>
      </c>
      <c r="L19" s="566">
        <v>0</v>
      </c>
      <c r="M19" s="566">
        <v>0</v>
      </c>
      <c r="N19" s="566"/>
      <c r="O19" s="566"/>
    </row>
    <row r="20" spans="1:15">
      <c r="A20" t="s">
        <v>821</v>
      </c>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1:15">
      <c r="A21" t="s">
        <v>821</v>
      </c>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1:15">
      <c r="A22" t="s">
        <v>821</v>
      </c>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1:15">
      <c r="A23" t="s">
        <v>821</v>
      </c>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1:15">
      <c r="A24" t="s">
        <v>821</v>
      </c>
      <c r="B24" t="s">
        <v>441</v>
      </c>
      <c r="C24" t="s">
        <v>224</v>
      </c>
      <c r="D24" t="s">
        <v>497</v>
      </c>
      <c r="E24" t="s">
        <v>742</v>
      </c>
      <c r="F24" s="566"/>
      <c r="G24" s="566"/>
      <c r="H24" s="566"/>
      <c r="I24" s="566">
        <v>0</v>
      </c>
      <c r="J24" s="566">
        <v>0</v>
      </c>
      <c r="K24" s="566">
        <v>0</v>
      </c>
      <c r="L24" s="566">
        <v>0</v>
      </c>
      <c r="M24" s="566">
        <v>0</v>
      </c>
      <c r="N24" s="566"/>
      <c r="O24" s="566"/>
    </row>
    <row r="25" spans="1:15">
      <c r="A25" t="s">
        <v>821</v>
      </c>
      <c r="B25" t="s">
        <v>442</v>
      </c>
      <c r="C25" t="s">
        <v>225</v>
      </c>
      <c r="D25" t="s">
        <v>497</v>
      </c>
      <c r="E25" t="s">
        <v>742</v>
      </c>
      <c r="F25" s="566"/>
      <c r="G25" s="566"/>
      <c r="H25" s="566"/>
      <c r="I25" s="566">
        <v>0</v>
      </c>
      <c r="J25" s="566">
        <v>0</v>
      </c>
      <c r="K25" s="566">
        <v>0</v>
      </c>
      <c r="L25" s="566">
        <v>0</v>
      </c>
      <c r="M25" s="566">
        <v>0</v>
      </c>
      <c r="N25" s="566"/>
      <c r="O25" s="566"/>
    </row>
    <row r="26" spans="1:15">
      <c r="A26" t="s">
        <v>821</v>
      </c>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1:15">
      <c r="A27" t="s">
        <v>821</v>
      </c>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1:15">
      <c r="A28" t="s">
        <v>821</v>
      </c>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1:15">
      <c r="A29" t="s">
        <v>821</v>
      </c>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1:15">
      <c r="A30" t="s">
        <v>821</v>
      </c>
      <c r="B30" t="s">
        <v>439</v>
      </c>
      <c r="C30" t="s">
        <v>226</v>
      </c>
      <c r="D30" t="s">
        <v>497</v>
      </c>
      <c r="E30" t="s">
        <v>742</v>
      </c>
      <c r="F30" s="566"/>
      <c r="G30" s="566"/>
      <c r="H30" s="566"/>
      <c r="I30" s="566">
        <v>0</v>
      </c>
      <c r="J30" s="566">
        <v>0</v>
      </c>
      <c r="K30" s="566">
        <v>0</v>
      </c>
      <c r="L30" s="566">
        <v>0</v>
      </c>
      <c r="M30" s="566">
        <v>0</v>
      </c>
      <c r="N30" s="566"/>
      <c r="O30" s="566"/>
    </row>
    <row r="31" spans="1:15">
      <c r="A31" t="s">
        <v>821</v>
      </c>
      <c r="B31" t="s">
        <v>440</v>
      </c>
      <c r="C31" t="s">
        <v>227</v>
      </c>
      <c r="D31" t="s">
        <v>497</v>
      </c>
      <c r="E31" t="s">
        <v>742</v>
      </c>
      <c r="F31" s="566"/>
      <c r="G31" s="566"/>
      <c r="H31" s="566"/>
      <c r="I31" s="566">
        <v>0</v>
      </c>
      <c r="J31" s="566">
        <v>0</v>
      </c>
      <c r="K31" s="566">
        <v>0</v>
      </c>
      <c r="L31" s="566">
        <v>0</v>
      </c>
      <c r="M31" s="566">
        <v>0</v>
      </c>
      <c r="N31" s="566"/>
      <c r="O31" s="566"/>
    </row>
    <row r="32" spans="1:15">
      <c r="A32" t="s">
        <v>821</v>
      </c>
      <c r="B32" t="s">
        <v>68</v>
      </c>
      <c r="C32" t="s">
        <v>55</v>
      </c>
      <c r="D32" t="s">
        <v>518</v>
      </c>
      <c r="E32" t="s">
        <v>742</v>
      </c>
      <c r="F32" s="567">
        <v>93.598778127411705</v>
      </c>
      <c r="G32" s="567"/>
      <c r="H32" s="567"/>
      <c r="I32" s="567"/>
      <c r="J32" s="567"/>
      <c r="K32" s="567"/>
      <c r="L32" s="567"/>
      <c r="M32" s="567"/>
      <c r="N32" s="567"/>
      <c r="O32" s="567"/>
    </row>
    <row r="33" spans="1:15">
      <c r="A33" t="s">
        <v>821</v>
      </c>
      <c r="B33" t="s">
        <v>69</v>
      </c>
      <c r="C33" t="s">
        <v>55</v>
      </c>
      <c r="D33" t="s">
        <v>518</v>
      </c>
      <c r="E33" t="s">
        <v>742</v>
      </c>
      <c r="F33" s="567">
        <v>107.890038009222</v>
      </c>
      <c r="G33" s="567"/>
      <c r="H33" s="567"/>
      <c r="I33" s="567"/>
      <c r="J33" s="567"/>
      <c r="K33" s="567"/>
      <c r="L33" s="567"/>
      <c r="M33" s="567"/>
      <c r="N33" s="567"/>
      <c r="O33" s="567"/>
    </row>
    <row r="34" spans="1:15">
      <c r="A34" t="s">
        <v>821</v>
      </c>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1:15">
      <c r="A35" t="s">
        <v>821</v>
      </c>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1:15">
      <c r="A36" t="s">
        <v>821</v>
      </c>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1:15">
      <c r="A37" t="s">
        <v>821</v>
      </c>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1:15">
      <c r="A38" t="s">
        <v>821</v>
      </c>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821</v>
      </c>
      <c r="B39" t="s">
        <v>533</v>
      </c>
      <c r="C39" t="s">
        <v>504</v>
      </c>
      <c r="D39" t="s">
        <v>499</v>
      </c>
      <c r="E39" t="s">
        <v>742</v>
      </c>
      <c r="F39" s="570"/>
      <c r="G39" s="570"/>
      <c r="H39" s="570"/>
      <c r="I39" s="570"/>
      <c r="J39" s="570"/>
      <c r="K39" s="570"/>
      <c r="L39" s="570"/>
      <c r="M39" s="570"/>
      <c r="N39" s="570">
        <v>6.2600000000000003E-2</v>
      </c>
      <c r="O39" s="570"/>
    </row>
    <row r="40" spans="1:15">
      <c r="A40" t="s">
        <v>821</v>
      </c>
      <c r="B40" t="s">
        <v>424</v>
      </c>
      <c r="C40" t="s">
        <v>8</v>
      </c>
      <c r="D40" t="s">
        <v>497</v>
      </c>
      <c r="E40" t="s">
        <v>742</v>
      </c>
      <c r="F40" s="566"/>
      <c r="G40" s="566"/>
      <c r="H40" s="566"/>
      <c r="I40" s="566">
        <v>81.11</v>
      </c>
      <c r="J40" s="566">
        <v>62.718000000000004</v>
      </c>
      <c r="K40" s="566">
        <v>82.4</v>
      </c>
      <c r="L40" s="566">
        <v>88.368332833056201</v>
      </c>
      <c r="M40" s="566">
        <v>77.429861180947299</v>
      </c>
      <c r="N40" s="566"/>
      <c r="O40" s="566"/>
    </row>
    <row r="41" spans="1:15">
      <c r="A41" t="s">
        <v>821</v>
      </c>
      <c r="B41" t="s">
        <v>425</v>
      </c>
      <c r="C41" t="s">
        <v>65</v>
      </c>
      <c r="D41" t="s">
        <v>497</v>
      </c>
      <c r="E41" t="s">
        <v>742</v>
      </c>
      <c r="F41" s="566"/>
      <c r="G41" s="566"/>
      <c r="H41" s="566"/>
      <c r="I41" s="566">
        <v>56.975000000000001</v>
      </c>
      <c r="J41" s="566">
        <v>78.7</v>
      </c>
      <c r="K41" s="566">
        <v>104.4</v>
      </c>
      <c r="L41" s="566">
        <v>136.62866166234201</v>
      </c>
      <c r="M41" s="566">
        <v>133.83874986805799</v>
      </c>
      <c r="N41" s="566"/>
      <c r="O41" s="566"/>
    </row>
    <row r="42" spans="1:15">
      <c r="A42" t="s">
        <v>821</v>
      </c>
      <c r="B42" t="s">
        <v>426</v>
      </c>
      <c r="C42" t="s">
        <v>382</v>
      </c>
      <c r="D42" t="s">
        <v>497</v>
      </c>
      <c r="E42" t="s">
        <v>742</v>
      </c>
      <c r="F42" s="566"/>
      <c r="G42" s="566"/>
      <c r="H42" s="566"/>
      <c r="I42" s="566">
        <v>65.067999999999998</v>
      </c>
      <c r="J42" s="566">
        <v>59</v>
      </c>
      <c r="K42" s="566">
        <v>54.5</v>
      </c>
      <c r="L42" s="566">
        <v>50.342912826154702</v>
      </c>
      <c r="M42" s="566">
        <v>51.365397140712403</v>
      </c>
      <c r="N42" s="566"/>
      <c r="O42" s="566"/>
    </row>
    <row r="43" spans="1:15">
      <c r="A43" t="s">
        <v>821</v>
      </c>
      <c r="B43" t="s">
        <v>427</v>
      </c>
      <c r="C43" t="s">
        <v>383</v>
      </c>
      <c r="D43" t="s">
        <v>497</v>
      </c>
      <c r="E43" t="s">
        <v>742</v>
      </c>
      <c r="F43" s="566"/>
      <c r="G43" s="566"/>
      <c r="H43" s="566"/>
      <c r="I43" s="566">
        <v>17.885999999999999</v>
      </c>
      <c r="J43" s="566">
        <v>35.1</v>
      </c>
      <c r="K43" s="566">
        <v>45</v>
      </c>
      <c r="L43" s="566">
        <v>34.700186278274302</v>
      </c>
      <c r="M43" s="566">
        <v>34.526304537293598</v>
      </c>
      <c r="N43" s="566"/>
      <c r="O43" s="566"/>
    </row>
    <row r="44" spans="1:15">
      <c r="A44" t="s">
        <v>821</v>
      </c>
      <c r="B44" t="s">
        <v>428</v>
      </c>
      <c r="C44" t="s">
        <v>230</v>
      </c>
      <c r="D44" t="s">
        <v>497</v>
      </c>
      <c r="E44" t="s">
        <v>742</v>
      </c>
      <c r="F44" s="566"/>
      <c r="G44" s="566"/>
      <c r="H44" s="566"/>
      <c r="I44" s="566">
        <v>0</v>
      </c>
      <c r="J44" s="566">
        <v>0</v>
      </c>
      <c r="K44" s="566">
        <v>0</v>
      </c>
      <c r="L44" s="566">
        <v>0</v>
      </c>
      <c r="M44" s="566">
        <v>0</v>
      </c>
      <c r="N44" s="566"/>
      <c r="O44" s="566"/>
    </row>
    <row r="45" spans="1:15">
      <c r="A45" t="s">
        <v>821</v>
      </c>
      <c r="B45" t="s">
        <v>429</v>
      </c>
      <c r="C45" t="s">
        <v>231</v>
      </c>
      <c r="D45" t="s">
        <v>497</v>
      </c>
      <c r="E45" t="s">
        <v>742</v>
      </c>
      <c r="F45" s="566"/>
      <c r="G45" s="566"/>
      <c r="H45" s="566"/>
      <c r="I45" s="566">
        <v>0</v>
      </c>
      <c r="J45" s="566">
        <v>0</v>
      </c>
      <c r="K45" s="566">
        <v>0</v>
      </c>
      <c r="L45" s="566">
        <v>0</v>
      </c>
      <c r="M45" s="566">
        <v>0</v>
      </c>
      <c r="N45" s="566"/>
      <c r="O45" s="566"/>
    </row>
    <row r="46" spans="1:15">
      <c r="A46" t="s">
        <v>821</v>
      </c>
      <c r="B46" t="s">
        <v>430</v>
      </c>
      <c r="C46" t="s">
        <v>2</v>
      </c>
      <c r="D46" t="s">
        <v>497</v>
      </c>
      <c r="E46" t="s">
        <v>742</v>
      </c>
      <c r="F46" s="566"/>
      <c r="G46" s="566"/>
      <c r="H46" s="566"/>
      <c r="I46" s="566">
        <v>60.942999999999998</v>
      </c>
      <c r="J46" s="566">
        <v>79.064999999999998</v>
      </c>
      <c r="K46" s="566">
        <v>70.834000000000003</v>
      </c>
      <c r="L46" s="566">
        <v>68.472578196943701</v>
      </c>
      <c r="M46" s="566">
        <v>72.258091361310903</v>
      </c>
      <c r="N46" s="566"/>
      <c r="O46" s="566"/>
    </row>
    <row r="47" spans="1:15">
      <c r="A47" t="s">
        <v>821</v>
      </c>
      <c r="B47" t="s">
        <v>431</v>
      </c>
      <c r="C47" t="s">
        <v>64</v>
      </c>
      <c r="D47" t="s">
        <v>497</v>
      </c>
      <c r="E47" t="s">
        <v>742</v>
      </c>
      <c r="F47" s="566"/>
      <c r="G47" s="566"/>
      <c r="H47" s="566"/>
      <c r="I47" s="566">
        <v>128.505</v>
      </c>
      <c r="J47" s="566">
        <v>142.923</v>
      </c>
      <c r="K47" s="566">
        <v>163.24</v>
      </c>
      <c r="L47" s="566">
        <v>178.46914128188399</v>
      </c>
      <c r="M47" s="566">
        <v>206.15899999999999</v>
      </c>
      <c r="N47" s="566"/>
      <c r="O47" s="566"/>
    </row>
    <row r="48" spans="1:15">
      <c r="A48" t="s">
        <v>821</v>
      </c>
      <c r="B48" t="s">
        <v>432</v>
      </c>
      <c r="C48" t="s">
        <v>384</v>
      </c>
      <c r="D48" t="s">
        <v>497</v>
      </c>
      <c r="E48" t="s">
        <v>742</v>
      </c>
      <c r="F48" s="566"/>
      <c r="G48" s="566"/>
      <c r="H48" s="566"/>
      <c r="I48" s="566">
        <v>97.283000000000001</v>
      </c>
      <c r="J48" s="566">
        <v>130.1</v>
      </c>
      <c r="K48" s="566">
        <v>136.06899999999999</v>
      </c>
      <c r="L48" s="566">
        <v>137.88883889028</v>
      </c>
      <c r="M48" s="566">
        <v>142.913356166586</v>
      </c>
      <c r="N48" s="566"/>
      <c r="O48" s="566"/>
    </row>
    <row r="49" spans="1:15">
      <c r="A49" t="s">
        <v>821</v>
      </c>
      <c r="B49" t="s">
        <v>433</v>
      </c>
      <c r="C49" t="s">
        <v>385</v>
      </c>
      <c r="D49" t="s">
        <v>497</v>
      </c>
      <c r="E49" t="s">
        <v>742</v>
      </c>
      <c r="F49" s="566"/>
      <c r="G49" s="566"/>
      <c r="H49" s="566"/>
      <c r="I49" s="566">
        <v>100.616</v>
      </c>
      <c r="J49" s="566">
        <v>100.46</v>
      </c>
      <c r="K49" s="566">
        <v>129.751</v>
      </c>
      <c r="L49" s="566">
        <v>140.96179698633301</v>
      </c>
      <c r="M49" s="566">
        <v>122.10899999999999</v>
      </c>
      <c r="N49" s="566"/>
      <c r="O49" s="566"/>
    </row>
    <row r="50" spans="1:15">
      <c r="A50" t="s">
        <v>821</v>
      </c>
      <c r="B50" t="s">
        <v>434</v>
      </c>
      <c r="C50" t="s">
        <v>232</v>
      </c>
      <c r="D50" t="s">
        <v>497</v>
      </c>
      <c r="E50" t="s">
        <v>742</v>
      </c>
      <c r="F50" s="566"/>
      <c r="G50" s="566"/>
      <c r="H50" s="566"/>
      <c r="I50" s="566">
        <v>0</v>
      </c>
      <c r="J50" s="566">
        <v>0</v>
      </c>
      <c r="K50" s="566">
        <v>0</v>
      </c>
      <c r="L50" s="566">
        <v>0</v>
      </c>
      <c r="M50" s="566">
        <v>0</v>
      </c>
      <c r="N50" s="566"/>
      <c r="O50" s="566"/>
    </row>
    <row r="51" spans="1:15">
      <c r="A51" t="s">
        <v>821</v>
      </c>
      <c r="B51" t="s">
        <v>435</v>
      </c>
      <c r="C51" t="s">
        <v>233</v>
      </c>
      <c r="D51" t="s">
        <v>497</v>
      </c>
      <c r="E51" t="s">
        <v>742</v>
      </c>
      <c r="F51" s="566"/>
      <c r="G51" s="566"/>
      <c r="H51" s="566"/>
      <c r="I51" s="566">
        <v>0</v>
      </c>
      <c r="J51" s="566">
        <v>0</v>
      </c>
      <c r="K51" s="566">
        <v>0</v>
      </c>
      <c r="L51" s="566">
        <v>0</v>
      </c>
      <c r="M51" s="566">
        <v>0</v>
      </c>
      <c r="N51" s="566"/>
      <c r="O51" s="566"/>
    </row>
    <row r="52" spans="1:15">
      <c r="A52" t="s">
        <v>821</v>
      </c>
      <c r="B52" t="s">
        <v>420</v>
      </c>
      <c r="C52" t="s">
        <v>202</v>
      </c>
      <c r="D52" t="s">
        <v>497</v>
      </c>
      <c r="E52" t="s">
        <v>742</v>
      </c>
      <c r="F52" s="566"/>
      <c r="G52" s="566"/>
      <c r="H52" s="566"/>
      <c r="I52" s="566"/>
      <c r="J52" s="566"/>
      <c r="K52" s="566"/>
      <c r="L52" s="566"/>
      <c r="M52" s="566"/>
      <c r="N52" s="566"/>
      <c r="O52" s="566"/>
    </row>
    <row r="53" spans="1:15">
      <c r="A53" t="s">
        <v>821</v>
      </c>
      <c r="B53" t="s">
        <v>422</v>
      </c>
      <c r="C53" t="s">
        <v>203</v>
      </c>
      <c r="D53" t="s">
        <v>497</v>
      </c>
      <c r="E53" t="s">
        <v>742</v>
      </c>
      <c r="F53" s="566"/>
      <c r="G53" s="566"/>
      <c r="H53" s="566"/>
      <c r="I53" s="566"/>
      <c r="J53" s="566"/>
      <c r="K53" s="566"/>
      <c r="L53" s="566"/>
      <c r="M53" s="566"/>
      <c r="N53" s="566"/>
      <c r="O53" s="566"/>
    </row>
    <row r="54" spans="1:15">
      <c r="A54" t="s">
        <v>821</v>
      </c>
      <c r="B54" t="s">
        <v>476</v>
      </c>
      <c r="C54" t="s">
        <v>251</v>
      </c>
      <c r="D54" t="s">
        <v>497</v>
      </c>
      <c r="E54" t="s">
        <v>742</v>
      </c>
      <c r="F54" s="566"/>
      <c r="G54" s="566"/>
      <c r="H54" s="566">
        <v>0</v>
      </c>
      <c r="I54" s="566">
        <v>0</v>
      </c>
      <c r="J54" s="566">
        <v>0</v>
      </c>
      <c r="K54" s="566">
        <v>0</v>
      </c>
      <c r="L54" s="566">
        <v>0</v>
      </c>
      <c r="M54" s="566">
        <v>0</v>
      </c>
      <c r="N54" s="566"/>
      <c r="O54" s="566"/>
    </row>
    <row r="55" spans="1:15">
      <c r="A55" t="s">
        <v>821</v>
      </c>
      <c r="B55" t="s">
        <v>477</v>
      </c>
      <c r="C55" t="s">
        <v>252</v>
      </c>
      <c r="D55" t="s">
        <v>497</v>
      </c>
      <c r="E55" t="s">
        <v>742</v>
      </c>
      <c r="F55" s="566"/>
      <c r="G55" s="566"/>
      <c r="H55" s="566">
        <v>0</v>
      </c>
      <c r="I55" s="566">
        <v>0</v>
      </c>
      <c r="J55" s="566">
        <v>0</v>
      </c>
      <c r="K55" s="566">
        <v>0</v>
      </c>
      <c r="L55" s="566">
        <v>0</v>
      </c>
      <c r="M55" s="566">
        <v>0</v>
      </c>
      <c r="N55" s="566"/>
      <c r="O55" s="566"/>
    </row>
    <row r="56" spans="1:15">
      <c r="A56" t="s">
        <v>821</v>
      </c>
      <c r="B56" t="s">
        <v>478</v>
      </c>
      <c r="C56" t="s">
        <v>200</v>
      </c>
      <c r="D56" t="s">
        <v>497</v>
      </c>
      <c r="E56" t="s">
        <v>742</v>
      </c>
      <c r="F56" s="566"/>
      <c r="G56" s="566"/>
      <c r="H56" s="566">
        <v>0</v>
      </c>
      <c r="I56" s="566">
        <v>0</v>
      </c>
      <c r="J56" s="566">
        <v>0</v>
      </c>
      <c r="K56" s="566">
        <v>0</v>
      </c>
      <c r="L56" s="566">
        <v>0</v>
      </c>
      <c r="M56" s="566">
        <v>-8.0574925374535695</v>
      </c>
      <c r="N56" s="566"/>
      <c r="O56" s="566"/>
    </row>
    <row r="57" spans="1:15">
      <c r="A57" t="s">
        <v>821</v>
      </c>
      <c r="B57" t="s">
        <v>421</v>
      </c>
      <c r="C57" t="s">
        <v>204</v>
      </c>
      <c r="D57" t="s">
        <v>497</v>
      </c>
      <c r="E57" t="s">
        <v>742</v>
      </c>
      <c r="F57" s="566"/>
      <c r="G57" s="566"/>
      <c r="H57" s="566"/>
      <c r="I57" s="566"/>
      <c r="J57" s="566"/>
      <c r="K57" s="566"/>
      <c r="L57" s="566"/>
      <c r="M57" s="566"/>
      <c r="N57" s="566"/>
      <c r="O57" s="566"/>
    </row>
    <row r="58" spans="1:15">
      <c r="A58" t="s">
        <v>821</v>
      </c>
      <c r="B58" t="s">
        <v>423</v>
      </c>
      <c r="C58" t="s">
        <v>205</v>
      </c>
      <c r="D58" t="s">
        <v>497</v>
      </c>
      <c r="E58" t="s">
        <v>742</v>
      </c>
      <c r="F58" s="566"/>
      <c r="G58" s="566"/>
      <c r="H58" s="566"/>
      <c r="I58" s="566"/>
      <c r="J58" s="566"/>
      <c r="K58" s="566"/>
      <c r="L58" s="566"/>
      <c r="M58" s="566"/>
      <c r="N58" s="566"/>
      <c r="O58" s="566"/>
    </row>
    <row r="59" spans="1:15">
      <c r="A59" t="s">
        <v>821</v>
      </c>
      <c r="B59" t="s">
        <v>479</v>
      </c>
      <c r="C59" t="s">
        <v>253</v>
      </c>
      <c r="D59" t="s">
        <v>497</v>
      </c>
      <c r="E59" t="s">
        <v>742</v>
      </c>
      <c r="F59" s="566"/>
      <c r="G59" s="566"/>
      <c r="H59" s="566">
        <v>0</v>
      </c>
      <c r="I59" s="566">
        <v>0.28246441316447002</v>
      </c>
      <c r="J59" s="566">
        <v>13.0264552418378</v>
      </c>
      <c r="K59" s="566">
        <v>21.714323113048199</v>
      </c>
      <c r="L59" s="566">
        <v>24.644042771550598</v>
      </c>
      <c r="M59" s="566">
        <v>49.989885136771697</v>
      </c>
      <c r="N59" s="566"/>
      <c r="O59" s="566"/>
    </row>
    <row r="60" spans="1:15">
      <c r="A60" t="s">
        <v>821</v>
      </c>
      <c r="B60" t="s">
        <v>480</v>
      </c>
      <c r="C60" t="s">
        <v>254</v>
      </c>
      <c r="D60" t="s">
        <v>497</v>
      </c>
      <c r="E60" t="s">
        <v>742</v>
      </c>
      <c r="F60" s="566"/>
      <c r="G60" s="566"/>
      <c r="H60" s="566">
        <v>0</v>
      </c>
      <c r="I60" s="566">
        <v>0.20139714852101601</v>
      </c>
      <c r="J60" s="566">
        <v>9.3251642560225392</v>
      </c>
      <c r="K60" s="566">
        <v>15.6069197128142</v>
      </c>
      <c r="L60" s="566">
        <v>17.783757011812099</v>
      </c>
      <c r="M60" s="566">
        <v>39.564589347712001</v>
      </c>
      <c r="N60" s="566"/>
      <c r="O60" s="566"/>
    </row>
    <row r="61" spans="1:15">
      <c r="A61" t="s">
        <v>821</v>
      </c>
      <c r="B61" t="s">
        <v>481</v>
      </c>
      <c r="C61" t="s">
        <v>201</v>
      </c>
      <c r="D61" t="s">
        <v>497</v>
      </c>
      <c r="E61" t="s">
        <v>742</v>
      </c>
      <c r="F61" s="566"/>
      <c r="G61" s="566"/>
      <c r="H61" s="566">
        <v>0</v>
      </c>
      <c r="I61" s="566">
        <v>-0.4522689985251</v>
      </c>
      <c r="J61" s="566">
        <v>-1.2269052645863101</v>
      </c>
      <c r="K61" s="566">
        <v>-2.3590303473757399</v>
      </c>
      <c r="L61" s="566">
        <v>-22.498090855247899</v>
      </c>
      <c r="M61" s="566">
        <v>-41.193230711400297</v>
      </c>
      <c r="N61" s="566"/>
      <c r="O61" s="566"/>
    </row>
    <row r="62" spans="1:15">
      <c r="A62" t="s">
        <v>821</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821</v>
      </c>
      <c r="B63" t="s">
        <v>438</v>
      </c>
      <c r="C63" t="s">
        <v>92</v>
      </c>
      <c r="D63" t="s">
        <v>499</v>
      </c>
      <c r="E63" t="s">
        <v>742</v>
      </c>
      <c r="F63" s="570"/>
      <c r="G63" s="570"/>
      <c r="H63" s="570"/>
      <c r="I63" s="570"/>
      <c r="J63" s="570"/>
      <c r="K63" s="570"/>
      <c r="L63" s="570"/>
      <c r="M63" s="570"/>
      <c r="N63" s="570"/>
      <c r="O63" s="570"/>
    </row>
    <row r="64" spans="1:15">
      <c r="A64" t="s">
        <v>821</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821</v>
      </c>
      <c r="B65" t="s">
        <v>534</v>
      </c>
      <c r="C65" t="s">
        <v>559</v>
      </c>
      <c r="D65" t="s">
        <v>522</v>
      </c>
      <c r="E65" t="s">
        <v>742</v>
      </c>
      <c r="F65" s="568"/>
      <c r="G65" s="568"/>
      <c r="H65" s="568"/>
      <c r="I65" s="568"/>
      <c r="J65" s="568"/>
      <c r="K65" s="568"/>
      <c r="L65" s="568"/>
      <c r="M65" s="568"/>
      <c r="N65" s="568"/>
      <c r="O65" s="568"/>
    </row>
    <row r="66" spans="1:15">
      <c r="A66" t="s">
        <v>821</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821</v>
      </c>
      <c r="B67" t="s">
        <v>93</v>
      </c>
      <c r="C67" t="s">
        <v>523</v>
      </c>
      <c r="D67" t="s">
        <v>518</v>
      </c>
      <c r="E67" t="s">
        <v>742</v>
      </c>
      <c r="F67" s="569">
        <v>111.3</v>
      </c>
      <c r="G67" s="569"/>
      <c r="H67" s="569"/>
      <c r="I67" s="569"/>
      <c r="J67" s="569"/>
      <c r="K67" s="569"/>
      <c r="L67" s="569"/>
      <c r="M67" s="569"/>
      <c r="N67" s="569"/>
      <c r="O67" s="569"/>
    </row>
    <row r="68" spans="1:15">
      <c r="A68" t="s">
        <v>821</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821</v>
      </c>
      <c r="B69" t="s">
        <v>96</v>
      </c>
      <c r="C69" t="s">
        <v>525</v>
      </c>
      <c r="D69" t="s">
        <v>518</v>
      </c>
      <c r="E69" t="s">
        <v>742</v>
      </c>
      <c r="F69" s="569">
        <v>208.59166666666701</v>
      </c>
      <c r="G69" s="569"/>
      <c r="H69" s="569"/>
      <c r="I69" s="569"/>
      <c r="J69" s="569"/>
      <c r="K69" s="569"/>
      <c r="L69" s="569"/>
      <c r="M69" s="569"/>
      <c r="N69" s="569"/>
      <c r="O69" s="569"/>
    </row>
    <row r="70" spans="1:15">
      <c r="A70" t="s">
        <v>821</v>
      </c>
      <c r="B70" t="s">
        <v>97</v>
      </c>
      <c r="C70" t="s">
        <v>526</v>
      </c>
      <c r="D70" t="s">
        <v>518</v>
      </c>
      <c r="E70" t="s">
        <v>742</v>
      </c>
      <c r="F70" s="569">
        <v>111.3</v>
      </c>
      <c r="G70" s="569"/>
      <c r="H70" s="569"/>
      <c r="I70" s="569"/>
      <c r="J70" s="569"/>
      <c r="K70" s="569"/>
      <c r="L70" s="569"/>
      <c r="M70" s="569"/>
      <c r="N70" s="569"/>
      <c r="O70" s="569"/>
    </row>
    <row r="71" spans="1:15">
      <c r="A71" t="s">
        <v>821</v>
      </c>
      <c r="B71" t="s">
        <v>459</v>
      </c>
      <c r="C71" t="s">
        <v>39</v>
      </c>
      <c r="D71" t="s">
        <v>56</v>
      </c>
      <c r="E71" t="s">
        <v>742</v>
      </c>
      <c r="F71" s="567"/>
      <c r="G71" s="567"/>
      <c r="H71" s="567"/>
      <c r="I71" s="567"/>
      <c r="J71" s="567"/>
      <c r="K71" s="567"/>
      <c r="L71" s="567"/>
      <c r="M71" s="567"/>
      <c r="N71" s="567">
        <v>-7.4999999999999997E-3</v>
      </c>
      <c r="O71" s="567"/>
    </row>
    <row r="72" spans="1:15">
      <c r="A72" t="s">
        <v>821</v>
      </c>
      <c r="B72" t="s">
        <v>460</v>
      </c>
      <c r="C72" t="s">
        <v>40</v>
      </c>
      <c r="D72" t="s">
        <v>56</v>
      </c>
      <c r="E72" t="s">
        <v>742</v>
      </c>
      <c r="F72" s="567"/>
      <c r="G72" s="567"/>
      <c r="H72" s="567"/>
      <c r="I72" s="567"/>
      <c r="J72" s="567"/>
      <c r="K72" s="567"/>
      <c r="L72" s="567"/>
      <c r="M72" s="567"/>
      <c r="N72" s="567">
        <v>1.05</v>
      </c>
      <c r="O72" s="567"/>
    </row>
    <row r="73" spans="1:15">
      <c r="A73" t="s">
        <v>821</v>
      </c>
      <c r="B73" t="s">
        <v>461</v>
      </c>
      <c r="C73" t="s">
        <v>41</v>
      </c>
      <c r="D73" t="s">
        <v>56</v>
      </c>
      <c r="E73" t="s">
        <v>742</v>
      </c>
      <c r="F73" s="567"/>
      <c r="G73" s="567"/>
      <c r="H73" s="567"/>
      <c r="I73" s="567"/>
      <c r="J73" s="567"/>
      <c r="K73" s="567"/>
      <c r="L73" s="567"/>
      <c r="M73" s="567"/>
      <c r="N73" s="567">
        <v>0.25</v>
      </c>
      <c r="O73" s="567"/>
    </row>
    <row r="74" spans="1:15">
      <c r="A74" t="s">
        <v>821</v>
      </c>
      <c r="B74" t="s">
        <v>462</v>
      </c>
      <c r="C74" t="s">
        <v>42</v>
      </c>
      <c r="D74" t="s">
        <v>56</v>
      </c>
      <c r="E74" t="s">
        <v>742</v>
      </c>
      <c r="F74" s="567"/>
      <c r="G74" s="567"/>
      <c r="H74" s="567"/>
      <c r="I74" s="567"/>
      <c r="J74" s="567"/>
      <c r="K74" s="567"/>
      <c r="L74" s="567"/>
      <c r="M74" s="567"/>
      <c r="N74" s="567">
        <v>75</v>
      </c>
      <c r="O74" s="567"/>
    </row>
    <row r="75" spans="1:15">
      <c r="A75" t="s">
        <v>821</v>
      </c>
      <c r="B75" t="s">
        <v>463</v>
      </c>
      <c r="C75" t="s">
        <v>43</v>
      </c>
      <c r="D75" t="s">
        <v>56</v>
      </c>
      <c r="E75" t="s">
        <v>742</v>
      </c>
      <c r="F75" s="567"/>
      <c r="G75" s="567"/>
      <c r="H75" s="567"/>
      <c r="I75" s="567"/>
      <c r="J75" s="567"/>
      <c r="K75" s="567"/>
      <c r="L75" s="567"/>
      <c r="M75" s="567"/>
      <c r="N75" s="567">
        <v>-1.8749999999999999E-3</v>
      </c>
      <c r="O75" s="567"/>
    </row>
    <row r="76" spans="1:15">
      <c r="A76" t="s">
        <v>821</v>
      </c>
      <c r="B76" t="s">
        <v>464</v>
      </c>
      <c r="C76" t="s">
        <v>44</v>
      </c>
      <c r="D76" t="s">
        <v>56</v>
      </c>
      <c r="E76" t="s">
        <v>742</v>
      </c>
      <c r="F76" s="567"/>
      <c r="G76" s="567"/>
      <c r="H76" s="567"/>
      <c r="I76" s="567"/>
      <c r="J76" s="567"/>
      <c r="K76" s="567"/>
      <c r="L76" s="567"/>
      <c r="M76" s="567"/>
      <c r="N76" s="567">
        <v>0.28749999999999998</v>
      </c>
      <c r="O76" s="567"/>
    </row>
    <row r="77" spans="1:15">
      <c r="A77" t="s">
        <v>821</v>
      </c>
      <c r="B77" t="s">
        <v>465</v>
      </c>
      <c r="C77" t="s">
        <v>45</v>
      </c>
      <c r="D77" t="s">
        <v>56</v>
      </c>
      <c r="E77" t="s">
        <v>742</v>
      </c>
      <c r="F77" s="567"/>
      <c r="G77" s="567"/>
      <c r="H77" s="567"/>
      <c r="I77" s="567"/>
      <c r="J77" s="567"/>
      <c r="K77" s="567"/>
      <c r="L77" s="567"/>
      <c r="M77" s="567"/>
      <c r="N77" s="567">
        <v>-10</v>
      </c>
      <c r="O77" s="567"/>
    </row>
    <row r="78" spans="1:15">
      <c r="A78" t="s">
        <v>821</v>
      </c>
      <c r="B78" t="s">
        <v>466</v>
      </c>
      <c r="C78" t="s">
        <v>39</v>
      </c>
      <c r="D78" t="s">
        <v>56</v>
      </c>
      <c r="E78" t="s">
        <v>742</v>
      </c>
      <c r="F78" s="567"/>
      <c r="G78" s="567"/>
      <c r="H78" s="567"/>
      <c r="I78" s="567"/>
      <c r="J78" s="567"/>
      <c r="K78" s="567"/>
      <c r="L78" s="567"/>
      <c r="M78" s="567"/>
      <c r="N78" s="567">
        <v>-5.0000000000000001E-3</v>
      </c>
      <c r="O78" s="567"/>
    </row>
    <row r="79" spans="1:15">
      <c r="A79" t="s">
        <v>821</v>
      </c>
      <c r="B79" t="s">
        <v>467</v>
      </c>
      <c r="C79" t="s">
        <v>40</v>
      </c>
      <c r="D79" t="s">
        <v>56</v>
      </c>
      <c r="E79" t="s">
        <v>742</v>
      </c>
      <c r="F79" s="567"/>
      <c r="G79" s="567"/>
      <c r="H79" s="567"/>
      <c r="I79" s="567"/>
      <c r="J79" s="567"/>
      <c r="K79" s="567"/>
      <c r="L79" s="567"/>
      <c r="M79" s="567"/>
      <c r="N79" s="567">
        <v>0.8</v>
      </c>
      <c r="O79" s="567"/>
    </row>
    <row r="80" spans="1:15">
      <c r="A80" t="s">
        <v>821</v>
      </c>
      <c r="B80" t="s">
        <v>468</v>
      </c>
      <c r="C80" t="s">
        <v>41</v>
      </c>
      <c r="D80" t="s">
        <v>56</v>
      </c>
      <c r="E80" t="s">
        <v>742</v>
      </c>
      <c r="F80" s="567"/>
      <c r="G80" s="567"/>
      <c r="H80" s="567"/>
      <c r="I80" s="567"/>
      <c r="J80" s="567"/>
      <c r="K80" s="567"/>
      <c r="L80" s="567"/>
      <c r="M80" s="567"/>
      <c r="N80" s="567">
        <v>0.25</v>
      </c>
      <c r="O80" s="567"/>
    </row>
    <row r="81" spans="1:15">
      <c r="A81" t="s">
        <v>821</v>
      </c>
      <c r="B81" t="s">
        <v>469</v>
      </c>
      <c r="C81" t="s">
        <v>42</v>
      </c>
      <c r="D81" t="s">
        <v>56</v>
      </c>
      <c r="E81" t="s">
        <v>742</v>
      </c>
      <c r="F81" s="567"/>
      <c r="G81" s="567"/>
      <c r="H81" s="567"/>
      <c r="I81" s="567"/>
      <c r="J81" s="567"/>
      <c r="K81" s="567"/>
      <c r="L81" s="567"/>
      <c r="M81" s="567"/>
      <c r="N81" s="567">
        <v>75</v>
      </c>
      <c r="O81" s="567"/>
    </row>
    <row r="82" spans="1:15">
      <c r="A82" t="s">
        <v>821</v>
      </c>
      <c r="B82" t="s">
        <v>470</v>
      </c>
      <c r="C82" t="s">
        <v>43</v>
      </c>
      <c r="D82" t="s">
        <v>56</v>
      </c>
      <c r="E82" t="s">
        <v>742</v>
      </c>
      <c r="F82" s="567"/>
      <c r="G82" s="567"/>
      <c r="H82" s="567"/>
      <c r="I82" s="567"/>
      <c r="J82" s="567"/>
      <c r="K82" s="567"/>
      <c r="L82" s="567"/>
      <c r="M82" s="567"/>
      <c r="N82" s="567">
        <v>-1.25E-3</v>
      </c>
      <c r="O82" s="567"/>
    </row>
    <row r="83" spans="1:15">
      <c r="A83" t="s">
        <v>821</v>
      </c>
      <c r="B83" t="s">
        <v>471</v>
      </c>
      <c r="C83" t="s">
        <v>44</v>
      </c>
      <c r="D83" t="s">
        <v>56</v>
      </c>
      <c r="E83" t="s">
        <v>742</v>
      </c>
      <c r="F83" s="567"/>
      <c r="G83" s="567"/>
      <c r="H83" s="567"/>
      <c r="I83" s="567"/>
      <c r="J83" s="567"/>
      <c r="K83" s="567"/>
      <c r="L83" s="567"/>
      <c r="M83" s="567"/>
      <c r="N83" s="567">
        <v>0.17499999999999999</v>
      </c>
      <c r="O83" s="567"/>
    </row>
    <row r="84" spans="1:15">
      <c r="A84" t="s">
        <v>821</v>
      </c>
      <c r="B84" t="s">
        <v>472</v>
      </c>
      <c r="C84" t="s">
        <v>45</v>
      </c>
      <c r="D84" t="s">
        <v>56</v>
      </c>
      <c r="E84" t="s">
        <v>742</v>
      </c>
      <c r="F84" s="567"/>
      <c r="G84" s="567"/>
      <c r="H84" s="567"/>
      <c r="I84" s="567"/>
      <c r="J84" s="567"/>
      <c r="K84" s="567"/>
      <c r="L84" s="567"/>
      <c r="M84" s="567"/>
      <c r="N84" s="567">
        <v>-5</v>
      </c>
      <c r="O84" s="567"/>
    </row>
    <row r="85" spans="1:15">
      <c r="A85" t="s">
        <v>821</v>
      </c>
      <c r="B85" t="s">
        <v>473</v>
      </c>
      <c r="C85" t="s">
        <v>46</v>
      </c>
      <c r="D85" t="s">
        <v>56</v>
      </c>
      <c r="E85" t="s">
        <v>742</v>
      </c>
      <c r="F85" s="567"/>
      <c r="G85" s="567"/>
      <c r="H85" s="567"/>
      <c r="I85" s="567"/>
      <c r="J85" s="567"/>
      <c r="K85" s="567"/>
      <c r="L85" s="567"/>
      <c r="M85" s="567"/>
      <c r="N85" s="567">
        <v>0.05</v>
      </c>
      <c r="O85" s="567"/>
    </row>
    <row r="86" spans="1:15">
      <c r="A86" t="s">
        <v>821</v>
      </c>
      <c r="B86" t="s">
        <v>474</v>
      </c>
      <c r="C86" t="s">
        <v>50</v>
      </c>
      <c r="D86" t="s">
        <v>55</v>
      </c>
      <c r="E86" t="s">
        <v>742</v>
      </c>
      <c r="F86" s="567"/>
      <c r="G86" s="567"/>
      <c r="H86" s="567"/>
      <c r="I86" s="567"/>
      <c r="J86" s="567"/>
      <c r="K86" s="567"/>
      <c r="L86" s="567"/>
      <c r="M86" s="567"/>
      <c r="N86" s="567">
        <v>100</v>
      </c>
      <c r="O86" s="567"/>
    </row>
    <row r="87" spans="1:15">
      <c r="A87" t="s">
        <v>821</v>
      </c>
      <c r="B87" t="s">
        <v>475</v>
      </c>
      <c r="C87" t="s">
        <v>47</v>
      </c>
      <c r="D87" t="s">
        <v>55</v>
      </c>
      <c r="E87" t="s">
        <v>742</v>
      </c>
      <c r="F87" s="567"/>
      <c r="G87" s="567"/>
      <c r="H87" s="567"/>
      <c r="I87" s="567"/>
      <c r="J87" s="567"/>
      <c r="K87" s="567"/>
      <c r="L87" s="567"/>
      <c r="M87" s="567"/>
      <c r="N87" s="567">
        <v>130</v>
      </c>
      <c r="O87" s="567"/>
    </row>
    <row r="88" spans="1:15">
      <c r="A88" t="s">
        <v>821</v>
      </c>
      <c r="B88" t="s">
        <v>166</v>
      </c>
      <c r="C88" t="s">
        <v>270</v>
      </c>
      <c r="D88" t="s">
        <v>56</v>
      </c>
      <c r="E88" t="s">
        <v>742</v>
      </c>
      <c r="F88" s="567"/>
      <c r="G88" s="567"/>
      <c r="H88" s="567"/>
      <c r="I88" s="567"/>
      <c r="J88" s="567"/>
      <c r="K88" s="567"/>
      <c r="L88" s="567"/>
      <c r="M88" s="567"/>
      <c r="N88" s="567">
        <v>2</v>
      </c>
      <c r="O88" s="567"/>
    </row>
    <row r="89" spans="1:15">
      <c r="A89" t="s">
        <v>821</v>
      </c>
      <c r="B89" t="s">
        <v>167</v>
      </c>
      <c r="C89" t="s">
        <v>527</v>
      </c>
      <c r="D89" t="s">
        <v>518</v>
      </c>
      <c r="E89" t="s">
        <v>742</v>
      </c>
      <c r="F89" s="567"/>
      <c r="G89" s="567"/>
      <c r="H89" s="567"/>
      <c r="I89" s="567"/>
      <c r="J89" s="567"/>
      <c r="K89" s="567"/>
      <c r="L89" s="567"/>
      <c r="M89" s="567"/>
      <c r="N89" s="567">
        <v>1</v>
      </c>
      <c r="O89" s="567"/>
    </row>
    <row r="90" spans="1:15">
      <c r="A90" t="s">
        <v>821</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96.677407217414597</v>
      </c>
      <c r="K10" s="221">
        <f>INDEX('F_Inputs BYR'!$B$4:$N$90,MATCH($C10,'F_Inputs BYR'!$B$4:$B$90,0),MATCH(K$2,'F_Inputs BYR'!$B$2:$N$2,0))</f>
        <v>111.965967265263</v>
      </c>
      <c r="L10" s="221">
        <f>INDEX('F_Inputs BYR'!$B$4:$N$90,MATCH($C10,'F_Inputs BYR'!$B$4:$B$90,0),MATCH(L$2,'F_Inputs BYR'!$B$2:$N$2,0))</f>
        <v>90.137927472951105</v>
      </c>
      <c r="M10" s="221">
        <f>INDEX('F_Inputs BYR'!$B$4:$N$90,MATCH($C10,'F_Inputs BYR'!$B$4:$B$90,0),MATCH(M$2,'F_Inputs BYR'!$B$2:$N$2,0))</f>
        <v>90.6667343285458</v>
      </c>
      <c r="N10" s="395">
        <f>INDEX('F_Inputs BYR'!$B$4:$N$90,MATCH($C10,'F_Inputs BYR'!$B$4:$B$90,0),MATCH(N$2,'F_Inputs BYR'!$B$2:$N$2,0))</f>
        <v>85.142044890137896</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71.716342883676703</v>
      </c>
      <c r="K11" s="221">
        <f>INDEX('F_Inputs BYR'!$B$4:$N$90,MATCH($C11,'F_Inputs BYR'!$B$4:$B$90,0),MATCH(K$2,'F_Inputs BYR'!$B$2:$N$2,0))</f>
        <v>108.91078858467</v>
      </c>
      <c r="L11" s="221">
        <f>INDEX('F_Inputs BYR'!$B$4:$N$90,MATCH($C11,'F_Inputs BYR'!$B$4:$B$90,0),MATCH(L$2,'F_Inputs BYR'!$B$2:$N$2,0))</f>
        <v>106.472526906772</v>
      </c>
      <c r="M11" s="221">
        <f>INDEX('F_Inputs BYR'!$B$4:$N$90,MATCH($C11,'F_Inputs BYR'!$B$4:$B$90,0),MATCH(M$2,'F_Inputs BYR'!$B$2:$N$2,0))</f>
        <v>87.405386500713803</v>
      </c>
      <c r="N11" s="395">
        <f>INDEX('F_Inputs BYR'!$B$4:$N$90,MATCH($C11,'F_Inputs BYR'!$B$4:$B$90,0),MATCH(N$2,'F_Inputs BYR'!$B$2:$N$2,0))</f>
        <v>63.638229124167303</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87.974174160817597</v>
      </c>
      <c r="K12" s="221">
        <f>INDEX('F_Inputs BYR'!$B$4:$N$90,MATCH($C12,'F_Inputs BYR'!$B$4:$B$90,0),MATCH(K$2,'F_Inputs BYR'!$B$2:$N$2,0))</f>
        <v>67.934574112969699</v>
      </c>
      <c r="L12" s="221">
        <f>INDEX('F_Inputs BYR'!$B$4:$N$90,MATCH($C12,'F_Inputs BYR'!$B$4:$B$90,0),MATCH(L$2,'F_Inputs BYR'!$B$2:$N$2,0))</f>
        <v>55.8016539052811</v>
      </c>
      <c r="M12" s="221">
        <f>INDEX('F_Inputs BYR'!$B$4:$N$90,MATCH($C12,'F_Inputs BYR'!$B$4:$B$90,0),MATCH(M$2,'F_Inputs BYR'!$B$2:$N$2,0))</f>
        <v>42.176527049686499</v>
      </c>
      <c r="N12" s="395">
        <f>INDEX('F_Inputs BYR'!$B$4:$N$90,MATCH($C12,'F_Inputs BYR'!$B$4:$B$90,0),MATCH(N$2,'F_Inputs BYR'!$B$2:$N$2,0))</f>
        <v>29.040736488094399</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18.6694271158755</v>
      </c>
      <c r="K13" s="221">
        <f>INDEX('F_Inputs BYR'!$B$4:$N$90,MATCH($C13,'F_Inputs BYR'!$B$4:$B$90,0),MATCH(K$2,'F_Inputs BYR'!$B$2:$N$2,0))</f>
        <v>39.4846614157779</v>
      </c>
      <c r="L13" s="221">
        <f>INDEX('F_Inputs BYR'!$B$4:$N$90,MATCH($C13,'F_Inputs BYR'!$B$4:$B$90,0),MATCH(L$2,'F_Inputs BYR'!$B$2:$N$2,0))</f>
        <v>46.933763093227697</v>
      </c>
      <c r="M13" s="221">
        <f>INDEX('F_Inputs BYR'!$B$4:$N$90,MATCH($C13,'F_Inputs BYR'!$B$4:$B$90,0),MATCH(M$2,'F_Inputs BYR'!$B$2:$N$2,0))</f>
        <v>39.4447534992862</v>
      </c>
      <c r="N13" s="395">
        <f>INDEX('F_Inputs BYR'!$B$4:$N$90,MATCH($C13,'F_Inputs BYR'!$B$4:$B$90,0),MATCH(N$2,'F_Inputs BYR'!$B$2:$N$2,0))</f>
        <v>24.197480875832699</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8.6940000000000008</v>
      </c>
      <c r="K14" s="221">
        <f>INDEX('F_Inputs BYR'!$B$4:$N$90,MATCH($C14,'F_Inputs BYR'!$B$4:$B$90,0),MATCH(K$2,'F_Inputs BYR'!$B$2:$N$2,0))</f>
        <v>12.15</v>
      </c>
      <c r="L14" s="221">
        <f>INDEX('F_Inputs BYR'!$B$4:$N$90,MATCH($C14,'F_Inputs BYR'!$B$4:$B$90,0),MATCH(L$2,'F_Inputs BYR'!$B$2:$N$2,0))</f>
        <v>9.1080000000000005</v>
      </c>
      <c r="M14" s="221">
        <f>INDEX('F_Inputs BYR'!$B$4:$N$90,MATCH($C14,'F_Inputs BYR'!$B$4:$B$90,0),MATCH(M$2,'F_Inputs BYR'!$B$2:$N$2,0))</f>
        <v>8.3810000000000002</v>
      </c>
      <c r="N14" s="395">
        <f>INDEX('F_Inputs BYR'!$B$4:$N$90,MATCH($C14,'F_Inputs BYR'!$B$4:$B$90,0),MATCH(N$2,'F_Inputs BYR'!$B$2:$N$2,0))</f>
        <v>9.3680000000000003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65.399928000000003</v>
      </c>
      <c r="K19" s="221">
        <f>INDEX('F_Inputs BYR'!$B$4:$N$90,MATCH($C19,'F_Inputs BYR'!$B$4:$B$90,0),MATCH(K$2,'F_Inputs BYR'!$B$2:$N$2,0))</f>
        <v>53.841191999999999</v>
      </c>
      <c r="L19" s="221">
        <f>INDEX('F_Inputs BYR'!$B$4:$N$90,MATCH($C19,'F_Inputs BYR'!$B$4:$B$90,0),MATCH(L$2,'F_Inputs BYR'!$B$2:$N$2,0))</f>
        <v>58.89132</v>
      </c>
      <c r="M19" s="221">
        <f>INDEX('F_Inputs BYR'!$B$4:$N$90,MATCH($C19,'F_Inputs BYR'!$B$4:$B$90,0),MATCH(M$2,'F_Inputs BYR'!$B$2:$N$2,0))</f>
        <v>43.576680000000003</v>
      </c>
      <c r="N19" s="395">
        <f>INDEX('F_Inputs BYR'!$B$4:$N$90,MATCH($C19,'F_Inputs BYR'!$B$4:$B$90,0),MATCH(N$2,'F_Inputs BYR'!$B$2:$N$2,0))</f>
        <v>41.869799999999998</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89.125</v>
      </c>
      <c r="K20" s="221">
        <f>INDEX('F_Inputs BYR'!$B$4:$N$90,MATCH($C20,'F_Inputs BYR'!$B$4:$B$90,0),MATCH(K$2,'F_Inputs BYR'!$B$2:$N$2,0))</f>
        <v>107.69795999999999</v>
      </c>
      <c r="L20" s="221">
        <f>INDEX('F_Inputs BYR'!$B$4:$N$90,MATCH($C20,'F_Inputs BYR'!$B$4:$B$90,0),MATCH(L$2,'F_Inputs BYR'!$B$2:$N$2,0))</f>
        <v>207.51151999999999</v>
      </c>
      <c r="M20" s="221">
        <f>INDEX('F_Inputs BYR'!$B$4:$N$90,MATCH($C20,'F_Inputs BYR'!$B$4:$B$90,0),MATCH(M$2,'F_Inputs BYR'!$B$2:$N$2,0))</f>
        <v>195.52484000000001</v>
      </c>
      <c r="N20" s="395">
        <f>INDEX('F_Inputs BYR'!$B$4:$N$90,MATCH($C20,'F_Inputs BYR'!$B$4:$B$90,0),MATCH(N$2,'F_Inputs BYR'!$B$2:$N$2,0))</f>
        <v>138.01288</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85.553712000000004</v>
      </c>
      <c r="K21" s="221">
        <f>INDEX('F_Inputs BYR'!$B$4:$N$90,MATCH($C21,'F_Inputs BYR'!$B$4:$B$90,0),MATCH(K$2,'F_Inputs BYR'!$B$2:$N$2,0))</f>
        <v>96.272447999999997</v>
      </c>
      <c r="L21" s="221">
        <f>INDEX('F_Inputs BYR'!$B$4:$N$90,MATCH($C21,'F_Inputs BYR'!$B$4:$B$90,0),MATCH(L$2,'F_Inputs BYR'!$B$2:$N$2,0))</f>
        <v>99.670320000000004</v>
      </c>
      <c r="M21" s="221">
        <f>INDEX('F_Inputs BYR'!$B$4:$N$90,MATCH($C21,'F_Inputs BYR'!$B$4:$B$90,0),MATCH(M$2,'F_Inputs BYR'!$B$2:$N$2,0))</f>
        <v>122.7456</v>
      </c>
      <c r="N21" s="395">
        <f>INDEX('F_Inputs BYR'!$B$4:$N$90,MATCH($C21,'F_Inputs BYR'!$B$4:$B$90,0),MATCH(N$2,'F_Inputs BYR'!$B$2:$N$2,0))</f>
        <v>87.498239999999996</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140.163582953222</v>
      </c>
      <c r="K22" s="221">
        <f>INDEX('F_Inputs BYR'!$B$4:$N$90,MATCH($C22,'F_Inputs BYR'!$B$4:$B$90,0),MATCH(K$2,'F_Inputs BYR'!$B$2:$N$2,0))</f>
        <v>171.371845860523</v>
      </c>
      <c r="L22" s="221">
        <f>INDEX('F_Inputs BYR'!$B$4:$N$90,MATCH($C22,'F_Inputs BYR'!$B$4:$B$90,0),MATCH(L$2,'F_Inputs BYR'!$B$2:$N$2,0))</f>
        <v>196.860884900516</v>
      </c>
      <c r="M22" s="221">
        <f>INDEX('F_Inputs BYR'!$B$4:$N$90,MATCH($C22,'F_Inputs BYR'!$B$4:$B$90,0),MATCH(M$2,'F_Inputs BYR'!$B$2:$N$2,0))</f>
        <v>216.38377787543601</v>
      </c>
      <c r="N22" s="395">
        <f>INDEX('F_Inputs BYR'!$B$4:$N$90,MATCH($C22,'F_Inputs BYR'!$B$4:$B$90,0),MATCH(N$2,'F_Inputs BYR'!$B$2:$N$2,0))</f>
        <v>129.12972006042801</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4.2930000000000001</v>
      </c>
      <c r="K23" s="221">
        <f>INDEX('F_Inputs BYR'!$B$4:$N$90,MATCH($C23,'F_Inputs BYR'!$B$4:$B$90,0),MATCH(K$2,'F_Inputs BYR'!$B$2:$N$2,0))</f>
        <v>5.3529999999999998</v>
      </c>
      <c r="L23" s="221">
        <f>INDEX('F_Inputs BYR'!$B$4:$N$90,MATCH($C23,'F_Inputs BYR'!$B$4:$B$90,0),MATCH(L$2,'F_Inputs BYR'!$B$2:$N$2,0))</f>
        <v>6.4130000000000003</v>
      </c>
      <c r="M23" s="221">
        <f>INDEX('F_Inputs BYR'!$B$4:$N$90,MATCH($C23,'F_Inputs BYR'!$B$4:$B$90,0),MATCH(M$2,'F_Inputs BYR'!$B$2:$N$2,0))</f>
        <v>7.4729999999999999</v>
      </c>
      <c r="N23" s="395">
        <f>INDEX('F_Inputs BYR'!$B$4:$N$90,MATCH($C23,'F_Inputs BYR'!$B$4:$B$90,0),MATCH(N$2,'F_Inputs BYR'!$B$2:$N$2,0))</f>
        <v>8.5329999999999995</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103.80792034644401</v>
      </c>
      <c r="K30" s="221">
        <f>INDEX('F_Inputs BYR'!$B$4:$N$90,MATCH($C30,'F_Inputs BYR'!$B$4:$B$90,0),MATCH(K$2,'F_Inputs BYR'!$B$2:$N$2,0))</f>
        <v>119.721029127333</v>
      </c>
      <c r="L30" s="221">
        <f>INDEX('F_Inputs BYR'!$B$4:$N$90,MATCH($C30,'F_Inputs BYR'!$B$4:$B$90,0),MATCH(L$2,'F_Inputs BYR'!$B$2:$N$2,0))</f>
        <v>96.053451727038393</v>
      </c>
      <c r="M30" s="221">
        <f>INDEX('F_Inputs BYR'!$B$4:$N$90,MATCH($C30,'F_Inputs BYR'!$B$4:$B$90,0),MATCH(M$2,'F_Inputs BYR'!$B$2:$N$2,0))</f>
        <v>96.095368777823097</v>
      </c>
      <c r="N30" s="395">
        <f>INDEX('F_Inputs BYR'!$B$4:$N$90,MATCH($C30,'F_Inputs BYR'!$B$4:$B$90,0),MATCH(N$2,'F_Inputs BYR'!$B$2:$N$2,0))</f>
        <v>89.772718548515499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75.265681003525302</v>
      </c>
      <c r="K31" s="221">
        <f>INDEX('F_Inputs BYR'!$B$4:$N$90,MATCH($C31,'F_Inputs BYR'!$B$4:$B$90,0),MATCH(K$2,'F_Inputs BYR'!$B$2:$N$2,0))</f>
        <v>113.700229518434</v>
      </c>
      <c r="L31" s="221">
        <f>INDEX('F_Inputs BYR'!$B$4:$N$90,MATCH($C31,'F_Inputs BYR'!$B$4:$B$90,0),MATCH(L$2,'F_Inputs BYR'!$B$2:$N$2,0))</f>
        <v>110.786225626804</v>
      </c>
      <c r="M31" s="221">
        <f>INDEX('F_Inputs BYR'!$B$4:$N$90,MATCH($C31,'F_Inputs BYR'!$B$4:$B$90,0),MATCH(M$2,'F_Inputs BYR'!$B$2:$N$2,0))</f>
        <v>90.6493817737949</v>
      </c>
      <c r="N31" s="395">
        <f>INDEX('F_Inputs BYR'!$B$4:$N$90,MATCH($C31,'F_Inputs BYR'!$B$4:$B$90,0),MATCH(N$2,'F_Inputs BYR'!$B$2:$N$2,0))</f>
        <v>65.836563884895199</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90.195537485563605</v>
      </c>
      <c r="K32" s="221">
        <f>INDEX('F_Inputs BYR'!$B$4:$N$90,MATCH($C32,'F_Inputs BYR'!$B$4:$B$90,0),MATCH(K$2,'F_Inputs BYR'!$B$2:$N$2,0))</f>
        <v>65.017064698534796</v>
      </c>
      <c r="L32" s="221">
        <f>INDEX('F_Inputs BYR'!$B$4:$N$90,MATCH($C32,'F_Inputs BYR'!$B$4:$B$90,0),MATCH(L$2,'F_Inputs BYR'!$B$2:$N$2,0))</f>
        <v>55.705633608524998</v>
      </c>
      <c r="M32" s="221">
        <f>INDEX('F_Inputs BYR'!$B$4:$N$90,MATCH($C32,'F_Inputs BYR'!$B$4:$B$90,0),MATCH(M$2,'F_Inputs BYR'!$B$2:$N$2,0))</f>
        <v>41.216315092907003</v>
      </c>
      <c r="N32" s="395">
        <f>INDEX('F_Inputs BYR'!$B$4:$N$90,MATCH($C32,'F_Inputs BYR'!$B$4:$B$90,0),MATCH(N$2,'F_Inputs BYR'!$B$2:$N$2,0))</f>
        <v>25.456763531865899</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19.0224934156209</v>
      </c>
      <c r="K33" s="221">
        <f>INDEX('F_Inputs BYR'!$B$4:$N$90,MATCH($C33,'F_Inputs BYR'!$B$4:$B$90,0),MATCH(K$2,'F_Inputs BYR'!$B$2:$N$2,0))</f>
        <v>39.011896238409797</v>
      </c>
      <c r="L33" s="221">
        <f>INDEX('F_Inputs BYR'!$B$4:$N$90,MATCH($C33,'F_Inputs BYR'!$B$4:$B$90,0),MATCH(L$2,'F_Inputs BYR'!$B$2:$N$2,0))</f>
        <v>47.689766045647701</v>
      </c>
      <c r="M33" s="221">
        <f>INDEX('F_Inputs BYR'!$B$4:$N$90,MATCH($C33,'F_Inputs BYR'!$B$4:$B$90,0),MATCH(M$2,'F_Inputs BYR'!$B$2:$N$2,0))</f>
        <v>39.478637687882802</v>
      </c>
      <c r="N33" s="395">
        <f>INDEX('F_Inputs BYR'!$B$4:$N$90,MATCH($C33,'F_Inputs BYR'!$B$4:$B$90,0),MATCH(N$2,'F_Inputs BYR'!$B$2:$N$2,0))</f>
        <v>22.255885369039198</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61.6804104414325</v>
      </c>
      <c r="K37" s="221">
        <f>INDEX('F_Inputs BYR'!$B$4:$N$90,MATCH($C37,'F_Inputs BYR'!$B$4:$B$90,0),MATCH(K$2,'F_Inputs BYR'!$B$2:$N$2,0))</f>
        <v>50.209440835250099</v>
      </c>
      <c r="L37" s="221">
        <f>INDEX('F_Inputs BYR'!$B$4:$N$90,MATCH($C37,'F_Inputs BYR'!$B$4:$B$90,0),MATCH(L$2,'F_Inputs BYR'!$B$2:$N$2,0))</f>
        <v>54.790899940376299</v>
      </c>
      <c r="M37" s="221">
        <f>INDEX('F_Inputs BYR'!$B$4:$N$90,MATCH($C37,'F_Inputs BYR'!$B$4:$B$90,0),MATCH(M$2,'F_Inputs BYR'!$B$2:$N$2,0))</f>
        <v>40.725630109452801</v>
      </c>
      <c r="N37" s="395">
        <f>INDEX('F_Inputs BYR'!$B$4:$N$90,MATCH($C37,'F_Inputs BYR'!$B$4:$B$90,0),MATCH(N$2,'F_Inputs BYR'!$B$2:$N$2,0))</f>
        <v>38.962195347971402</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84.866015878888305</v>
      </c>
      <c r="K38" s="221">
        <f>INDEX('F_Inputs BYR'!$B$4:$N$90,MATCH($C38,'F_Inputs BYR'!$B$4:$B$90,0),MATCH(K$2,'F_Inputs BYR'!$B$2:$N$2,0))</f>
        <v>102.064067113831</v>
      </c>
      <c r="L38" s="221">
        <f>INDEX('F_Inputs BYR'!$B$4:$N$90,MATCH($C38,'F_Inputs BYR'!$B$4:$B$90,0),MATCH(L$2,'F_Inputs BYR'!$B$2:$N$2,0))</f>
        <v>195.97937785216899</v>
      </c>
      <c r="M38" s="221">
        <f>INDEX('F_Inputs BYR'!$B$4:$N$90,MATCH($C38,'F_Inputs BYR'!$B$4:$B$90,0),MATCH(M$2,'F_Inputs BYR'!$B$2:$N$2,0))</f>
        <v>184.31207761888501</v>
      </c>
      <c r="N38" s="395">
        <f>INDEX('F_Inputs BYR'!$B$4:$N$90,MATCH($C38,'F_Inputs BYR'!$B$4:$B$90,0),MATCH(N$2,'F_Inputs BYR'!$B$2:$N$2,0))</f>
        <v>129.43099034378901</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67.587233517949599</v>
      </c>
      <c r="K39" s="221">
        <f>INDEX('F_Inputs BYR'!$B$4:$N$90,MATCH($C39,'F_Inputs BYR'!$B$4:$B$90,0),MATCH(K$2,'F_Inputs BYR'!$B$2:$N$2,0))</f>
        <v>84.706725777189106</v>
      </c>
      <c r="L39" s="221">
        <f>INDEX('F_Inputs BYR'!$B$4:$N$90,MATCH($C39,'F_Inputs BYR'!$B$4:$B$90,0),MATCH(L$2,'F_Inputs BYR'!$B$2:$N$2,0))</f>
        <v>87.541415854037893</v>
      </c>
      <c r="M39" s="221">
        <f>INDEX('F_Inputs BYR'!$B$4:$N$90,MATCH($C39,'F_Inputs BYR'!$B$4:$B$90,0),MATCH(M$2,'F_Inputs BYR'!$B$2:$N$2,0))</f>
        <v>107.245021066265</v>
      </c>
      <c r="N39" s="395">
        <f>INDEX('F_Inputs BYR'!$B$4:$N$90,MATCH($C39,'F_Inputs BYR'!$B$4:$B$90,0),MATCH(N$2,'F_Inputs BYR'!$B$2:$N$2,0))</f>
        <v>76.235230318249805</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120.02013853845</v>
      </c>
      <c r="K40" s="221">
        <f>INDEX('F_Inputs BYR'!$B$4:$N$90,MATCH($C40,'F_Inputs BYR'!$B$4:$B$90,0),MATCH(K$2,'F_Inputs BYR'!$B$2:$N$2,0))</f>
        <v>162.37038949922999</v>
      </c>
      <c r="L40" s="221">
        <f>INDEX('F_Inputs BYR'!$B$4:$N$90,MATCH($C40,'F_Inputs BYR'!$B$4:$B$90,0),MATCH(L$2,'F_Inputs BYR'!$B$2:$N$2,0))</f>
        <v>181.138395550187</v>
      </c>
      <c r="M40" s="221">
        <f>INDEX('F_Inputs BYR'!$B$4:$N$90,MATCH($C40,'F_Inputs BYR'!$B$4:$B$90,0),MATCH(M$2,'F_Inputs BYR'!$B$2:$N$2,0))</f>
        <v>199.24701421961501</v>
      </c>
      <c r="N40" s="395">
        <f>INDEX('F_Inputs BYR'!$B$4:$N$90,MATCH($C40,'F_Inputs BYR'!$B$4:$B$90,0),MATCH(N$2,'F_Inputs BYR'!$B$2:$N$2,0))</f>
        <v>116.624132542399</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1.3932488413005999</v>
      </c>
      <c r="K49" s="221">
        <f>IF(INDEX('F_Inputs BYR'!$B$4:$N$90,MATCH($C49,'F_Inputs BYR'!$B$4:$B$90,0),MATCH(K$2,'F_Inputs BYR'!$B$2:$N$2,0))="","",INDEX('F_Inputs BYR'!$B$4:$N$90,MATCH($C49,'F_Inputs BYR'!$B$4:$B$90,0),MATCH(K$2,'F_Inputs BYR'!$B$2:$N$2,0)))</f>
        <v>1.6308212755223499</v>
      </c>
      <c r="L49" s="221">
        <f>IF(INDEX('F_Inputs BYR'!$B$4:$N$90,MATCH($C49,'F_Inputs BYR'!$B$4:$B$90,0),MATCH(L$2,'F_Inputs BYR'!$B$2:$N$2,0))="","",INDEX('F_Inputs BYR'!$B$4:$N$90,MATCH($C49,'F_Inputs BYR'!$B$4:$B$90,0),MATCH(L$2,'F_Inputs BYR'!$B$2:$N$2,0)))</f>
        <v>1.49929659143095</v>
      </c>
      <c r="M49" s="221">
        <f>IF(INDEX('F_Inputs BYR'!$B$4:$N$90,MATCH($C49,'F_Inputs BYR'!$B$4:$B$90,0),MATCH(M$2,'F_Inputs BYR'!$B$2:$N$2,0))="","",INDEX('F_Inputs BYR'!$B$4:$N$90,MATCH($C49,'F_Inputs BYR'!$B$4:$B$90,0),MATCH(M$2,'F_Inputs BYR'!$B$2:$N$2,0)))</f>
        <v>1.2924761425647</v>
      </c>
      <c r="N49" s="395">
        <f>IF(INDEX('F_Inputs BYR'!$B$4:$N$90,MATCH($C49,'F_Inputs BYR'!$B$4:$B$90,0),MATCH(N$2,'F_Inputs BYR'!$B$2:$N$2,0))="","",INDEX('F_Inputs BYR'!$B$4:$N$90,MATCH($C49,'F_Inputs BYR'!$B$4:$B$90,0),MATCH(N$2,'F_Inputs BYR'!$B$2:$N$2,0)))</f>
        <v>0.982609321784784</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-2.23738932875133</v>
      </c>
      <c r="K50" s="221">
        <f>IF(INDEX('F_Inputs BYR'!$B$4:$N$90,MATCH($C50,'F_Inputs BYR'!$B$4:$B$90,0),MATCH(K$2,'F_Inputs BYR'!$B$2:$N$2,0))="","",INDEX('F_Inputs BYR'!$B$4:$N$90,MATCH($C50,'F_Inputs BYR'!$B$4:$B$90,0),MATCH(K$2,'F_Inputs BYR'!$B$2:$N$2,0)))</f>
        <v>-2.6739268779090901</v>
      </c>
      <c r="L50" s="221">
        <f>IF(INDEX('F_Inputs BYR'!$B$4:$N$90,MATCH($C50,'F_Inputs BYR'!$B$4:$B$90,0),MATCH(L$2,'F_Inputs BYR'!$B$2:$N$2,0))="","",INDEX('F_Inputs BYR'!$B$4:$N$90,MATCH($C50,'F_Inputs BYR'!$B$4:$B$90,0),MATCH(L$2,'F_Inputs BYR'!$B$2:$N$2,0)))</f>
        <v>-3.4780753414555399</v>
      </c>
      <c r="M50" s="221">
        <f>IF(INDEX('F_Inputs BYR'!$B$4:$N$90,MATCH($C50,'F_Inputs BYR'!$B$4:$B$90,0),MATCH(M$2,'F_Inputs BYR'!$B$2:$N$2,0))="","",INDEX('F_Inputs BYR'!$B$4:$N$90,MATCH($C50,'F_Inputs BYR'!$B$4:$B$90,0),MATCH(M$2,'F_Inputs BYR'!$B$2:$N$2,0)))</f>
        <v>-3.5589569255568101</v>
      </c>
      <c r="N50" s="395">
        <f>IF(INDEX('F_Inputs BYR'!$B$4:$N$90,MATCH($C50,'F_Inputs BYR'!$B$4:$B$90,0),MATCH(N$2,'F_Inputs BYR'!$B$2:$N$2,0))="","",INDEX('F_Inputs BYR'!$B$4:$N$90,MATCH($C50,'F_Inputs BYR'!$B$4:$B$90,0),MATCH(N$2,'F_Inputs BYR'!$B$2:$N$2,0)))</f>
        <v>-2.4188340849088799</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2867.40088440411</v>
      </c>
      <c r="J54" s="221">
        <f>INDEX('F_Inputs BYR'!$B$4:$N$90,MATCH($C54,'F_Inputs BYR'!$B$4:$B$90,0),MATCH(J$2,'F_Inputs BYR'!$B$2:$N$2,0))</f>
        <v>2914.37304229662</v>
      </c>
      <c r="K54" s="221">
        <f>INDEX('F_Inputs BYR'!$B$4:$N$90,MATCH($C54,'F_Inputs BYR'!$B$4:$B$90,0),MATCH(K$2,'F_Inputs BYR'!$B$2:$N$2,0))</f>
        <v>3016.39800363107</v>
      </c>
      <c r="L54" s="221">
        <f>INDEX('F_Inputs BYR'!$B$4:$N$90,MATCH($C54,'F_Inputs BYR'!$B$4:$B$90,0),MATCH(L$2,'F_Inputs BYR'!$B$2:$N$2,0))</f>
        <v>3091.1413005823201</v>
      </c>
      <c r="M54" s="221">
        <f>INDEX('F_Inputs BYR'!$B$4:$N$90,MATCH($C54,'F_Inputs BYR'!$B$4:$B$90,0),MATCH(M$2,'F_Inputs BYR'!$B$2:$N$2,0))</f>
        <v>3124.1710249800299</v>
      </c>
      <c r="N54" s="395">
        <f>INDEX('F_Inputs BYR'!$B$4:$N$90,MATCH($C54,'F_Inputs BYR'!$B$4:$B$90,0),MATCH(N$2,'F_Inputs BYR'!$B$2:$N$2,0))</f>
        <v>3098.6894026936502</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4386.8190647615502</v>
      </c>
      <c r="J55" s="221">
        <f>INDEX('F_Inputs BYR'!$B$4:$N$90,MATCH($C55,'F_Inputs BYR'!$B$4:$B$90,0),MATCH(J$2,'F_Inputs BYR'!$B$2:$N$2,0))</f>
        <v>4424.3880377428904</v>
      </c>
      <c r="K55" s="221">
        <f>INDEX('F_Inputs BYR'!$B$4:$N$90,MATCH($C55,'F_Inputs BYR'!$B$4:$B$90,0),MATCH(K$2,'F_Inputs BYR'!$B$2:$N$2,0))</f>
        <v>4540.9914889670299</v>
      </c>
      <c r="L55" s="221">
        <f>INDEX('F_Inputs BYR'!$B$4:$N$90,MATCH($C55,'F_Inputs BYR'!$B$4:$B$90,0),MATCH(L$2,'F_Inputs BYR'!$B$2:$N$2,0))</f>
        <v>4763.56972769604</v>
      </c>
      <c r="M55" s="221">
        <f>INDEX('F_Inputs BYR'!$B$4:$N$90,MATCH($C55,'F_Inputs BYR'!$B$4:$B$90,0),MATCH(M$2,'F_Inputs BYR'!$B$2:$N$2,0))</f>
        <v>4987.76281366284</v>
      </c>
      <c r="N55" s="395">
        <f>INDEX('F_Inputs BYR'!$B$4:$N$90,MATCH($C55,'F_Inputs BYR'!$B$4:$B$90,0),MATCH(N$2,'F_Inputs BYR'!$B$2:$N$2,0))</f>
        <v>5036.0908804693399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81.11</v>
      </c>
      <c r="K65" s="221">
        <f>INDEX('F_Inputs BYR'!$B$4:$N$90,MATCH($C65,'F_Inputs BYR'!$B$4:$B$90,0),MATCH(K$2,'F_Inputs BYR'!$B$2:$N$2,0))</f>
        <v>62.718000000000004</v>
      </c>
      <c r="L65" s="221">
        <f>INDEX('F_Inputs BYR'!$B$4:$N$90,MATCH($C65,'F_Inputs BYR'!$B$4:$B$90,0),MATCH(L$2,'F_Inputs BYR'!$B$2:$N$2,0))</f>
        <v>82.4</v>
      </c>
      <c r="M65" s="221">
        <f>INDEX('F_Inputs BYR'!$B$4:$N$90,MATCH($C65,'F_Inputs BYR'!$B$4:$B$90,0),MATCH(M$2,'F_Inputs BYR'!$B$2:$N$2,0))</f>
        <v>88.368332833056201</v>
      </c>
      <c r="N65" s="395">
        <f>INDEX('F_Inputs BYR'!$B$4:$N$90,MATCH($C65,'F_Inputs BYR'!$B$4:$B$90,0),MATCH(N$2,'F_Inputs BYR'!$B$2:$N$2,0))</f>
        <v>77.429861180947299</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56.975000000000001</v>
      </c>
      <c r="K66" s="221">
        <f>INDEX('F_Inputs BYR'!$B$4:$N$90,MATCH($C66,'F_Inputs BYR'!$B$4:$B$90,0),MATCH(K$2,'F_Inputs BYR'!$B$2:$N$2,0))</f>
        <v>78.7</v>
      </c>
      <c r="L66" s="221">
        <f>INDEX('F_Inputs BYR'!$B$4:$N$90,MATCH($C66,'F_Inputs BYR'!$B$4:$B$90,0),MATCH(L$2,'F_Inputs BYR'!$B$2:$N$2,0))</f>
        <v>104.4</v>
      </c>
      <c r="M66" s="221">
        <f>INDEX('F_Inputs BYR'!$B$4:$N$90,MATCH($C66,'F_Inputs BYR'!$B$4:$B$90,0),MATCH(M$2,'F_Inputs BYR'!$B$2:$N$2,0))</f>
        <v>136.62866166234201</v>
      </c>
      <c r="N66" s="395">
        <f>INDEX('F_Inputs BYR'!$B$4:$N$90,MATCH($C66,'F_Inputs BYR'!$B$4:$B$90,0),MATCH(N$2,'F_Inputs BYR'!$B$2:$N$2,0))</f>
        <v>133.83874986805799</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65.067999999999998</v>
      </c>
      <c r="K67" s="221">
        <f>INDEX('F_Inputs BYR'!$B$4:$N$90,MATCH($C67,'F_Inputs BYR'!$B$4:$B$90,0),MATCH(K$2,'F_Inputs BYR'!$B$2:$N$2,0))</f>
        <v>59</v>
      </c>
      <c r="L67" s="221">
        <f>INDEX('F_Inputs BYR'!$B$4:$N$90,MATCH($C67,'F_Inputs BYR'!$B$4:$B$90,0),MATCH(L$2,'F_Inputs BYR'!$B$2:$N$2,0))</f>
        <v>54.5</v>
      </c>
      <c r="M67" s="221">
        <f>INDEX('F_Inputs BYR'!$B$4:$N$90,MATCH($C67,'F_Inputs BYR'!$B$4:$B$90,0),MATCH(M$2,'F_Inputs BYR'!$B$2:$N$2,0))</f>
        <v>50.342912826154702</v>
      </c>
      <c r="N67" s="395">
        <f>INDEX('F_Inputs BYR'!$B$4:$N$90,MATCH($C67,'F_Inputs BYR'!$B$4:$B$90,0),MATCH(N$2,'F_Inputs BYR'!$B$2:$N$2,0))</f>
        <v>51.365397140712403</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17.885999999999999</v>
      </c>
      <c r="K68" s="221">
        <f>INDEX('F_Inputs BYR'!$B$4:$N$90,MATCH($C68,'F_Inputs BYR'!$B$4:$B$90,0),MATCH(K$2,'F_Inputs BYR'!$B$2:$N$2,0))</f>
        <v>35.1</v>
      </c>
      <c r="L68" s="221">
        <f>INDEX('F_Inputs BYR'!$B$4:$N$90,MATCH($C68,'F_Inputs BYR'!$B$4:$B$90,0),MATCH(L$2,'F_Inputs BYR'!$B$2:$N$2,0))</f>
        <v>45</v>
      </c>
      <c r="M68" s="221">
        <f>INDEX('F_Inputs BYR'!$B$4:$N$90,MATCH($C68,'F_Inputs BYR'!$B$4:$B$90,0),MATCH(M$2,'F_Inputs BYR'!$B$2:$N$2,0))</f>
        <v>34.700186278274302</v>
      </c>
      <c r="N68" s="395">
        <f>INDEX('F_Inputs BYR'!$B$4:$N$90,MATCH($C68,'F_Inputs BYR'!$B$4:$B$90,0),MATCH(N$2,'F_Inputs BYR'!$B$2:$N$2,0))</f>
        <v>34.526304537293598</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60.942999999999998</v>
      </c>
      <c r="K72" s="221">
        <f>INDEX('F_Inputs BYR'!$B$4:$N$90,MATCH($C72,'F_Inputs BYR'!$B$4:$B$90,0),MATCH(K$2,'F_Inputs BYR'!$B$2:$N$2,0))</f>
        <v>79.064999999999998</v>
      </c>
      <c r="L72" s="221">
        <f>INDEX('F_Inputs BYR'!$B$4:$N$90,MATCH($C72,'F_Inputs BYR'!$B$4:$B$90,0),MATCH(L$2,'F_Inputs BYR'!$B$2:$N$2,0))</f>
        <v>70.834000000000003</v>
      </c>
      <c r="M72" s="221">
        <f>INDEX('F_Inputs BYR'!$B$4:$N$90,MATCH($C72,'F_Inputs BYR'!$B$4:$B$90,0),MATCH(M$2,'F_Inputs BYR'!$B$2:$N$2,0))</f>
        <v>68.472578196943701</v>
      </c>
      <c r="N72" s="395">
        <f>INDEX('F_Inputs BYR'!$B$4:$N$90,MATCH($C72,'F_Inputs BYR'!$B$4:$B$90,0),MATCH(N$2,'F_Inputs BYR'!$B$2:$N$2,0))</f>
        <v>72.258091361310903</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128.505</v>
      </c>
      <c r="K73" s="221">
        <f>INDEX('F_Inputs BYR'!$B$4:$N$90,MATCH($C73,'F_Inputs BYR'!$B$4:$B$90,0),MATCH(K$2,'F_Inputs BYR'!$B$2:$N$2,0))</f>
        <v>142.923</v>
      </c>
      <c r="L73" s="221">
        <f>INDEX('F_Inputs BYR'!$B$4:$N$90,MATCH($C73,'F_Inputs BYR'!$B$4:$B$90,0),MATCH(L$2,'F_Inputs BYR'!$B$2:$N$2,0))</f>
        <v>163.24</v>
      </c>
      <c r="M73" s="221">
        <f>INDEX('F_Inputs BYR'!$B$4:$N$90,MATCH($C73,'F_Inputs BYR'!$B$4:$B$90,0),MATCH(M$2,'F_Inputs BYR'!$B$2:$N$2,0))</f>
        <v>178.46914128188399</v>
      </c>
      <c r="N73" s="395">
        <f>INDEX('F_Inputs BYR'!$B$4:$N$90,MATCH($C73,'F_Inputs BYR'!$B$4:$B$90,0),MATCH(N$2,'F_Inputs BYR'!$B$2:$N$2,0))</f>
        <v>206.15899999999999</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97.283000000000001</v>
      </c>
      <c r="K74" s="221">
        <f>INDEX('F_Inputs BYR'!$B$4:$N$90,MATCH($C74,'F_Inputs BYR'!$B$4:$B$90,0),MATCH(K$2,'F_Inputs BYR'!$B$2:$N$2,0))</f>
        <v>130.1</v>
      </c>
      <c r="L74" s="221">
        <f>INDEX('F_Inputs BYR'!$B$4:$N$90,MATCH($C74,'F_Inputs BYR'!$B$4:$B$90,0),MATCH(L$2,'F_Inputs BYR'!$B$2:$N$2,0))</f>
        <v>136.06899999999999</v>
      </c>
      <c r="M74" s="221">
        <f>INDEX('F_Inputs BYR'!$B$4:$N$90,MATCH($C74,'F_Inputs BYR'!$B$4:$B$90,0),MATCH(M$2,'F_Inputs BYR'!$B$2:$N$2,0))</f>
        <v>137.88883889028</v>
      </c>
      <c r="N74" s="395">
        <f>INDEX('F_Inputs BYR'!$B$4:$N$90,MATCH($C74,'F_Inputs BYR'!$B$4:$B$90,0),MATCH(N$2,'F_Inputs BYR'!$B$2:$N$2,0))</f>
        <v>142.913356166586</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100.616</v>
      </c>
      <c r="K75" s="221">
        <f>INDEX('F_Inputs BYR'!$B$4:$N$90,MATCH($C75,'F_Inputs BYR'!$B$4:$B$90,0),MATCH(K$2,'F_Inputs BYR'!$B$2:$N$2,0))</f>
        <v>100.46</v>
      </c>
      <c r="L75" s="221">
        <f>INDEX('F_Inputs BYR'!$B$4:$N$90,MATCH($C75,'F_Inputs BYR'!$B$4:$B$90,0),MATCH(L$2,'F_Inputs BYR'!$B$2:$N$2,0))</f>
        <v>129.751</v>
      </c>
      <c r="M75" s="221">
        <f>INDEX('F_Inputs BYR'!$B$4:$N$90,MATCH($C75,'F_Inputs BYR'!$B$4:$B$90,0),MATCH(M$2,'F_Inputs BYR'!$B$2:$N$2,0))</f>
        <v>140.96179698633301</v>
      </c>
      <c r="N75" s="395">
        <f>INDEX('F_Inputs BYR'!$B$4:$N$90,MATCH($C75,'F_Inputs BYR'!$B$4:$B$90,0),MATCH(N$2,'F_Inputs BYR'!$B$2:$N$2,0))</f>
        <v>122.10899999999999</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-8.0574925374535695</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0.28246441316447002</v>
      </c>
      <c r="K93" s="221">
        <f>INDEX('F_Inputs BYR'!$B$4:$N$90,MATCH($C93,'F_Inputs BYR'!$B$4:$B$90,0),MATCH(K$2,'F_Inputs BYR'!$B$2:$N$2,0))</f>
        <v>13.0264552418378</v>
      </c>
      <c r="L93" s="221">
        <f>INDEX('F_Inputs BYR'!$B$4:$N$90,MATCH($C93,'F_Inputs BYR'!$B$4:$B$90,0),MATCH(L$2,'F_Inputs BYR'!$B$2:$N$2,0))</f>
        <v>21.714323113048199</v>
      </c>
      <c r="M93" s="221">
        <f>INDEX('F_Inputs BYR'!$B$4:$N$90,MATCH($C93,'F_Inputs BYR'!$B$4:$B$90,0),MATCH(M$2,'F_Inputs BYR'!$B$2:$N$2,0))</f>
        <v>24.644042771550598</v>
      </c>
      <c r="N93" s="395">
        <f>INDEX('F_Inputs BYR'!$B$4:$N$90,MATCH($C93,'F_Inputs BYR'!$B$4:$B$90,0),MATCH(N$2,'F_Inputs BYR'!$B$2:$N$2,0))</f>
        <v>49.989885136771697</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0.20139714852101601</v>
      </c>
      <c r="K94" s="221">
        <f>INDEX('F_Inputs BYR'!$B$4:$N$90,MATCH($C94,'F_Inputs BYR'!$B$4:$B$90,0),MATCH(K$2,'F_Inputs BYR'!$B$2:$N$2,0))</f>
        <v>9.3251642560225392</v>
      </c>
      <c r="L94" s="221">
        <f>INDEX('F_Inputs BYR'!$B$4:$N$90,MATCH($C94,'F_Inputs BYR'!$B$4:$B$90,0),MATCH(L$2,'F_Inputs BYR'!$B$2:$N$2,0))</f>
        <v>15.6069197128142</v>
      </c>
      <c r="M94" s="221">
        <f>INDEX('F_Inputs BYR'!$B$4:$N$90,MATCH($C94,'F_Inputs BYR'!$B$4:$B$90,0),MATCH(M$2,'F_Inputs BYR'!$B$2:$N$2,0))</f>
        <v>17.783757011812099</v>
      </c>
      <c r="N94" s="395">
        <f>INDEX('F_Inputs BYR'!$B$4:$N$90,MATCH($C94,'F_Inputs BYR'!$B$4:$B$90,0),MATCH(N$2,'F_Inputs BYR'!$B$2:$N$2,0))</f>
        <v>39.564589347712001</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-0.4522689985251</v>
      </c>
      <c r="K96" s="221">
        <f>INDEX('F_Inputs BYR'!$B$4:$N$90,MATCH($C96,'F_Inputs BYR'!$B$4:$B$90,0),MATCH(K$2,'F_Inputs BYR'!$B$2:$N$2,0))</f>
        <v>-1.2269052645863101</v>
      </c>
      <c r="L96" s="221">
        <f>INDEX('F_Inputs BYR'!$B$4:$N$90,MATCH($C96,'F_Inputs BYR'!$B$4:$B$90,0),MATCH(L$2,'F_Inputs BYR'!$B$2:$N$2,0))</f>
        <v>-2.3590303473757399</v>
      </c>
      <c r="M96" s="221">
        <f>INDEX('F_Inputs BYR'!$B$4:$N$90,MATCH($C96,'F_Inputs BYR'!$B$4:$B$90,0),MATCH(M$2,'F_Inputs BYR'!$B$2:$N$2,0))</f>
        <v>-22.498090855247899</v>
      </c>
      <c r="N96" s="395">
        <f>INDEX('F_Inputs BYR'!$B$4:$N$90,MATCH($C96,'F_Inputs BYR'!$B$4:$B$90,0),MATCH(N$2,'F_Inputs BYR'!$B$2:$N$2,0))</f>
        <v>-41.193230711400297</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0</v>
      </c>
      <c r="N107" s="416">
        <f>INDEX('F_Inputs BYR'!$B$4:$N$90,MATCH($C107,'F_Inputs BYR'!$B$4:$B$90,0),MATCH(N$2,'F_Inputs BYR'!$B$2:$N$2,0))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812</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20"/>
  <sheetViews>
    <sheetView showGridLines="0" zoomScale="70" zoomScaleNormal="70" workbookViewId="0">
      <pane xSplit="6" ySplit="7" topLeftCell="G176" activePane="bottomRight" state="frozen"/>
      <selection activeCell="A3" sqref="A3"/>
      <selection pane="topRight" activeCell="A3" sqref="A3"/>
      <selection pane="bottomLeft" activeCell="A3" sqref="A3"/>
      <selection pane="bottomRight" activeCell="P219" sqref="P219"/>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0.99584100299168732</v>
      </c>
      <c r="K29" s="152">
        <f>IF(OR(K$5&lt;4,'Input BYR'!$O$152=0),K28/$G$28,J29*(1+('Input BYR'!K$111/'Input BYR'!J$111-1)))</f>
        <v>1.0256849077161467</v>
      </c>
      <c r="L29" s="152">
        <f>IF(OR(L$5&lt;4,'Input BYR'!$O$152=0),L28/$G$28,K29*(1+('Input BYR'!L$111/'Input BYR'!K$111-1)))</f>
        <v>1.0533784002244826</v>
      </c>
      <c r="M29" s="152">
        <f>IF(OR(M$5&lt;4,'Input BYR'!$O$152=0),M28/$G$28,L29*(1+('Input BYR'!M$111/'Input BYR'!L$111-1)))</f>
        <v>1.0797128602300901</v>
      </c>
      <c r="N29" s="379">
        <f>IF(OR(N$5&lt;4,'Input BYR'!$O$152=0),N28/$G$28,M29*(1+('Input BYR'!N$111/'Input BYR'!M$111-1)))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95.62258763957729</v>
      </c>
      <c r="K31" s="135">
        <f>IF(OR(K$5&lt;4,'Input BYR'!$O$152=0),((K28/'Input BYR'!$G$117)/('Input BYR'!K111/'Input BYR'!$G$116))*100,J31)</f>
        <v>95.62258763957729</v>
      </c>
      <c r="L31" s="135">
        <f>IF(OR(L$5&lt;4,'Input BYR'!$O$152=0),((L28/'Input BYR'!$G$117)/('Input BYR'!L111/'Input BYR'!$G$116))*100,K31)</f>
        <v>95.62258763957729</v>
      </c>
      <c r="M31" s="135">
        <f>IF(OR(M$5&lt;4,'Input BYR'!$O$152=0),((M28/'Input BYR'!$G$117)/('Input BYR'!M111/'Input BYR'!$G$116))*100,L31)</f>
        <v>95.62258763957729</v>
      </c>
      <c r="N31" s="375">
        <f>IF(OR(N$5&lt;4,'Input BYR'!$O$152=0),((N28/'Input BYR'!$G$117)/('Input BYR'!N111/'Input BYR'!$G$116))*100,M31)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102.1466765207702</v>
      </c>
      <c r="K39" s="156">
        <f>IF(OR(K$5&lt;4,K$5&gt;8),'Input BYR'!K30,'Input BYR'!K30*$G$95/100)</f>
        <v>117.80512695168643</v>
      </c>
      <c r="L39" s="156">
        <f>IF(OR(L$5&lt;4,L$5&gt;8),'Input BYR'!L30,'Input BYR'!L30*$G$95/100)</f>
        <v>94.516303086706671</v>
      </c>
      <c r="M39" s="156">
        <f>IF(OR(M$5&lt;4,M$5&gt;8),'Input BYR'!M30,'Input BYR'!M30*$G$95/100)</f>
        <v>94.557549336635589</v>
      </c>
      <c r="N39" s="365">
        <f>IF(OR(N$5&lt;4,N$5&gt;8),'Input BYR'!N30,'Input BYR'!N30*$G$95/100)</f>
        <v>88.336080824679414</v>
      </c>
      <c r="O39" s="157"/>
      <c r="P39" s="158"/>
      <c r="Q39" s="148"/>
      <c r="R39" s="147" t="s">
        <v>242</v>
      </c>
    </row>
    <row r="40" spans="1:23" s="37" customFormat="1">
      <c r="C40" s="131"/>
      <c r="D40" s="153" t="s">
        <v>57</v>
      </c>
      <c r="E40" s="154" t="s">
        <v>61</v>
      </c>
      <c r="F40" s="155"/>
      <c r="G40" s="148"/>
      <c r="H40" s="148"/>
      <c r="I40" s="148"/>
      <c r="J40" s="156">
        <f>IF(OR(J$5&lt;4,J$5&gt;8),'Input BYR'!J31,'Input BYR'!J31*$G$95/100)</f>
        <v>74.061200194787816</v>
      </c>
      <c r="K40" s="156">
        <f>IF(OR(K$5&lt;4,K$5&gt;8),'Input BYR'!K31,'Input BYR'!K31*$G$95/100)</f>
        <v>111.88067852815482</v>
      </c>
      <c r="L40" s="156">
        <f>IF(OR(L$5&lt;4,L$5&gt;8),'Input BYR'!L31,'Input BYR'!L31*$G$95/100)</f>
        <v>109.0133076001446</v>
      </c>
      <c r="M40" s="156">
        <f>IF(OR(M$5&lt;4,M$5&gt;8),'Input BYR'!M31,'Input BYR'!M31*$G$95/100)</f>
        <v>89.198714760427436</v>
      </c>
      <c r="N40" s="365">
        <f>IF(OR(N$5&lt;4,N$5&gt;8),'Input BYR'!N31,'Input BYR'!N31*$G$95/100)</f>
        <v>64.782977753005127</v>
      </c>
      <c r="O40" s="157"/>
      <c r="P40" s="158"/>
      <c r="Q40" s="148"/>
      <c r="R40" s="147" t="s">
        <v>242</v>
      </c>
    </row>
    <row r="41" spans="1:23" s="37" customFormat="1">
      <c r="C41" s="131"/>
      <c r="D41" s="153" t="s">
        <v>57</v>
      </c>
      <c r="E41" s="154" t="s">
        <v>63</v>
      </c>
      <c r="F41" s="155"/>
      <c r="G41" s="148"/>
      <c r="H41" s="148"/>
      <c r="I41" s="148"/>
      <c r="J41" s="156">
        <f>IF(OR(J$5&lt;4,J$5&gt;8),'Input BYR'!J32,'Input BYR'!J32*$G$95/100)</f>
        <v>88.752133367157569</v>
      </c>
      <c r="K41" s="156">
        <f>IF(OR(K$5&lt;4,K$5&gt;8),'Input BYR'!K32,'Input BYR'!K32*$G$95/100)</f>
        <v>63.976593056935478</v>
      </c>
      <c r="L41" s="156">
        <f>IF(OR(L$5&lt;4,L$5&gt;8),'Input BYR'!L32,'Input BYR'!L32*$G$95/100)</f>
        <v>54.814173307821846</v>
      </c>
      <c r="M41" s="156">
        <f>IF(OR(M$5&lt;4,M$5&gt;8),'Input BYR'!M32,'Input BYR'!M32*$G$95/100)</f>
        <v>40.556728148706519</v>
      </c>
      <c r="N41" s="365">
        <f>IF(OR(N$5&lt;4,N$5&gt;8),'Input BYR'!N32,'Input BYR'!N32*$G$95/100)</f>
        <v>25.049377553052199</v>
      </c>
      <c r="O41" s="157"/>
      <c r="P41" s="158"/>
      <c r="Q41" s="148"/>
      <c r="R41" s="147" t="s">
        <v>242</v>
      </c>
    </row>
    <row r="42" spans="1:23" s="37" customFormat="1">
      <c r="C42" s="131"/>
      <c r="D42" s="153" t="s">
        <v>57</v>
      </c>
      <c r="E42" s="154" t="s">
        <v>62</v>
      </c>
      <c r="F42" s="155"/>
      <c r="G42" s="148"/>
      <c r="H42" s="148"/>
      <c r="I42" s="148"/>
      <c r="J42" s="156">
        <f>IF(OR(J$5&lt;4,J$5&gt;8),'Input BYR'!J33,'Input BYR'!J33*$G$95/100)</f>
        <v>18.718075413312821</v>
      </c>
      <c r="K42" s="156">
        <f>IF(OR(K$5&lt;4,K$5&gt;8),'Input BYR'!K33,'Input BYR'!K33*$G$95/100)</f>
        <v>38.387586729678695</v>
      </c>
      <c r="L42" s="156">
        <f>IF(OR(L$5&lt;4,L$5&gt;8),'Input BYR'!L33,'Input BYR'!L33*$G$95/100)</f>
        <v>46.9265841118727</v>
      </c>
      <c r="M42" s="156">
        <f>IF(OR(M$5&lt;4,M$5&gt;8),'Input BYR'!M33,'Input BYR'!M33*$G$95/100)</f>
        <v>38.846858890213674</v>
      </c>
      <c r="N42" s="365">
        <f>IF(OR(N$5&lt;4,N$5&gt;8),'Input BYR'!N33,'Input BYR'!N33*$G$95/100)</f>
        <v>21.899723218493943</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62.89706239845075</v>
      </c>
      <c r="K46" s="156">
        <f>IF('Input BYR'!$O$151=1,0,IF(OR(K$5&lt;4,K$5&gt;8),'Input BYR'!K37,'Input BYR'!K37*$G$100/100))</f>
        <v>51.199826826779834</v>
      </c>
      <c r="L46" s="156">
        <f>IF('Input BYR'!$O$151=1,0,IF(OR(L$5&lt;4,L$5&gt;8),'Input BYR'!L37,'Input BYR'!L37*$G$100/100))</f>
        <v>55.871655648098887</v>
      </c>
      <c r="M46" s="156">
        <f>IF('Input BYR'!$O$151=1,0,IF(OR(M$5&lt;4,M$5&gt;8),'Input BYR'!M37,'Input BYR'!M37*$G$100/100))</f>
        <v>41.528947033235525</v>
      </c>
      <c r="N46" s="365">
        <f>IF('Input BYR'!$O$151=1,0,IF(OR(N$5&lt;4,N$5&gt;8),'Input BYR'!N37,'Input BYR'!N37*$G$100/100))</f>
        <v>39.730728353516945</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86.540006106327425</v>
      </c>
      <c r="K47" s="156">
        <f>IF('Input BYR'!$O$151=1,0,IF(OR(K$5&lt;4,K$5&gt;8),'Input BYR'!K38,'Input BYR'!K38*$G$100/100))</f>
        <v>104.07729053609071</v>
      </c>
      <c r="L47" s="156">
        <f>IF('Input BYR'!$O$151=1,0,IF(OR(L$5&lt;4,L$5&gt;8),'Input BYR'!L38,'Input BYR'!L38*$G$100/100))</f>
        <v>199.84508970286214</v>
      </c>
      <c r="M47" s="156">
        <f>IF('Input BYR'!$O$151=1,0,IF(OR(M$5&lt;4,M$5&gt;8),'Input BYR'!M38,'Input BYR'!M38*$G$100/100))</f>
        <v>187.94765086381409</v>
      </c>
      <c r="N47" s="365">
        <f>IF('Input BYR'!$O$151=1,0,IF(OR(N$5&lt;4,N$5&gt;8),'Input BYR'!N38,'Input BYR'!N38*$G$100/100))</f>
        <v>131.98402892724829</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68.92039812143652</v>
      </c>
      <c r="K48" s="156">
        <f>IF('Input BYR'!$O$151=1,0,IF(OR(K$5&lt;4,K$5&gt;8),'Input BYR'!K39,'Input BYR'!K39*$G$100/100))</f>
        <v>86.37757399223598</v>
      </c>
      <c r="L48" s="156">
        <f>IF('Input BYR'!$O$151=1,0,IF(OR(L$5&lt;4,L$5&gt;8),'Input BYR'!L39,'Input BYR'!L39*$G$100/100))</f>
        <v>89.268178600211527</v>
      </c>
      <c r="M48" s="156">
        <f>IF('Input BYR'!$O$151=1,0,IF(OR(M$5&lt;4,M$5&gt;8),'Input BYR'!M39,'Input BYR'!M39*$G$100/100))</f>
        <v>109.36043929754655</v>
      </c>
      <c r="N48" s="365">
        <f>IF('Input BYR'!$O$151=1,0,IF(OR(N$5&lt;4,N$5&gt;8),'Input BYR'!N39,'Input BYR'!N39*$G$100/100))</f>
        <v>77.73897748038172</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122.38754717580109</v>
      </c>
      <c r="K49" s="156">
        <f>IF('Input BYR'!$O$151=1,0,IF(OR(K$5&lt;4,K$5&gt;8),'Input BYR'!K40,'Input BYR'!K40*$G$100/100))</f>
        <v>165.57316086103268</v>
      </c>
      <c r="L49" s="156">
        <f>IF('Input BYR'!$O$151=1,0,IF(OR(L$5&lt;4,L$5&gt;8),'Input BYR'!L40,'Input BYR'!L40*$G$100/100))</f>
        <v>184.71136761473804</v>
      </c>
      <c r="M49" s="156">
        <f>IF('Input BYR'!$O$151=1,0,IF(OR(M$5&lt;4,M$5&gt;8),'Input BYR'!M40,'Input BYR'!M40*$G$100/100))</f>
        <v>203.17718050815677</v>
      </c>
      <c r="N49" s="365">
        <f>IF('Input BYR'!$O$151=1,0,IF(OR(N$5&lt;4,N$5&gt;8),'Input BYR'!N40,'Input BYR'!N40*$G$100/100))</f>
        <v>118.92455463877911</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266.34335137778442</v>
      </c>
      <c r="K55" s="156">
        <f>SUM('Input BYR'!K10:K13)-'Input BYR'!K14-'Input BYR'!K17+'Input BYR'!K15+'Input BYR'!K16</f>
        <v>316.14599137868066</v>
      </c>
      <c r="L55" s="156">
        <f>SUM('Input BYR'!L10:L13)-'Input BYR'!L14-'Input BYR'!L17+'Input BYR'!L15+'Input BYR'!L16</f>
        <v>290.23787137823189</v>
      </c>
      <c r="M55" s="156">
        <f>SUM('Input BYR'!M10:M13)-'Input BYR'!M14-'Input BYR'!M17+'Input BYR'!M15+'Input BYR'!M16</f>
        <v>251.31240137823229</v>
      </c>
      <c r="N55" s="365">
        <f>SUM('Input BYR'!N10:N13)-'Input BYR'!N14-'Input BYR'!N17+'Input BYR'!N15+'Input BYR'!N16</f>
        <v>192.65049137823232</v>
      </c>
      <c r="O55" s="157"/>
      <c r="P55" s="158"/>
      <c r="Q55" s="148"/>
      <c r="R55" s="147" t="s">
        <v>242</v>
      </c>
    </row>
    <row r="56" spans="1:18" s="37" customFormat="1">
      <c r="C56" s="131"/>
      <c r="D56" s="153" t="s">
        <v>57</v>
      </c>
      <c r="E56" s="154" t="s">
        <v>114</v>
      </c>
      <c r="F56" s="155"/>
      <c r="G56" s="148"/>
      <c r="H56" s="148"/>
      <c r="I56" s="148"/>
      <c r="J56" s="156">
        <f>SUM('Input BYR'!J30:J35)</f>
        <v>288.29163225115377</v>
      </c>
      <c r="K56" s="156">
        <f>SUM('Input BYR'!K30:K35)</f>
        <v>337.45021958271161</v>
      </c>
      <c r="L56" s="156">
        <f>SUM('Input BYR'!L30:L35)</f>
        <v>310.23507700801508</v>
      </c>
      <c r="M56" s="156">
        <f>SUM('Input BYR'!M30:M35)</f>
        <v>267.43970333240776</v>
      </c>
      <c r="N56" s="365">
        <f>SUM('Input BYR'!N30:N35)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3"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si="8"/>
        <v>337.45021958271161</v>
      </c>
      <c r="L63" s="156">
        <f t="shared" si="8"/>
        <v>310.23507700801508</v>
      </c>
      <c r="M63" s="156">
        <f t="shared" si="8"/>
        <v>267.43970333240776</v>
      </c>
      <c r="N63" s="365">
        <f t="shared" si="8"/>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9">K63*$G$107/100</f>
        <v>332.50486974442077</v>
      </c>
      <c r="L64" s="156">
        <f t="shared" si="9"/>
        <v>305.68856644473573</v>
      </c>
      <c r="M64" s="156">
        <f t="shared" si="9"/>
        <v>263.52036110983352</v>
      </c>
      <c r="N64" s="365">
        <f t="shared" si="9"/>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375.94922295322203</v>
      </c>
      <c r="K66" s="156">
        <f>IF('Input BYR'!$O$151=1,0,SUM('Input BYR'!K19:K22)-'Input BYR'!K23-'Input BYR'!K26+'Input BYR'!K24+'Input BYR'!K25)</f>
        <v>423.83044586052296</v>
      </c>
      <c r="L66" s="156">
        <f>IF('Input BYR'!$O$151=1,0,SUM('Input BYR'!L19:L22)-'Input BYR'!L23-'Input BYR'!L26+'Input BYR'!L24+'Input BYR'!L25)</f>
        <v>556.52104490051602</v>
      </c>
      <c r="M66" s="156">
        <f>IF('Input BYR'!$O$151=1,0,SUM('Input BYR'!M19:M22)-'Input BYR'!M23-'Input BYR'!M26+'Input BYR'!M24+'Input BYR'!M25)</f>
        <v>570.75789787543613</v>
      </c>
      <c r="N66" s="365">
        <f>IF('Input BYR'!$O$151=1,0,SUM('Input BYR'!N19:N22)-'Input BYR'!N23-'Input BYR'!N26+'Input BYR'!N24+'Input BYR'!N25)</f>
        <v>387.97764006042803</v>
      </c>
      <c r="O66" s="157"/>
      <c r="P66" s="158"/>
      <c r="Q66" s="148"/>
      <c r="R66" s="147" t="s">
        <v>242</v>
      </c>
    </row>
    <row r="67" spans="1:18" s="37" customFormat="1">
      <c r="C67" s="131"/>
      <c r="D67" s="153" t="s">
        <v>57</v>
      </c>
      <c r="E67" s="154" t="s">
        <v>117</v>
      </c>
      <c r="F67" s="155"/>
      <c r="G67" s="148"/>
      <c r="H67" s="148"/>
      <c r="I67" s="148"/>
      <c r="J67" s="156">
        <f>IF('Input BYR'!$O$151=1,0,SUM('Input BYR'!J37:J42))</f>
        <v>334.15379837672037</v>
      </c>
      <c r="K67" s="156">
        <f>IF('Input BYR'!$O$151=1,0,SUM('Input BYR'!K37:K42))</f>
        <v>399.35062322550021</v>
      </c>
      <c r="L67" s="156">
        <f>IF('Input BYR'!$O$151=1,0,SUM('Input BYR'!L37:L42))</f>
        <v>519.45008919677025</v>
      </c>
      <c r="M67" s="156">
        <f>IF('Input BYR'!$O$151=1,0,SUM('Input BYR'!M37:M42))</f>
        <v>531.52974301421784</v>
      </c>
      <c r="N67" s="365">
        <f>IF('Input BYR'!$O$151=1,0,SUM('Input BYR'!N37:N42))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0">SUM(K46:K51)</f>
        <v>407.22785221613924</v>
      </c>
      <c r="L68" s="156">
        <f t="shared" si="10"/>
        <v>529.69629156591054</v>
      </c>
      <c r="M68" s="156">
        <f t="shared" si="10"/>
        <v>542.01421770275294</v>
      </c>
      <c r="N68" s="365">
        <f t="shared" si="10"/>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0.28246441316447002</v>
      </c>
      <c r="K70" s="156">
        <f>'Input BYR'!K93+'Input BYR'!K90</f>
        <v>13.0264552418378</v>
      </c>
      <c r="L70" s="156">
        <f>'Input BYR'!L93+'Input BYR'!L90</f>
        <v>21.714323113048199</v>
      </c>
      <c r="M70" s="156">
        <f>'Input BYR'!M93+'Input BYR'!M90</f>
        <v>24.644042771550598</v>
      </c>
      <c r="N70" s="365">
        <f>'Input BYR'!N93+'Input BYR'!N90</f>
        <v>49.989885136771697</v>
      </c>
      <c r="P70" s="136"/>
      <c r="Q70" s="131"/>
      <c r="R70" s="147" t="s">
        <v>242</v>
      </c>
    </row>
    <row r="71" spans="1:18" s="37" customFormat="1">
      <c r="C71" s="131"/>
      <c r="D71" s="153" t="s">
        <v>57</v>
      </c>
      <c r="E71" s="132" t="s">
        <v>120</v>
      </c>
      <c r="F71" s="131"/>
      <c r="G71" s="131"/>
      <c r="H71" s="131"/>
      <c r="I71" s="131"/>
      <c r="J71" s="156">
        <f>'Input BYR'!J94+'Input BYR'!J96+'Input BYR'!J91</f>
        <v>-0.25087185000408396</v>
      </c>
      <c r="K71" s="156">
        <f>'Input BYR'!K94+'Input BYR'!K96+'Input BYR'!K91</f>
        <v>8.0982589914362286</v>
      </c>
      <c r="L71" s="156">
        <f>'Input BYR'!L94+'Input BYR'!L96+'Input BYR'!L91</f>
        <v>13.247889365438461</v>
      </c>
      <c r="M71" s="156">
        <f>'Input BYR'!M94+'Input BYR'!M96+'Input BYR'!M91</f>
        <v>-4.7143338434357993</v>
      </c>
      <c r="N71" s="365">
        <f>'Input BYR'!N94+'Input BYR'!N96+'Input BYR'!N91</f>
        <v>-1.6286413636882955</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376.2316873663865</v>
      </c>
      <c r="K73" s="156">
        <f t="shared" si="11"/>
        <v>436.85690110236078</v>
      </c>
      <c r="L73" s="156">
        <f t="shared" si="11"/>
        <v>578.2353680135642</v>
      </c>
      <c r="M73" s="156">
        <f t="shared" si="11"/>
        <v>595.40194064698676</v>
      </c>
      <c r="N73" s="365">
        <f t="shared" si="11"/>
        <v>437.96752519719973</v>
      </c>
      <c r="P73" s="136"/>
      <c r="Q73" s="131"/>
      <c r="R73" s="147" t="s">
        <v>242</v>
      </c>
    </row>
    <row r="74" spans="1:18" s="37" customFormat="1">
      <c r="C74" s="131"/>
      <c r="D74" s="153" t="s">
        <v>57</v>
      </c>
      <c r="E74" s="132" t="s">
        <v>184</v>
      </c>
      <c r="F74" s="131"/>
      <c r="G74" s="131"/>
      <c r="H74" s="131"/>
      <c r="I74" s="131"/>
      <c r="J74" s="156">
        <f t="shared" si="11"/>
        <v>333.90292652671627</v>
      </c>
      <c r="K74" s="156">
        <f t="shared" si="11"/>
        <v>407.44888221693645</v>
      </c>
      <c r="L74" s="156">
        <f t="shared" si="11"/>
        <v>532.69797856220873</v>
      </c>
      <c r="M74" s="156">
        <f t="shared" si="11"/>
        <v>526.815409170782</v>
      </c>
      <c r="N74" s="365">
        <f t="shared" si="11"/>
        <v>359.62390718872086</v>
      </c>
      <c r="P74" s="136"/>
      <c r="Q74" s="131"/>
      <c r="R74" s="147" t="s">
        <v>242</v>
      </c>
    </row>
    <row r="75" spans="1:18" s="37" customFormat="1">
      <c r="C75" s="131"/>
      <c r="D75" s="153" t="s">
        <v>57</v>
      </c>
      <c r="E75" s="132" t="s">
        <v>109</v>
      </c>
      <c r="F75" s="131"/>
      <c r="G75" s="131"/>
      <c r="H75" s="131"/>
      <c r="I75" s="131"/>
      <c r="J75" s="156">
        <f>J74*$G$111/100</f>
        <v>344.11110057539378</v>
      </c>
      <c r="K75" s="156">
        <f t="shared" ref="K75:N75" si="12">K74*$G$111/100</f>
        <v>419.90552387885617</v>
      </c>
      <c r="L75" s="156">
        <f t="shared" si="12"/>
        <v>548.98377077465477</v>
      </c>
      <c r="M75" s="156">
        <f t="shared" si="12"/>
        <v>542.92135781963373</v>
      </c>
      <c r="N75" s="365">
        <f t="shared" si="12"/>
        <v>370.61843028210916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81" si="13">K62*K$21</f>
        <v>274.48000645516748</v>
      </c>
      <c r="L79" s="156">
        <f t="shared" si="13"/>
        <v>252.21491955907157</v>
      </c>
      <c r="M79" s="156">
        <f t="shared" si="13"/>
        <v>221.48023482221853</v>
      </c>
      <c r="N79" s="365">
        <f t="shared" si="13"/>
        <v>171.37160354993105</v>
      </c>
      <c r="P79" s="136"/>
      <c r="Q79" s="131"/>
      <c r="R79" s="147" t="s">
        <v>242</v>
      </c>
    </row>
    <row r="80" spans="1:18" s="37" customFormat="1">
      <c r="C80" s="131"/>
      <c r="D80" s="153" t="s">
        <v>57</v>
      </c>
      <c r="E80" s="132" t="s">
        <v>317</v>
      </c>
      <c r="F80" s="161"/>
      <c r="G80" s="162"/>
      <c r="H80" s="162"/>
      <c r="I80" s="163"/>
      <c r="J80" s="156">
        <f>J63*J$21</f>
        <v>256.16319738239702</v>
      </c>
      <c r="K80" s="156">
        <f t="shared" si="13"/>
        <v>292.9764759800982</v>
      </c>
      <c r="L80" s="156">
        <f t="shared" si="13"/>
        <v>269.5923678754192</v>
      </c>
      <c r="M80" s="156">
        <f t="shared" si="13"/>
        <v>235.69313718704782</v>
      </c>
      <c r="N80" s="365">
        <f t="shared" si="13"/>
        <v>173.69683177811314</v>
      </c>
      <c r="P80" s="136"/>
      <c r="Q80" s="131"/>
      <c r="R80" s="147" t="s">
        <v>242</v>
      </c>
    </row>
    <row r="81" spans="1:18" s="37" customFormat="1">
      <c r="C81" s="131"/>
      <c r="D81" s="153" t="s">
        <v>57</v>
      </c>
      <c r="E81" s="132" t="s">
        <v>318</v>
      </c>
      <c r="F81" s="161"/>
      <c r="G81" s="162"/>
      <c r="H81" s="162"/>
      <c r="I81" s="163"/>
      <c r="J81" s="156">
        <f>J64*J$21</f>
        <v>252.40911291827183</v>
      </c>
      <c r="K81" s="156">
        <f t="shared" si="13"/>
        <v>288.68289107770028</v>
      </c>
      <c r="L81" s="156">
        <f t="shared" si="13"/>
        <v>265.64147824634796</v>
      </c>
      <c r="M81" s="156">
        <f t="shared" si="13"/>
        <v>232.23904247845471</v>
      </c>
      <c r="N81" s="365">
        <f t="shared" si="13"/>
        <v>171.15129602469815</v>
      </c>
      <c r="P81" s="136"/>
      <c r="Q81" s="131"/>
      <c r="R81" s="147" t="s">
        <v>242</v>
      </c>
    </row>
    <row r="82" spans="1:18" s="37" customFormat="1">
      <c r="C82" s="131"/>
      <c r="D82" s="153" t="s">
        <v>57</v>
      </c>
      <c r="E82" s="132" t="s">
        <v>110</v>
      </c>
      <c r="F82" s="164"/>
      <c r="G82" s="164"/>
      <c r="H82" s="164"/>
      <c r="I82" s="164"/>
      <c r="J82" s="156">
        <f>SUM('Input BYR'!J65:J70)*J$15</f>
        <v>203.58491404496485</v>
      </c>
      <c r="K82" s="156">
        <f>SUM('Input BYR'!K65:K70)*K$15</f>
        <v>206.98890692040311</v>
      </c>
      <c r="L82" s="156">
        <f>SUM('Input BYR'!L65:L70)*L$15</f>
        <v>244.0780388951334</v>
      </c>
      <c r="M82" s="156">
        <f>SUM('Input BYR'!M65:M70)*M$15</f>
        <v>256.90590515417432</v>
      </c>
      <c r="N82" s="365">
        <f>SUM('Input BYR'!N65:N70)*N$15</f>
        <v>241.50064246330589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6" si="14">K73*K$21</f>
        <v>379.28200358211626</v>
      </c>
      <c r="L84" s="156">
        <f t="shared" si="14"/>
        <v>502.48296728891097</v>
      </c>
      <c r="M84" s="156">
        <f t="shared" si="14"/>
        <v>524.72445014614107</v>
      </c>
      <c r="N84" s="365">
        <f t="shared" si="14"/>
        <v>389.592554677073</v>
      </c>
      <c r="P84" s="136"/>
      <c r="Q84" s="131"/>
      <c r="R84" s="147" t="s">
        <v>242</v>
      </c>
    </row>
    <row r="85" spans="1:18" s="37" customFormat="1">
      <c r="C85" s="131"/>
      <c r="D85" s="153" t="s">
        <v>57</v>
      </c>
      <c r="E85" s="132" t="s">
        <v>320</v>
      </c>
      <c r="F85" s="161"/>
      <c r="G85" s="162"/>
      <c r="H85" s="162"/>
      <c r="I85" s="163"/>
      <c r="J85" s="156">
        <f>J74*J$21</f>
        <v>296.69137673724805</v>
      </c>
      <c r="K85" s="156">
        <f t="shared" si="14"/>
        <v>353.74977026704505</v>
      </c>
      <c r="L85" s="156">
        <f t="shared" si="14"/>
        <v>462.91125680583468</v>
      </c>
      <c r="M85" s="156">
        <f t="shared" si="14"/>
        <v>464.2795178082057</v>
      </c>
      <c r="N85" s="365">
        <f t="shared" si="14"/>
        <v>319.90224997051945</v>
      </c>
      <c r="P85" s="136"/>
      <c r="Q85" s="131"/>
      <c r="R85" s="147" t="s">
        <v>242</v>
      </c>
    </row>
    <row r="86" spans="1:18" s="37" customFormat="1">
      <c r="C86" s="131"/>
      <c r="D86" s="153" t="s">
        <v>57</v>
      </c>
      <c r="E86" s="132" t="s">
        <v>321</v>
      </c>
      <c r="F86" s="161"/>
      <c r="G86" s="162"/>
      <c r="H86" s="162"/>
      <c r="I86" s="163"/>
      <c r="J86" s="156">
        <f>J75*J$21</f>
        <v>305.76190883464568</v>
      </c>
      <c r="K86" s="156">
        <f t="shared" si="14"/>
        <v>364.56470759667269</v>
      </c>
      <c r="L86" s="156">
        <f t="shared" si="14"/>
        <v>477.06350976067046</v>
      </c>
      <c r="M86" s="156">
        <f t="shared" si="14"/>
        <v>478.47360162269126</v>
      </c>
      <c r="N86" s="365">
        <f t="shared" si="14"/>
        <v>329.68239140333588</v>
      </c>
      <c r="P86" s="136"/>
      <c r="Q86" s="131"/>
      <c r="R86" s="147" t="s">
        <v>242</v>
      </c>
    </row>
    <row r="87" spans="1:18" s="37" customFormat="1">
      <c r="C87" s="131"/>
      <c r="D87" s="153" t="s">
        <v>57</v>
      </c>
      <c r="E87" s="132" t="s">
        <v>111</v>
      </c>
      <c r="F87" s="131"/>
      <c r="G87" s="132"/>
      <c r="H87" s="132"/>
      <c r="I87" s="131"/>
      <c r="J87" s="156">
        <f>IF('Input BYR'!$O$151=1,0,SUM('Input BYR'!J72:J77)*J$15)</f>
        <v>356.76059745372982</v>
      </c>
      <c r="K87" s="156">
        <f>IF('Input BYR'!$O$151=1,0,SUM('Input BYR'!K72:K77)*K$15)</f>
        <v>397.72932790281243</v>
      </c>
      <c r="L87" s="156">
        <f>IF('Input BYR'!$O$151=1,0,SUM('Input BYR'!L72:L77)*L$15)</f>
        <v>426.17236177241989</v>
      </c>
      <c r="M87" s="156">
        <f>IF('Input BYR'!$O$151=1,0,SUM('Input BYR'!M72:M77)*M$15)</f>
        <v>435.68288026026465</v>
      </c>
      <c r="N87" s="365">
        <f>IF('Input BYR'!$O$151=1,0,SUM('Input BYR'!N72:N77)*N$15)</f>
        <v>441.6504159438569</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112.22891234271441</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103.0572280856786</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0.23885543828642797</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93.887936043693117</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2.0815319346336079</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108.45631209950082</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-1.9591693038920919</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25.563751838641235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-37.175907020631897</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1.3932488413005999</v>
      </c>
      <c r="K127" s="156">
        <f>IF('Input BYR'!K49&lt;&gt;"",'Input BYR'!K49,K56*$G$97/100)</f>
        <v>1.6308212755223499</v>
      </c>
      <c r="L127" s="156">
        <f>IF('Input BYR'!L49&lt;&gt;"",'Input BYR'!L49,L56*$G$97/100)</f>
        <v>1.49929659143095</v>
      </c>
      <c r="M127" s="156">
        <f>IF('Input BYR'!M49&lt;&gt;"",'Input BYR'!M49,M56*$G$97/100)</f>
        <v>1.2924761425647</v>
      </c>
      <c r="N127" s="365">
        <f>IF('Input BYR'!N49&lt;&gt;"",'Input BYR'!N49,N56*$G$97/100)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-2.23738932875133</v>
      </c>
      <c r="K128" s="156">
        <f>IF('Input BYR'!K50&lt;&gt;"",'Input BYR'!K50,K67*$G$102/100)</f>
        <v>-2.6739268779090901</v>
      </c>
      <c r="L128" s="156">
        <f>IF('Input BYR'!L50&lt;&gt;"",'Input BYR'!L50,L67*$G$102/100)</f>
        <v>-3.4780753414555399</v>
      </c>
      <c r="M128" s="156">
        <f>IF('Input BYR'!M50&lt;&gt;"",'Input BYR'!M50,M67*$G$102/100)</f>
        <v>-3.5589569255568101</v>
      </c>
      <c r="N128" s="365">
        <f>IF('Input BYR'!N50&lt;&gt;"",'Input BYR'!N50,N67*$G$102/100)</f>
        <v>-2.4188340849088799</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18.765299666037851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-22.808724462050247</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282.49826918712654</v>
      </c>
      <c r="K138" s="156">
        <f>(K57+'Input BYR'!K83)*K$29</f>
        <v>340.57865849517219</v>
      </c>
      <c r="L138" s="156">
        <f>(L57+'Input BYR'!L83)*L$29</f>
        <v>321.56521199201211</v>
      </c>
      <c r="M138" s="156">
        <f>(M57+'Input BYR'!M83)*M$29</f>
        <v>284.13707556775717</v>
      </c>
      <c r="N138" s="365">
        <f>(N57+'Input BYR'!N83)*N$29</f>
        <v>221.41656868622596</v>
      </c>
      <c r="O138" s="104"/>
      <c r="P138" s="136"/>
      <c r="Q138" s="104"/>
      <c r="R138" s="147" t="s">
        <v>87</v>
      </c>
      <c r="S138" s="147"/>
    </row>
    <row r="139" spans="1:19" s="37" customFormat="1">
      <c r="C139" s="131"/>
      <c r="D139" s="104" t="s">
        <v>57</v>
      </c>
      <c r="E139" s="104" t="s">
        <v>110</v>
      </c>
      <c r="F139" s="104"/>
      <c r="G139" s="104"/>
      <c r="H139" s="104"/>
      <c r="I139" s="104"/>
      <c r="J139" s="156">
        <f>SUM('Input BYR'!J65:J70)</f>
        <v>221.03900000000002</v>
      </c>
      <c r="K139" s="156">
        <f>SUM('Input BYR'!K65:K70)</f>
        <v>235.518</v>
      </c>
      <c r="L139" s="156">
        <f>SUM('Input BYR'!L65:L70)</f>
        <v>286.3</v>
      </c>
      <c r="M139" s="156">
        <f>SUM('Input BYR'!M65:M70)</f>
        <v>310.04009359982723</v>
      </c>
      <c r="N139" s="365">
        <f>SUM('Input BYR'!N65:N70)</f>
        <v>297.16031272701127</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-67.675411872748526</v>
      </c>
      <c r="K140" s="672">
        <f>(K$139*K$15)-(K$138*K$26)</f>
        <v>-110.52588124821511</v>
      </c>
      <c r="L140" s="672">
        <f>(L$139*L$15)-(L$138*L$26)</f>
        <v>-47.829386385207073</v>
      </c>
      <c r="M140" s="672">
        <f>(M$139*M$15)-(M$138*M$26)</f>
        <v>5.2656458694889068</v>
      </c>
      <c r="N140" s="673">
        <f>(N$139*N$15)-(N$138*N$26)</f>
        <v>50.190291450699618</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339.32785630901577</v>
      </c>
      <c r="K142" s="156">
        <f>(K68+'Input BYR'!K91)*K$29</f>
        <v>417.6874620197554</v>
      </c>
      <c r="L142" s="156">
        <f>(L68+'Input BYR'!L91)*L$29</f>
        <v>557.97063221453993</v>
      </c>
      <c r="M142" s="156">
        <f>(M68+'Input BYR'!M91)*M$29</f>
        <v>585.21972128121411</v>
      </c>
      <c r="N142" s="365">
        <f>(N68+'Input BYR'!N91)*N$29</f>
        <v>407.68634590702948</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387.34699999999998</v>
      </c>
      <c r="K143" s="156">
        <f>IF('Input BYR'!$O$151=1,0,SUM('Input BYR'!K72:K77))</f>
        <v>452.54799999999994</v>
      </c>
      <c r="L143" s="156">
        <f>IF('Input BYR'!$O$151=1,0,SUM('Input BYR'!L72:L77))</f>
        <v>499.89400000000001</v>
      </c>
      <c r="M143" s="156">
        <f>IF('Input BYR'!$O$151=1,0,SUM('Input BYR'!M72:M77))</f>
        <v>525.79235535544069</v>
      </c>
      <c r="N143" s="365">
        <f>IF('Input BYR'!$O$151=1,0,SUM('Input BYR'!N72:N77))</f>
        <v>543.43944752789696</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30.931398003409186</v>
      </c>
      <c r="K144" s="672">
        <f>(K$143*K$15)-(K$142*K$26)</f>
        <v>8.3275180246683362</v>
      </c>
      <c r="L144" s="672">
        <f>(L$143*L$15)-(L$142*L$26)</f>
        <v>-80.336938853781191</v>
      </c>
      <c r="M144" s="672">
        <f>(M$143*M$15)-(M$142*M$26)</f>
        <v>-82.605140081516936</v>
      </c>
      <c r="N144" s="673">
        <f>(N$143*N$15)-(N$142*N$26)</f>
        <v>89.397563317238735</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2867.40088440411</v>
      </c>
      <c r="J148" s="156">
        <f>'Input BYR'!J$54</f>
        <v>2914.37304229662</v>
      </c>
      <c r="K148" s="156">
        <f>'Input BYR'!K$54</f>
        <v>3016.39800363107</v>
      </c>
      <c r="L148" s="156">
        <f>'Input BYR'!L$54</f>
        <v>3091.1413005823201</v>
      </c>
      <c r="M148" s="156">
        <f>'Input BYR'!M$54</f>
        <v>3124.1710249800299</v>
      </c>
      <c r="N148" s="365">
        <f>'Input BYR'!N$54</f>
        <v>3098.6894026936502</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-170.57474218598219</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2928.1146605076678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4386.8190647615502</v>
      </c>
      <c r="J152" s="156">
        <f>'Input BYR'!J$55</f>
        <v>4424.3880377428904</v>
      </c>
      <c r="K152" s="156">
        <f>'Input BYR'!K$55</f>
        <v>4540.9914889670299</v>
      </c>
      <c r="L152" s="156">
        <f>'Input BYR'!L$55</f>
        <v>4763.56972769604</v>
      </c>
      <c r="M152" s="156">
        <f>'Input BYR'!M$55</f>
        <v>4987.76281366284</v>
      </c>
      <c r="N152" s="365">
        <f>'Input BYR'!N$55</f>
        <v>5036.0908804693399</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-34.285599589981871</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5001.8052808793582</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271.26032591771337</v>
      </c>
      <c r="L161" s="360">
        <f t="shared" si="16"/>
        <v>588.77511408633154</v>
      </c>
      <c r="M161" s="360">
        <f t="shared" si="16"/>
        <v>880.68253936667202</v>
      </c>
      <c r="N161" s="363">
        <f t="shared" si="16"/>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17">K161+K138*K$26</f>
        <v>588.77511408633154</v>
      </c>
      <c r="L162" s="360">
        <f t="shared" si="17"/>
        <v>880.68253936667202</v>
      </c>
      <c r="M162" s="360">
        <f t="shared" si="17"/>
        <v>1132.3227986513575</v>
      </c>
      <c r="N162" s="363">
        <f t="shared" si="17"/>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18">(K162+K161)/2</f>
        <v>430.01772000202243</v>
      </c>
      <c r="L163" s="360">
        <f t="shared" si="18"/>
        <v>734.72882672650178</v>
      </c>
      <c r="M163" s="360">
        <f t="shared" si="18"/>
        <v>1006.5026690090148</v>
      </c>
      <c r="N163" s="363">
        <f t="shared" si="18"/>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325.82919945032063</v>
      </c>
      <c r="L165" s="156">
        <f t="shared" si="19"/>
        <v>715.23100932846478</v>
      </c>
      <c r="M165" s="156">
        <f t="shared" si="19"/>
        <v>1221.7403099546659</v>
      </c>
      <c r="N165" s="365">
        <f t="shared" si="19"/>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0">K165+K142*K$26</f>
        <v>715.23100932846478</v>
      </c>
      <c r="L166" s="156">
        <f t="shared" si="20"/>
        <v>1221.7403099546659</v>
      </c>
      <c r="M166" s="156">
        <f t="shared" si="20"/>
        <v>1740.0283302964476</v>
      </c>
      <c r="N166" s="365">
        <f t="shared" si="20"/>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N167" si="21">(K166+K165)/2</f>
        <v>520.5301043893927</v>
      </c>
      <c r="L167" s="156">
        <f t="shared" si="21"/>
        <v>968.48565964156535</v>
      </c>
      <c r="M167" s="156">
        <f t="shared" si="21"/>
        <v>1480.8843201255568</v>
      </c>
      <c r="N167" s="365">
        <f t="shared" si="21"/>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203.58491404496485</v>
      </c>
      <c r="L171" s="360">
        <f t="shared" si="22"/>
        <v>410.57382096536799</v>
      </c>
      <c r="M171" s="360">
        <f t="shared" si="22"/>
        <v>654.65185986050142</v>
      </c>
      <c r="N171" s="363">
        <f t="shared" si="22"/>
        <v>911.55776501467574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23">K171+K139*K$15</f>
        <v>410.57382096536799</v>
      </c>
      <c r="L172" s="360">
        <f t="shared" si="23"/>
        <v>654.65185986050142</v>
      </c>
      <c r="M172" s="360">
        <f t="shared" si="23"/>
        <v>911.55776501467574</v>
      </c>
      <c r="N172" s="363">
        <f t="shared" si="23"/>
        <v>1153.0584074779817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N173" si="24">(K172+K171)/2</f>
        <v>307.07936750516643</v>
      </c>
      <c r="L173" s="360">
        <f t="shared" si="24"/>
        <v>532.6128404129347</v>
      </c>
      <c r="M173" s="360">
        <f t="shared" si="24"/>
        <v>783.10481243758863</v>
      </c>
      <c r="N173" s="363">
        <f t="shared" si="24"/>
        <v>1032.3080862463287</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356.76059745372982</v>
      </c>
      <c r="L175" s="360">
        <f t="shared" si="25"/>
        <v>754.48992535654224</v>
      </c>
      <c r="M175" s="360">
        <f t="shared" si="25"/>
        <v>1180.6622871289621</v>
      </c>
      <c r="N175" s="363">
        <f t="shared" si="25"/>
        <v>1616.3451673892268</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26">K175+K143*K$15</f>
        <v>754.48992535654224</v>
      </c>
      <c r="L176" s="360">
        <f t="shared" si="26"/>
        <v>1180.6622871289621</v>
      </c>
      <c r="M176" s="360">
        <f t="shared" si="26"/>
        <v>1616.3451673892268</v>
      </c>
      <c r="N176" s="363">
        <f t="shared" si="26"/>
        <v>2057.9955833330837</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N177" si="27">(K176+K175)/2</f>
        <v>555.62526140513603</v>
      </c>
      <c r="L177" s="360">
        <f t="shared" si="27"/>
        <v>967.57610624275219</v>
      </c>
      <c r="M177" s="360">
        <f t="shared" si="27"/>
        <v>1398.5037272590944</v>
      </c>
      <c r="N177" s="363">
        <f t="shared" si="27"/>
        <v>1837.1703753611553</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5.2656458694889068</v>
      </c>
      <c r="N181" s="365">
        <f>(N$139*N$15)-(N$138*N$26)</f>
        <v>50.190291450699618</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-82.605140081516936</v>
      </c>
      <c r="N182" s="365">
        <f>(N$143*N$15)-(N$142*N$26)</f>
        <v>89.397563317238735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-1.7257230027550874</v>
      </c>
      <c r="K184" s="156">
        <f>(K173-K163)*'Input BYR'!$O$59</f>
        <v>-6.2698559773396552</v>
      </c>
      <c r="L184" s="156">
        <f>(L173-L163)*'Input BYR'!$O$59</f>
        <v>-10.307915301991921</v>
      </c>
      <c r="M184" s="156">
        <f>(M173-M163)*'Input BYR'!$O$59</f>
        <v>-11.393290685142732</v>
      </c>
      <c r="N184" s="365">
        <f>(N173-N163)*'Input BYR'!$O$59</f>
        <v>-9.979164283477937</v>
      </c>
      <c r="O184" s="157"/>
      <c r="P184" s="158"/>
      <c r="Q184" s="148"/>
      <c r="R184" s="147" t="s">
        <v>242</v>
      </c>
    </row>
    <row r="185" spans="1:24" s="37" customFormat="1">
      <c r="C185" s="131"/>
      <c r="D185" s="153" t="s">
        <v>57</v>
      </c>
      <c r="E185" s="154" t="s">
        <v>249</v>
      </c>
      <c r="F185" s="155"/>
      <c r="G185" s="148"/>
      <c r="H185" s="148"/>
      <c r="I185" s="148"/>
      <c r="J185" s="156">
        <f>(J177-J167)*'Input BYR'!$O$59</f>
        <v>0.78875064908693415</v>
      </c>
      <c r="K185" s="156">
        <f>(K177-K167)*'Input BYR'!$O$59</f>
        <v>1.7898530078029096</v>
      </c>
      <c r="L185" s="156">
        <f>(L177-L167)*'Input BYR'!$O$59</f>
        <v>-4.6387223339471116E-2</v>
      </c>
      <c r="M185" s="156">
        <f>(M177-M167)*'Input BYR'!$O$59</f>
        <v>-4.2014102361895818</v>
      </c>
      <c r="N185" s="365">
        <f>(N177-N167)*'Input BYR'!$O$59</f>
        <v>-4.0282034436786756</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3.8678430577800165</v>
      </c>
      <c r="K187" s="156">
        <f>$P$130*K63/SUM($J$63:$N$63)</f>
        <v>4.5273755570618368</v>
      </c>
      <c r="L187" s="156">
        <f>$P$130*L63/SUM($J$63:$N$63)</f>
        <v>4.1622456382637436</v>
      </c>
      <c r="M187" s="156">
        <f>$P$130*M63/SUM($J$63:$N$63)</f>
        <v>3.5880847176578459</v>
      </c>
      <c r="N187" s="365">
        <f>$P$130*N63/SUM($J$63:$N$63)</f>
        <v>2.6197506952744098</v>
      </c>
      <c r="O187" s="157"/>
      <c r="P187" s="158"/>
      <c r="Q187" s="148"/>
      <c r="R187" s="147" t="s">
        <v>242</v>
      </c>
    </row>
    <row r="188" spans="1:24" s="37" customFormat="1">
      <c r="C188" s="131"/>
      <c r="D188" s="153" t="s">
        <v>57</v>
      </c>
      <c r="E188" s="154" t="s">
        <v>245</v>
      </c>
      <c r="F188" s="155"/>
      <c r="G188" s="148"/>
      <c r="H188" s="148"/>
      <c r="I188" s="148"/>
      <c r="J188" s="156">
        <f>IF(SUM($J$74:$N$74)=0,0,$P$131*J74/SUM($J$74:$N$74))</f>
        <v>-3.5250813509308481</v>
      </c>
      <c r="K188" s="156">
        <f>IF(SUM($J$74:$N$74)=0,0,$P$131*K74/SUM($J$74:$N$74))</f>
        <v>-4.3015210172038483</v>
      </c>
      <c r="L188" s="156">
        <f>IF(SUM($J$74:$N$74)=0,0,$P$131*L74/SUM($J$74:$N$74))</f>
        <v>-5.6238012929124643</v>
      </c>
      <c r="M188" s="156">
        <f>IF(SUM($J$74:$N$74)=0,0,$P$131*M74/SUM($J$74:$N$74))</f>
        <v>-5.5616978071090371</v>
      </c>
      <c r="N188" s="365">
        <f>IF(SUM($J$74:$N$74)=0,0,$P$131*N74/SUM($J$74:$N$74))</f>
        <v>-3.7966229938940481</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2.1421200550249289</v>
      </c>
      <c r="K190" s="156">
        <f t="shared" ref="K190:N191" si="28">K187+K184</f>
        <v>-1.7424804202778184</v>
      </c>
      <c r="L190" s="156">
        <f t="shared" si="28"/>
        <v>-6.1456696637281771</v>
      </c>
      <c r="M190" s="156">
        <f t="shared" si="28"/>
        <v>-7.8052059674848859</v>
      </c>
      <c r="N190" s="365">
        <f t="shared" si="28"/>
        <v>-7.3594135882035268</v>
      </c>
      <c r="O190" s="157"/>
      <c r="P190" s="158"/>
      <c r="Q190" s="148"/>
      <c r="R190" s="147" t="s">
        <v>242</v>
      </c>
    </row>
    <row r="191" spans="1:24" s="37" customFormat="1">
      <c r="C191" s="131"/>
      <c r="D191" s="153" t="s">
        <v>57</v>
      </c>
      <c r="E191" s="154" t="s">
        <v>406</v>
      </c>
      <c r="F191" s="155"/>
      <c r="G191" s="148"/>
      <c r="H191" s="148"/>
      <c r="I191" s="148"/>
      <c r="J191" s="156">
        <f>J188+J185</f>
        <v>-2.7363307018439138</v>
      </c>
      <c r="K191" s="156">
        <f t="shared" si="28"/>
        <v>-2.5116680094009389</v>
      </c>
      <c r="L191" s="156">
        <f t="shared" si="28"/>
        <v>-5.6701885162519359</v>
      </c>
      <c r="M191" s="156">
        <f t="shared" si="28"/>
        <v>-9.7631080432986188</v>
      </c>
      <c r="N191" s="365">
        <f t="shared" si="28"/>
        <v>-7.8248264375727237</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2.6136935811711481</v>
      </c>
      <c r="K193" s="156">
        <f>IF('Input BYR'!$O$156=0,(K190/(1+'Input BYR'!$O$60)^K$6),(K190/(1+'Input BYR'!$O$59)^K$6))</f>
        <v>-2.0229076410699824</v>
      </c>
      <c r="L193" s="156">
        <f>IF('Input BYR'!$O$156=0,(L190/(1+'Input BYR'!$O$60)^L$6),(L190/(1+'Input BYR'!$O$59)^L$6))</f>
        <v>-6.7885128562238073</v>
      </c>
      <c r="M193" s="156">
        <f>IF('Input BYR'!$O$156=0,(M190/(1+'Input BYR'!$O$60)^M$6),(M190/(1+'Input BYR'!$O$59)^M$6))</f>
        <v>-8.2032714718266142</v>
      </c>
      <c r="N193" s="664">
        <f>IF('Input BYR'!$O$156=0,(N190/(1+'Input BYR'!$O$60)^N$6),(N190/(1+'Input BYR'!$O$59)^N$6))</f>
        <v>-7.3594135882035268</v>
      </c>
      <c r="O193" s="109"/>
      <c r="P193" s="622">
        <f>SUM(J193:N193)</f>
        <v>-21.760411976152781</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-3.33871576179597</v>
      </c>
      <c r="K194" s="156">
        <f>IF('Input BYR'!$O$156=0,(K191/(1+'Input BYR'!$O$60)^K$6),(K191/(1+'Input BYR'!$O$59)^K$6))</f>
        <v>-2.9158849355897529</v>
      </c>
      <c r="L194" s="156">
        <f>IF('Input BYR'!$O$156=0,(L191/(1+'Input BYR'!$O$60)^L$6),(L191/(1+'Input BYR'!$O$59)^L$6))</f>
        <v>-6.2632959052404038</v>
      </c>
      <c r="M194" s="156">
        <f>IF('Input BYR'!$O$156=0,(M191/(1+'Input BYR'!$O$60)^M$6),(M191/(1+'Input BYR'!$O$59)^M$6))</f>
        <v>-10.261026553506847</v>
      </c>
      <c r="N194" s="664">
        <f>IF('Input BYR'!$O$156=0,(N191/(1+'Input BYR'!$O$60)^N$6),(N191/(1+'Input BYR'!$O$59)^N$6))</f>
        <v>-7.8248264375727237</v>
      </c>
      <c r="O194" s="368"/>
      <c r="P194" s="622">
        <f>SUM(J194:N194)</f>
        <v>-30.6037495937057</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3.0658246668837026</v>
      </c>
      <c r="K196" s="156">
        <f t="shared" ref="K196:N197" si="29">K193*$L$13/$G$13</f>
        <v>-2.3728413267330772</v>
      </c>
      <c r="L196" s="156">
        <f t="shared" si="29"/>
        <v>-7.9628271332182843</v>
      </c>
      <c r="M196" s="156">
        <f t="shared" si="29"/>
        <v>-9.6223184724661763</v>
      </c>
      <c r="N196" s="365">
        <f t="shared" si="29"/>
        <v>-8.6324854126180899</v>
      </c>
      <c r="O196" s="109"/>
      <c r="P196" s="622">
        <f>P193*$L$13/$G$13</f>
        <v>-25.524647678151926</v>
      </c>
      <c r="Q196" s="104"/>
      <c r="R196" s="160" t="s">
        <v>413</v>
      </c>
    </row>
    <row r="197" spans="1:20" s="37" customFormat="1">
      <c r="A197" s="109"/>
      <c r="B197" s="109"/>
      <c r="C197" s="131"/>
      <c r="D197" s="104" t="s">
        <v>57</v>
      </c>
      <c r="E197" s="177" t="s">
        <v>412</v>
      </c>
      <c r="F197" s="104"/>
      <c r="G197" s="104"/>
      <c r="H197" s="131"/>
      <c r="I197" s="131"/>
      <c r="J197" s="156">
        <f>J194*$L$13/$G$13</f>
        <v>-3.9162651704722671</v>
      </c>
      <c r="K197" s="156">
        <f t="shared" si="29"/>
        <v>-3.4202907432324157</v>
      </c>
      <c r="L197" s="156">
        <f t="shared" si="29"/>
        <v>-7.3467552664201676</v>
      </c>
      <c r="M197" s="156">
        <f t="shared" si="29"/>
        <v>-12.036035341676882</v>
      </c>
      <c r="N197" s="365">
        <f t="shared" si="29"/>
        <v>-9.1784079355028716</v>
      </c>
      <c r="O197" s="368"/>
      <c r="P197" s="622">
        <f>P194*$L$13/$G$13</f>
        <v>-35.897754457304607</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-200.08169890626081</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29.985910180749634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22.011424373558249</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-46.539313089769337</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-24.527888716211084</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-25.524647678151926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-40.216511108683477</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-43.60679980954702</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-26.754303021463635</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-6.6829643461763073</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-33.43726736763994</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-35.897754457304607</v>
      </c>
      <c r="Q215" s="104"/>
      <c r="R215" s="147" t="s">
        <v>413</v>
      </c>
      <c r="S215" s="659"/>
    </row>
    <row r="216" spans="1:20" s="37" customForma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827</v>
      </c>
      <c r="G217" s="104"/>
      <c r="H217" s="104"/>
      <c r="I217" s="104"/>
      <c r="J217" s="156">
        <f xml:space="preserve"> J57 * J$32</f>
        <v>271.26032591771343</v>
      </c>
      <c r="K217" s="156">
        <f t="shared" ref="K217:N217" si="30" xml:space="preserve"> K57 * K$32</f>
        <v>317.51478816861828</v>
      </c>
      <c r="L217" s="156">
        <f t="shared" si="30"/>
        <v>291.90742528034053</v>
      </c>
      <c r="M217" s="156">
        <f t="shared" si="30"/>
        <v>251.64025928468547</v>
      </c>
      <c r="N217" s="704">
        <f t="shared" si="30"/>
        <v>191.31035101260633</v>
      </c>
      <c r="O217" s="109"/>
      <c r="P217" s="622">
        <f>SUM(J217:N217)*$L$13/$G$13</f>
        <v>1552.6024892047296</v>
      </c>
      <c r="Q217" s="104"/>
      <c r="R217" s="147" t="s">
        <v>413</v>
      </c>
      <c r="S217" s="659"/>
    </row>
    <row r="218" spans="1:20" s="37" customFormat="1">
      <c r="A218" s="109"/>
      <c r="B218" s="109"/>
      <c r="C218" s="104"/>
      <c r="D218" s="104" t="s">
        <v>57</v>
      </c>
      <c r="E218" s="132" t="s">
        <v>828</v>
      </c>
      <c r="G218" s="104"/>
      <c r="H218" s="104"/>
      <c r="I218" s="104"/>
      <c r="J218" s="156">
        <f xml:space="preserve"> J68 * J$32</f>
        <v>325.82919945032074</v>
      </c>
      <c r="K218" s="156">
        <f t="shared" ref="K218:N218" si="31" xml:space="preserve"> K68 * K$32</f>
        <v>389.40180987814415</v>
      </c>
      <c r="L218" s="156">
        <f t="shared" si="31"/>
        <v>506.5093006262012</v>
      </c>
      <c r="M218" s="156">
        <f t="shared" si="31"/>
        <v>518.2880203417817</v>
      </c>
      <c r="N218" s="704">
        <f t="shared" si="31"/>
        <v>352.25285262661828</v>
      </c>
      <c r="O218" s="109"/>
      <c r="P218" s="622">
        <f>SUM(J218:N218)*$L$13/$G$13</f>
        <v>2454.2154852704261</v>
      </c>
      <c r="Q218" s="104"/>
      <c r="R218" s="147" t="s">
        <v>413</v>
      </c>
      <c r="S218" s="659"/>
    </row>
    <row r="219" spans="1:20" s="37" customFormat="1">
      <c r="A219" s="209"/>
      <c r="B219" s="209"/>
      <c r="C219" s="599"/>
      <c r="D219" s="209"/>
      <c r="E219" s="210"/>
      <c r="F219" s="209"/>
      <c r="G219" s="209"/>
      <c r="H219" s="209"/>
      <c r="I219" s="209"/>
      <c r="J219" s="211"/>
      <c r="K219" s="211"/>
      <c r="L219" s="211"/>
      <c r="M219" s="211"/>
      <c r="N219" s="212"/>
      <c r="O219" s="109"/>
      <c r="P219" s="188"/>
      <c r="Q219" s="131"/>
      <c r="R219" s="147"/>
    </row>
    <row r="220" spans="1:20">
      <c r="E220"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E1" sqref="E1"/>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-25.524647678151926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-35.897754457304607</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-25.524647678151926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-35.897754457304607</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-25.524647678151926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-35.897754457304607</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-25.524647678151926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-35.897754457304607</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-25.524647678151926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-35.897754457304607</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-5.4722531396306122</v>
      </c>
      <c r="S47" s="616">
        <f t="shared" si="8"/>
        <v>-5.4722531396306122</v>
      </c>
      <c r="T47" s="616">
        <f t="shared" si="8"/>
        <v>-5.4722531396306122</v>
      </c>
      <c r="U47" s="616">
        <f t="shared" si="8"/>
        <v>-5.4722531396306122</v>
      </c>
      <c r="V47" s="623">
        <f t="shared" si="8"/>
        <v>-5.4722531396306122</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-7.696153224587702</v>
      </c>
      <c r="S48" s="616">
        <f t="shared" si="8"/>
        <v>-7.696153224587702</v>
      </c>
      <c r="T48" s="616">
        <f t="shared" si="8"/>
        <v>-7.696153224587702</v>
      </c>
      <c r="U48" s="616">
        <f t="shared" si="8"/>
        <v>-7.696153224587702</v>
      </c>
      <c r="V48" s="623">
        <f t="shared" si="8"/>
        <v>-7.696153224587702</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-5.4722531396306122</v>
      </c>
      <c r="S52" s="616">
        <f t="shared" ref="S52:V52" si="9">S47*S51</f>
        <v>-5.2820976251260729</v>
      </c>
      <c r="T52" s="616">
        <f t="shared" si="9"/>
        <v>-5.0985498312027735</v>
      </c>
      <c r="U52" s="616">
        <f t="shared" si="9"/>
        <v>-4.9213801459486231</v>
      </c>
      <c r="V52" s="621">
        <f t="shared" si="9"/>
        <v>-4.7503669362438448</v>
      </c>
    </row>
    <row r="53" spans="1:22" s="37" customFormat="1">
      <c r="C53" s="131"/>
      <c r="D53" s="104" t="s">
        <v>57</v>
      </c>
      <c r="E53" s="644" t="s">
        <v>412</v>
      </c>
      <c r="F53" s="131"/>
      <c r="G53" s="148"/>
      <c r="H53" s="148"/>
      <c r="I53" s="148"/>
      <c r="J53" s="106"/>
      <c r="K53" s="106"/>
      <c r="L53" s="106"/>
      <c r="M53" s="106"/>
      <c r="N53" s="612"/>
      <c r="O53" s="203"/>
      <c r="P53" s="136"/>
      <c r="Q53" s="131"/>
      <c r="R53" s="603">
        <f>R48*R51</f>
        <v>-7.696153224587702</v>
      </c>
      <c r="S53" s="616">
        <f t="shared" ref="S53:V53" si="10">S48*S51</f>
        <v>-7.4287193287526074</v>
      </c>
      <c r="T53" s="616">
        <f t="shared" si="10"/>
        <v>-7.1705785026569568</v>
      </c>
      <c r="U53" s="616">
        <f t="shared" si="10"/>
        <v>-6.921407821097449</v>
      </c>
      <c r="V53" s="621">
        <f t="shared" si="10"/>
        <v>-6.680895580209893</v>
      </c>
    </row>
    <row r="54" spans="1:22" s="37" customFormat="1">
      <c r="C54" s="131"/>
      <c r="D54" s="104" t="s">
        <v>57</v>
      </c>
      <c r="E54" s="643" t="s">
        <v>557</v>
      </c>
      <c r="F54" s="131"/>
      <c r="G54" s="148"/>
      <c r="H54" s="148"/>
      <c r="I54" s="148"/>
      <c r="J54" s="106"/>
      <c r="K54" s="106"/>
      <c r="L54" s="106"/>
      <c r="M54" s="106"/>
      <c r="N54" s="612"/>
      <c r="O54" s="203"/>
      <c r="P54" s="622">
        <f>SUM(R52:V52)</f>
        <v>-25.524647678151922</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-35.897754457304615</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-25.524647678151926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-35.897754457304607</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-5.1049295356303848</v>
      </c>
      <c r="S64" s="616">
        <f t="shared" ref="S64:V64" si="14">IF(S$62+1&lt;=$P$61,$P59/$P$61,0)</f>
        <v>-5.1049295356303848</v>
      </c>
      <c r="T64" s="616">
        <f t="shared" si="14"/>
        <v>-5.1049295356303848</v>
      </c>
      <c r="U64" s="616">
        <f t="shared" si="14"/>
        <v>-5.1049295356303848</v>
      </c>
      <c r="V64" s="623">
        <f t="shared" si="14"/>
        <v>-5.1049295356303848</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-7.1795508914609218</v>
      </c>
      <c r="S65" s="616">
        <f t="shared" si="15"/>
        <v>-7.1795508914609218</v>
      </c>
      <c r="T65" s="616">
        <f t="shared" si="15"/>
        <v>-7.1795508914609218</v>
      </c>
      <c r="U65" s="616">
        <f t="shared" si="15"/>
        <v>-7.1795508914609218</v>
      </c>
      <c r="V65" s="623">
        <f t="shared" si="15"/>
        <v>-7.1795508914609218</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-5.1049295356303848</v>
      </c>
      <c r="S69" s="616">
        <f t="shared" ref="S69:V69" si="16">S64*S68</f>
        <v>-4.9275381618053906</v>
      </c>
      <c r="T69" s="616">
        <f t="shared" si="16"/>
        <v>-4.7563109669936203</v>
      </c>
      <c r="U69" s="616">
        <f t="shared" si="16"/>
        <v>-4.5910337519243436</v>
      </c>
      <c r="V69" s="621">
        <f t="shared" si="16"/>
        <v>-4.4314997605447335</v>
      </c>
    </row>
    <row r="70" spans="1:22" s="37" customFormat="1">
      <c r="C70" s="131"/>
      <c r="D70" s="104" t="s">
        <v>57</v>
      </c>
      <c r="E70" s="644" t="s">
        <v>412</v>
      </c>
      <c r="F70" s="131"/>
      <c r="G70" s="148"/>
      <c r="H70" s="148"/>
      <c r="I70" s="148"/>
      <c r="J70" s="106"/>
      <c r="K70" s="106"/>
      <c r="L70" s="106"/>
      <c r="M70" s="106"/>
      <c r="N70" s="612"/>
      <c r="O70" s="203"/>
      <c r="P70" s="136"/>
      <c r="Q70" s="131"/>
      <c r="R70" s="603">
        <f>R65*R68</f>
        <v>-7.1795508914609218</v>
      </c>
      <c r="S70" s="616">
        <f t="shared" ref="S70:V70" si="17">S65*S68</f>
        <v>-6.9300684280510829</v>
      </c>
      <c r="T70" s="616">
        <f t="shared" si="17"/>
        <v>-6.6892552394315468</v>
      </c>
      <c r="U70" s="616">
        <f t="shared" si="17"/>
        <v>-6.4568100766713776</v>
      </c>
      <c r="V70" s="621">
        <f t="shared" si="17"/>
        <v>-6.2324421589492056</v>
      </c>
    </row>
    <row r="71" spans="1:22" s="37" customFormat="1">
      <c r="C71" s="131"/>
      <c r="D71" s="104" t="s">
        <v>57</v>
      </c>
      <c r="E71" s="643" t="s">
        <v>557</v>
      </c>
      <c r="F71" s="131"/>
      <c r="G71" s="148"/>
      <c r="H71" s="148"/>
      <c r="I71" s="148"/>
      <c r="J71" s="106"/>
      <c r="K71" s="106"/>
      <c r="L71" s="106"/>
      <c r="M71" s="106"/>
      <c r="N71" s="612"/>
      <c r="O71" s="203"/>
      <c r="P71" s="622">
        <f>SUM(R69:V69)</f>
        <v>-23.811312176898475</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-33.488126794564138</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-25.524647678151926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-35.897754457304607</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-5.1049295356303848</v>
      </c>
      <c r="S82" s="616">
        <f t="shared" ref="S82:V83" si="20">IF(S$62+1&lt;=$P$78,$P76/$P$78,0) * (1+$P$79)^S$80</f>
        <v>-5.2887069989130788</v>
      </c>
      <c r="T82" s="616">
        <f t="shared" si="20"/>
        <v>-5.4791004508739496</v>
      </c>
      <c r="U82" s="616">
        <f t="shared" si="20"/>
        <v>-5.6763480671054118</v>
      </c>
      <c r="V82" s="623">
        <f t="shared" si="20"/>
        <v>-5.8806965975212071</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-7.1795508914609218</v>
      </c>
      <c r="S83" s="616">
        <f t="shared" si="20"/>
        <v>-7.4380147235535157</v>
      </c>
      <c r="T83" s="616">
        <f t="shared" si="20"/>
        <v>-7.7057832536014415</v>
      </c>
      <c r="U83" s="616">
        <f t="shared" si="20"/>
        <v>-7.9831914507310939</v>
      </c>
      <c r="V83" s="623">
        <f t="shared" si="20"/>
        <v>-8.2705863429574134</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-5.1049295356303848</v>
      </c>
      <c r="S87" s="616">
        <f t="shared" ref="S87:V87" si="21">S82*S86</f>
        <v>-5.1049295356303848</v>
      </c>
      <c r="T87" s="616">
        <f t="shared" si="21"/>
        <v>-5.1049295356303848</v>
      </c>
      <c r="U87" s="616">
        <f t="shared" si="21"/>
        <v>-5.1049295356303848</v>
      </c>
      <c r="V87" s="621">
        <f t="shared" si="21"/>
        <v>-5.1049295356303848</v>
      </c>
    </row>
    <row r="88" spans="1:22" s="37" customFormat="1">
      <c r="C88" s="131"/>
      <c r="D88" s="104" t="s">
        <v>57</v>
      </c>
      <c r="E88" s="644" t="s">
        <v>412</v>
      </c>
      <c r="F88" s="131"/>
      <c r="G88" s="148"/>
      <c r="H88" s="148"/>
      <c r="I88" s="148"/>
      <c r="J88" s="106"/>
      <c r="K88" s="106"/>
      <c r="L88" s="106"/>
      <c r="M88" s="106"/>
      <c r="N88" s="612"/>
      <c r="O88" s="203"/>
      <c r="P88" s="136"/>
      <c r="Q88" s="131"/>
      <c r="R88" s="603">
        <f>R83*R86</f>
        <v>-7.1795508914609218</v>
      </c>
      <c r="S88" s="616">
        <f t="shared" ref="S88:V88" si="22">S83*S86</f>
        <v>-7.1795508914609218</v>
      </c>
      <c r="T88" s="616">
        <f t="shared" si="22"/>
        <v>-7.179550891460921</v>
      </c>
      <c r="U88" s="616">
        <f t="shared" si="22"/>
        <v>-7.1795508914609218</v>
      </c>
      <c r="V88" s="621">
        <f t="shared" si="22"/>
        <v>-7.1795508914609218</v>
      </c>
    </row>
    <row r="89" spans="1:22" s="37" customFormat="1">
      <c r="C89" s="131"/>
      <c r="D89" s="104" t="s">
        <v>57</v>
      </c>
      <c r="E89" s="643" t="s">
        <v>557</v>
      </c>
      <c r="F89" s="131"/>
      <c r="G89" s="148"/>
      <c r="H89" s="148"/>
      <c r="I89" s="148"/>
      <c r="J89" s="106"/>
      <c r="K89" s="106"/>
      <c r="L89" s="106"/>
      <c r="M89" s="106"/>
      <c r="N89" s="612"/>
      <c r="O89" s="203"/>
      <c r="P89" s="622">
        <f>SUM(R87:V87)</f>
        <v>-25.524647678151922</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-35.897754457304607</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3.0658246668837026</v>
      </c>
      <c r="S94" s="616">
        <f>'Calc2 BYR'!K196</f>
        <v>-2.3728413267330772</v>
      </c>
      <c r="T94" s="616">
        <f>'Calc2 BYR'!L196</f>
        <v>-7.9628271332182843</v>
      </c>
      <c r="U94" s="616">
        <f>'Calc2 BYR'!M196</f>
        <v>-9.6223184724661763</v>
      </c>
      <c r="V94" s="623">
        <f>'Calc2 BYR'!N196</f>
        <v>-8.6324854126180899</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-3.9162651704722671</v>
      </c>
      <c r="S95" s="616">
        <f>'Calc2 BYR'!K197</f>
        <v>-3.4202907432324157</v>
      </c>
      <c r="T95" s="616">
        <f>'Calc2 BYR'!L197</f>
        <v>-7.3467552664201676</v>
      </c>
      <c r="U95" s="616">
        <f>'Calc2 BYR'!M197</f>
        <v>-12.036035341676882</v>
      </c>
      <c r="V95" s="623">
        <f>'Calc2 BYR'!N197</f>
        <v>-9.1784079355028716</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3.0658246668837026</v>
      </c>
      <c r="S99" s="616">
        <f t="shared" ref="S99:V99" si="23">S94*S98</f>
        <v>-2.2903873810164836</v>
      </c>
      <c r="T99" s="616">
        <f t="shared" si="23"/>
        <v>-7.4190410969744445</v>
      </c>
      <c r="U99" s="616">
        <f t="shared" si="23"/>
        <v>-8.6536726061591303</v>
      </c>
      <c r="V99" s="621">
        <f t="shared" si="23"/>
        <v>-7.4937091240768803</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-3.9162651704722671</v>
      </c>
      <c r="S100" s="616">
        <f t="shared" ref="S100:V100" si="24">S95*S98</f>
        <v>-3.3014389413440304</v>
      </c>
      <c r="T100" s="616">
        <f t="shared" si="24"/>
        <v>-6.8450411316357904</v>
      </c>
      <c r="U100" s="616">
        <f t="shared" si="24"/>
        <v>-10.824408859576801</v>
      </c>
      <c r="V100" s="621">
        <f t="shared" si="24"/>
        <v>-7.9676148876245341</v>
      </c>
    </row>
    <row r="101" spans="1:22" s="37" customFormat="1">
      <c r="C101" s="131"/>
      <c r="D101" s="104" t="s">
        <v>57</v>
      </c>
      <c r="E101" s="643" t="s">
        <v>557</v>
      </c>
      <c r="F101" s="131"/>
      <c r="G101" s="148"/>
      <c r="H101" s="148"/>
      <c r="I101" s="148"/>
      <c r="J101" s="106"/>
      <c r="K101" s="106"/>
      <c r="L101" s="106"/>
      <c r="M101" s="106"/>
      <c r="N101" s="612"/>
      <c r="O101" s="203"/>
      <c r="P101" s="622">
        <f>SUM(R99:V99)</f>
        <v>-22.790985541343236</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-32.854768990653426</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3.0658246668837026</v>
      </c>
      <c r="S106" s="616">
        <f>'Calc2 BYR'!K196</f>
        <v>-2.3728413267330772</v>
      </c>
      <c r="T106" s="616">
        <f>'Calc2 BYR'!L196</f>
        <v>-7.9628271332182843</v>
      </c>
      <c r="U106" s="616">
        <f>'Calc2 BYR'!M196</f>
        <v>-9.6223184724661763</v>
      </c>
      <c r="V106" s="623">
        <f>'Calc2 BYR'!N196</f>
        <v>-8.6324854126180899</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-3.9162651704722671</v>
      </c>
      <c r="S107" s="616">
        <f>'Calc2 BYR'!K197</f>
        <v>-3.4202907432324157</v>
      </c>
      <c r="T107" s="616">
        <f>'Calc2 BYR'!L197</f>
        <v>-7.3467552664201676</v>
      </c>
      <c r="U107" s="616">
        <f>'Calc2 BYR'!M197</f>
        <v>-12.036035341676882</v>
      </c>
      <c r="V107" s="623">
        <f>'Calc2 BYR'!N197</f>
        <v>-9.1784079355028716</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3.0658246668837026</v>
      </c>
      <c r="S111" s="616">
        <f t="shared" ref="S111:V111" si="25">S106*S110</f>
        <v>-2.2903873810164836</v>
      </c>
      <c r="T111" s="616">
        <f t="shared" si="25"/>
        <v>-7.4190410969744445</v>
      </c>
      <c r="U111" s="616">
        <f t="shared" si="25"/>
        <v>-8.6536726061591303</v>
      </c>
      <c r="V111" s="621">
        <f t="shared" si="25"/>
        <v>-7.4937091240768803</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-3.9162651704722671</v>
      </c>
      <c r="S112" s="616">
        <f t="shared" ref="S112:V112" si="26">S107*S110</f>
        <v>-3.3014389413440304</v>
      </c>
      <c r="T112" s="616">
        <f t="shared" si="26"/>
        <v>-6.8450411316357904</v>
      </c>
      <c r="U112" s="616">
        <f t="shared" si="26"/>
        <v>-10.824408859576801</v>
      </c>
      <c r="V112" s="621">
        <f t="shared" si="26"/>
        <v>-7.9676148876245341</v>
      </c>
    </row>
    <row r="113" spans="3:22" s="37" customFormat="1">
      <c r="C113" s="131"/>
      <c r="D113" s="104" t="s">
        <v>57</v>
      </c>
      <c r="E113" s="643" t="s">
        <v>557</v>
      </c>
      <c r="F113" s="131"/>
      <c r="G113" s="148"/>
      <c r="H113" s="148"/>
      <c r="I113" s="148"/>
      <c r="J113" s="106"/>
      <c r="K113" s="106"/>
      <c r="L113" s="106"/>
      <c r="M113" s="106"/>
      <c r="N113" s="612"/>
      <c r="O113" s="203"/>
      <c r="P113" s="622">
        <f>SUM(R111:V111)</f>
        <v>-22.790985541343236</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-32.854768990653426</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-22.790985541343236</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-32.854768990653426</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-25.524647678151926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-35.897754457304607</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1.1199448848690541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1.0926192927278489</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3.4335546535817745</v>
      </c>
      <c r="S123" s="616">
        <f t="shared" si="27"/>
        <v>-2.6574515064806099</v>
      </c>
      <c r="T123" s="616">
        <f t="shared" si="27"/>
        <v>-8.9179275169443315</v>
      </c>
      <c r="U123" s="616">
        <f t="shared" si="27"/>
        <v>-10.776466353819504</v>
      </c>
      <c r="V123" s="621">
        <f t="shared" si="27"/>
        <v>-9.6679078815683557</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-4.2789868806961167</v>
      </c>
      <c r="S124" s="616">
        <f t="shared" si="27"/>
        <v>-3.7370756527942106</v>
      </c>
      <c r="T124" s="616">
        <f t="shared" si="27"/>
        <v>-8.0272065430406023</v>
      </c>
      <c r="U124" s="616">
        <f t="shared" si="27"/>
        <v>-13.150804422270388</v>
      </c>
      <c r="V124" s="621">
        <f t="shared" si="27"/>
        <v>-10.028505586856824</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3.4335546535817745</v>
      </c>
      <c r="S128" s="616">
        <f t="shared" ref="S128:V128" si="28">S123*S127</f>
        <v>-2.5651076317380404</v>
      </c>
      <c r="T128" s="616">
        <f t="shared" si="28"/>
        <v>-8.3089171271898259</v>
      </c>
      <c r="U128" s="616">
        <f t="shared" si="28"/>
        <v>-9.6916363705993742</v>
      </c>
      <c r="V128" s="621">
        <f t="shared" si="28"/>
        <v>-8.3925412022064627</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-4.2789868806961167</v>
      </c>
      <c r="S129" s="616">
        <f t="shared" ref="S129:V129" si="29">S124*S127</f>
        <v>-3.6072158810754926</v>
      </c>
      <c r="T129" s="616">
        <f t="shared" si="29"/>
        <v>-7.4790239999409316</v>
      </c>
      <c r="U129" s="616">
        <f t="shared" si="29"/>
        <v>-11.826957952347865</v>
      </c>
      <c r="V129" s="621">
        <f t="shared" si="29"/>
        <v>-8.7055697432441974</v>
      </c>
    </row>
    <row r="130" spans="1:22" s="37" customFormat="1">
      <c r="C130" s="131"/>
      <c r="D130" s="131" t="s">
        <v>57</v>
      </c>
      <c r="E130" s="643" t="s">
        <v>557</v>
      </c>
      <c r="F130" s="131"/>
      <c r="G130" s="148"/>
      <c r="H130" s="148"/>
      <c r="I130" s="148"/>
      <c r="J130" s="106"/>
      <c r="K130" s="106"/>
      <c r="L130" s="106"/>
      <c r="M130" s="106"/>
      <c r="N130" s="612"/>
      <c r="O130" s="203"/>
      <c r="P130" s="622">
        <f>SUM(R128:V128)</f>
        <v>-25.524647678151929</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-35.8977544573046</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-25.524647678151926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-5.4722531396306122</v>
      </c>
      <c r="S138" s="616">
        <f>S47</f>
        <v>-5.4722531396306122</v>
      </c>
      <c r="T138" s="616">
        <f>T47</f>
        <v>-5.4722531396306122</v>
      </c>
      <c r="U138" s="616">
        <f>U47</f>
        <v>-5.4722531396306122</v>
      </c>
      <c r="V138" s="621">
        <f>V47</f>
        <v>-5.4722531396306122</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-5.1049295356303848</v>
      </c>
      <c r="S139" s="616">
        <f>S64</f>
        <v>-5.1049295356303848</v>
      </c>
      <c r="T139" s="616">
        <f>T64</f>
        <v>-5.1049295356303848</v>
      </c>
      <c r="U139" s="616">
        <f>U64</f>
        <v>-5.1049295356303848</v>
      </c>
      <c r="V139" s="621">
        <f>V64</f>
        <v>-5.1049295356303848</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-5.1049295356303848</v>
      </c>
      <c r="S140" s="616">
        <f>S82</f>
        <v>-5.2887069989130788</v>
      </c>
      <c r="T140" s="616">
        <f>T82</f>
        <v>-5.4791004508739496</v>
      </c>
      <c r="U140" s="616">
        <f>U82</f>
        <v>-5.6763480671054118</v>
      </c>
      <c r="V140" s="621">
        <f>V82</f>
        <v>-5.8806965975212071</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3.0658246668837026</v>
      </c>
      <c r="S141" s="616">
        <f>S94</f>
        <v>-2.3728413267330772</v>
      </c>
      <c r="T141" s="616">
        <f>T94</f>
        <v>-7.9628271332182843</v>
      </c>
      <c r="U141" s="616">
        <f>U94</f>
        <v>-9.6223184724661763</v>
      </c>
      <c r="V141" s="621">
        <f>V94</f>
        <v>-8.6324854126180899</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3.4335546535817745</v>
      </c>
      <c r="S142" s="616">
        <f t="shared" si="31"/>
        <v>-2.6574515064806099</v>
      </c>
      <c r="T142" s="616">
        <f t="shared" si="31"/>
        <v>-8.9179275169443315</v>
      </c>
      <c r="U142" s="616">
        <f t="shared" si="31"/>
        <v>-10.776466353819504</v>
      </c>
      <c r="V142" s="621">
        <f t="shared" si="31"/>
        <v>-9.6679078815683557</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-5.4722531396306122</v>
      </c>
      <c r="S143" s="630">
        <f t="shared" ref="S143:V143" si="32">CHOOSE($P$135+1,S137,S138,S139,S140,S141,S142)</f>
        <v>-5.4722531396306122</v>
      </c>
      <c r="T143" s="630">
        <f t="shared" si="32"/>
        <v>-5.4722531396306122</v>
      </c>
      <c r="U143" s="630">
        <f t="shared" si="32"/>
        <v>-5.4722531396306122</v>
      </c>
      <c r="V143" s="631">
        <f t="shared" si="32"/>
        <v>-5.4722531396306122</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-35.897754457304607</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-7.696153224587702</v>
      </c>
      <c r="S146" s="616">
        <f>S48</f>
        <v>-7.696153224587702</v>
      </c>
      <c r="T146" s="616">
        <f>T48</f>
        <v>-7.696153224587702</v>
      </c>
      <c r="U146" s="616">
        <f>U48</f>
        <v>-7.696153224587702</v>
      </c>
      <c r="V146" s="621">
        <f>V48</f>
        <v>-7.696153224587702</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-7.1795508914609218</v>
      </c>
      <c r="S147" s="616">
        <f>S65</f>
        <v>-7.1795508914609218</v>
      </c>
      <c r="T147" s="616">
        <f>T65</f>
        <v>-7.1795508914609218</v>
      </c>
      <c r="U147" s="616">
        <f>U65</f>
        <v>-7.1795508914609218</v>
      </c>
      <c r="V147" s="621">
        <f>V65</f>
        <v>-7.1795508914609218</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-7.1795508914609218</v>
      </c>
      <c r="S148" s="616">
        <f>S83</f>
        <v>-7.4380147235535157</v>
      </c>
      <c r="T148" s="616">
        <f>T83</f>
        <v>-7.7057832536014415</v>
      </c>
      <c r="U148" s="616">
        <f>U83</f>
        <v>-7.9831914507310939</v>
      </c>
      <c r="V148" s="621">
        <f>V83</f>
        <v>-8.2705863429574134</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-3.9162651704722671</v>
      </c>
      <c r="S149" s="616">
        <f>S95</f>
        <v>-3.4202907432324157</v>
      </c>
      <c r="T149" s="616">
        <f>T95</f>
        <v>-7.3467552664201676</v>
      </c>
      <c r="U149" s="616">
        <f>U95</f>
        <v>-12.036035341676882</v>
      </c>
      <c r="V149" s="621">
        <f>V95</f>
        <v>-9.1784079355028716</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-4.2789868806961167</v>
      </c>
      <c r="S150" s="616">
        <f t="shared" si="34"/>
        <v>-3.7370756527942106</v>
      </c>
      <c r="T150" s="616">
        <f t="shared" si="34"/>
        <v>-8.0272065430406023</v>
      </c>
      <c r="U150" s="616">
        <f t="shared" si="34"/>
        <v>-13.150804422270388</v>
      </c>
      <c r="V150" s="621">
        <f t="shared" si="34"/>
        <v>-10.028505586856824</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-7.696153224587702</v>
      </c>
      <c r="S151" s="630">
        <f t="shared" ref="S151:V151" si="35">CHOOSE($P$135+1,S145,S146,S147,S148,S149,S150)</f>
        <v>-7.696153224587702</v>
      </c>
      <c r="T151" s="630">
        <f t="shared" si="35"/>
        <v>-7.696153224587702</v>
      </c>
      <c r="U151" s="630">
        <f t="shared" si="35"/>
        <v>-7.696153224587702</v>
      </c>
      <c r="V151" s="631">
        <f t="shared" si="35"/>
        <v>-7.696153224587702</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-5.4722531396306122</v>
      </c>
      <c r="S156" s="627">
        <f t="shared" ref="S156:V156" si="36">S143</f>
        <v>-5.4722531396306122</v>
      </c>
      <c r="T156" s="627">
        <f t="shared" si="36"/>
        <v>-5.4722531396306122</v>
      </c>
      <c r="U156" s="627">
        <f t="shared" si="36"/>
        <v>-5.4722531396306122</v>
      </c>
      <c r="V156" s="628">
        <f t="shared" si="36"/>
        <v>-5.4722531396306122</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-7.696153224587702</v>
      </c>
      <c r="S157" s="627">
        <f t="shared" ref="S157:V157" si="37">S151</f>
        <v>-7.696153224587702</v>
      </c>
      <c r="T157" s="627">
        <f t="shared" si="37"/>
        <v>-7.696153224587702</v>
      </c>
      <c r="U157" s="627">
        <f t="shared" si="37"/>
        <v>-7.696153224587702</v>
      </c>
      <c r="V157" s="628">
        <f t="shared" si="37"/>
        <v>-7.696153224587702</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NWT Blind year update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96.677407217414597</v>
      </c>
      <c r="K16" s="121">
        <f>'Input BYR'!K10</f>
        <v>111.965967265263</v>
      </c>
      <c r="L16" s="121">
        <f>'Input BYR'!L10</f>
        <v>90.137927472951105</v>
      </c>
      <c r="M16" s="121">
        <f>'Input BYR'!M10</f>
        <v>90.6667343285458</v>
      </c>
      <c r="N16" s="121">
        <f>'Input BYR'!N10</f>
        <v>85.142044890137896</v>
      </c>
      <c r="O16" s="113"/>
      <c r="P16" s="113"/>
      <c r="Q16" s="113"/>
      <c r="R16" s="113"/>
      <c r="S16" s="113"/>
      <c r="T16" s="115"/>
      <c r="U16" s="122">
        <f t="shared" ref="U16:U34" si="0">SUM(J16:N16)</f>
        <v>474.59008117431233</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71.716342883676703</v>
      </c>
      <c r="K17" s="121">
        <f>'Input BYR'!K11</f>
        <v>108.91078858467</v>
      </c>
      <c r="L17" s="121">
        <f>'Input BYR'!L11</f>
        <v>106.472526906772</v>
      </c>
      <c r="M17" s="121">
        <f>'Input BYR'!M11</f>
        <v>87.405386500713803</v>
      </c>
      <c r="N17" s="121">
        <f>'Input BYR'!N11</f>
        <v>63.638229124167303</v>
      </c>
      <c r="O17" s="113"/>
      <c r="P17" s="113"/>
      <c r="Q17" s="113"/>
      <c r="R17" s="113"/>
      <c r="S17" s="113"/>
      <c r="T17" s="115"/>
      <c r="U17" s="122">
        <f t="shared" si="0"/>
        <v>438.14327399999979</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87.974174160817597</v>
      </c>
      <c r="K18" s="121">
        <f>'Input BYR'!K12</f>
        <v>67.934574112969699</v>
      </c>
      <c r="L18" s="121">
        <f>'Input BYR'!L12</f>
        <v>55.8016539052811</v>
      </c>
      <c r="M18" s="121">
        <f>'Input BYR'!M12</f>
        <v>42.176527049686499</v>
      </c>
      <c r="N18" s="121">
        <f>'Input BYR'!N12</f>
        <v>29.040736488094399</v>
      </c>
      <c r="O18" s="113"/>
      <c r="P18" s="113"/>
      <c r="Q18" s="113"/>
      <c r="R18" s="113"/>
      <c r="S18" s="113"/>
      <c r="T18" s="115"/>
      <c r="U18" s="122">
        <f t="shared" si="0"/>
        <v>282.92766571684933</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18.6694271158755</v>
      </c>
      <c r="K19" s="121">
        <f>'Input BYR'!K13</f>
        <v>39.4846614157779</v>
      </c>
      <c r="L19" s="121">
        <f>'Input BYR'!L13</f>
        <v>46.933763093227697</v>
      </c>
      <c r="M19" s="121">
        <f>'Input BYR'!M13</f>
        <v>39.4447534992862</v>
      </c>
      <c r="N19" s="121">
        <f>'Input BYR'!N13</f>
        <v>24.197480875832699</v>
      </c>
      <c r="O19" s="113"/>
      <c r="P19" s="113"/>
      <c r="Q19" s="113"/>
      <c r="R19" s="113"/>
      <c r="S19" s="113"/>
      <c r="T19" s="115"/>
      <c r="U19" s="122">
        <f t="shared" si="0"/>
        <v>168.730086</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-8.6940000000000008</v>
      </c>
      <c r="K20" s="121">
        <f>-'Input BYR'!K14</f>
        <v>-12.15</v>
      </c>
      <c r="L20" s="121">
        <f>-'Input BYR'!L14</f>
        <v>-9.1080000000000005</v>
      </c>
      <c r="M20" s="121">
        <f>-'Input BYR'!M14</f>
        <v>-8.3810000000000002</v>
      </c>
      <c r="N20" s="121">
        <f>-'Input BYR'!N14</f>
        <v>-9.3680000000000003</v>
      </c>
      <c r="O20" s="113"/>
      <c r="P20" s="113"/>
      <c r="Q20" s="113"/>
      <c r="R20" s="113"/>
      <c r="S20" s="113"/>
      <c r="T20" s="115"/>
      <c r="U20" s="122">
        <f t="shared" si="0"/>
        <v>-47.701000000000001</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266.34335137778442</v>
      </c>
      <c r="K24" s="121">
        <f>'Calc2 BYR'!K55</f>
        <v>316.14599137868066</v>
      </c>
      <c r="L24" s="121">
        <f>'Calc2 BYR'!L55</f>
        <v>290.23787137823189</v>
      </c>
      <c r="M24" s="121">
        <f>'Calc2 BYR'!M55</f>
        <v>251.31240137823229</v>
      </c>
      <c r="N24" s="121">
        <f>'Calc2 BYR'!N55</f>
        <v>192.65049137823232</v>
      </c>
      <c r="O24" s="113"/>
      <c r="P24" s="113"/>
      <c r="Q24" s="113"/>
      <c r="R24" s="113"/>
      <c r="S24" s="113"/>
      <c r="T24" s="115"/>
      <c r="U24" s="122">
        <f t="shared" si="0"/>
        <v>1316.6901068911616</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65.399928000000003</v>
      </c>
      <c r="K26" s="121">
        <f>'Input BYR'!K19</f>
        <v>53.841191999999999</v>
      </c>
      <c r="L26" s="121">
        <f>'Input BYR'!L19</f>
        <v>58.89132</v>
      </c>
      <c r="M26" s="121">
        <f>'Input BYR'!M19</f>
        <v>43.576680000000003</v>
      </c>
      <c r="N26" s="121">
        <f>'Input BYR'!N19</f>
        <v>41.869799999999998</v>
      </c>
      <c r="O26" s="113"/>
      <c r="P26" s="113"/>
      <c r="Q26" s="113"/>
      <c r="R26" s="113"/>
      <c r="S26" s="113"/>
      <c r="T26" s="115"/>
      <c r="U26" s="122">
        <f t="shared" si="0"/>
        <v>263.57892000000004</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89.125</v>
      </c>
      <c r="K27" s="121">
        <f>'Input BYR'!K20</f>
        <v>107.69795999999999</v>
      </c>
      <c r="L27" s="121">
        <f>'Input BYR'!L20</f>
        <v>207.51151999999999</v>
      </c>
      <c r="M27" s="121">
        <f>'Input BYR'!M20</f>
        <v>195.52484000000001</v>
      </c>
      <c r="N27" s="121">
        <f>'Input BYR'!N20</f>
        <v>138.01288</v>
      </c>
      <c r="O27" s="113"/>
      <c r="P27" s="113"/>
      <c r="Q27" s="113"/>
      <c r="R27" s="113"/>
      <c r="S27" s="113"/>
      <c r="T27" s="115"/>
      <c r="U27" s="122">
        <f t="shared" si="0"/>
        <v>737.87220000000002</v>
      </c>
    </row>
    <row r="28" spans="1:27" s="117" customFormat="1" ht="17.399999999999999">
      <c r="A28" s="110"/>
      <c r="B28" s="118" t="s">
        <v>141</v>
      </c>
      <c r="C28" s="119"/>
      <c r="D28" s="113"/>
      <c r="E28" s="113" t="str">
        <f>'Input BYR'!E21</f>
        <v>Sewerage: FBP infrastructure expenditure</v>
      </c>
      <c r="F28" s="113"/>
      <c r="G28" s="120"/>
      <c r="H28" s="120"/>
      <c r="I28" s="120"/>
      <c r="J28" s="121">
        <f>'Input BYR'!J21</f>
        <v>85.553712000000004</v>
      </c>
      <c r="K28" s="121">
        <f>'Input BYR'!K21</f>
        <v>96.272447999999997</v>
      </c>
      <c r="L28" s="121">
        <f>'Input BYR'!L21</f>
        <v>99.670320000000004</v>
      </c>
      <c r="M28" s="121">
        <f>'Input BYR'!M21</f>
        <v>122.7456</v>
      </c>
      <c r="N28" s="121">
        <f>'Input BYR'!N21</f>
        <v>87.498239999999996</v>
      </c>
      <c r="O28" s="113"/>
      <c r="P28" s="113"/>
      <c r="Q28" s="113"/>
      <c r="R28" s="113"/>
      <c r="S28" s="113"/>
      <c r="T28" s="115"/>
      <c r="U28" s="122">
        <f t="shared" si="0"/>
        <v>491.74032</v>
      </c>
    </row>
    <row r="29" spans="1:27" s="117" customFormat="1" ht="17.399999999999999">
      <c r="A29" s="110"/>
      <c r="B29" s="118" t="s">
        <v>212</v>
      </c>
      <c r="C29" s="118"/>
      <c r="D29" s="113"/>
      <c r="E29" s="113" t="str">
        <f>'Input BYR'!E22</f>
        <v>Sewerage: FBP non-infrastructure expenditure</v>
      </c>
      <c r="F29" s="113"/>
      <c r="G29" s="120"/>
      <c r="H29" s="120"/>
      <c r="I29" s="120"/>
      <c r="J29" s="121">
        <f>'Input BYR'!J22</f>
        <v>140.163582953222</v>
      </c>
      <c r="K29" s="121">
        <f>'Input BYR'!K22</f>
        <v>171.371845860523</v>
      </c>
      <c r="L29" s="121">
        <f>'Input BYR'!L22</f>
        <v>196.860884900516</v>
      </c>
      <c r="M29" s="121">
        <f>'Input BYR'!M22</f>
        <v>216.38377787543601</v>
      </c>
      <c r="N29" s="121">
        <f>'Input BYR'!N22</f>
        <v>129.12972006042801</v>
      </c>
      <c r="O29" s="113"/>
      <c r="P29" s="113"/>
      <c r="Q29" s="113"/>
      <c r="R29" s="113"/>
      <c r="S29" s="113"/>
      <c r="T29" s="115"/>
      <c r="U29" s="122">
        <f t="shared" si="0"/>
        <v>853.90981165012499</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-4.2930000000000001</v>
      </c>
      <c r="K30" s="121">
        <f>-'Input BYR'!K23</f>
        <v>-5.3529999999999998</v>
      </c>
      <c r="L30" s="121">
        <f>-'Input BYR'!L23</f>
        <v>-6.4130000000000003</v>
      </c>
      <c r="M30" s="121">
        <f>-'Input BYR'!M23</f>
        <v>-7.4729999999999999</v>
      </c>
      <c r="N30" s="121">
        <f>-'Input BYR'!N23</f>
        <v>-8.5329999999999995</v>
      </c>
      <c r="O30" s="113"/>
      <c r="P30" s="113"/>
      <c r="Q30" s="113"/>
      <c r="R30" s="113"/>
      <c r="S30" s="113"/>
      <c r="T30" s="115"/>
      <c r="U30" s="122">
        <f t="shared" si="0"/>
        <v>-32.064999999999998</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375.94922295322203</v>
      </c>
      <c r="K34" s="121">
        <f>'Calc2 BYR'!K66</f>
        <v>423.83044586052296</v>
      </c>
      <c r="L34" s="121">
        <f>'Calc2 BYR'!L66</f>
        <v>556.52104490051602</v>
      </c>
      <c r="M34" s="121">
        <f>'Calc2 BYR'!M66</f>
        <v>570.75789787543613</v>
      </c>
      <c r="N34" s="121">
        <f>'Calc2 BYR'!N66</f>
        <v>387.97764006042803</v>
      </c>
      <c r="O34" s="113"/>
      <c r="P34" s="113"/>
      <c r="Q34" s="113"/>
      <c r="R34" s="113"/>
      <c r="S34" s="113"/>
      <c r="T34" s="115"/>
      <c r="U34" s="122">
        <f t="shared" si="0"/>
        <v>2315.0362516501255</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103.80792034644401</v>
      </c>
      <c r="K37" s="121">
        <f>'Input BYR'!K30</f>
        <v>119.721029127333</v>
      </c>
      <c r="L37" s="121">
        <f>'Input BYR'!L30</f>
        <v>96.053451727038393</v>
      </c>
      <c r="M37" s="121">
        <f>'Input BYR'!M30</f>
        <v>96.095368777823097</v>
      </c>
      <c r="N37" s="121">
        <f>'Input BYR'!N30</f>
        <v>89.772718548515499</v>
      </c>
      <c r="O37" s="113"/>
      <c r="P37" s="113"/>
      <c r="Q37" s="113"/>
      <c r="R37" s="113"/>
      <c r="S37" s="113"/>
      <c r="T37" s="115"/>
      <c r="U37" s="122">
        <f t="shared" ref="U37:U51" si="3">SUM(J37:N37)</f>
        <v>505.45048852715399</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75.265681003525302</v>
      </c>
      <c r="K38" s="121">
        <f>'Input BYR'!K31</f>
        <v>113.700229518434</v>
      </c>
      <c r="L38" s="121">
        <f>'Input BYR'!L31</f>
        <v>110.786225626804</v>
      </c>
      <c r="M38" s="121">
        <f>'Input BYR'!M31</f>
        <v>90.6493817737949</v>
      </c>
      <c r="N38" s="121">
        <f>'Input BYR'!N31</f>
        <v>65.836563884895199</v>
      </c>
      <c r="O38" s="113"/>
      <c r="P38" s="113"/>
      <c r="Q38" s="113"/>
      <c r="R38" s="113"/>
      <c r="S38" s="113"/>
      <c r="T38" s="115"/>
      <c r="U38" s="122">
        <f t="shared" si="3"/>
        <v>456.2380818074534</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90.195537485563605</v>
      </c>
      <c r="K39" s="121">
        <f>'Input BYR'!K32</f>
        <v>65.017064698534796</v>
      </c>
      <c r="L39" s="121">
        <f>'Input BYR'!L32</f>
        <v>55.705633608524998</v>
      </c>
      <c r="M39" s="121">
        <f>'Input BYR'!M32</f>
        <v>41.216315092907003</v>
      </c>
      <c r="N39" s="121">
        <f>'Input BYR'!N32</f>
        <v>25.456763531865899</v>
      </c>
      <c r="O39" s="113"/>
      <c r="P39" s="113"/>
      <c r="Q39" s="113"/>
      <c r="R39" s="113"/>
      <c r="S39" s="113"/>
      <c r="T39" s="115"/>
      <c r="U39" s="122">
        <f t="shared" si="3"/>
        <v>277.59131441739629</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19.0224934156209</v>
      </c>
      <c r="K40" s="121">
        <f>'Input BYR'!K33</f>
        <v>39.011896238409797</v>
      </c>
      <c r="L40" s="121">
        <f>'Input BYR'!L33</f>
        <v>47.689766045647701</v>
      </c>
      <c r="M40" s="121">
        <f>'Input BYR'!M33</f>
        <v>39.478637687882802</v>
      </c>
      <c r="N40" s="121">
        <f>'Input BYR'!N33</f>
        <v>22.255885369039198</v>
      </c>
      <c r="O40" s="113"/>
      <c r="P40" s="113"/>
      <c r="Q40" s="113"/>
      <c r="R40" s="113"/>
      <c r="S40" s="113"/>
      <c r="T40" s="115"/>
      <c r="U40" s="122">
        <f t="shared" si="3"/>
        <v>167.45867875660039</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288.29163225115377</v>
      </c>
      <c r="K43" s="121">
        <f>'Calc2 BYR'!K56</f>
        <v>337.45021958271161</v>
      </c>
      <c r="L43" s="121">
        <f>'Calc2 BYR'!L56</f>
        <v>310.23507700801508</v>
      </c>
      <c r="M43" s="121">
        <f>'Calc2 BYR'!M56</f>
        <v>267.43970333240776</v>
      </c>
      <c r="N43" s="121">
        <f>'Calc2 BYR'!N56</f>
        <v>203.32193133431579</v>
      </c>
      <c r="O43" s="113"/>
      <c r="P43" s="113"/>
      <c r="Q43" s="113"/>
      <c r="R43" s="113"/>
      <c r="S43" s="113"/>
      <c r="T43" s="115"/>
      <c r="U43" s="122">
        <f t="shared" si="3"/>
        <v>1406.7385635086041</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61.6804104414325</v>
      </c>
      <c r="K45" s="121">
        <f>'Input BYR'!K37</f>
        <v>50.209440835250099</v>
      </c>
      <c r="L45" s="121">
        <f>'Input BYR'!L37</f>
        <v>54.790899940376299</v>
      </c>
      <c r="M45" s="121">
        <f>'Input BYR'!M37</f>
        <v>40.725630109452801</v>
      </c>
      <c r="N45" s="121">
        <f>'Input BYR'!N37</f>
        <v>38.962195347971402</v>
      </c>
      <c r="O45" s="113"/>
      <c r="P45" s="113"/>
      <c r="Q45" s="113"/>
      <c r="R45" s="113"/>
      <c r="S45" s="113"/>
      <c r="T45" s="115"/>
      <c r="U45" s="122">
        <f t="shared" si="3"/>
        <v>246.36857667448311</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84.866015878888305</v>
      </c>
      <c r="K46" s="121">
        <f>'Input BYR'!K38</f>
        <v>102.064067113831</v>
      </c>
      <c r="L46" s="121">
        <f>'Input BYR'!L38</f>
        <v>195.97937785216899</v>
      </c>
      <c r="M46" s="121">
        <f>'Input BYR'!M38</f>
        <v>184.31207761888501</v>
      </c>
      <c r="N46" s="121">
        <f>'Input BYR'!N38</f>
        <v>129.43099034378901</v>
      </c>
      <c r="O46" s="113"/>
      <c r="P46" s="113"/>
      <c r="Q46" s="113"/>
      <c r="R46" s="113"/>
      <c r="S46" s="113"/>
      <c r="T46" s="115"/>
      <c r="U46" s="122">
        <f t="shared" si="3"/>
        <v>696.65252880756225</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67.587233517949599</v>
      </c>
      <c r="K47" s="121">
        <f>'Input BYR'!K39</f>
        <v>84.706725777189106</v>
      </c>
      <c r="L47" s="121">
        <f>'Input BYR'!L39</f>
        <v>87.541415854037893</v>
      </c>
      <c r="M47" s="121">
        <f>'Input BYR'!M39</f>
        <v>107.245021066265</v>
      </c>
      <c r="N47" s="121">
        <f>'Input BYR'!N39</f>
        <v>76.235230318249805</v>
      </c>
      <c r="O47" s="113"/>
      <c r="P47" s="113"/>
      <c r="Q47" s="113"/>
      <c r="R47" s="113"/>
      <c r="S47" s="113"/>
      <c r="T47" s="115"/>
      <c r="U47" s="122">
        <f t="shared" si="3"/>
        <v>423.31562653369144</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120.02013853845</v>
      </c>
      <c r="K48" s="121">
        <f>'Input BYR'!K40</f>
        <v>162.37038949922999</v>
      </c>
      <c r="L48" s="121">
        <f>'Input BYR'!L40</f>
        <v>181.138395550187</v>
      </c>
      <c r="M48" s="121">
        <f>'Input BYR'!M40</f>
        <v>199.24701421961501</v>
      </c>
      <c r="N48" s="121">
        <f>'Input BYR'!N40</f>
        <v>116.624132542399</v>
      </c>
      <c r="O48" s="113"/>
      <c r="P48" s="113"/>
      <c r="Q48" s="113"/>
      <c r="R48" s="113"/>
      <c r="S48" s="113"/>
      <c r="T48" s="115"/>
      <c r="U48" s="122">
        <f t="shared" si="3"/>
        <v>779.40007034988105</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334.15379837672037</v>
      </c>
      <c r="K51" s="121">
        <f>'Calc2 BYR'!K67</f>
        <v>399.35062322550021</v>
      </c>
      <c r="L51" s="121">
        <f>'Calc2 BYR'!L67</f>
        <v>519.45008919677025</v>
      </c>
      <c r="M51" s="121">
        <f>'Calc2 BYR'!M67</f>
        <v>531.52974301421784</v>
      </c>
      <c r="N51" s="121">
        <f>'Calc2 BYR'!N67</f>
        <v>361.25254855240917</v>
      </c>
      <c r="O51" s="113"/>
      <c r="P51" s="113"/>
      <c r="Q51" s="113"/>
      <c r="R51" s="113"/>
      <c r="S51" s="113"/>
      <c r="T51" s="115"/>
      <c r="U51" s="122">
        <f t="shared" si="3"/>
        <v>2145.7368023656181</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102.1466765207702</v>
      </c>
      <c r="K54" s="121">
        <f>'Calc2 BYR'!K39</f>
        <v>117.80512695168643</v>
      </c>
      <c r="L54" s="121">
        <f>'Calc2 BYR'!L39</f>
        <v>94.516303086706671</v>
      </c>
      <c r="M54" s="121">
        <f>'Calc2 BYR'!M39</f>
        <v>94.557549336635589</v>
      </c>
      <c r="N54" s="121">
        <f>'Calc2 BYR'!N39</f>
        <v>88.336080824679414</v>
      </c>
      <c r="O54" s="113"/>
      <c r="P54" s="113"/>
      <c r="Q54" s="113"/>
      <c r="R54" s="113"/>
      <c r="S54" s="113"/>
      <c r="T54" s="115"/>
      <c r="U54" s="122">
        <f>SUM(J54:N54)</f>
        <v>497.36173672047829</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74.061200194787816</v>
      </c>
      <c r="K55" s="121">
        <f>'Calc2 BYR'!K40</f>
        <v>111.88067852815482</v>
      </c>
      <c r="L55" s="121">
        <f>'Calc2 BYR'!L40</f>
        <v>109.0133076001446</v>
      </c>
      <c r="M55" s="121">
        <f>'Calc2 BYR'!M40</f>
        <v>89.198714760427436</v>
      </c>
      <c r="N55" s="121">
        <f>'Calc2 BYR'!N40</f>
        <v>64.782977753005127</v>
      </c>
      <c r="O55" s="113"/>
      <c r="P55" s="113"/>
      <c r="Q55" s="113"/>
      <c r="R55" s="113"/>
      <c r="S55" s="113"/>
      <c r="T55" s="115"/>
      <c r="U55" s="122">
        <f>SUM(J55:N55)</f>
        <v>448.93687883651978</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88.752133367157569</v>
      </c>
      <c r="K56" s="121">
        <f>'Calc2 BYR'!K41</f>
        <v>63.976593056935478</v>
      </c>
      <c r="L56" s="121">
        <f>'Calc2 BYR'!L41</f>
        <v>54.814173307821846</v>
      </c>
      <c r="M56" s="121">
        <f>'Calc2 BYR'!M41</f>
        <v>40.556728148706519</v>
      </c>
      <c r="N56" s="121">
        <f>'Calc2 BYR'!N41</f>
        <v>25.049377553052199</v>
      </c>
      <c r="O56" s="113"/>
      <c r="P56" s="113"/>
      <c r="Q56" s="113"/>
      <c r="R56" s="113"/>
      <c r="S56" s="113"/>
      <c r="T56" s="115"/>
      <c r="U56" s="122">
        <f>SUM(J56:N56)</f>
        <v>273.14900543367361</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18.718075413312821</v>
      </c>
      <c r="K57" s="121">
        <f>'Calc2 BYR'!K42</f>
        <v>38.387586729678695</v>
      </c>
      <c r="L57" s="121">
        <f>'Calc2 BYR'!L42</f>
        <v>46.9265841118727</v>
      </c>
      <c r="M57" s="121">
        <f>'Calc2 BYR'!M42</f>
        <v>38.846858890213674</v>
      </c>
      <c r="N57" s="121">
        <f>'Calc2 BYR'!N42</f>
        <v>21.899723218493943</v>
      </c>
      <c r="O57" s="113"/>
      <c r="P57" s="113"/>
      <c r="Q57" s="113"/>
      <c r="R57" s="113"/>
      <c r="S57" s="113"/>
      <c r="T57" s="115"/>
      <c r="U57" s="122">
        <f>SUM(J57:N57)</f>
        <v>164.77882836357182</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283.67808549602842</v>
      </c>
      <c r="K60" s="121">
        <f>'Calc2 BYR'!K57</f>
        <v>332.04998526645539</v>
      </c>
      <c r="L60" s="121">
        <f>'Calc2 BYR'!L57</f>
        <v>305.27036810654579</v>
      </c>
      <c r="M60" s="121">
        <f>'Calc2 BYR'!M57</f>
        <v>263.15985113598322</v>
      </c>
      <c r="N60" s="121">
        <f>'Calc2 BYR'!N57</f>
        <v>200.06815934923068</v>
      </c>
      <c r="O60" s="113"/>
      <c r="P60" s="113"/>
      <c r="Q60" s="113"/>
      <c r="R60" s="113"/>
      <c r="S60" s="113"/>
      <c r="T60" s="115"/>
      <c r="U60" s="122">
        <f>SUM(J60:N60)</f>
        <v>1384.2264493542436</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62.89706239845075</v>
      </c>
      <c r="K62" s="121">
        <f>'Calc2 BYR'!K46</f>
        <v>51.199826826779834</v>
      </c>
      <c r="L62" s="121">
        <f>'Calc2 BYR'!L46</f>
        <v>55.871655648098887</v>
      </c>
      <c r="M62" s="121">
        <f>'Calc2 BYR'!M46</f>
        <v>41.528947033235525</v>
      </c>
      <c r="N62" s="121">
        <f>'Calc2 BYR'!N46</f>
        <v>39.730728353516945</v>
      </c>
      <c r="O62" s="113"/>
      <c r="P62" s="113"/>
      <c r="Q62" s="113"/>
      <c r="R62" s="113"/>
      <c r="S62" s="113"/>
      <c r="T62" s="115"/>
      <c r="U62" s="122">
        <f>SUM(J62:N62)</f>
        <v>251.22822026008197</v>
      </c>
    </row>
    <row r="63" spans="1:27" s="117" customFormat="1" ht="17.399999999999999">
      <c r="A63" s="110"/>
      <c r="B63" s="119" t="s">
        <v>159</v>
      </c>
      <c r="C63" s="119"/>
      <c r="D63" s="113"/>
      <c r="E63" s="113" t="str">
        <f>'Calc2 BYR'!E47</f>
        <v>Sewerage: MNI</v>
      </c>
      <c r="F63" s="113"/>
      <c r="G63" s="120"/>
      <c r="H63" s="120"/>
      <c r="I63" s="120"/>
      <c r="J63" s="121">
        <f>'Calc2 BYR'!J47</f>
        <v>86.540006106327425</v>
      </c>
      <c r="K63" s="121">
        <f>'Calc2 BYR'!K47</f>
        <v>104.07729053609071</v>
      </c>
      <c r="L63" s="121">
        <f>'Calc2 BYR'!L47</f>
        <v>199.84508970286214</v>
      </c>
      <c r="M63" s="121">
        <f>'Calc2 BYR'!M47</f>
        <v>187.94765086381409</v>
      </c>
      <c r="N63" s="121">
        <f>'Calc2 BYR'!N47</f>
        <v>131.98402892724829</v>
      </c>
      <c r="O63" s="113"/>
      <c r="P63" s="113"/>
      <c r="Q63" s="113"/>
      <c r="R63" s="113"/>
      <c r="S63" s="113"/>
      <c r="T63" s="115"/>
      <c r="U63" s="122">
        <f>SUM(J63:N63)</f>
        <v>710.39406613634264</v>
      </c>
    </row>
    <row r="64" spans="1:27" s="117" customFormat="1" ht="17.399999999999999">
      <c r="A64" s="110"/>
      <c r="B64" s="119" t="s">
        <v>160</v>
      </c>
      <c r="C64" s="119"/>
      <c r="D64" s="113"/>
      <c r="E64" s="113" t="str">
        <f>'Calc2 BYR'!E48</f>
        <v>Sewerage: Infrastructure enhancements</v>
      </c>
      <c r="F64" s="113"/>
      <c r="G64" s="120"/>
      <c r="H64" s="120"/>
      <c r="I64" s="120"/>
      <c r="J64" s="121">
        <f>'Calc2 BYR'!J48</f>
        <v>68.92039812143652</v>
      </c>
      <c r="K64" s="121">
        <f>'Calc2 BYR'!K48</f>
        <v>86.37757399223598</v>
      </c>
      <c r="L64" s="121">
        <f>'Calc2 BYR'!L48</f>
        <v>89.268178600211527</v>
      </c>
      <c r="M64" s="121">
        <f>'Calc2 BYR'!M48</f>
        <v>109.36043929754655</v>
      </c>
      <c r="N64" s="121">
        <f>'Calc2 BYR'!N48</f>
        <v>77.73897748038172</v>
      </c>
      <c r="O64" s="113"/>
      <c r="P64" s="113"/>
      <c r="Q64" s="113"/>
      <c r="R64" s="113"/>
      <c r="S64" s="113"/>
      <c r="T64" s="115"/>
      <c r="U64" s="122">
        <f>SUM(J64:N64)</f>
        <v>431.66556749181228</v>
      </c>
    </row>
    <row r="65" spans="1:21" s="117" customFormat="1" ht="17.399999999999999">
      <c r="A65" s="110"/>
      <c r="B65" s="119" t="s">
        <v>238</v>
      </c>
      <c r="C65" s="119"/>
      <c r="D65" s="113"/>
      <c r="E65" s="113" t="str">
        <f>'Calc2 BYR'!E49</f>
        <v>Sewerage: Non-infrastructure enhancements</v>
      </c>
      <c r="F65" s="113"/>
      <c r="G65" s="120"/>
      <c r="H65" s="120"/>
      <c r="I65" s="120"/>
      <c r="J65" s="121">
        <f>'Calc2 BYR'!J49</f>
        <v>122.38754717580109</v>
      </c>
      <c r="K65" s="121">
        <f>'Calc2 BYR'!K49</f>
        <v>165.57316086103268</v>
      </c>
      <c r="L65" s="121">
        <f>'Calc2 BYR'!L49</f>
        <v>184.71136761473804</v>
      </c>
      <c r="M65" s="121">
        <f>'Calc2 BYR'!M49</f>
        <v>203.17718050815677</v>
      </c>
      <c r="N65" s="121">
        <f>'Calc2 BYR'!N49</f>
        <v>118.92455463877911</v>
      </c>
      <c r="O65" s="113"/>
      <c r="P65" s="113"/>
      <c r="Q65" s="113"/>
      <c r="R65" s="113"/>
      <c r="S65" s="113"/>
      <c r="T65" s="115"/>
      <c r="U65" s="122">
        <f>SUM(J65:N65)</f>
        <v>794.77381079850772</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340.74501380201582</v>
      </c>
      <c r="K68" s="121">
        <f>'Calc2 BYR'!K68</f>
        <v>407.22785221613924</v>
      </c>
      <c r="L68" s="121">
        <f>'Calc2 BYR'!L68</f>
        <v>529.69629156591054</v>
      </c>
      <c r="M68" s="121">
        <f>'Calc2 BYR'!M68</f>
        <v>542.01421770275294</v>
      </c>
      <c r="N68" s="121">
        <f>'Calc2 BYR'!N68</f>
        <v>368.37828939992608</v>
      </c>
      <c r="O68" s="113"/>
      <c r="P68" s="113"/>
      <c r="Q68" s="113"/>
      <c r="R68" s="113"/>
      <c r="S68" s="113"/>
      <c r="T68" s="115"/>
      <c r="U68" s="122">
        <f>SUM(J68:N68)</f>
        <v>2188.0616646867443</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93.598778127412032</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1.3932488413005999</v>
      </c>
      <c r="K73" s="121">
        <f>'Calc2 BYR'!K127</f>
        <v>1.6308212755223499</v>
      </c>
      <c r="L73" s="121">
        <f>'Calc2 BYR'!L127</f>
        <v>1.49929659143095</v>
      </c>
      <c r="M73" s="121">
        <f>'Calc2 BYR'!M127</f>
        <v>1.2924761425647</v>
      </c>
      <c r="N73" s="121">
        <f>'Calc2 BYR'!N127</f>
        <v>0.982609321784784</v>
      </c>
      <c r="O73" s="113"/>
      <c r="P73" s="113"/>
      <c r="Q73" s="113"/>
      <c r="R73" s="113"/>
      <c r="S73" s="113"/>
      <c r="T73" s="115"/>
      <c r="U73" s="122">
        <f>SUM(J73:N73)</f>
        <v>6.7984521726033833</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107.89003800922178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-2.23738932875133</v>
      </c>
      <c r="K76" s="121">
        <f>'Calc2 BYR'!K128</f>
        <v>-2.6739268779090901</v>
      </c>
      <c r="L76" s="121">
        <f>'Calc2 BYR'!L128</f>
        <v>-3.4780753414555399</v>
      </c>
      <c r="M76" s="121">
        <f>'Calc2 BYR'!M128</f>
        <v>-3.5589569255568101</v>
      </c>
      <c r="N76" s="121">
        <f>'Calc2 BYR'!N128</f>
        <v>-2.4188340849088799</v>
      </c>
      <c r="O76" s="113"/>
      <c r="P76" s="113"/>
      <c r="Q76" s="113"/>
      <c r="R76" s="113"/>
      <c r="S76" s="113"/>
      <c r="T76" s="115"/>
      <c r="U76" s="122">
        <f>SUM(J76:N76)</f>
        <v>-14.36718255858165</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NWT Blind year update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266.34335137778442</v>
      </c>
      <c r="K16" s="121">
        <f>'Calc2 BYR'!K55</f>
        <v>316.14599137868066</v>
      </c>
      <c r="L16" s="121">
        <f>'Calc2 BYR'!L55</f>
        <v>290.23787137823189</v>
      </c>
      <c r="M16" s="121">
        <f>'Calc2 BYR'!M55</f>
        <v>251.31240137823229</v>
      </c>
      <c r="N16" s="121">
        <f>'Calc2 BYR'!N55</f>
        <v>192.65049137823232</v>
      </c>
      <c r="O16" s="113"/>
      <c r="P16" s="113"/>
      <c r="Q16" s="113"/>
      <c r="R16" s="113"/>
      <c r="S16" s="113"/>
      <c r="T16" s="115"/>
      <c r="U16" s="295">
        <f>SUM(J16:N16)</f>
        <v>1316.6901068911616</v>
      </c>
    </row>
    <row r="17" spans="1:21" s="117" customFormat="1" ht="17.399999999999999">
      <c r="A17" s="110"/>
      <c r="B17" s="118" t="s">
        <v>131</v>
      </c>
      <c r="C17" s="119"/>
      <c r="D17" s="113"/>
      <c r="E17" s="124" t="str">
        <f>'Calc2 BYR'!E56</f>
        <v>Water: Baseline capex (gross of adjustments)</v>
      </c>
      <c r="F17" s="124"/>
      <c r="G17" s="113"/>
      <c r="H17" s="120"/>
      <c r="I17" s="120"/>
      <c r="J17" s="121">
        <f>'Calc2 BYR'!J56</f>
        <v>288.29163225115377</v>
      </c>
      <c r="K17" s="121">
        <f>'Calc2 BYR'!K56</f>
        <v>337.45021958271161</v>
      </c>
      <c r="L17" s="121">
        <f>'Calc2 BYR'!L56</f>
        <v>310.23507700801508</v>
      </c>
      <c r="M17" s="121">
        <f>'Calc2 BYR'!M56</f>
        <v>267.43970333240776</v>
      </c>
      <c r="N17" s="121">
        <f>'Calc2 BYR'!N56</f>
        <v>203.32193133431579</v>
      </c>
      <c r="O17" s="113"/>
      <c r="P17" s="113"/>
      <c r="Q17" s="113"/>
      <c r="R17" s="113"/>
      <c r="S17" s="113"/>
      <c r="T17" s="115"/>
      <c r="U17" s="295">
        <f t="shared" ref="U17:U18" si="0">SUM(J17:N17)</f>
        <v>1406.7385635086041</v>
      </c>
    </row>
    <row r="18" spans="1:21" s="117" customFormat="1" ht="17.399999999999999">
      <c r="A18" s="110"/>
      <c r="B18" s="118" t="s">
        <v>132</v>
      </c>
      <c r="C18" s="119"/>
      <c r="D18" s="113"/>
      <c r="E18" s="124" t="str">
        <f>'Calc2 BYR'!E57</f>
        <v>Water: Allowance capex (gross of adjustments)</v>
      </c>
      <c r="F18" s="124"/>
      <c r="G18" s="113"/>
      <c r="H18" s="286"/>
      <c r="I18" s="120"/>
      <c r="J18" s="121">
        <f>'Calc2 BYR'!J57</f>
        <v>283.67808549602842</v>
      </c>
      <c r="K18" s="121">
        <f>'Calc2 BYR'!K57</f>
        <v>332.04998526645539</v>
      </c>
      <c r="L18" s="121">
        <f>'Calc2 BYR'!L57</f>
        <v>305.27036810654579</v>
      </c>
      <c r="M18" s="121">
        <f>'Calc2 BYR'!M57</f>
        <v>263.15985113598322</v>
      </c>
      <c r="N18" s="121">
        <f>'Calc2 BYR'!N57</f>
        <v>200.06815934923068</v>
      </c>
      <c r="O18" s="113"/>
      <c r="P18" s="113"/>
      <c r="Q18" s="113"/>
      <c r="R18" s="113"/>
      <c r="S18" s="113"/>
      <c r="T18" s="115"/>
      <c r="U18" s="295">
        <f t="shared" si="0"/>
        <v>1384.2264493542436</v>
      </c>
    </row>
    <row r="19" spans="1:21" s="117" customFormat="1" ht="17.399999999999999">
      <c r="A19" s="110"/>
      <c r="B19" s="118" t="s">
        <v>133</v>
      </c>
      <c r="C19" s="119"/>
      <c r="D19" s="113"/>
      <c r="E19" s="124" t="str">
        <f>'Calc2 BYR'!E94</f>
        <v>Water: CIS bid ratio</v>
      </c>
      <c r="F19" s="124"/>
      <c r="G19" s="301">
        <f>'Calc2 BYR'!G94</f>
        <v>93.598778127412032</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-8.0574925374535695</v>
      </c>
      <c r="O22" s="113"/>
      <c r="P22" s="113"/>
      <c r="Q22" s="113"/>
      <c r="R22" s="113"/>
      <c r="S22" s="113"/>
      <c r="T22" s="115"/>
      <c r="U22" s="295">
        <f t="shared" si="1"/>
        <v>-8.0574925374535695</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266.34335137778442</v>
      </c>
      <c r="K24" s="121">
        <f>'Calc2 BYR'!K62</f>
        <v>316.14599137868066</v>
      </c>
      <c r="L24" s="121">
        <f>'Calc2 BYR'!L62</f>
        <v>290.23787137823189</v>
      </c>
      <c r="M24" s="121">
        <f>'Calc2 BYR'!M62</f>
        <v>251.31240137823229</v>
      </c>
      <c r="N24" s="121">
        <f>'Calc2 BYR'!N62</f>
        <v>192.65049137823232</v>
      </c>
      <c r="O24" s="113"/>
      <c r="P24" s="113"/>
      <c r="Q24" s="113"/>
      <c r="R24" s="113"/>
      <c r="S24" s="113"/>
      <c r="T24" s="115"/>
      <c r="U24" s="295">
        <f t="shared" ref="U24:U26" si="2">SUM(J24:N24)</f>
        <v>1316.6901068911616</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288.29163225115377</v>
      </c>
      <c r="K25" s="121">
        <f>'Calc2 BYR'!K63</f>
        <v>337.45021958271161</v>
      </c>
      <c r="L25" s="121">
        <f>'Calc2 BYR'!L63</f>
        <v>310.23507700801508</v>
      </c>
      <c r="M25" s="121">
        <f>'Calc2 BYR'!M63</f>
        <v>267.43970333240776</v>
      </c>
      <c r="N25" s="121">
        <f>'Calc2 BYR'!N63</f>
        <v>195.26443879686224</v>
      </c>
      <c r="O25" s="113"/>
      <c r="P25" s="113"/>
      <c r="Q25" s="113"/>
      <c r="R25" s="113"/>
      <c r="S25" s="113"/>
      <c r="T25" s="115"/>
      <c r="U25" s="295">
        <f t="shared" si="2"/>
        <v>1398.6810709711503</v>
      </c>
    </row>
    <row r="26" spans="1:21" s="117" customFormat="1" ht="17.399999999999999">
      <c r="A26" s="110"/>
      <c r="B26" s="118" t="s">
        <v>138</v>
      </c>
      <c r="C26" s="119"/>
      <c r="D26" s="113"/>
      <c r="E26" s="113" t="str">
        <f>'Calc2 BYR'!E64</f>
        <v>Water: Allowance capex (net of adjustments)</v>
      </c>
      <c r="F26" s="113"/>
      <c r="G26" s="113"/>
      <c r="H26" s="120"/>
      <c r="I26" s="120"/>
      <c r="J26" s="121">
        <f>'Calc2 BYR'!J64</f>
        <v>284.0667039678151</v>
      </c>
      <c r="K26" s="121">
        <f>'Calc2 BYR'!K64</f>
        <v>332.50486974442077</v>
      </c>
      <c r="L26" s="121">
        <f>'Calc2 BYR'!L64</f>
        <v>305.68856644473573</v>
      </c>
      <c r="M26" s="121">
        <f>'Calc2 BYR'!M64</f>
        <v>263.52036110983352</v>
      </c>
      <c r="N26" s="121">
        <f>'Calc2 BYR'!N64</f>
        <v>192.40282868434807</v>
      </c>
      <c r="O26" s="113"/>
      <c r="P26" s="113"/>
      <c r="Q26" s="113"/>
      <c r="R26" s="113"/>
      <c r="S26" s="113"/>
      <c r="T26" s="115"/>
      <c r="U26" s="295">
        <f t="shared" si="2"/>
        <v>1378.1833299511532</v>
      </c>
    </row>
    <row r="27" spans="1:21" s="117" customFormat="1" ht="17.399999999999999">
      <c r="A27" s="110"/>
      <c r="B27" s="118" t="s">
        <v>139</v>
      </c>
      <c r="C27" s="119"/>
      <c r="D27" s="113"/>
      <c r="E27" s="113" t="str">
        <f>'Calc2 BYR'!E106</f>
        <v>Water: Restated CIS bid ratio</v>
      </c>
      <c r="F27" s="113"/>
      <c r="G27" s="301">
        <f>'Calc2 BYR'!G106</f>
        <v>94.137980002613475</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236.66092545841994</v>
      </c>
      <c r="K30" s="121">
        <f>'Calc2 BYR'!K79</f>
        <v>274.48000645516748</v>
      </c>
      <c r="L30" s="121">
        <f>'Calc2 BYR'!L79</f>
        <v>252.21491955907157</v>
      </c>
      <c r="M30" s="121">
        <f>'Calc2 BYR'!M79</f>
        <v>221.48023482221853</v>
      </c>
      <c r="N30" s="121">
        <f>'Calc2 BYR'!N79</f>
        <v>171.37160354993105</v>
      </c>
      <c r="O30" s="113"/>
      <c r="P30" s="113"/>
      <c r="Q30" s="113"/>
      <c r="R30" s="113"/>
      <c r="S30" s="113"/>
      <c r="T30" s="115"/>
      <c r="U30" s="295">
        <f t="shared" ref="U30:U33" si="3">SUM(J30:N30)</f>
        <v>1156.2076898448086</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256.16319738239702</v>
      </c>
      <c r="K31" s="121">
        <f>'Calc2 BYR'!K80</f>
        <v>292.9764759800982</v>
      </c>
      <c r="L31" s="121">
        <f>'Calc2 BYR'!L80</f>
        <v>269.5923678754192</v>
      </c>
      <c r="M31" s="121">
        <f>'Calc2 BYR'!M80</f>
        <v>235.69313718704782</v>
      </c>
      <c r="N31" s="121">
        <f>'Calc2 BYR'!N80</f>
        <v>173.69683177811314</v>
      </c>
      <c r="O31" s="113"/>
      <c r="P31" s="113"/>
      <c r="Q31" s="113"/>
      <c r="R31" s="113"/>
      <c r="S31" s="113"/>
      <c r="T31" s="115"/>
      <c r="U31" s="295">
        <f t="shared" si="3"/>
        <v>1228.1220102030754</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252.40911291827183</v>
      </c>
      <c r="K32" s="121">
        <f>'Calc2 BYR'!K81</f>
        <v>288.68289107770028</v>
      </c>
      <c r="L32" s="121">
        <f>'Calc2 BYR'!L81</f>
        <v>265.64147824634796</v>
      </c>
      <c r="M32" s="121">
        <f>'Calc2 BYR'!M81</f>
        <v>232.23904247845471</v>
      </c>
      <c r="N32" s="121">
        <f>'Calc2 BYR'!N81</f>
        <v>171.15129602469815</v>
      </c>
      <c r="O32" s="113"/>
      <c r="P32" s="113"/>
      <c r="Q32" s="113"/>
      <c r="R32" s="113"/>
      <c r="S32" s="113"/>
      <c r="T32" s="115"/>
      <c r="U32" s="295">
        <f t="shared" si="3"/>
        <v>1210.123820745473</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203.58491404496485</v>
      </c>
      <c r="K33" s="121">
        <f>'Calc2 BYR'!K82</f>
        <v>206.98890692040311</v>
      </c>
      <c r="L33" s="121">
        <f>'Calc2 BYR'!L82</f>
        <v>244.0780388951334</v>
      </c>
      <c r="M33" s="121">
        <f>'Calc2 BYR'!M82</f>
        <v>256.90590515417432</v>
      </c>
      <c r="N33" s="121">
        <f>'Calc2 BYR'!N82</f>
        <v>241.50064246330589</v>
      </c>
      <c r="O33" s="113"/>
      <c r="P33" s="113"/>
      <c r="Q33" s="113"/>
      <c r="R33" s="113"/>
      <c r="S33" s="113"/>
      <c r="T33" s="115"/>
      <c r="U33" s="295">
        <f t="shared" si="3"/>
        <v>1153.0584074779817</v>
      </c>
    </row>
    <row r="34" spans="1:21" s="117" customFormat="1" ht="17.399999999999999">
      <c r="A34" s="110"/>
      <c r="B34" s="118" t="s">
        <v>145</v>
      </c>
      <c r="C34" s="118"/>
      <c r="D34" s="113"/>
      <c r="E34" s="113" t="str">
        <f>'Calc2 BYR'!E116</f>
        <v>Water: CIS outturn ratio</v>
      </c>
      <c r="F34" s="113"/>
      <c r="G34" s="301">
        <f>'Calc2 BYR'!G116</f>
        <v>93.887936043693117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25.563751838641235</v>
      </c>
    </row>
    <row r="38" spans="1:21" s="117" customFormat="1" ht="17.399999999999999">
      <c r="A38" s="110"/>
      <c r="B38" s="118" t="s">
        <v>152</v>
      </c>
      <c r="C38" s="119"/>
      <c r="D38" s="113"/>
      <c r="E38" s="113" t="str">
        <f>'Calc2 BYR'!E127</f>
        <v>Water: Additional income (applied at FD)</v>
      </c>
      <c r="F38" s="113"/>
      <c r="G38" s="113"/>
      <c r="H38" s="113"/>
      <c r="I38" s="113"/>
      <c r="J38" s="121">
        <f>'Calc2 BYR'!J127</f>
        <v>1.3932488413005999</v>
      </c>
      <c r="K38" s="121">
        <f>'Calc2 BYR'!K127</f>
        <v>1.6308212755223499</v>
      </c>
      <c r="L38" s="121">
        <f>'Calc2 BYR'!L127</f>
        <v>1.49929659143095</v>
      </c>
      <c r="M38" s="121">
        <f>'Calc2 BYR'!M127</f>
        <v>1.2924761425647</v>
      </c>
      <c r="N38" s="121">
        <f>'Calc2 BYR'!N127</f>
        <v>0.982609321784784</v>
      </c>
      <c r="O38" s="113"/>
      <c r="P38" s="113"/>
      <c r="Q38" s="113"/>
      <c r="R38" s="113"/>
      <c r="S38" s="113"/>
      <c r="T38" s="115"/>
      <c r="U38" s="295">
        <f t="shared" ref="U38" si="4">SUM(J38:N38)</f>
        <v>6.7984521726033833</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18.765299666037851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375.94922295322203</v>
      </c>
      <c r="K45" s="121">
        <f>'Calc2 BYR'!K66</f>
        <v>423.83044586052296</v>
      </c>
      <c r="L45" s="121">
        <f>'Calc2 BYR'!L66</f>
        <v>556.52104490051602</v>
      </c>
      <c r="M45" s="121">
        <f>'Calc2 BYR'!M66</f>
        <v>570.75789787543613</v>
      </c>
      <c r="N45" s="121">
        <f>'Calc2 BYR'!N66</f>
        <v>387.97764006042803</v>
      </c>
      <c r="O45" s="113"/>
      <c r="P45" s="113"/>
      <c r="Q45" s="113"/>
      <c r="R45" s="113"/>
      <c r="S45" s="113"/>
      <c r="T45" s="115"/>
      <c r="U45" s="295">
        <f>SUM(J45:N45)</f>
        <v>2315.0362516501255</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334.15379837672037</v>
      </c>
      <c r="K46" s="121">
        <f>'Calc2 BYR'!K67</f>
        <v>399.35062322550021</v>
      </c>
      <c r="L46" s="121">
        <f>'Calc2 BYR'!L67</f>
        <v>519.45008919677025</v>
      </c>
      <c r="M46" s="121">
        <f>'Calc2 BYR'!M67</f>
        <v>531.52974301421784</v>
      </c>
      <c r="N46" s="121">
        <f>'Calc2 BYR'!N67</f>
        <v>361.25254855240917</v>
      </c>
      <c r="O46" s="113"/>
      <c r="P46" s="113"/>
      <c r="Q46" s="113"/>
      <c r="R46" s="113"/>
      <c r="S46" s="113"/>
      <c r="T46" s="115"/>
      <c r="U46" s="295">
        <f t="shared" ref="U46:U47" si="5">SUM(J46:N46)</f>
        <v>2145.7368023656181</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340.74501380201582</v>
      </c>
      <c r="K47" s="121">
        <f>'Calc2 BYR'!K68</f>
        <v>407.22785221613924</v>
      </c>
      <c r="L47" s="121">
        <f>'Calc2 BYR'!L68</f>
        <v>529.69629156591054</v>
      </c>
      <c r="M47" s="121">
        <f>'Calc2 BYR'!M68</f>
        <v>542.01421770275294</v>
      </c>
      <c r="N47" s="121">
        <f>'Calc2 BYR'!N68</f>
        <v>368.37828939992608</v>
      </c>
      <c r="O47" s="113"/>
      <c r="P47" s="113"/>
      <c r="Q47" s="113"/>
      <c r="R47" s="113"/>
      <c r="S47" s="113"/>
      <c r="T47" s="115"/>
      <c r="U47" s="295">
        <f t="shared" si="5"/>
        <v>2188.0616646867443</v>
      </c>
    </row>
    <row r="48" spans="1:21" s="117" customFormat="1" ht="17.399999999999999">
      <c r="A48" s="110"/>
      <c r="B48" s="118" t="s">
        <v>329</v>
      </c>
      <c r="C48" s="119"/>
      <c r="D48" s="113"/>
      <c r="E48" s="124" t="str">
        <f>'Calc2 BYR'!E99</f>
        <v>Sewerage: CIS bid ratio</v>
      </c>
      <c r="F48" s="124"/>
      <c r="G48" s="301">
        <f>'Calc2 BYR'!G99</f>
        <v>107.89003800922178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0.28246441316447002</v>
      </c>
      <c r="K50" s="121">
        <f>'Calc2 BYR'!K70</f>
        <v>13.0264552418378</v>
      </c>
      <c r="L50" s="121">
        <f>'Calc2 BYR'!L70</f>
        <v>21.714323113048199</v>
      </c>
      <c r="M50" s="121">
        <f>'Calc2 BYR'!M70</f>
        <v>24.644042771550598</v>
      </c>
      <c r="N50" s="121">
        <f>'Calc2 BYR'!N70</f>
        <v>49.989885136771697</v>
      </c>
      <c r="O50" s="113"/>
      <c r="P50" s="113"/>
      <c r="Q50" s="113"/>
      <c r="R50" s="113"/>
      <c r="S50" s="113"/>
      <c r="T50" s="115"/>
      <c r="U50" s="295">
        <f t="shared" ref="U50:U51" si="6">SUM(J50:N50)</f>
        <v>109.65717067637277</v>
      </c>
    </row>
    <row r="51" spans="1:21" s="117" customFormat="1" ht="17.399999999999999">
      <c r="A51" s="110"/>
      <c r="B51" s="118" t="s">
        <v>331</v>
      </c>
      <c r="C51" s="119"/>
      <c r="D51" s="113"/>
      <c r="E51" s="113" t="str">
        <f>'Calc2 BYR'!E71</f>
        <v>Sewerage: Adjustments to baseline capex</v>
      </c>
      <c r="F51" s="113"/>
      <c r="G51" s="113"/>
      <c r="H51" s="120"/>
      <c r="I51" s="120"/>
      <c r="J51" s="121">
        <f>'Calc2 BYR'!J71</f>
        <v>-0.25087185000408396</v>
      </c>
      <c r="K51" s="121">
        <f>'Calc2 BYR'!K71</f>
        <v>8.0982589914362286</v>
      </c>
      <c r="L51" s="121">
        <f>'Calc2 BYR'!L71</f>
        <v>13.247889365438461</v>
      </c>
      <c r="M51" s="121">
        <f>'Calc2 BYR'!M71</f>
        <v>-4.7143338434357993</v>
      </c>
      <c r="N51" s="121">
        <f>'Calc2 BYR'!N71</f>
        <v>-1.6286413636882955</v>
      </c>
      <c r="O51" s="113"/>
      <c r="P51" s="113"/>
      <c r="Q51" s="113"/>
      <c r="R51" s="113"/>
      <c r="S51" s="113"/>
      <c r="T51" s="115"/>
      <c r="U51" s="295">
        <f t="shared" si="6"/>
        <v>14.752301299746509</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376.2316873663865</v>
      </c>
      <c r="K53" s="121">
        <f>'Calc2 BYR'!K73</f>
        <v>436.85690110236078</v>
      </c>
      <c r="L53" s="121">
        <f>'Calc2 BYR'!L73</f>
        <v>578.2353680135642</v>
      </c>
      <c r="M53" s="121">
        <f>'Calc2 BYR'!M73</f>
        <v>595.40194064698676</v>
      </c>
      <c r="N53" s="121">
        <f>'Calc2 BYR'!N73</f>
        <v>437.96752519719973</v>
      </c>
      <c r="O53" s="113"/>
      <c r="P53" s="113"/>
      <c r="Q53" s="113"/>
      <c r="R53" s="113"/>
      <c r="S53" s="113"/>
      <c r="T53" s="115"/>
      <c r="U53" s="295">
        <f t="shared" ref="U53:U55" si="7">SUM(J53:N53)</f>
        <v>2424.693422326498</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333.90292652671627</v>
      </c>
      <c r="K54" s="121">
        <f>'Calc2 BYR'!K74</f>
        <v>407.44888221693645</v>
      </c>
      <c r="L54" s="121">
        <f>'Calc2 BYR'!L74</f>
        <v>532.69797856220873</v>
      </c>
      <c r="M54" s="121">
        <f>'Calc2 BYR'!M74</f>
        <v>526.815409170782</v>
      </c>
      <c r="N54" s="121">
        <f>'Calc2 BYR'!N74</f>
        <v>359.62390718872086</v>
      </c>
      <c r="O54" s="113"/>
      <c r="P54" s="113"/>
      <c r="Q54" s="113"/>
      <c r="R54" s="113"/>
      <c r="S54" s="113"/>
      <c r="T54" s="115"/>
      <c r="U54" s="295">
        <f t="shared" si="7"/>
        <v>2160.4891036653644</v>
      </c>
    </row>
    <row r="55" spans="1:21" s="117" customFormat="1" ht="17.399999999999999">
      <c r="A55" s="110"/>
      <c r="B55" s="118" t="s">
        <v>334</v>
      </c>
      <c r="C55" s="119"/>
      <c r="D55" s="113"/>
      <c r="E55" s="113" t="str">
        <f>'Calc2 BYR'!E75</f>
        <v>Sewerage: Allowance capex (net of adjustments)</v>
      </c>
      <c r="F55" s="113"/>
      <c r="G55" s="113"/>
      <c r="H55" s="120"/>
      <c r="I55" s="120"/>
      <c r="J55" s="121">
        <f>'Calc2 BYR'!J75</f>
        <v>344.11110057539378</v>
      </c>
      <c r="K55" s="121">
        <f>'Calc2 BYR'!K75</f>
        <v>419.90552387885617</v>
      </c>
      <c r="L55" s="121">
        <f>'Calc2 BYR'!L75</f>
        <v>548.98377077465477</v>
      </c>
      <c r="M55" s="121">
        <f>'Calc2 BYR'!M75</f>
        <v>542.92135781963373</v>
      </c>
      <c r="N55" s="121">
        <f>'Calc2 BYR'!N75</f>
        <v>370.61843028210916</v>
      </c>
      <c r="O55" s="113"/>
      <c r="P55" s="113"/>
      <c r="Q55" s="113"/>
      <c r="R55" s="113"/>
      <c r="S55" s="113"/>
      <c r="T55" s="115"/>
      <c r="U55" s="295">
        <f t="shared" si="7"/>
        <v>2226.5401833306478</v>
      </c>
    </row>
    <row r="56" spans="1:21" s="117" customFormat="1" ht="17.399999999999999">
      <c r="A56" s="110"/>
      <c r="B56" s="118" t="s">
        <v>335</v>
      </c>
      <c r="C56" s="119"/>
      <c r="D56" s="113"/>
      <c r="E56" s="113" t="str">
        <f>'Calc2 BYR'!E110</f>
        <v>Sewerage: Restated CIS bid ratio</v>
      </c>
      <c r="F56" s="113"/>
      <c r="G56" s="301">
        <f>'Calc2 BYR'!G110</f>
        <v>112.22891234271441</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334.3028420207026</v>
      </c>
      <c r="K59" s="121">
        <f>'Calc2 BYR'!K84</f>
        <v>379.28200358211626</v>
      </c>
      <c r="L59" s="121">
        <f>'Calc2 BYR'!L84</f>
        <v>502.48296728891097</v>
      </c>
      <c r="M59" s="121">
        <f>'Calc2 BYR'!M84</f>
        <v>524.72445014614107</v>
      </c>
      <c r="N59" s="121">
        <f>'Calc2 BYR'!N84</f>
        <v>389.592554677073</v>
      </c>
      <c r="O59" s="113"/>
      <c r="P59" s="113"/>
      <c r="Q59" s="113"/>
      <c r="R59" s="113"/>
      <c r="S59" s="113"/>
      <c r="T59" s="115"/>
      <c r="U59" s="295">
        <f t="shared" ref="U59:U62" si="8">SUM(J59:N59)</f>
        <v>2130.3848177149439</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296.69137673724805</v>
      </c>
      <c r="K60" s="121">
        <f>'Calc2 BYR'!K85</f>
        <v>353.74977026704505</v>
      </c>
      <c r="L60" s="121">
        <f>'Calc2 BYR'!L85</f>
        <v>462.91125680583468</v>
      </c>
      <c r="M60" s="121">
        <f>'Calc2 BYR'!M85</f>
        <v>464.2795178082057</v>
      </c>
      <c r="N60" s="121">
        <f>'Calc2 BYR'!N85</f>
        <v>319.90224997051945</v>
      </c>
      <c r="O60" s="113"/>
      <c r="P60" s="113"/>
      <c r="Q60" s="113"/>
      <c r="R60" s="113"/>
      <c r="S60" s="113"/>
      <c r="T60" s="115"/>
      <c r="U60" s="295">
        <f t="shared" si="8"/>
        <v>1897.5341715888528</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305.76190883464568</v>
      </c>
      <c r="K61" s="121">
        <f>'Calc2 BYR'!K86</f>
        <v>364.56470759667269</v>
      </c>
      <c r="L61" s="121">
        <f>'Calc2 BYR'!L86</f>
        <v>477.06350976067046</v>
      </c>
      <c r="M61" s="121">
        <f>'Calc2 BYR'!M86</f>
        <v>478.47360162269126</v>
      </c>
      <c r="N61" s="121">
        <f>'Calc2 BYR'!N86</f>
        <v>329.68239140333588</v>
      </c>
      <c r="O61" s="113"/>
      <c r="P61" s="113"/>
      <c r="Q61" s="113"/>
      <c r="R61" s="113"/>
      <c r="S61" s="113"/>
      <c r="T61" s="115"/>
      <c r="U61" s="295">
        <f t="shared" si="8"/>
        <v>1955.5461192180162</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356.76059745372982</v>
      </c>
      <c r="K62" s="121">
        <f>'Calc2 BYR'!K87</f>
        <v>397.72932790281243</v>
      </c>
      <c r="L62" s="121">
        <f>'Calc2 BYR'!L87</f>
        <v>426.17236177241989</v>
      </c>
      <c r="M62" s="121">
        <f>'Calc2 BYR'!M87</f>
        <v>435.68288026026465</v>
      </c>
      <c r="N62" s="121">
        <f>'Calc2 BYR'!N87</f>
        <v>441.6504159438569</v>
      </c>
      <c r="O62" s="113"/>
      <c r="P62" s="113"/>
      <c r="Q62" s="113"/>
      <c r="R62" s="113"/>
      <c r="S62" s="113"/>
      <c r="T62" s="115"/>
      <c r="U62" s="295">
        <f t="shared" si="8"/>
        <v>2057.9955833330837</v>
      </c>
    </row>
    <row r="63" spans="1:21" s="117" customFormat="1" ht="17.399999999999999">
      <c r="A63" s="110"/>
      <c r="B63" s="118" t="s">
        <v>340</v>
      </c>
      <c r="C63" s="118"/>
      <c r="D63" s="113"/>
      <c r="E63" s="113" t="str">
        <f>'Calc2 BYR'!E119</f>
        <v>Sewerage: CIS outturn ratio</v>
      </c>
      <c r="F63" s="113"/>
      <c r="G63" s="301">
        <f>'Calc2 BYR'!G119</f>
        <v>108.45631209950082</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-37.175907020631897</v>
      </c>
    </row>
    <row r="67" spans="1:24" s="117" customFormat="1" ht="17.399999999999999">
      <c r="A67" s="110"/>
      <c r="B67" s="118" t="s">
        <v>342</v>
      </c>
      <c r="C67" s="119"/>
      <c r="D67" s="113"/>
      <c r="E67" s="113" t="str">
        <f>'Calc2 BYR'!E128</f>
        <v>Sewerage: Additional income (applied at FD)</v>
      </c>
      <c r="F67" s="113"/>
      <c r="G67" s="113"/>
      <c r="H67" s="113"/>
      <c r="I67" s="113"/>
      <c r="J67" s="121">
        <f>'Calc2 BYR'!J128</f>
        <v>-2.23738932875133</v>
      </c>
      <c r="K67" s="121">
        <f>'Calc2 BYR'!K128</f>
        <v>-2.6739268779090901</v>
      </c>
      <c r="L67" s="121">
        <f>'Calc2 BYR'!L128</f>
        <v>-3.4780753414555399</v>
      </c>
      <c r="M67" s="121">
        <f>'Calc2 BYR'!M128</f>
        <v>-3.5589569255568101</v>
      </c>
      <c r="N67" s="121">
        <f>'Calc2 BYR'!N128</f>
        <v>-2.4188340849088799</v>
      </c>
      <c r="O67" s="113"/>
      <c r="P67" s="113"/>
      <c r="Q67" s="113"/>
      <c r="R67" s="113"/>
      <c r="S67" s="113"/>
      <c r="T67" s="115"/>
      <c r="U67" s="295">
        <f t="shared" ref="U67" si="9">SUM(J67:N67)</f>
        <v>-14.36718255858165</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-22.808724462050247</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NWT Blind year update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-170.57474218598219</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-34.285599589981871</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-21.760411976152781</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-30.6037495937057</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-25.524647678151926</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-35.897754457304607</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topLeftCell="Z1" zoomScale="80" zoomScaleNormal="80" workbookViewId="0">
      <pane ySplit="2" topLeftCell="A3" activePane="bottomLeft" state="frozen"/>
      <selection activeCell="A3" sqref="A3"/>
      <selection pane="bottomLeft" activeCell="AO8" sqref="AO8"/>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2" t="s">
        <v>758</v>
      </c>
      <c r="G1" s="782"/>
      <c r="H1" s="782"/>
      <c r="I1" s="782"/>
      <c r="J1" s="782"/>
      <c r="K1" s="782"/>
      <c r="L1" s="782"/>
      <c r="M1" s="782"/>
      <c r="O1" s="781" t="s">
        <v>759</v>
      </c>
      <c r="P1" s="781"/>
      <c r="Q1" s="781"/>
      <c r="R1" s="781"/>
      <c r="S1" s="781"/>
      <c r="T1" s="781"/>
      <c r="U1" s="781"/>
      <c r="V1" s="781"/>
      <c r="X1" s="779" t="s">
        <v>762</v>
      </c>
      <c r="Y1" s="779"/>
      <c r="Z1" s="779"/>
      <c r="AA1" s="779"/>
      <c r="AB1" s="779"/>
      <c r="AC1" s="779"/>
      <c r="AD1" s="779"/>
      <c r="AE1" s="779"/>
      <c r="AH1" s="780" t="s">
        <v>760</v>
      </c>
      <c r="AI1" s="780"/>
      <c r="AJ1" s="780"/>
      <c r="AK1" s="780"/>
      <c r="AL1" s="780"/>
      <c r="AM1" s="780"/>
      <c r="AN1" s="780"/>
      <c r="AO1" s="780"/>
      <c r="AQ1" s="779" t="s">
        <v>761</v>
      </c>
      <c r="AR1" s="779"/>
      <c r="AS1" s="779"/>
      <c r="AT1" s="779"/>
      <c r="AU1" s="779"/>
      <c r="AV1" s="779"/>
      <c r="AW1" s="779"/>
      <c r="AX1" s="779"/>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VLOOKUP($B4,Calc!$C$1:$P$219,14,FALSE)</f>
        <v>-117.62483464113225</v>
      </c>
      <c r="G4" s="571"/>
      <c r="H4" s="571"/>
      <c r="I4" s="571"/>
      <c r="J4" s="571"/>
      <c r="K4" s="571"/>
      <c r="L4" s="571"/>
      <c r="M4" s="571"/>
      <c r="O4" s="552">
        <f>VLOOKUP($B4,'Calc2 FD'!$C$1:$P$219,14,FALSE)</f>
        <v>-193.31527078071935</v>
      </c>
      <c r="P4" s="571"/>
      <c r="Q4" s="571"/>
      <c r="R4" s="571"/>
      <c r="S4" s="571"/>
      <c r="T4" s="571"/>
      <c r="U4" s="571"/>
      <c r="V4" s="571"/>
      <c r="X4" s="690">
        <f>O4-F4</f>
        <v>-75.690436139587092</v>
      </c>
      <c r="Y4" s="691"/>
      <c r="Z4" s="691"/>
      <c r="AA4" s="691"/>
      <c r="AB4" s="691"/>
      <c r="AC4" s="691"/>
      <c r="AD4" s="691"/>
      <c r="AE4" s="691"/>
      <c r="AG4" s="550" t="s">
        <v>711</v>
      </c>
      <c r="AH4" s="696">
        <f>VLOOKUP($AG4,'Calc2 BYR'!$C$1:$P$219,14,FALSE)</f>
        <v>-170.57474218598219</v>
      </c>
      <c r="AI4" s="571"/>
      <c r="AJ4" s="571"/>
      <c r="AK4" s="571"/>
      <c r="AL4" s="571"/>
      <c r="AM4" s="571"/>
      <c r="AN4" s="571"/>
      <c r="AO4" s="571"/>
      <c r="AQ4" s="690">
        <f>AH4-O4</f>
        <v>22.740528594737157</v>
      </c>
      <c r="AR4" s="691"/>
      <c r="AS4" s="691"/>
      <c r="AT4" s="691"/>
      <c r="AU4" s="691"/>
      <c r="AV4" s="691"/>
      <c r="AW4" s="691"/>
      <c r="AX4" s="691"/>
    </row>
    <row r="5" spans="1:50" s="547" customFormat="1">
      <c r="A5"/>
      <c r="B5" s="550" t="s">
        <v>483</v>
      </c>
      <c r="C5" s="551" t="s">
        <v>503</v>
      </c>
      <c r="D5" s="547" t="s">
        <v>497</v>
      </c>
      <c r="E5" s="547" t="s">
        <v>505</v>
      </c>
      <c r="F5" s="687">
        <f>VLOOKUP($B5,Calc!$C$1:$P$219,14,FALSE)</f>
        <v>55.656617508939384</v>
      </c>
      <c r="G5" s="566"/>
      <c r="H5" s="566"/>
      <c r="I5" s="566"/>
      <c r="J5" s="566"/>
      <c r="K5" s="566"/>
      <c r="L5" s="571"/>
      <c r="M5" s="571"/>
      <c r="O5" s="552">
        <f>VLOOKUP($B5,'Calc2 FD'!$C$1:$P$219,14,FALSE)</f>
        <v>-67.091390978855429</v>
      </c>
      <c r="P5" s="566"/>
      <c r="Q5" s="566"/>
      <c r="R5" s="566"/>
      <c r="S5" s="566"/>
      <c r="T5" s="566"/>
      <c r="U5" s="571"/>
      <c r="V5" s="571"/>
      <c r="X5" s="690">
        <f>O5-F5</f>
        <v>-122.74800848779481</v>
      </c>
      <c r="Y5" s="692"/>
      <c r="Z5" s="692"/>
      <c r="AA5" s="692"/>
      <c r="AB5" s="692"/>
      <c r="AC5" s="692"/>
      <c r="AD5" s="691"/>
      <c r="AE5" s="691"/>
      <c r="AG5" s="550" t="s">
        <v>712</v>
      </c>
      <c r="AH5" s="696">
        <f>VLOOKUP($AG5,'Calc2 BYR'!$C$1:$P$219,14,FALSE)</f>
        <v>-34.285599589981871</v>
      </c>
      <c r="AI5" s="566"/>
      <c r="AJ5" s="566"/>
      <c r="AK5" s="566"/>
      <c r="AL5" s="566"/>
      <c r="AM5" s="566"/>
      <c r="AN5" s="571"/>
      <c r="AO5" s="571"/>
      <c r="AQ5" s="690">
        <f>AH5-O5</f>
        <v>32.805791388873558</v>
      </c>
      <c r="AR5" s="692"/>
      <c r="AS5" s="692"/>
      <c r="AT5" s="692"/>
      <c r="AU5" s="692"/>
      <c r="AV5" s="692"/>
      <c r="AW5" s="691"/>
      <c r="AX5" s="691"/>
    </row>
    <row r="6" spans="1:50" s="547" customFormat="1">
      <c r="B6" s="553" t="s">
        <v>484</v>
      </c>
      <c r="C6" s="547" t="s">
        <v>411</v>
      </c>
      <c r="D6" s="547" t="s">
        <v>497</v>
      </c>
      <c r="E6" s="547" t="s">
        <v>505</v>
      </c>
      <c r="F6" s="571"/>
      <c r="G6" s="687">
        <f>VLOOKUP($B6,Profiling!$C$1:$V$159,16,FALSE)</f>
        <v>-3.6489730179876658</v>
      </c>
      <c r="H6" s="687">
        <f>VLOOKUP($B6,Profiling!$C$1:$V$159,17,FALSE)</f>
        <v>-3.6489730179876658</v>
      </c>
      <c r="I6" s="687">
        <f>VLOOKUP($B6,Profiling!$C$1:$V$159,18,FALSE)</f>
        <v>-3.6489730179876658</v>
      </c>
      <c r="J6" s="687">
        <f>VLOOKUP($B6,Profiling!$C$1:$V$159,19,FALSE)</f>
        <v>-3.6489730179876658</v>
      </c>
      <c r="K6" s="687">
        <f>VLOOKUP($B6,Profiling!$C$1:$V$159,20,FALSE)</f>
        <v>-3.6489730179876658</v>
      </c>
      <c r="L6" s="571"/>
      <c r="M6" s="571"/>
      <c r="O6" s="571"/>
      <c r="P6" s="633">
        <f>VLOOKUP($B6,'Profiling2 FD'!$C$1:$V$159,16,FALSE)</f>
        <v>-3.6489730179876658</v>
      </c>
      <c r="Q6" s="552">
        <f>VLOOKUP($B6,'Profiling2 FD'!$C$1:$V$159,17,FALSE)</f>
        <v>-3.6489730179876658</v>
      </c>
      <c r="R6" s="552">
        <f>VLOOKUP($B6,'Profiling2 FD'!$C$1:$V$159,18,FALSE)</f>
        <v>-3.6489730179876658</v>
      </c>
      <c r="S6" s="552">
        <f>VLOOKUP($B6,'Profiling2 FD'!$C$1:$V$159,19,FALSE)</f>
        <v>-3.6489730179876658</v>
      </c>
      <c r="T6" s="552">
        <f>VLOOKUP($B6,'Profiling2 FD'!$C$1:$V$159,20,FALSE)</f>
        <v>-3.6489730179876658</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-5.4722531396306122</v>
      </c>
      <c r="AJ6" s="696">
        <f>VLOOKUP($AG6,'Profiling2 BYR'!$C$1:$V$159,17,FALSE)</f>
        <v>-5.4722531396306122</v>
      </c>
      <c r="AK6" s="696">
        <f>VLOOKUP($AG6,'Profiling2 BYR'!$C$1:$V$159,18,FALSE)</f>
        <v>-5.4722531396306122</v>
      </c>
      <c r="AL6" s="696">
        <f>VLOOKUP($AG6,'Profiling2 BYR'!$C$1:$V$159,19,FALSE)</f>
        <v>-5.4722531396306122</v>
      </c>
      <c r="AM6" s="696">
        <f>VLOOKUP($AG6,'Profiling2 BYR'!$C$1:$V$159,20,FALSE)</f>
        <v>-5.4722531396306122</v>
      </c>
      <c r="AN6" s="571"/>
      <c r="AO6" s="571"/>
      <c r="AQ6" s="691"/>
      <c r="AR6" s="690">
        <f>AI6-P6</f>
        <v>-1.8232801216429464</v>
      </c>
      <c r="AS6" s="690">
        <f t="shared" ref="AS6:AS7" si="1">AJ6-Q6</f>
        <v>-1.8232801216429464</v>
      </c>
      <c r="AT6" s="690">
        <f t="shared" ref="AT6:AT7" si="2">AK6-R6</f>
        <v>-1.8232801216429464</v>
      </c>
      <c r="AU6" s="690">
        <f t="shared" ref="AU6:AU7" si="3">AL6-S6</f>
        <v>-1.8232801216429464</v>
      </c>
      <c r="AV6" s="690">
        <f t="shared" ref="AV6:AV7" si="4">AM6-T6</f>
        <v>-1.8232801216429464</v>
      </c>
      <c r="AW6" s="691"/>
      <c r="AX6" s="691"/>
    </row>
    <row r="7" spans="1:50" s="547" customFormat="1">
      <c r="B7" s="553" t="s">
        <v>498</v>
      </c>
      <c r="C7" s="547" t="s">
        <v>412</v>
      </c>
      <c r="D7" s="547" t="s">
        <v>497</v>
      </c>
      <c r="E7" s="547" t="s">
        <v>505</v>
      </c>
      <c r="F7" s="571"/>
      <c r="G7" s="687">
        <f>VLOOKUP($B7,Profiling!$C$1:$V$159,16,FALSE)</f>
        <v>-5.8358581303427188</v>
      </c>
      <c r="H7" s="687">
        <f>VLOOKUP($B7,Profiling!$C$1:$V$159,17,FALSE)</f>
        <v>-5.8358581303427188</v>
      </c>
      <c r="I7" s="687">
        <f>VLOOKUP($B7,Profiling!$C$1:$V$159,18,FALSE)</f>
        <v>-5.8358581303427188</v>
      </c>
      <c r="J7" s="687">
        <f>VLOOKUP($B7,Profiling!$C$1:$V$159,19,FALSE)</f>
        <v>-5.8358581303427188</v>
      </c>
      <c r="K7" s="687">
        <f>VLOOKUP($B7,Profiling!$C$1:$V$159,20,FALSE)</f>
        <v>-5.8358581303427188</v>
      </c>
      <c r="L7" s="571"/>
      <c r="M7" s="571"/>
      <c r="O7" s="571"/>
      <c r="P7" s="552">
        <f>VLOOKUP($B7,'Profiling2 FD'!$C$1:$V$159,16,FALSE)</f>
        <v>-5.8358581303427188</v>
      </c>
      <c r="Q7" s="552">
        <f>VLOOKUP($B7,'Profiling2 FD'!$C$1:$V$159,17,FALSE)</f>
        <v>-5.8358581303427188</v>
      </c>
      <c r="R7" s="552">
        <f>VLOOKUP($B7,'Profiling2 FD'!$C$1:$V$159,18,FALSE)</f>
        <v>-5.8358581303427188</v>
      </c>
      <c r="S7" s="552">
        <f>VLOOKUP($B7,'Profiling2 FD'!$C$1:$V$159,19,FALSE)</f>
        <v>-5.8358581303427188</v>
      </c>
      <c r="T7" s="552">
        <f>VLOOKUP($B7,'Profiling2 FD'!$C$1:$V$159,20,FALSE)</f>
        <v>-5.8358581303427188</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-7.696153224587702</v>
      </c>
      <c r="AJ7" s="696">
        <f>VLOOKUP($AG7,'Profiling2 BYR'!$C$1:$V$159,17,FALSE)</f>
        <v>-7.696153224587702</v>
      </c>
      <c r="AK7" s="696">
        <f>VLOOKUP($AG7,'Profiling2 BYR'!$C$1:$V$159,18,FALSE)</f>
        <v>-7.696153224587702</v>
      </c>
      <c r="AL7" s="696">
        <f>VLOOKUP($AG7,'Profiling2 BYR'!$C$1:$V$159,19,FALSE)</f>
        <v>-7.696153224587702</v>
      </c>
      <c r="AM7" s="696">
        <f>VLOOKUP($AG7,'Profiling2 BYR'!$C$1:$V$159,20,FALSE)</f>
        <v>-7.696153224587702</v>
      </c>
      <c r="AN7" s="571"/>
      <c r="AO7" s="571"/>
      <c r="AQ7" s="691"/>
      <c r="AR7" s="690">
        <f>AI7-P7</f>
        <v>-1.8602950942449832</v>
      </c>
      <c r="AS7" s="690">
        <f t="shared" si="1"/>
        <v>-1.8602950942449832</v>
      </c>
      <c r="AT7" s="690">
        <f t="shared" si="2"/>
        <v>-1.8602950942449832</v>
      </c>
      <c r="AU7" s="690">
        <f t="shared" si="3"/>
        <v>-1.8602950942449832</v>
      </c>
      <c r="AV7" s="690">
        <f t="shared" si="4"/>
        <v>-1.8602950942449832</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VLOOKUP($B9,Calc!$C$1:$P$219,5,FALSE)</f>
        <v>93.598778127412032</v>
      </c>
      <c r="M9" s="570"/>
      <c r="O9" s="570"/>
      <c r="P9" s="570"/>
      <c r="Q9" s="570"/>
      <c r="R9" s="570"/>
      <c r="S9" s="570"/>
      <c r="T9" s="570"/>
      <c r="U9" s="663">
        <f>VLOOKUP($B9,'Calc2 FD'!$C$1:$P$219,5,FALSE)</f>
        <v>93.598778127412032</v>
      </c>
      <c r="V9" s="570"/>
      <c r="X9" s="695"/>
      <c r="Y9" s="695"/>
      <c r="Z9" s="695"/>
      <c r="AA9" s="695"/>
      <c r="AB9" s="695"/>
      <c r="AC9" s="695"/>
      <c r="AD9" s="690">
        <f t="shared" ref="AD9:AD30" si="5">U9-L9</f>
        <v>0</v>
      </c>
      <c r="AE9" s="695"/>
      <c r="AG9" s="654" t="s">
        <v>716</v>
      </c>
      <c r="AH9" s="570"/>
      <c r="AI9" s="570"/>
      <c r="AJ9" s="570"/>
      <c r="AK9" s="570"/>
      <c r="AL9" s="570"/>
      <c r="AM9" s="570"/>
      <c r="AN9" s="698">
        <f>VLOOKUP($AG9,'Calc2 BYR'!$C$1:$P$219,5,FALSE)</f>
        <v>93.598778127412032</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VLOOKUP($B10,Calc!$C$1:$P$219,5,FALSE)</f>
        <v>94.137980002613475</v>
      </c>
      <c r="M10" s="570"/>
      <c r="O10" s="570"/>
      <c r="P10" s="570"/>
      <c r="Q10" s="570"/>
      <c r="R10" s="570"/>
      <c r="S10" s="570"/>
      <c r="T10" s="570"/>
      <c r="U10" s="663">
        <f>VLOOKUP($B10,'Calc2 FD'!$C$1:$P$219,5,FALSE)</f>
        <v>94.137980002613475</v>
      </c>
      <c r="V10" s="570"/>
      <c r="X10" s="695"/>
      <c r="Y10" s="695"/>
      <c r="Z10" s="695"/>
      <c r="AA10" s="695"/>
      <c r="AB10" s="695"/>
      <c r="AC10" s="695"/>
      <c r="AD10" s="690">
        <f t="shared" si="5"/>
        <v>0</v>
      </c>
      <c r="AE10" s="695"/>
      <c r="AG10" s="654" t="s">
        <v>717</v>
      </c>
      <c r="AH10" s="570"/>
      <c r="AI10" s="570"/>
      <c r="AJ10" s="570"/>
      <c r="AK10" s="570"/>
      <c r="AL10" s="570"/>
      <c r="AM10" s="570"/>
      <c r="AN10" s="698">
        <f>VLOOKUP($AG10,'Calc2 BYR'!$C$1:$P$219,5,FALSE)</f>
        <v>94.137980002613475</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VLOOKUP($B11,Calc!$C$1:$P$219,5,FALSE)</f>
        <v>92.220967269724127</v>
      </c>
      <c r="M11" s="570"/>
      <c r="O11" s="570"/>
      <c r="P11" s="570"/>
      <c r="Q11" s="570"/>
      <c r="R11" s="570"/>
      <c r="S11" s="570"/>
      <c r="T11" s="570"/>
      <c r="U11" s="663">
        <f>VLOOKUP($B11,'Calc2 FD'!$C$1:$P$219,5,FALSE)</f>
        <v>92.220967269724127</v>
      </c>
      <c r="V11" s="570"/>
      <c r="X11" s="695"/>
      <c r="Y11" s="695"/>
      <c r="Z11" s="695"/>
      <c r="AA11" s="695"/>
      <c r="AB11" s="695"/>
      <c r="AC11" s="695"/>
      <c r="AD11" s="690">
        <f t="shared" si="5"/>
        <v>0</v>
      </c>
      <c r="AE11" s="695"/>
      <c r="AG11" s="654" t="s">
        <v>718</v>
      </c>
      <c r="AH11" s="570"/>
      <c r="AI11" s="570"/>
      <c r="AJ11" s="570"/>
      <c r="AK11" s="570"/>
      <c r="AL11" s="570"/>
      <c r="AM11" s="570"/>
      <c r="AN11" s="698">
        <f>VLOOKUP($AG11,'Calc2 BYR'!$C$1:$P$219,5,FALSE)</f>
        <v>93.887936043693117</v>
      </c>
      <c r="AO11" s="570"/>
      <c r="AQ11" s="695"/>
      <c r="AR11" s="695"/>
      <c r="AS11" s="695"/>
      <c r="AT11" s="695"/>
      <c r="AU11" s="695"/>
      <c r="AV11" s="695"/>
      <c r="AW11" s="690">
        <f t="shared" si="6"/>
        <v>1.6669687739689891</v>
      </c>
      <c r="AX11" s="695"/>
    </row>
    <row r="12" spans="1:50">
      <c r="B12" s="654" t="s">
        <v>586</v>
      </c>
      <c r="C12" t="s">
        <v>83</v>
      </c>
      <c r="D12" s="547" t="s">
        <v>55</v>
      </c>
      <c r="E12" s="657" t="s">
        <v>505</v>
      </c>
      <c r="F12" s="570"/>
      <c r="G12" s="570"/>
      <c r="H12" s="570"/>
      <c r="I12" s="570"/>
      <c r="J12" s="570"/>
      <c r="K12" s="570"/>
      <c r="L12" s="689">
        <f>VLOOKUP($B12,Calc!$C$1:$P$219,5,FALSE)</f>
        <v>2.6549110989844933</v>
      </c>
      <c r="M12" s="570"/>
      <c r="O12" s="570"/>
      <c r="P12" s="570"/>
      <c r="Q12" s="570"/>
      <c r="R12" s="570"/>
      <c r="S12" s="570"/>
      <c r="T12" s="570"/>
      <c r="U12" s="663">
        <f>VLOOKUP($B12,'Calc2 FD'!$C$1:$P$219,5,FALSE)</f>
        <v>2.6549110989844933</v>
      </c>
      <c r="V12" s="570"/>
      <c r="X12" s="695"/>
      <c r="Y12" s="695"/>
      <c r="Z12" s="695"/>
      <c r="AA12" s="695"/>
      <c r="AB12" s="695"/>
      <c r="AC12" s="695"/>
      <c r="AD12" s="690">
        <f t="shared" si="5"/>
        <v>0</v>
      </c>
      <c r="AE12" s="695"/>
      <c r="AG12" s="654" t="s">
        <v>719</v>
      </c>
      <c r="AH12" s="570"/>
      <c r="AI12" s="570"/>
      <c r="AJ12" s="570"/>
      <c r="AK12" s="570"/>
      <c r="AL12" s="570"/>
      <c r="AM12" s="570"/>
      <c r="AN12" s="698">
        <f>VLOOKUP($AG12,'Calc2 BYR'!$C$1:$P$219,5,FALSE)</f>
        <v>2.0815319346336079</v>
      </c>
      <c r="AO12" s="570"/>
      <c r="AQ12" s="695"/>
      <c r="AR12" s="695"/>
      <c r="AS12" s="695"/>
      <c r="AT12" s="695"/>
      <c r="AU12" s="695"/>
      <c r="AV12" s="695"/>
      <c r="AW12" s="690">
        <f t="shared" si="6"/>
        <v>-0.57337916435088543</v>
      </c>
      <c r="AX12" s="695"/>
    </row>
    <row r="13" spans="1:50">
      <c r="B13" s="654" t="s">
        <v>587</v>
      </c>
      <c r="C13" t="s">
        <v>176</v>
      </c>
      <c r="D13" s="547" t="s">
        <v>55</v>
      </c>
      <c r="E13" s="657" t="s">
        <v>505</v>
      </c>
      <c r="F13" s="570"/>
      <c r="G13" s="570"/>
      <c r="H13" s="570"/>
      <c r="I13" s="570"/>
      <c r="J13" s="570"/>
      <c r="K13" s="570"/>
      <c r="L13" s="689">
        <f>VLOOKUP($B13,Calc!$C$1:$P$219,5,FALSE)</f>
        <v>107.89003800922178</v>
      </c>
      <c r="M13" s="570"/>
      <c r="O13" s="570"/>
      <c r="P13" s="570"/>
      <c r="Q13" s="570"/>
      <c r="R13" s="570"/>
      <c r="S13" s="570"/>
      <c r="T13" s="570"/>
      <c r="U13" s="663">
        <f>VLOOKUP($B13,'Calc2 FD'!$C$1:$P$219,5,FALSE)</f>
        <v>107.89003800922178</v>
      </c>
      <c r="V13" s="570"/>
      <c r="X13" s="695"/>
      <c r="Y13" s="695"/>
      <c r="Z13" s="695"/>
      <c r="AA13" s="695"/>
      <c r="AB13" s="695"/>
      <c r="AC13" s="695"/>
      <c r="AD13" s="690">
        <f t="shared" si="5"/>
        <v>0</v>
      </c>
      <c r="AE13" s="695"/>
      <c r="AG13" s="654" t="s">
        <v>720</v>
      </c>
      <c r="AH13" s="570"/>
      <c r="AI13" s="570"/>
      <c r="AJ13" s="570"/>
      <c r="AK13" s="570"/>
      <c r="AL13" s="570"/>
      <c r="AM13" s="570"/>
      <c r="AN13" s="698">
        <f>VLOOKUP($AG13,'Calc2 BYR'!$C$1:$P$219,5,FALSE)</f>
        <v>107.89003800922178</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VLOOKUP($B14,Calc!$C$1:$P$219,5,FALSE)</f>
        <v>110.04182663170363</v>
      </c>
      <c r="M14" s="570"/>
      <c r="O14" s="570"/>
      <c r="P14" s="570"/>
      <c r="Q14" s="570"/>
      <c r="R14" s="570"/>
      <c r="S14" s="570"/>
      <c r="T14" s="570"/>
      <c r="U14" s="663">
        <f>VLOOKUP($B14,'Calc2 FD'!$C$1:$P$219,5,FALSE)</f>
        <v>110.04182663170363</v>
      </c>
      <c r="V14" s="570"/>
      <c r="X14" s="695"/>
      <c r="Y14" s="695"/>
      <c r="Z14" s="695"/>
      <c r="AA14" s="695"/>
      <c r="AB14" s="695"/>
      <c r="AC14" s="695"/>
      <c r="AD14" s="690">
        <f t="shared" si="5"/>
        <v>0</v>
      </c>
      <c r="AE14" s="695"/>
      <c r="AG14" s="654" t="s">
        <v>721</v>
      </c>
      <c r="AH14" s="570"/>
      <c r="AI14" s="570"/>
      <c r="AJ14" s="570"/>
      <c r="AK14" s="570"/>
      <c r="AL14" s="570"/>
      <c r="AM14" s="570"/>
      <c r="AN14" s="698">
        <f>VLOOKUP($AG14,'Calc2 BYR'!$C$1:$P$219,5,FALSE)</f>
        <v>112.22891234271441</v>
      </c>
      <c r="AO14" s="570"/>
      <c r="AQ14" s="695"/>
      <c r="AR14" s="695"/>
      <c r="AS14" s="695"/>
      <c r="AT14" s="695"/>
      <c r="AU14" s="695"/>
      <c r="AV14" s="695"/>
      <c r="AW14" s="690">
        <f t="shared" si="6"/>
        <v>2.1870857110107806</v>
      </c>
      <c r="AX14" s="695"/>
    </row>
    <row r="15" spans="1:50">
      <c r="B15" s="654" t="s">
        <v>589</v>
      </c>
      <c r="C15" t="s">
        <v>305</v>
      </c>
      <c r="D15" s="547" t="s">
        <v>55</v>
      </c>
      <c r="E15" s="657" t="s">
        <v>505</v>
      </c>
      <c r="F15" s="570"/>
      <c r="G15" s="570"/>
      <c r="H15" s="570"/>
      <c r="I15" s="570"/>
      <c r="J15" s="570"/>
      <c r="K15" s="570"/>
      <c r="L15" s="689">
        <f>VLOOKUP($B15,Calc!$C$1:$P$219,5,FALSE)</f>
        <v>105.97493597799989</v>
      </c>
      <c r="M15" s="570"/>
      <c r="O15" s="570"/>
      <c r="P15" s="570"/>
      <c r="Q15" s="570"/>
      <c r="R15" s="570"/>
      <c r="S15" s="570"/>
      <c r="T15" s="570"/>
      <c r="U15" s="663">
        <f>VLOOKUP($B15,'Calc2 FD'!$C$1:$P$219,5,FALSE)</f>
        <v>105.97493597799989</v>
      </c>
      <c r="V15" s="570"/>
      <c r="X15" s="695"/>
      <c r="Y15" s="695"/>
      <c r="Z15" s="695"/>
      <c r="AA15" s="695"/>
      <c r="AB15" s="695"/>
      <c r="AC15" s="695"/>
      <c r="AD15" s="690">
        <f t="shared" si="5"/>
        <v>0</v>
      </c>
      <c r="AE15" s="695"/>
      <c r="AG15" s="654" t="s">
        <v>722</v>
      </c>
      <c r="AH15" s="570"/>
      <c r="AI15" s="570"/>
      <c r="AJ15" s="570"/>
      <c r="AK15" s="570"/>
      <c r="AL15" s="570"/>
      <c r="AM15" s="570"/>
      <c r="AN15" s="698">
        <f>VLOOKUP($AG15,'Calc2 BYR'!$C$1:$P$219,5,FALSE)</f>
        <v>108.45631209950082</v>
      </c>
      <c r="AO15" s="570"/>
      <c r="AQ15" s="695"/>
      <c r="AR15" s="695"/>
      <c r="AS15" s="695"/>
      <c r="AT15" s="695"/>
      <c r="AU15" s="695"/>
      <c r="AV15" s="695"/>
      <c r="AW15" s="690">
        <f t="shared" si="6"/>
        <v>2.4813761215009293</v>
      </c>
      <c r="AX15" s="695"/>
    </row>
    <row r="16" spans="1:50">
      <c r="B16" s="22" t="s">
        <v>590</v>
      </c>
      <c r="C16" t="s">
        <v>84</v>
      </c>
      <c r="D16" s="547" t="s">
        <v>55</v>
      </c>
      <c r="E16" s="657" t="s">
        <v>505</v>
      </c>
      <c r="F16" s="570"/>
      <c r="G16" s="570"/>
      <c r="H16" s="570"/>
      <c r="I16" s="570"/>
      <c r="J16" s="570"/>
      <c r="K16" s="570"/>
      <c r="L16" s="689">
        <f>VLOOKUP($B16,Calc!$C$1:$P$219,5,FALSE)</f>
        <v>-1.5349640179410058</v>
      </c>
      <c r="M16" s="570"/>
      <c r="O16" s="570"/>
      <c r="P16" s="570"/>
      <c r="Q16" s="570"/>
      <c r="R16" s="570"/>
      <c r="S16" s="570"/>
      <c r="T16" s="570"/>
      <c r="U16" s="663">
        <f>VLOOKUP($B16,'Calc2 FD'!$C$1:$P$219,5,FALSE)</f>
        <v>-1.5349640179410058</v>
      </c>
      <c r="V16" s="570"/>
      <c r="X16" s="695"/>
      <c r="Y16" s="695"/>
      <c r="Z16" s="695"/>
      <c r="AA16" s="695"/>
      <c r="AB16" s="695"/>
      <c r="AC16" s="695"/>
      <c r="AD16" s="690">
        <f t="shared" si="5"/>
        <v>0</v>
      </c>
      <c r="AE16" s="695"/>
      <c r="AG16" s="22" t="s">
        <v>723</v>
      </c>
      <c r="AH16" s="570"/>
      <c r="AI16" s="570"/>
      <c r="AJ16" s="570"/>
      <c r="AK16" s="570"/>
      <c r="AL16" s="570"/>
      <c r="AM16" s="570"/>
      <c r="AN16" s="698">
        <f>VLOOKUP($AG16,'Calc2 BYR'!$C$1:$P$219,5,FALSE)</f>
        <v>-1.9591693038920919</v>
      </c>
      <c r="AO16" s="570"/>
      <c r="AQ16" s="695"/>
      <c r="AR16" s="695"/>
      <c r="AS16" s="695"/>
      <c r="AT16" s="695"/>
      <c r="AU16" s="695"/>
      <c r="AV16" s="695"/>
      <c r="AW16" s="690">
        <f t="shared" si="6"/>
        <v>-0.42420528595108609</v>
      </c>
      <c r="AX16" s="695"/>
    </row>
    <row r="17" spans="2:50">
      <c r="B17" s="22" t="s">
        <v>591</v>
      </c>
      <c r="C17" t="s">
        <v>605</v>
      </c>
      <c r="D17" s="547" t="s">
        <v>497</v>
      </c>
      <c r="E17" s="547" t="s">
        <v>505</v>
      </c>
      <c r="F17" s="566"/>
      <c r="G17" s="566"/>
      <c r="H17" s="566"/>
      <c r="I17" s="566"/>
      <c r="J17" s="566"/>
      <c r="K17" s="566"/>
      <c r="L17" s="687">
        <f>VLOOKUP($B17,Calc!$C$1:$P$219,14,FALSE)</f>
        <v>-137.97222523663771</v>
      </c>
      <c r="M17" s="566"/>
      <c r="O17" s="566"/>
      <c r="P17" s="566"/>
      <c r="Q17" s="566"/>
      <c r="R17" s="566"/>
      <c r="S17" s="566"/>
      <c r="T17" s="566"/>
      <c r="U17" s="552">
        <f>VLOOKUP($B17,'Calc2 FD'!$C$1:$P$219,14,FALSE)</f>
        <v>-226.75600916434388</v>
      </c>
      <c r="V17" s="566"/>
      <c r="X17" s="692"/>
      <c r="Y17" s="692"/>
      <c r="Z17" s="692"/>
      <c r="AA17" s="692"/>
      <c r="AB17" s="692"/>
      <c r="AC17" s="692"/>
      <c r="AD17" s="690">
        <f t="shared" si="5"/>
        <v>-88.783783927706168</v>
      </c>
      <c r="AE17" s="692"/>
      <c r="AG17" s="22" t="s">
        <v>724</v>
      </c>
      <c r="AH17" s="566"/>
      <c r="AI17" s="566"/>
      <c r="AJ17" s="566"/>
      <c r="AK17" s="566"/>
      <c r="AL17" s="566"/>
      <c r="AM17" s="566"/>
      <c r="AN17" s="696">
        <f>VLOOKUP($AG17,'Calc2 BYR'!$C$1:$P$219,14,FALSE)</f>
        <v>-200.08169890626081</v>
      </c>
      <c r="AO17" s="566"/>
      <c r="AQ17" s="692"/>
      <c r="AR17" s="692"/>
      <c r="AS17" s="692"/>
      <c r="AT17" s="692"/>
      <c r="AU17" s="692"/>
      <c r="AV17" s="692"/>
      <c r="AW17" s="690">
        <f t="shared" si="6"/>
        <v>26.674310258083068</v>
      </c>
      <c r="AX17" s="692"/>
    </row>
    <row r="18" spans="2:50">
      <c r="B18" s="22" t="s">
        <v>592</v>
      </c>
      <c r="C18" t="s">
        <v>323</v>
      </c>
      <c r="D18" s="547" t="s">
        <v>497</v>
      </c>
      <c r="E18" s="547" t="s">
        <v>505</v>
      </c>
      <c r="F18" s="566"/>
      <c r="G18" s="566"/>
      <c r="H18" s="566"/>
      <c r="I18" s="566"/>
      <c r="J18" s="566"/>
      <c r="K18" s="566"/>
      <c r="L18" s="687">
        <f>VLOOKUP($B18,Calc!$C$1:$P$219,14,FALSE)</f>
        <v>38.169243281883773</v>
      </c>
      <c r="M18" s="566"/>
      <c r="O18" s="566"/>
      <c r="P18" s="566"/>
      <c r="Q18" s="566"/>
      <c r="R18" s="566"/>
      <c r="S18" s="566"/>
      <c r="T18" s="566"/>
      <c r="U18" s="552">
        <f>VLOOKUP($B18,'Calc2 FD'!$C$1:$P$219,14,FALSE)</f>
        <v>38.169243281883773</v>
      </c>
      <c r="V18" s="566"/>
      <c r="X18" s="692"/>
      <c r="Y18" s="692"/>
      <c r="Z18" s="692"/>
      <c r="AA18" s="692"/>
      <c r="AB18" s="692"/>
      <c r="AC18" s="692"/>
      <c r="AD18" s="690">
        <f t="shared" si="5"/>
        <v>0</v>
      </c>
      <c r="AE18" s="692"/>
      <c r="AG18" s="22" t="s">
        <v>725</v>
      </c>
      <c r="AH18" s="566"/>
      <c r="AI18" s="566"/>
      <c r="AJ18" s="566"/>
      <c r="AK18" s="566"/>
      <c r="AL18" s="566"/>
      <c r="AM18" s="566"/>
      <c r="AN18" s="696">
        <f>VLOOKUP($AG18,'Calc2 BYR'!$C$1:$P$219,14,FALSE)</f>
        <v>29.985910180749634</v>
      </c>
      <c r="AO18" s="566"/>
      <c r="AQ18" s="692"/>
      <c r="AR18" s="692"/>
      <c r="AS18" s="692"/>
      <c r="AT18" s="692"/>
      <c r="AU18" s="692"/>
      <c r="AV18" s="692"/>
      <c r="AW18" s="690">
        <f t="shared" si="6"/>
        <v>-8.1833331011341386</v>
      </c>
      <c r="AX18" s="692"/>
    </row>
    <row r="19" spans="2:50">
      <c r="B19" s="22" t="s">
        <v>593</v>
      </c>
      <c r="C19" t="s">
        <v>72</v>
      </c>
      <c r="D19" s="547" t="s">
        <v>497</v>
      </c>
      <c r="E19" s="547" t="s">
        <v>505</v>
      </c>
      <c r="F19" s="566"/>
      <c r="G19" s="566"/>
      <c r="H19" s="566"/>
      <c r="I19" s="566"/>
      <c r="J19" s="566"/>
      <c r="K19" s="566"/>
      <c r="L19" s="687">
        <f>VLOOKUP($B19,Calc!$C$1:$P$219,14,FALSE)</f>
        <v>7.9744858071913871</v>
      </c>
      <c r="M19" s="566"/>
      <c r="O19" s="566"/>
      <c r="P19" s="566"/>
      <c r="Q19" s="566"/>
      <c r="R19" s="566"/>
      <c r="S19" s="566"/>
      <c r="T19" s="566"/>
      <c r="U19" s="552">
        <f>VLOOKUP($B19,'Calc2 FD'!$C$1:$P$219,14,FALSE)</f>
        <v>7.9744858071913871</v>
      </c>
      <c r="V19" s="566"/>
      <c r="X19" s="692"/>
      <c r="Y19" s="692"/>
      <c r="Z19" s="692"/>
      <c r="AA19" s="692"/>
      <c r="AB19" s="692"/>
      <c r="AC19" s="692"/>
      <c r="AD19" s="690">
        <f t="shared" si="5"/>
        <v>0</v>
      </c>
      <c r="AE19" s="692"/>
      <c r="AG19" s="22" t="s">
        <v>726</v>
      </c>
      <c r="AH19" s="566"/>
      <c r="AI19" s="566"/>
      <c r="AJ19" s="566"/>
      <c r="AK19" s="566"/>
      <c r="AL19" s="566"/>
      <c r="AM19" s="566"/>
      <c r="AN19" s="696">
        <f>VLOOKUP($AG19,'Calc2 BYR'!$C$1:$P$219,14,FALSE)</f>
        <v>7.9744858071913871</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VLOOKUP($B20,Calc!$C$1:$P$219,14,FALSE)</f>
        <v>30.194757474692391</v>
      </c>
      <c r="M20" s="566"/>
      <c r="O20" s="566"/>
      <c r="P20" s="566"/>
      <c r="Q20" s="566"/>
      <c r="R20" s="566"/>
      <c r="S20" s="566"/>
      <c r="T20" s="566"/>
      <c r="U20" s="552">
        <f>VLOOKUP($B20,'Calc2 FD'!$C$1:$P$219,14,FALSE)</f>
        <v>30.194757474692391</v>
      </c>
      <c r="V20" s="566"/>
      <c r="X20" s="692"/>
      <c r="Y20" s="692"/>
      <c r="Z20" s="692"/>
      <c r="AA20" s="692"/>
      <c r="AB20" s="692"/>
      <c r="AC20" s="692"/>
      <c r="AD20" s="690">
        <f t="shared" si="5"/>
        <v>0</v>
      </c>
      <c r="AE20" s="692"/>
      <c r="AG20" s="22" t="s">
        <v>727</v>
      </c>
      <c r="AH20" s="566"/>
      <c r="AI20" s="566"/>
      <c r="AJ20" s="566"/>
      <c r="AK20" s="566"/>
      <c r="AL20" s="566"/>
      <c r="AM20" s="566"/>
      <c r="AN20" s="696">
        <f>VLOOKUP($AG20,'Calc2 BYR'!$C$1:$P$219,14,FALSE)</f>
        <v>22.011424373558249</v>
      </c>
      <c r="AO20" s="566"/>
      <c r="AQ20" s="692"/>
      <c r="AR20" s="692"/>
      <c r="AS20" s="692"/>
      <c r="AT20" s="692"/>
      <c r="AU20" s="692"/>
      <c r="AV20" s="692"/>
      <c r="AW20" s="690">
        <f t="shared" si="6"/>
        <v>-8.1833331011341421</v>
      </c>
      <c r="AX20" s="692"/>
    </row>
    <row r="21" spans="2:50">
      <c r="B21" s="22" t="s">
        <v>595</v>
      </c>
      <c r="C21" t="s">
        <v>248</v>
      </c>
      <c r="D21" s="547" t="s">
        <v>497</v>
      </c>
      <c r="E21" s="547" t="s">
        <v>505</v>
      </c>
      <c r="F21" s="566"/>
      <c r="G21" s="566"/>
      <c r="H21" s="566"/>
      <c r="I21" s="566"/>
      <c r="J21" s="566"/>
      <c r="K21" s="566"/>
      <c r="L21" s="687">
        <f>VLOOKUP($B21,Calc!$C$1:$P$219,14,FALSE)</f>
        <v>-47.177965842525772</v>
      </c>
      <c r="M21" s="566"/>
      <c r="O21" s="566"/>
      <c r="P21" s="566"/>
      <c r="Q21" s="566"/>
      <c r="R21" s="566"/>
      <c r="S21" s="566"/>
      <c r="T21" s="566"/>
      <c r="U21" s="552">
        <f>VLOOKUP($B21,'Calc2 FD'!$C$1:$P$219,14,FALSE)</f>
        <v>-47.177965842525772</v>
      </c>
      <c r="V21" s="566"/>
      <c r="X21" s="692"/>
      <c r="Y21" s="692"/>
      <c r="Z21" s="692"/>
      <c r="AA21" s="692"/>
      <c r="AB21" s="692"/>
      <c r="AC21" s="692"/>
      <c r="AD21" s="690">
        <f t="shared" si="5"/>
        <v>0</v>
      </c>
      <c r="AE21" s="692"/>
      <c r="AG21" s="22" t="s">
        <v>728</v>
      </c>
      <c r="AH21" s="566"/>
      <c r="AI21" s="566"/>
      <c r="AJ21" s="566"/>
      <c r="AK21" s="566"/>
      <c r="AL21" s="566"/>
      <c r="AM21" s="566"/>
      <c r="AN21" s="696">
        <f>VLOOKUP($AG21,'Calc2 BYR'!$C$1:$P$219,14,FALSE)</f>
        <v>-46.539313089769337</v>
      </c>
      <c r="AO21" s="566"/>
      <c r="AQ21" s="692"/>
      <c r="AR21" s="692"/>
      <c r="AS21" s="692"/>
      <c r="AT21" s="692"/>
      <c r="AU21" s="692"/>
      <c r="AV21" s="692"/>
      <c r="AW21" s="690">
        <f t="shared" si="6"/>
        <v>0.6386527527564354</v>
      </c>
      <c r="AX21" s="692"/>
    </row>
    <row r="22" spans="2:50">
      <c r="B22" s="22" t="s">
        <v>596</v>
      </c>
      <c r="C22" t="s">
        <v>606</v>
      </c>
      <c r="D22" s="547" t="s">
        <v>497</v>
      </c>
      <c r="E22" s="547" t="s">
        <v>505</v>
      </c>
      <c r="F22" s="566"/>
      <c r="G22" s="566"/>
      <c r="H22" s="566"/>
      <c r="I22" s="566"/>
      <c r="J22" s="566"/>
      <c r="K22" s="566"/>
      <c r="L22" s="687">
        <f>VLOOKUP($B22,Calc!$C$1:$P$219,14,FALSE)</f>
        <v>-16.98320836783337</v>
      </c>
      <c r="M22" s="566"/>
      <c r="O22" s="566"/>
      <c r="P22" s="566"/>
      <c r="Q22" s="566"/>
      <c r="R22" s="566"/>
      <c r="S22" s="566"/>
      <c r="T22" s="566"/>
      <c r="U22" s="552">
        <f>VLOOKUP($B22,'Calc2 FD'!$C$1:$P$219,14,FALSE)</f>
        <v>-16.98320836783337</v>
      </c>
      <c r="V22" s="566"/>
      <c r="X22" s="692"/>
      <c r="Y22" s="692"/>
      <c r="Z22" s="692"/>
      <c r="AA22" s="692"/>
      <c r="AB22" s="692"/>
      <c r="AC22" s="692"/>
      <c r="AD22" s="690">
        <f t="shared" si="5"/>
        <v>0</v>
      </c>
      <c r="AE22" s="692"/>
      <c r="AG22" s="22" t="s">
        <v>729</v>
      </c>
      <c r="AH22" s="566"/>
      <c r="AI22" s="566"/>
      <c r="AJ22" s="566"/>
      <c r="AK22" s="566"/>
      <c r="AL22" s="566"/>
      <c r="AM22" s="566"/>
      <c r="AN22" s="696">
        <f>VLOOKUP($AG22,'Calc2 BYR'!$C$1:$P$219,14,FALSE)</f>
        <v>-24.527888716211084</v>
      </c>
      <c r="AO22" s="566"/>
      <c r="AQ22" s="692"/>
      <c r="AR22" s="692"/>
      <c r="AS22" s="692"/>
      <c r="AT22" s="692"/>
      <c r="AU22" s="692"/>
      <c r="AV22" s="692"/>
      <c r="AW22" s="690">
        <f t="shared" si="6"/>
        <v>-7.5446803483777138</v>
      </c>
      <c r="AX22" s="692"/>
    </row>
    <row r="23" spans="2:50">
      <c r="B23" s="22" t="s">
        <v>597</v>
      </c>
      <c r="C23" t="s">
        <v>610</v>
      </c>
      <c r="D23" s="547" t="s">
        <v>497</v>
      </c>
      <c r="E23" s="547" t="s">
        <v>505</v>
      </c>
      <c r="F23" s="566"/>
      <c r="G23" s="566"/>
      <c r="H23" s="566"/>
      <c r="I23" s="566"/>
      <c r="J23" s="566"/>
      <c r="K23" s="566"/>
      <c r="L23" s="687">
        <f>VLOOKUP($B23,Calc!$C$1:$P$219,14,FALSE)</f>
        <v>-17.02018314845445</v>
      </c>
      <c r="M23" s="566"/>
      <c r="O23" s="566"/>
      <c r="P23" s="566"/>
      <c r="Q23" s="566"/>
      <c r="R23" s="566"/>
      <c r="S23" s="566"/>
      <c r="T23" s="566"/>
      <c r="U23" s="552">
        <f>VLOOKUP($B23,'Calc2 FD'!$C$1:$P$219,14,FALSE)</f>
        <v>-17.02018314845445</v>
      </c>
      <c r="V23" s="566"/>
      <c r="X23" s="692"/>
      <c r="Y23" s="692"/>
      <c r="Z23" s="692"/>
      <c r="AA23" s="692"/>
      <c r="AB23" s="692"/>
      <c r="AC23" s="692"/>
      <c r="AD23" s="690">
        <f t="shared" si="5"/>
        <v>0</v>
      </c>
      <c r="AE23" s="692"/>
      <c r="AG23" s="22" t="s">
        <v>730</v>
      </c>
      <c r="AH23" s="566"/>
      <c r="AI23" s="566"/>
      <c r="AJ23" s="566"/>
      <c r="AK23" s="566"/>
      <c r="AL23" s="566"/>
      <c r="AM23" s="566"/>
      <c r="AN23" s="696">
        <f>VLOOKUP($AG23,'Calc2 BYR'!$C$1:$P$219,14,FALSE)</f>
        <v>-25.524647678151926</v>
      </c>
      <c r="AO23" s="566"/>
      <c r="AQ23" s="692"/>
      <c r="AR23" s="692"/>
      <c r="AS23" s="692"/>
      <c r="AT23" s="692"/>
      <c r="AU23" s="692"/>
      <c r="AV23" s="692"/>
      <c r="AW23" s="690">
        <f t="shared" si="6"/>
        <v>-8.5044645296974757</v>
      </c>
      <c r="AX23" s="692"/>
    </row>
    <row r="24" spans="2:50">
      <c r="B24" s="22" t="s">
        <v>598</v>
      </c>
      <c r="C24" t="s">
        <v>607</v>
      </c>
      <c r="D24" s="547" t="s">
        <v>497</v>
      </c>
      <c r="E24" s="547" t="s">
        <v>505</v>
      </c>
      <c r="F24" s="566"/>
      <c r="G24" s="566"/>
      <c r="H24" s="566"/>
      <c r="I24" s="566"/>
      <c r="J24" s="566"/>
      <c r="K24" s="566"/>
      <c r="L24" s="687">
        <f>VLOOKUP($B24,Calc!$C$1:$P$219,14,FALSE)</f>
        <v>65.284405204744772</v>
      </c>
      <c r="M24" s="566"/>
      <c r="O24" s="566"/>
      <c r="P24" s="566"/>
      <c r="Q24" s="566"/>
      <c r="R24" s="566"/>
      <c r="S24" s="566"/>
      <c r="T24" s="566"/>
      <c r="U24" s="552">
        <f>VLOOKUP($B24,'Calc2 FD'!$C$1:$P$219,14,FALSE)</f>
        <v>-78.697228657671332</v>
      </c>
      <c r="V24" s="566"/>
      <c r="X24" s="692"/>
      <c r="Y24" s="692"/>
      <c r="Z24" s="692"/>
      <c r="AA24" s="692"/>
      <c r="AB24" s="692"/>
      <c r="AC24" s="692"/>
      <c r="AD24" s="690">
        <f t="shared" si="5"/>
        <v>-143.98163386241612</v>
      </c>
      <c r="AE24" s="692"/>
      <c r="AG24" s="22" t="s">
        <v>731</v>
      </c>
      <c r="AH24" s="566"/>
      <c r="AI24" s="566"/>
      <c r="AJ24" s="566"/>
      <c r="AK24" s="566"/>
      <c r="AL24" s="566"/>
      <c r="AM24" s="566"/>
      <c r="AN24" s="696">
        <f>VLOOKUP($AG24,'Calc2 BYR'!$C$1:$P$219,14,FALSE)</f>
        <v>-40.216511108683477</v>
      </c>
      <c r="AO24" s="566"/>
      <c r="AQ24" s="692"/>
      <c r="AR24" s="692"/>
      <c r="AS24" s="692"/>
      <c r="AT24" s="692"/>
      <c r="AU24" s="692"/>
      <c r="AV24" s="692"/>
      <c r="AW24" s="690">
        <f t="shared" si="6"/>
        <v>38.480717548987855</v>
      </c>
      <c r="AX24" s="692"/>
    </row>
    <row r="25" spans="2:50">
      <c r="B25" s="22" t="s">
        <v>599</v>
      </c>
      <c r="C25" t="s">
        <v>324</v>
      </c>
      <c r="D25" s="547" t="s">
        <v>497</v>
      </c>
      <c r="E25" s="547" t="s">
        <v>505</v>
      </c>
      <c r="F25" s="566"/>
      <c r="G25" s="566"/>
      <c r="H25" s="566"/>
      <c r="I25" s="566"/>
      <c r="J25" s="566"/>
      <c r="K25" s="566"/>
      <c r="L25" s="687">
        <f>VLOOKUP($B25,Calc!$C$1:$P$219,14,FALSE)</f>
        <v>-34.40752300732219</v>
      </c>
      <c r="M25" s="566"/>
      <c r="O25" s="566"/>
      <c r="P25" s="566"/>
      <c r="Q25" s="566"/>
      <c r="R25" s="566"/>
      <c r="S25" s="566"/>
      <c r="T25" s="566"/>
      <c r="U25" s="552">
        <f>VLOOKUP($B25,'Calc2 FD'!$C$1:$P$219,14,FALSE)</f>
        <v>-34.40752300732219</v>
      </c>
      <c r="V25" s="566"/>
      <c r="X25" s="692"/>
      <c r="Y25" s="692"/>
      <c r="Z25" s="692"/>
      <c r="AA25" s="692"/>
      <c r="AB25" s="692"/>
      <c r="AC25" s="692"/>
      <c r="AD25" s="690">
        <f t="shared" si="5"/>
        <v>0</v>
      </c>
      <c r="AE25" s="692"/>
      <c r="AG25" s="22" t="s">
        <v>732</v>
      </c>
      <c r="AH25" s="566"/>
      <c r="AI25" s="566"/>
      <c r="AJ25" s="566"/>
      <c r="AK25" s="566"/>
      <c r="AL25" s="566"/>
      <c r="AM25" s="566"/>
      <c r="AN25" s="696">
        <f>VLOOKUP($AG25,'Calc2 BYR'!$C$1:$P$219,14,FALSE)</f>
        <v>-43.60679980954702</v>
      </c>
      <c r="AO25" s="566"/>
      <c r="AQ25" s="692"/>
      <c r="AR25" s="692"/>
      <c r="AS25" s="692"/>
      <c r="AT25" s="692"/>
      <c r="AU25" s="692"/>
      <c r="AV25" s="692"/>
      <c r="AW25" s="690">
        <f t="shared" si="6"/>
        <v>-9.1992768022248299</v>
      </c>
      <c r="AX25" s="692"/>
    </row>
    <row r="26" spans="2:50">
      <c r="B26" s="22" t="s">
        <v>600</v>
      </c>
      <c r="C26" t="s">
        <v>73</v>
      </c>
      <c r="D26" s="547" t="s">
        <v>497</v>
      </c>
      <c r="E26" s="547" t="s">
        <v>505</v>
      </c>
      <c r="F26" s="566"/>
      <c r="G26" s="566"/>
      <c r="H26" s="566"/>
      <c r="I26" s="566"/>
      <c r="J26" s="566"/>
      <c r="K26" s="566"/>
      <c r="L26" s="687">
        <f>VLOOKUP($B26,Calc!$C$1:$P$219,14,FALSE)</f>
        <v>-16.852496788083382</v>
      </c>
      <c r="M26" s="566"/>
      <c r="O26" s="566"/>
      <c r="P26" s="566"/>
      <c r="Q26" s="566"/>
      <c r="R26" s="566"/>
      <c r="S26" s="566"/>
      <c r="T26" s="566"/>
      <c r="U26" s="552">
        <f>VLOOKUP($B26,'Calc2 FD'!$C$1:$P$219,14,FALSE)</f>
        <v>-16.852496788083382</v>
      </c>
      <c r="V26" s="566"/>
      <c r="X26" s="692"/>
      <c r="Y26" s="692"/>
      <c r="Z26" s="692"/>
      <c r="AA26" s="692"/>
      <c r="AB26" s="692"/>
      <c r="AC26" s="692"/>
      <c r="AD26" s="690">
        <f t="shared" si="5"/>
        <v>0</v>
      </c>
      <c r="AE26" s="692"/>
      <c r="AG26" s="22" t="s">
        <v>733</v>
      </c>
      <c r="AH26" s="566"/>
      <c r="AI26" s="566"/>
      <c r="AJ26" s="566"/>
      <c r="AK26" s="566"/>
      <c r="AL26" s="566"/>
      <c r="AM26" s="566"/>
      <c r="AN26" s="696">
        <f>VLOOKUP($AG26,'Calc2 BYR'!$C$1:$P$219,14,FALSE)</f>
        <v>-16.852496788083382</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VLOOKUP($B27,Calc!$C$1:$P$219,14,FALSE)</f>
        <v>-17.555026219238808</v>
      </c>
      <c r="M27" s="566"/>
      <c r="O27" s="566"/>
      <c r="P27" s="566"/>
      <c r="Q27" s="566"/>
      <c r="R27" s="566"/>
      <c r="S27" s="566"/>
      <c r="T27" s="566"/>
      <c r="U27" s="552">
        <f>VLOOKUP($B27,'Calc2 FD'!$C$1:$P$219,14,FALSE)</f>
        <v>-17.555026219238808</v>
      </c>
      <c r="V27" s="566"/>
      <c r="X27" s="692"/>
      <c r="Y27" s="692"/>
      <c r="Z27" s="692"/>
      <c r="AA27" s="692"/>
      <c r="AB27" s="692"/>
      <c r="AC27" s="692"/>
      <c r="AD27" s="690">
        <f t="shared" si="5"/>
        <v>0</v>
      </c>
      <c r="AE27" s="692"/>
      <c r="AG27" s="22" t="s">
        <v>734</v>
      </c>
      <c r="AH27" s="566"/>
      <c r="AI27" s="566"/>
      <c r="AJ27" s="566"/>
      <c r="AK27" s="566"/>
      <c r="AL27" s="566"/>
      <c r="AM27" s="566"/>
      <c r="AN27" s="696">
        <f>VLOOKUP($AG27,'Calc2 BYR'!$C$1:$P$219,14,FALSE)</f>
        <v>-26.754303021463635</v>
      </c>
      <c r="AO27" s="566"/>
      <c r="AQ27" s="692"/>
      <c r="AR27" s="692"/>
      <c r="AS27" s="692"/>
      <c r="AT27" s="692"/>
      <c r="AU27" s="692"/>
      <c r="AV27" s="692"/>
      <c r="AW27" s="690">
        <f t="shared" si="6"/>
        <v>-9.1992768022248264</v>
      </c>
      <c r="AX27" s="692"/>
    </row>
    <row r="28" spans="2:50">
      <c r="B28" s="22" t="s">
        <v>602</v>
      </c>
      <c r="C28" t="s">
        <v>249</v>
      </c>
      <c r="D28" s="547" t="s">
        <v>497</v>
      </c>
      <c r="E28" s="547" t="s">
        <v>505</v>
      </c>
      <c r="F28" s="566"/>
      <c r="G28" s="566"/>
      <c r="H28" s="566"/>
      <c r="I28" s="566"/>
      <c r="J28" s="566"/>
      <c r="K28" s="566"/>
      <c r="L28" s="687">
        <f>VLOOKUP($B28,Calc!$C$1:$P$219,14,FALSE)</f>
        <v>-8.1535422425206381</v>
      </c>
      <c r="M28" s="566"/>
      <c r="O28" s="566"/>
      <c r="P28" s="566"/>
      <c r="Q28" s="566"/>
      <c r="R28" s="566"/>
      <c r="S28" s="566"/>
      <c r="T28" s="566"/>
      <c r="U28" s="552">
        <f>VLOOKUP($B28,'Calc2 FD'!$C$1:$P$219,14,FALSE)</f>
        <v>-8.1535422425206381</v>
      </c>
      <c r="V28" s="566"/>
      <c r="X28" s="692"/>
      <c r="Y28" s="692"/>
      <c r="Z28" s="692"/>
      <c r="AA28" s="692"/>
      <c r="AB28" s="692"/>
      <c r="AC28" s="692"/>
      <c r="AD28" s="690">
        <f t="shared" si="5"/>
        <v>0</v>
      </c>
      <c r="AE28" s="692"/>
      <c r="AG28" s="22" t="s">
        <v>735</v>
      </c>
      <c r="AH28" s="566"/>
      <c r="AI28" s="566"/>
      <c r="AJ28" s="566"/>
      <c r="AK28" s="566"/>
      <c r="AL28" s="566"/>
      <c r="AM28" s="566"/>
      <c r="AN28" s="696">
        <f>VLOOKUP($AG28,'Calc2 BYR'!$C$1:$P$219,14,FALSE)</f>
        <v>-6.6829643461763073</v>
      </c>
      <c r="AO28" s="566"/>
      <c r="AQ28" s="692"/>
      <c r="AR28" s="692"/>
      <c r="AS28" s="692"/>
      <c r="AT28" s="692"/>
      <c r="AU28" s="692"/>
      <c r="AV28" s="692"/>
      <c r="AW28" s="690">
        <f t="shared" si="6"/>
        <v>1.4705778963443308</v>
      </c>
      <c r="AX28" s="692"/>
    </row>
    <row r="29" spans="2:50">
      <c r="B29" s="22" t="s">
        <v>603</v>
      </c>
      <c r="C29" t="s">
        <v>608</v>
      </c>
      <c r="D29" s="547" t="s">
        <v>497</v>
      </c>
      <c r="E29" s="547" t="s">
        <v>505</v>
      </c>
      <c r="F29" s="566"/>
      <c r="G29" s="566"/>
      <c r="H29" s="566"/>
      <c r="I29" s="566"/>
      <c r="J29" s="566"/>
      <c r="K29" s="566"/>
      <c r="L29" s="687">
        <f>VLOOKUP($B29,Calc!$C$1:$P$219,14,FALSE)</f>
        <v>-25.708568461759448</v>
      </c>
      <c r="M29" s="566"/>
      <c r="O29" s="566"/>
      <c r="P29" s="566"/>
      <c r="Q29" s="566"/>
      <c r="R29" s="566"/>
      <c r="S29" s="566"/>
      <c r="T29" s="566"/>
      <c r="U29" s="552">
        <f>VLOOKUP($B29,'Calc2 FD'!$C$1:$P$219,14,FALSE)</f>
        <v>-25.708568461759448</v>
      </c>
      <c r="V29" s="566"/>
      <c r="X29" s="692"/>
      <c r="Y29" s="692"/>
      <c r="Z29" s="692"/>
      <c r="AA29" s="692"/>
      <c r="AB29" s="692"/>
      <c r="AC29" s="692"/>
      <c r="AD29" s="690">
        <f t="shared" si="5"/>
        <v>0</v>
      </c>
      <c r="AE29" s="692"/>
      <c r="AG29" s="22" t="s">
        <v>736</v>
      </c>
      <c r="AH29" s="566"/>
      <c r="AI29" s="566"/>
      <c r="AJ29" s="566"/>
      <c r="AK29" s="566"/>
      <c r="AL29" s="566"/>
      <c r="AM29" s="566"/>
      <c r="AN29" s="696">
        <f>VLOOKUP($AG29,'Calc2 BYR'!$C$1:$P$219,14,FALSE)</f>
        <v>-33.43726736763994</v>
      </c>
      <c r="AO29" s="566"/>
      <c r="AQ29" s="692"/>
      <c r="AR29" s="692"/>
      <c r="AS29" s="692"/>
      <c r="AT29" s="692"/>
      <c r="AU29" s="692"/>
      <c r="AV29" s="692"/>
      <c r="AW29" s="690">
        <f t="shared" si="6"/>
        <v>-7.728698905880492</v>
      </c>
      <c r="AX29" s="692"/>
    </row>
    <row r="30" spans="2:50">
      <c r="B30" s="22" t="s">
        <v>611</v>
      </c>
      <c r="C30" t="s">
        <v>609</v>
      </c>
      <c r="D30" s="547" t="s">
        <v>497</v>
      </c>
      <c r="E30" s="547" t="s">
        <v>505</v>
      </c>
      <c r="F30" s="566"/>
      <c r="G30" s="566"/>
      <c r="H30" s="566"/>
      <c r="I30" s="566"/>
      <c r="J30" s="566"/>
      <c r="K30" s="566"/>
      <c r="L30" s="687">
        <f>VLOOKUP($B30,Calc!$C$1:$P$219,14,FALSE)</f>
        <v>-27.220638167833602</v>
      </c>
      <c r="M30" s="566"/>
      <c r="O30" s="566"/>
      <c r="P30" s="566"/>
      <c r="Q30" s="566"/>
      <c r="R30" s="566"/>
      <c r="S30" s="566"/>
      <c r="T30" s="566"/>
      <c r="U30" s="552">
        <f>VLOOKUP($B30,'Calc2 FD'!$C$1:$P$219,14,FALSE)</f>
        <v>-27.220638167833602</v>
      </c>
      <c r="V30" s="566"/>
      <c r="X30" s="692"/>
      <c r="Y30" s="692"/>
      <c r="Z30" s="692"/>
      <c r="AA30" s="692"/>
      <c r="AB30" s="692"/>
      <c r="AC30" s="692"/>
      <c r="AD30" s="690">
        <f t="shared" si="5"/>
        <v>0</v>
      </c>
      <c r="AE30" s="692"/>
      <c r="AG30" s="22" t="s">
        <v>737</v>
      </c>
      <c r="AH30" s="566"/>
      <c r="AI30" s="566"/>
      <c r="AJ30" s="566"/>
      <c r="AK30" s="566"/>
      <c r="AL30" s="566"/>
      <c r="AM30" s="566"/>
      <c r="AN30" s="696">
        <f>VLOOKUP($AG30,'Calc2 BYR'!$C$1:$P$219,14,FALSE)</f>
        <v>-35.897754457304607</v>
      </c>
      <c r="AO30" s="566"/>
      <c r="AQ30" s="692"/>
      <c r="AR30" s="692"/>
      <c r="AS30" s="692"/>
      <c r="AT30" s="692"/>
      <c r="AU30" s="692"/>
      <c r="AV30" s="692"/>
      <c r="AW30" s="690">
        <f>AN30-U30</f>
        <v>-8.6771162894710052</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tabSelected="1"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822</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FD'!$C$1:$P$219,14,FALSE)</f>
        <v>-193.31527078071935</v>
      </c>
      <c r="G4" s="686"/>
      <c r="H4" s="571"/>
      <c r="I4" s="571"/>
      <c r="J4" s="571"/>
      <c r="K4" s="571"/>
      <c r="L4" s="571"/>
      <c r="M4" s="571"/>
    </row>
    <row r="5" spans="1:13" s="547" customFormat="1">
      <c r="A5"/>
      <c r="B5" s="550" t="s">
        <v>483</v>
      </c>
      <c r="C5" s="547" t="s">
        <v>503</v>
      </c>
      <c r="D5" s="547" t="s">
        <v>497</v>
      </c>
      <c r="E5" t="s">
        <v>742</v>
      </c>
      <c r="F5" s="552">
        <f>VLOOKUP($B5,'Calc2 FD'!$C$1:$P$219,14,FALSE)</f>
        <v>-67.091390978855429</v>
      </c>
      <c r="G5" s="686"/>
      <c r="H5" s="566"/>
      <c r="I5" s="566"/>
      <c r="J5" s="566"/>
      <c r="K5" s="566"/>
      <c r="L5" s="571"/>
      <c r="M5" s="571"/>
    </row>
    <row r="6" spans="1:13" s="547" customFormat="1">
      <c r="B6" s="553" t="s">
        <v>484</v>
      </c>
      <c r="C6" s="547" t="s">
        <v>411</v>
      </c>
      <c r="D6" s="547" t="s">
        <v>497</v>
      </c>
      <c r="E6" t="s">
        <v>742</v>
      </c>
      <c r="F6" s="571"/>
      <c r="G6" s="633">
        <f>VLOOKUP($B6,'Profiling2 FD'!$C$1:$V$159,16,FALSE)</f>
        <v>-3.6489730179876658</v>
      </c>
      <c r="H6" s="552">
        <f>VLOOKUP($B6,'Profiling2 FD'!$C$1:$V$159,17,FALSE)</f>
        <v>-3.6489730179876658</v>
      </c>
      <c r="I6" s="552">
        <f>VLOOKUP($B6,'Profiling2 FD'!$C$1:$V$159,18,FALSE)</f>
        <v>-3.6489730179876658</v>
      </c>
      <c r="J6" s="552">
        <f>VLOOKUP($B6,'Profiling2 FD'!$C$1:$V$159,19,FALSE)</f>
        <v>-3.6489730179876658</v>
      </c>
      <c r="K6" s="552">
        <f>VLOOKUP($B6,'Profiling2 FD'!$C$1:$V$159,20,FALSE)</f>
        <v>-3.6489730179876658</v>
      </c>
      <c r="L6" s="686"/>
      <c r="M6" s="571"/>
    </row>
    <row r="7" spans="1:13" s="547" customFormat="1">
      <c r="B7" s="553" t="s">
        <v>498</v>
      </c>
      <c r="C7" s="547" t="s">
        <v>412</v>
      </c>
      <c r="D7" s="547" t="s">
        <v>497</v>
      </c>
      <c r="E7" t="s">
        <v>742</v>
      </c>
      <c r="F7" s="571"/>
      <c r="G7" s="552">
        <f>VLOOKUP($B7,'Profiling2 FD'!$C$1:$V$159,16,FALSE)</f>
        <v>-5.8358581303427188</v>
      </c>
      <c r="H7" s="552">
        <f>VLOOKUP($B7,'Profiling2 FD'!$C$1:$V$159,17,FALSE)</f>
        <v>-5.8358581303427188</v>
      </c>
      <c r="I7" s="552">
        <f>VLOOKUP($B7,'Profiling2 FD'!$C$1:$V$159,18,FALSE)</f>
        <v>-5.8358581303427188</v>
      </c>
      <c r="J7" s="552">
        <f>VLOOKUP($B7,'Profiling2 FD'!$C$1:$V$159,19,FALSE)</f>
        <v>-5.8358581303427188</v>
      </c>
      <c r="K7" s="552">
        <f>VLOOKUP($B7,'Profiling2 FD'!$C$1:$V$159,20,FALSE)</f>
        <v>-5.8358581303427188</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FD'!$C$1:$P$219,5,FALSE)</f>
        <v>93.598778127412032</v>
      </c>
      <c r="M9" s="703"/>
    </row>
    <row r="10" spans="1:13">
      <c r="B10" s="654" t="s">
        <v>584</v>
      </c>
      <c r="C10" t="s">
        <v>312</v>
      </c>
      <c r="D10" s="547" t="s">
        <v>55</v>
      </c>
      <c r="E10" t="s">
        <v>742</v>
      </c>
      <c r="F10" s="570"/>
      <c r="G10" s="570"/>
      <c r="H10" s="570"/>
      <c r="I10" s="570"/>
      <c r="J10" s="570"/>
      <c r="K10" s="570"/>
      <c r="L10" s="663">
        <f>VLOOKUP($B10,'Calc2 FD'!$C$1:$P$219,5,FALSE)</f>
        <v>94.137980002613475</v>
      </c>
      <c r="M10" s="703"/>
    </row>
    <row r="11" spans="1:13">
      <c r="B11" s="654" t="s">
        <v>585</v>
      </c>
      <c r="C11" t="s">
        <v>304</v>
      </c>
      <c r="D11" s="547" t="s">
        <v>55</v>
      </c>
      <c r="E11" t="s">
        <v>742</v>
      </c>
      <c r="F11" s="570"/>
      <c r="G11" s="570"/>
      <c r="H11" s="570"/>
      <c r="I11" s="570"/>
      <c r="J11" s="570"/>
      <c r="K11" s="570"/>
      <c r="L11" s="663">
        <f>VLOOKUP($B11,'Calc2 FD'!$C$1:$P$219,5,FALSE)</f>
        <v>92.220967269724127</v>
      </c>
      <c r="M11" s="703"/>
    </row>
    <row r="12" spans="1:13">
      <c r="B12" s="654" t="s">
        <v>586</v>
      </c>
      <c r="C12" t="s">
        <v>83</v>
      </c>
      <c r="D12" s="547" t="s">
        <v>55</v>
      </c>
      <c r="E12" t="s">
        <v>742</v>
      </c>
      <c r="F12" s="570"/>
      <c r="G12" s="570"/>
      <c r="H12" s="570"/>
      <c r="I12" s="570"/>
      <c r="J12" s="570"/>
      <c r="K12" s="570"/>
      <c r="L12" s="663">
        <f>VLOOKUP($B12,'Calc2 FD'!$C$1:$P$219,5,FALSE)</f>
        <v>2.6549110989844933</v>
      </c>
      <c r="M12" s="703"/>
    </row>
    <row r="13" spans="1:13">
      <c r="B13" s="654" t="s">
        <v>587</v>
      </c>
      <c r="C13" t="s">
        <v>176</v>
      </c>
      <c r="D13" s="547" t="s">
        <v>55</v>
      </c>
      <c r="E13" t="s">
        <v>742</v>
      </c>
      <c r="F13" s="570"/>
      <c r="G13" s="570"/>
      <c r="H13" s="570"/>
      <c r="I13" s="570"/>
      <c r="J13" s="570"/>
      <c r="K13" s="570"/>
      <c r="L13" s="663">
        <f>VLOOKUP($B13,'Calc2 FD'!$C$1:$P$219,5,FALSE)</f>
        <v>107.89003800922178</v>
      </c>
      <c r="M13" s="703"/>
    </row>
    <row r="14" spans="1:13">
      <c r="B14" s="654" t="s">
        <v>588</v>
      </c>
      <c r="C14" t="s">
        <v>313</v>
      </c>
      <c r="D14" s="547" t="s">
        <v>55</v>
      </c>
      <c r="E14" t="s">
        <v>742</v>
      </c>
      <c r="F14" s="570"/>
      <c r="G14" s="570"/>
      <c r="H14" s="570"/>
      <c r="I14" s="570"/>
      <c r="J14" s="570"/>
      <c r="K14" s="570"/>
      <c r="L14" s="663">
        <f>VLOOKUP($B14,'Calc2 FD'!$C$1:$P$219,5,FALSE)</f>
        <v>110.04182663170363</v>
      </c>
      <c r="M14" s="703"/>
    </row>
    <row r="15" spans="1:13">
      <c r="B15" s="654" t="s">
        <v>589</v>
      </c>
      <c r="C15" t="s">
        <v>305</v>
      </c>
      <c r="D15" s="547" t="s">
        <v>55</v>
      </c>
      <c r="E15" t="s">
        <v>742</v>
      </c>
      <c r="F15" s="570"/>
      <c r="G15" s="570"/>
      <c r="H15" s="570"/>
      <c r="I15" s="570"/>
      <c r="J15" s="570"/>
      <c r="K15" s="570"/>
      <c r="L15" s="663">
        <f>VLOOKUP($B15,'Calc2 FD'!$C$1:$P$219,5,FALSE)</f>
        <v>105.97493597799989</v>
      </c>
      <c r="M15" s="703"/>
    </row>
    <row r="16" spans="1:13">
      <c r="B16" s="22" t="s">
        <v>590</v>
      </c>
      <c r="C16" t="s">
        <v>84</v>
      </c>
      <c r="D16" s="547" t="s">
        <v>55</v>
      </c>
      <c r="E16" t="s">
        <v>742</v>
      </c>
      <c r="F16" s="570"/>
      <c r="G16" s="570"/>
      <c r="H16" s="570"/>
      <c r="I16" s="570"/>
      <c r="J16" s="570"/>
      <c r="K16" s="570"/>
      <c r="L16" s="663">
        <f>VLOOKUP($B16,'Calc2 FD'!$C$1:$P$219,5,FALSE)</f>
        <v>-1.5349640179410058</v>
      </c>
      <c r="M16" s="703"/>
    </row>
    <row r="17" spans="1:13">
      <c r="B17" s="22" t="s">
        <v>591</v>
      </c>
      <c r="C17" t="s">
        <v>605</v>
      </c>
      <c r="D17" s="547" t="s">
        <v>497</v>
      </c>
      <c r="E17" t="s">
        <v>742</v>
      </c>
      <c r="F17" s="566"/>
      <c r="G17" s="566"/>
      <c r="H17" s="566"/>
      <c r="I17" s="566"/>
      <c r="J17" s="566"/>
      <c r="K17" s="566"/>
      <c r="L17" s="552">
        <f>VLOOKUP($B17,'Calc2 FD'!$C$1:$P$219,14,FALSE)</f>
        <v>-226.75600916434388</v>
      </c>
      <c r="M17" s="686"/>
    </row>
    <row r="18" spans="1:13">
      <c r="B18" s="22" t="s">
        <v>592</v>
      </c>
      <c r="C18" t="s">
        <v>323</v>
      </c>
      <c r="D18" s="547" t="s">
        <v>497</v>
      </c>
      <c r="E18" t="s">
        <v>742</v>
      </c>
      <c r="F18" s="566"/>
      <c r="G18" s="566"/>
      <c r="H18" s="566"/>
      <c r="I18" s="566"/>
      <c r="J18" s="566"/>
      <c r="K18" s="566"/>
      <c r="L18" s="552">
        <f>VLOOKUP($B18,'Calc2 FD'!$C$1:$P$219,14,FALSE)</f>
        <v>38.169243281883773</v>
      </c>
      <c r="M18" s="686"/>
    </row>
    <row r="19" spans="1:13">
      <c r="B19" s="22" t="s">
        <v>593</v>
      </c>
      <c r="C19" t="s">
        <v>72</v>
      </c>
      <c r="D19" s="547" t="s">
        <v>497</v>
      </c>
      <c r="E19" t="s">
        <v>742</v>
      </c>
      <c r="F19" s="566"/>
      <c r="G19" s="566"/>
      <c r="H19" s="566"/>
      <c r="I19" s="566"/>
      <c r="J19" s="566"/>
      <c r="K19" s="566"/>
      <c r="L19" s="552">
        <f>VLOOKUP($B19,'Calc2 FD'!$C$1:$P$219,14,FALSE)</f>
        <v>7.9744858071913871</v>
      </c>
      <c r="M19" s="686"/>
    </row>
    <row r="20" spans="1:13">
      <c r="B20" s="22" t="s">
        <v>594</v>
      </c>
      <c r="C20" t="s">
        <v>244</v>
      </c>
      <c r="D20" s="547" t="s">
        <v>497</v>
      </c>
      <c r="E20" t="s">
        <v>742</v>
      </c>
      <c r="F20" s="566"/>
      <c r="G20" s="566"/>
      <c r="H20" s="566"/>
      <c r="I20" s="566"/>
      <c r="J20" s="566"/>
      <c r="K20" s="566"/>
      <c r="L20" s="552">
        <f>VLOOKUP($B20,'Calc2 FD'!$C$1:$P$219,14,FALSE)</f>
        <v>30.194757474692391</v>
      </c>
      <c r="M20" s="686"/>
    </row>
    <row r="21" spans="1:13">
      <c r="B21" s="22" t="s">
        <v>595</v>
      </c>
      <c r="C21" t="s">
        <v>248</v>
      </c>
      <c r="D21" s="547" t="s">
        <v>497</v>
      </c>
      <c r="E21" t="s">
        <v>742</v>
      </c>
      <c r="F21" s="566"/>
      <c r="G21" s="566"/>
      <c r="H21" s="566"/>
      <c r="I21" s="566"/>
      <c r="J21" s="566"/>
      <c r="K21" s="566"/>
      <c r="L21" s="552">
        <f>VLOOKUP($B21,'Calc2 FD'!$C$1:$P$219,14,FALSE)</f>
        <v>-47.177965842525772</v>
      </c>
      <c r="M21" s="686"/>
    </row>
    <row r="22" spans="1:13">
      <c r="B22" s="22" t="s">
        <v>596</v>
      </c>
      <c r="C22" t="s">
        <v>606</v>
      </c>
      <c r="D22" s="547" t="s">
        <v>497</v>
      </c>
      <c r="E22" t="s">
        <v>742</v>
      </c>
      <c r="F22" s="566"/>
      <c r="G22" s="566"/>
      <c r="H22" s="566"/>
      <c r="I22" s="566"/>
      <c r="J22" s="566"/>
      <c r="K22" s="566"/>
      <c r="L22" s="552">
        <f>VLOOKUP($B22,'Calc2 FD'!$C$1:$P$219,14,FALSE)</f>
        <v>-16.98320836783337</v>
      </c>
      <c r="M22" s="686"/>
    </row>
    <row r="23" spans="1:13">
      <c r="B23" s="22" t="s">
        <v>597</v>
      </c>
      <c r="C23" t="s">
        <v>610</v>
      </c>
      <c r="D23" s="547" t="s">
        <v>497</v>
      </c>
      <c r="E23" t="s">
        <v>742</v>
      </c>
      <c r="F23" s="566"/>
      <c r="G23" s="566"/>
      <c r="H23" s="566"/>
      <c r="I23" s="566"/>
      <c r="J23" s="566"/>
      <c r="K23" s="566"/>
      <c r="L23" s="552">
        <f>VLOOKUP($B23,'Calc2 FD'!$C$1:$P$219,14,FALSE)</f>
        <v>-17.02018314845445</v>
      </c>
      <c r="M23" s="686"/>
    </row>
    <row r="24" spans="1:13">
      <c r="B24" s="22" t="s">
        <v>598</v>
      </c>
      <c r="C24" t="s">
        <v>607</v>
      </c>
      <c r="D24" s="547" t="s">
        <v>497</v>
      </c>
      <c r="E24" t="s">
        <v>742</v>
      </c>
      <c r="F24" s="566"/>
      <c r="G24" s="566"/>
      <c r="H24" s="566"/>
      <c r="I24" s="566"/>
      <c r="J24" s="566"/>
      <c r="K24" s="566"/>
      <c r="L24" s="552">
        <f>VLOOKUP($B24,'Calc2 FD'!$C$1:$P$219,14,FALSE)</f>
        <v>-78.697228657671332</v>
      </c>
      <c r="M24" s="686"/>
    </row>
    <row r="25" spans="1:13">
      <c r="B25" s="22" t="s">
        <v>599</v>
      </c>
      <c r="C25" t="s">
        <v>324</v>
      </c>
      <c r="D25" s="547" t="s">
        <v>497</v>
      </c>
      <c r="E25" t="s">
        <v>742</v>
      </c>
      <c r="F25" s="566"/>
      <c r="G25" s="566"/>
      <c r="H25" s="566"/>
      <c r="I25" s="566"/>
      <c r="J25" s="566"/>
      <c r="K25" s="566"/>
      <c r="L25" s="552">
        <f>VLOOKUP($B25,'Calc2 FD'!$C$1:$P$219,14,FALSE)</f>
        <v>-34.40752300732219</v>
      </c>
      <c r="M25" s="686"/>
    </row>
    <row r="26" spans="1:13">
      <c r="B26" s="22" t="s">
        <v>600</v>
      </c>
      <c r="C26" t="s">
        <v>73</v>
      </c>
      <c r="D26" s="547" t="s">
        <v>497</v>
      </c>
      <c r="E26" t="s">
        <v>742</v>
      </c>
      <c r="F26" s="566"/>
      <c r="G26" s="566"/>
      <c r="H26" s="566"/>
      <c r="I26" s="566"/>
      <c r="J26" s="566"/>
      <c r="K26" s="566"/>
      <c r="L26" s="552">
        <f>VLOOKUP($B26,'Calc2 FD'!$C$1:$P$219,14,FALSE)</f>
        <v>-16.852496788083382</v>
      </c>
      <c r="M26" s="686"/>
    </row>
    <row r="27" spans="1:13">
      <c r="B27" s="22" t="s">
        <v>601</v>
      </c>
      <c r="C27" t="s">
        <v>245</v>
      </c>
      <c r="D27" s="547" t="s">
        <v>497</v>
      </c>
      <c r="E27" t="s">
        <v>742</v>
      </c>
      <c r="F27" s="566"/>
      <c r="G27" s="566"/>
      <c r="H27" s="566"/>
      <c r="I27" s="566"/>
      <c r="J27" s="566"/>
      <c r="K27" s="566"/>
      <c r="L27" s="552">
        <f>VLOOKUP($B27,'Calc2 FD'!$C$1:$P$219,14,FALSE)</f>
        <v>-17.555026219238808</v>
      </c>
      <c r="M27" s="686"/>
    </row>
    <row r="28" spans="1:13">
      <c r="B28" s="22" t="s">
        <v>602</v>
      </c>
      <c r="C28" t="s">
        <v>249</v>
      </c>
      <c r="D28" s="547" t="s">
        <v>497</v>
      </c>
      <c r="E28" t="s">
        <v>742</v>
      </c>
      <c r="F28" s="566"/>
      <c r="G28" s="566"/>
      <c r="H28" s="566"/>
      <c r="I28" s="566"/>
      <c r="J28" s="566"/>
      <c r="K28" s="566"/>
      <c r="L28" s="552">
        <f>VLOOKUP($B28,'Calc2 FD'!$C$1:$P$219,14,FALSE)</f>
        <v>-8.1535422425206381</v>
      </c>
      <c r="M28" s="686"/>
    </row>
    <row r="29" spans="1:13">
      <c r="B29" s="22" t="s">
        <v>603</v>
      </c>
      <c r="C29" t="s">
        <v>608</v>
      </c>
      <c r="D29" s="547" t="s">
        <v>497</v>
      </c>
      <c r="E29" t="s">
        <v>742</v>
      </c>
      <c r="F29" s="566"/>
      <c r="G29" s="566"/>
      <c r="H29" s="566"/>
      <c r="I29" s="566"/>
      <c r="J29" s="566"/>
      <c r="K29" s="566"/>
      <c r="L29" s="552">
        <f>VLOOKUP($B29,'Calc2 FD'!$C$1:$P$219,14,FALSE)</f>
        <v>-25.708568461759448</v>
      </c>
      <c r="M29" s="686"/>
    </row>
    <row r="30" spans="1:13">
      <c r="B30" s="22" t="s">
        <v>611</v>
      </c>
      <c r="C30" t="s">
        <v>609</v>
      </c>
      <c r="D30" s="547" t="s">
        <v>497</v>
      </c>
      <c r="E30" t="s">
        <v>742</v>
      </c>
      <c r="F30" s="566"/>
      <c r="G30" s="566"/>
      <c r="H30" s="566"/>
      <c r="I30" s="566"/>
      <c r="J30" s="566"/>
      <c r="K30" s="566"/>
      <c r="L30" s="552">
        <f>VLOOKUP($B30,'Calc2 FD'!$C$1:$P$219,14,FALSE)</f>
        <v>-27.220638167833602</v>
      </c>
      <c r="M30" s="686"/>
    </row>
    <row r="31" spans="1:13" s="547" customFormat="1">
      <c r="A31"/>
      <c r="B31" s="550" t="s">
        <v>711</v>
      </c>
      <c r="C31" s="547" t="s">
        <v>502</v>
      </c>
      <c r="D31" s="547" t="s">
        <v>497</v>
      </c>
      <c r="E31" t="s">
        <v>742</v>
      </c>
      <c r="F31" s="552">
        <f>VLOOKUP($B31,'Calc2 BYR'!$C$1:$P$219,14,FALSE)</f>
        <v>-170.57474218598219</v>
      </c>
      <c r="G31" s="686"/>
      <c r="H31" s="571"/>
      <c r="I31" s="571"/>
      <c r="J31" s="571"/>
      <c r="K31" s="571"/>
      <c r="L31" s="571"/>
      <c r="M31" s="571"/>
    </row>
    <row r="32" spans="1:13" s="547" customFormat="1">
      <c r="A32"/>
      <c r="B32" s="550" t="s">
        <v>712</v>
      </c>
      <c r="C32" s="547" t="s">
        <v>503</v>
      </c>
      <c r="D32" s="547" t="s">
        <v>497</v>
      </c>
      <c r="E32" t="s">
        <v>742</v>
      </c>
      <c r="F32" s="552">
        <f>VLOOKUP($B32,'Calc2 BYR'!$C$1:$P$219,14,FALSE)</f>
        <v>-34.285599589981871</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-5.4722531396306122</v>
      </c>
      <c r="H33" s="552">
        <f>VLOOKUP($B33,'Profiling2 BYR'!$C$1:$V$159,17,FALSE)</f>
        <v>-5.4722531396306122</v>
      </c>
      <c r="I33" s="552">
        <f>VLOOKUP($B33,'Profiling2 BYR'!$C$1:$V$159,18,FALSE)</f>
        <v>-5.4722531396306122</v>
      </c>
      <c r="J33" s="552">
        <f>VLOOKUP($B33,'Profiling2 BYR'!$C$1:$V$159,19,FALSE)</f>
        <v>-5.4722531396306122</v>
      </c>
      <c r="K33" s="552">
        <f>VLOOKUP($B33,'Profiling2 BYR'!$C$1:$V$159,20,FALSE)</f>
        <v>-5.4722531396306122</v>
      </c>
      <c r="L33" s="686"/>
      <c r="M33" s="571"/>
    </row>
    <row r="34" spans="1:13" s="547" customFormat="1">
      <c r="B34" s="553" t="s">
        <v>714</v>
      </c>
      <c r="C34" s="547" t="s">
        <v>412</v>
      </c>
      <c r="D34" s="547" t="s">
        <v>497</v>
      </c>
      <c r="E34" t="s">
        <v>742</v>
      </c>
      <c r="F34" s="571"/>
      <c r="G34" s="552">
        <f>VLOOKUP($B34,'Profiling2 BYR'!$C$1:$V$159,16,FALSE)</f>
        <v>-7.696153224587702</v>
      </c>
      <c r="H34" s="552">
        <f>VLOOKUP($B34,'Profiling2 BYR'!$C$1:$V$159,17,FALSE)</f>
        <v>-7.696153224587702</v>
      </c>
      <c r="I34" s="552">
        <f>VLOOKUP($B34,'Profiling2 BYR'!$C$1:$V$159,18,FALSE)</f>
        <v>-7.696153224587702</v>
      </c>
      <c r="J34" s="552">
        <f>VLOOKUP($B34,'Profiling2 BYR'!$C$1:$V$159,19,FALSE)</f>
        <v>-7.696153224587702</v>
      </c>
      <c r="K34" s="552">
        <f>VLOOKUP($B34,'Profiling2 BYR'!$C$1:$V$159,20,FALSE)</f>
        <v>-7.696153224587702</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BYR'!$C$1:$P$219,5,FALSE)</f>
        <v>93.598778127412032</v>
      </c>
      <c r="M36" s="703"/>
    </row>
    <row r="37" spans="1:13">
      <c r="B37" s="654" t="s">
        <v>717</v>
      </c>
      <c r="C37" t="s">
        <v>312</v>
      </c>
      <c r="D37" s="547" t="s">
        <v>55</v>
      </c>
      <c r="E37" t="s">
        <v>742</v>
      </c>
      <c r="F37" s="570"/>
      <c r="G37" s="570"/>
      <c r="H37" s="570"/>
      <c r="I37" s="570"/>
      <c r="J37" s="570"/>
      <c r="K37" s="570"/>
      <c r="L37" s="663">
        <f>VLOOKUP($B37,'Calc2 BYR'!$C$1:$P$219,5,FALSE)</f>
        <v>94.137980002613475</v>
      </c>
      <c r="M37" s="703"/>
    </row>
    <row r="38" spans="1:13">
      <c r="B38" s="654" t="s">
        <v>718</v>
      </c>
      <c r="C38" t="s">
        <v>304</v>
      </c>
      <c r="D38" s="547" t="s">
        <v>55</v>
      </c>
      <c r="E38" t="s">
        <v>742</v>
      </c>
      <c r="F38" s="570"/>
      <c r="G38" s="570"/>
      <c r="H38" s="570"/>
      <c r="I38" s="570"/>
      <c r="J38" s="570"/>
      <c r="K38" s="570"/>
      <c r="L38" s="663">
        <f>VLOOKUP($B38,'Calc2 BYR'!$C$1:$P$219,5,FALSE)</f>
        <v>93.887936043693117</v>
      </c>
      <c r="M38" s="703"/>
    </row>
    <row r="39" spans="1:13">
      <c r="B39" s="654" t="s">
        <v>719</v>
      </c>
      <c r="C39" t="s">
        <v>83</v>
      </c>
      <c r="D39" s="547" t="s">
        <v>55</v>
      </c>
      <c r="E39" t="s">
        <v>742</v>
      </c>
      <c r="F39" s="570"/>
      <c r="G39" s="570"/>
      <c r="H39" s="570"/>
      <c r="I39" s="570"/>
      <c r="J39" s="570"/>
      <c r="K39" s="570"/>
      <c r="L39" s="663">
        <f>VLOOKUP($B39,'Calc2 BYR'!$C$1:$P$219,5,FALSE)</f>
        <v>2.0815319346336079</v>
      </c>
      <c r="M39" s="703"/>
    </row>
    <row r="40" spans="1:13">
      <c r="B40" s="654" t="s">
        <v>720</v>
      </c>
      <c r="C40" t="s">
        <v>176</v>
      </c>
      <c r="D40" s="547" t="s">
        <v>55</v>
      </c>
      <c r="E40" t="s">
        <v>742</v>
      </c>
      <c r="F40" s="570"/>
      <c r="G40" s="570"/>
      <c r="H40" s="570"/>
      <c r="I40" s="570"/>
      <c r="J40" s="570"/>
      <c r="K40" s="570"/>
      <c r="L40" s="663">
        <f>VLOOKUP($B40,'Calc2 BYR'!$C$1:$P$219,5,FALSE)</f>
        <v>107.89003800922178</v>
      </c>
      <c r="M40" s="703"/>
    </row>
    <row r="41" spans="1:13">
      <c r="B41" s="654" t="s">
        <v>721</v>
      </c>
      <c r="C41" t="s">
        <v>313</v>
      </c>
      <c r="D41" s="547" t="s">
        <v>55</v>
      </c>
      <c r="E41" t="s">
        <v>742</v>
      </c>
      <c r="F41" s="570"/>
      <c r="G41" s="570"/>
      <c r="H41" s="570"/>
      <c r="I41" s="570"/>
      <c r="J41" s="570"/>
      <c r="K41" s="570"/>
      <c r="L41" s="663">
        <f>VLOOKUP($B41,'Calc2 BYR'!$C$1:$P$219,5,FALSE)</f>
        <v>112.22891234271441</v>
      </c>
      <c r="M41" s="703"/>
    </row>
    <row r="42" spans="1:13">
      <c r="B42" s="654" t="s">
        <v>722</v>
      </c>
      <c r="C42" t="s">
        <v>305</v>
      </c>
      <c r="D42" s="547" t="s">
        <v>55</v>
      </c>
      <c r="E42" t="s">
        <v>742</v>
      </c>
      <c r="F42" s="570"/>
      <c r="G42" s="570"/>
      <c r="H42" s="570"/>
      <c r="I42" s="570"/>
      <c r="J42" s="570"/>
      <c r="K42" s="570"/>
      <c r="L42" s="663">
        <f>VLOOKUP($B42,'Calc2 BYR'!$C$1:$P$219,5,FALSE)</f>
        <v>108.45631209950082</v>
      </c>
      <c r="M42" s="703"/>
    </row>
    <row r="43" spans="1:13">
      <c r="B43" s="22" t="s">
        <v>723</v>
      </c>
      <c r="C43" t="s">
        <v>84</v>
      </c>
      <c r="D43" s="547" t="s">
        <v>55</v>
      </c>
      <c r="E43" t="s">
        <v>742</v>
      </c>
      <c r="F43" s="570"/>
      <c r="G43" s="570"/>
      <c r="H43" s="570"/>
      <c r="I43" s="570"/>
      <c r="J43" s="570"/>
      <c r="K43" s="570"/>
      <c r="L43" s="663">
        <f>VLOOKUP($B43,'Calc2 BYR'!$C$1:$P$219,5,FALSE)</f>
        <v>-1.9591693038920919</v>
      </c>
      <c r="M43" s="703"/>
    </row>
    <row r="44" spans="1:13">
      <c r="B44" s="22" t="s">
        <v>724</v>
      </c>
      <c r="C44" t="s">
        <v>605</v>
      </c>
      <c r="D44" s="547" t="s">
        <v>497</v>
      </c>
      <c r="E44" t="s">
        <v>742</v>
      </c>
      <c r="F44" s="566"/>
      <c r="G44" s="566"/>
      <c r="H44" s="566"/>
      <c r="I44" s="566"/>
      <c r="J44" s="566"/>
      <c r="K44" s="566"/>
      <c r="L44" s="552">
        <f>VLOOKUP($B44,'Calc2 BYR'!$C$1:$P$219,14,FALSE)</f>
        <v>-200.08169890626081</v>
      </c>
      <c r="M44" s="686"/>
    </row>
    <row r="45" spans="1:13">
      <c r="B45" s="22" t="s">
        <v>725</v>
      </c>
      <c r="C45" t="s">
        <v>323</v>
      </c>
      <c r="D45" s="547" t="s">
        <v>497</v>
      </c>
      <c r="E45" t="s">
        <v>742</v>
      </c>
      <c r="F45" s="566"/>
      <c r="G45" s="566"/>
      <c r="H45" s="566"/>
      <c r="I45" s="566"/>
      <c r="J45" s="566"/>
      <c r="K45" s="566"/>
      <c r="L45" s="552">
        <f>VLOOKUP($B45,'Calc2 BYR'!$C$1:$P$219,14,FALSE)</f>
        <v>29.985910180749634</v>
      </c>
      <c r="M45" s="686"/>
    </row>
    <row r="46" spans="1:13">
      <c r="B46" s="22" t="s">
        <v>726</v>
      </c>
      <c r="C46" t="s">
        <v>72</v>
      </c>
      <c r="D46" s="547" t="s">
        <v>497</v>
      </c>
      <c r="E46" t="s">
        <v>742</v>
      </c>
      <c r="F46" s="566"/>
      <c r="G46" s="566"/>
      <c r="H46" s="566"/>
      <c r="I46" s="566"/>
      <c r="J46" s="566"/>
      <c r="K46" s="566"/>
      <c r="L46" s="552">
        <f>VLOOKUP($B46,'Calc2 BYR'!$C$1:$P$219,14,FALSE)</f>
        <v>7.9744858071913871</v>
      </c>
      <c r="M46" s="686"/>
    </row>
    <row r="47" spans="1:13">
      <c r="B47" s="22" t="s">
        <v>727</v>
      </c>
      <c r="C47" t="s">
        <v>244</v>
      </c>
      <c r="D47" s="547" t="s">
        <v>497</v>
      </c>
      <c r="E47" t="s">
        <v>742</v>
      </c>
      <c r="F47" s="566"/>
      <c r="G47" s="566"/>
      <c r="H47" s="566"/>
      <c r="I47" s="566"/>
      <c r="J47" s="566"/>
      <c r="K47" s="566"/>
      <c r="L47" s="552">
        <f>VLOOKUP($B47,'Calc2 BYR'!$C$1:$P$219,14,FALSE)</f>
        <v>22.011424373558249</v>
      </c>
      <c r="M47" s="686"/>
    </row>
    <row r="48" spans="1:13">
      <c r="B48" s="22" t="s">
        <v>728</v>
      </c>
      <c r="C48" t="s">
        <v>248</v>
      </c>
      <c r="D48" s="547" t="s">
        <v>497</v>
      </c>
      <c r="E48" t="s">
        <v>742</v>
      </c>
      <c r="F48" s="566"/>
      <c r="G48" s="566"/>
      <c r="H48" s="566"/>
      <c r="I48" s="566"/>
      <c r="J48" s="566"/>
      <c r="K48" s="566"/>
      <c r="L48" s="552">
        <f>VLOOKUP($B48,'Calc2 BYR'!$C$1:$P$219,14,FALSE)</f>
        <v>-46.539313089769337</v>
      </c>
      <c r="M48" s="686"/>
    </row>
    <row r="49" spans="2:13">
      <c r="B49" s="22" t="s">
        <v>729</v>
      </c>
      <c r="C49" t="s">
        <v>606</v>
      </c>
      <c r="D49" s="547" t="s">
        <v>497</v>
      </c>
      <c r="E49" t="s">
        <v>742</v>
      </c>
      <c r="F49" s="566"/>
      <c r="G49" s="566"/>
      <c r="H49" s="566"/>
      <c r="I49" s="566"/>
      <c r="J49" s="566"/>
      <c r="K49" s="566"/>
      <c r="L49" s="552">
        <f>VLOOKUP($B49,'Calc2 BYR'!$C$1:$P$219,14,FALSE)</f>
        <v>-24.527888716211084</v>
      </c>
      <c r="M49" s="686"/>
    </row>
    <row r="50" spans="2:13">
      <c r="B50" s="22" t="s">
        <v>730</v>
      </c>
      <c r="C50" t="s">
        <v>610</v>
      </c>
      <c r="D50" s="547" t="s">
        <v>497</v>
      </c>
      <c r="E50" t="s">
        <v>742</v>
      </c>
      <c r="F50" s="566"/>
      <c r="G50" s="566"/>
      <c r="H50" s="566"/>
      <c r="I50" s="566"/>
      <c r="J50" s="566"/>
      <c r="K50" s="566"/>
      <c r="L50" s="552">
        <f>VLOOKUP($B50,'Calc2 BYR'!$C$1:$P$219,14,FALSE)</f>
        <v>-25.524647678151926</v>
      </c>
      <c r="M50" s="686"/>
    </row>
    <row r="51" spans="2:13">
      <c r="B51" s="22" t="s">
        <v>731</v>
      </c>
      <c r="C51" t="s">
        <v>607</v>
      </c>
      <c r="D51" s="547" t="s">
        <v>497</v>
      </c>
      <c r="E51" t="s">
        <v>742</v>
      </c>
      <c r="F51" s="566"/>
      <c r="G51" s="566"/>
      <c r="H51" s="566"/>
      <c r="I51" s="566"/>
      <c r="J51" s="566"/>
      <c r="K51" s="566"/>
      <c r="L51" s="552">
        <f>VLOOKUP($B51,'Calc2 BYR'!$C$1:$P$219,14,FALSE)</f>
        <v>-40.216511108683477</v>
      </c>
      <c r="M51" s="686"/>
    </row>
    <row r="52" spans="2:13">
      <c r="B52" s="22" t="s">
        <v>732</v>
      </c>
      <c r="C52" t="s">
        <v>324</v>
      </c>
      <c r="D52" s="547" t="s">
        <v>497</v>
      </c>
      <c r="E52" t="s">
        <v>742</v>
      </c>
      <c r="F52" s="566"/>
      <c r="G52" s="566"/>
      <c r="H52" s="566"/>
      <c r="I52" s="566"/>
      <c r="J52" s="566"/>
      <c r="K52" s="566"/>
      <c r="L52" s="552">
        <f>VLOOKUP($B52,'Calc2 BYR'!$C$1:$P$219,14,FALSE)</f>
        <v>-43.60679980954702</v>
      </c>
      <c r="M52" s="686"/>
    </row>
    <row r="53" spans="2:13">
      <c r="B53" s="22" t="s">
        <v>733</v>
      </c>
      <c r="C53" t="s">
        <v>73</v>
      </c>
      <c r="D53" s="547" t="s">
        <v>497</v>
      </c>
      <c r="E53" t="s">
        <v>742</v>
      </c>
      <c r="F53" s="566"/>
      <c r="G53" s="566"/>
      <c r="H53" s="566"/>
      <c r="I53" s="566"/>
      <c r="J53" s="566"/>
      <c r="K53" s="566"/>
      <c r="L53" s="552">
        <f>VLOOKUP($B53,'Calc2 BYR'!$C$1:$P$219,14,FALSE)</f>
        <v>-16.852496788083382</v>
      </c>
      <c r="M53" s="686"/>
    </row>
    <row r="54" spans="2:13">
      <c r="B54" s="22" t="s">
        <v>734</v>
      </c>
      <c r="C54" t="s">
        <v>245</v>
      </c>
      <c r="D54" s="547" t="s">
        <v>497</v>
      </c>
      <c r="E54" t="s">
        <v>742</v>
      </c>
      <c r="F54" s="566"/>
      <c r="G54" s="566"/>
      <c r="H54" s="566"/>
      <c r="I54" s="566"/>
      <c r="J54" s="566"/>
      <c r="K54" s="566"/>
      <c r="L54" s="552">
        <f>VLOOKUP($B54,'Calc2 BYR'!$C$1:$P$219,14,FALSE)</f>
        <v>-26.754303021463635</v>
      </c>
      <c r="M54" s="686"/>
    </row>
    <row r="55" spans="2:13">
      <c r="B55" s="22" t="s">
        <v>735</v>
      </c>
      <c r="C55" t="s">
        <v>249</v>
      </c>
      <c r="D55" s="547" t="s">
        <v>497</v>
      </c>
      <c r="E55" t="s">
        <v>742</v>
      </c>
      <c r="F55" s="566"/>
      <c r="G55" s="566"/>
      <c r="H55" s="566"/>
      <c r="I55" s="566"/>
      <c r="J55" s="566"/>
      <c r="K55" s="566"/>
      <c r="L55" s="552">
        <f>VLOOKUP($B55,'Calc2 BYR'!$C$1:$P$219,14,FALSE)</f>
        <v>-6.6829643461763073</v>
      </c>
      <c r="M55" s="686"/>
    </row>
    <row r="56" spans="2:13">
      <c r="B56" s="22" t="s">
        <v>736</v>
      </c>
      <c r="C56" t="s">
        <v>608</v>
      </c>
      <c r="D56" s="547" t="s">
        <v>497</v>
      </c>
      <c r="E56" t="s">
        <v>742</v>
      </c>
      <c r="F56" s="566"/>
      <c r="G56" s="566"/>
      <c r="H56" s="566"/>
      <c r="I56" s="566"/>
      <c r="J56" s="566"/>
      <c r="K56" s="566"/>
      <c r="L56" s="552">
        <f>VLOOKUP($B56,'Calc2 BYR'!$C$1:$P$219,14,FALSE)</f>
        <v>-33.43726736763994</v>
      </c>
      <c r="M56" s="686"/>
    </row>
    <row r="57" spans="2:13">
      <c r="B57" s="22" t="s">
        <v>737</v>
      </c>
      <c r="C57" t="s">
        <v>609</v>
      </c>
      <c r="D57" s="547" t="s">
        <v>497</v>
      </c>
      <c r="E57" t="s">
        <v>742</v>
      </c>
      <c r="F57" s="566"/>
      <c r="G57" s="566"/>
      <c r="H57" s="566"/>
      <c r="I57" s="566"/>
      <c r="J57" s="566"/>
      <c r="K57" s="566"/>
      <c r="L57" s="552">
        <f>VLOOKUP($B57,'Calc2 BYR'!$C$1:$P$219,14,FALSE)</f>
        <v>-35.897754457304607</v>
      </c>
      <c r="M57" s="686"/>
    </row>
  </sheetData>
  <sheetProtection password="E1AE" sheet="1" objects="1" scenarios="1"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election activeCell="A3" sqref="A3"/>
    </sheetView>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777</v>
      </c>
      <c r="B1" t="s">
        <v>778</v>
      </c>
    </row>
    <row r="2" spans="1:2">
      <c r="A2" t="s">
        <v>779</v>
      </c>
      <c r="B2" t="s">
        <v>824</v>
      </c>
    </row>
    <row r="3" spans="1:2">
      <c r="A3" t="s">
        <v>775</v>
      </c>
      <c r="B3" t="s">
        <v>776</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813</v>
      </c>
      <c r="B21" t="s">
        <v>819</v>
      </c>
    </row>
    <row r="22" spans="1:2">
      <c r="A22" t="s">
        <v>814</v>
      </c>
      <c r="B22" t="s">
        <v>799</v>
      </c>
    </row>
    <row r="23" spans="1:2">
      <c r="A23" t="s">
        <v>815</v>
      </c>
      <c r="B23" t="s">
        <v>825</v>
      </c>
    </row>
    <row r="24" spans="1:2">
      <c r="A24" t="s">
        <v>816</v>
      </c>
      <c r="B24" t="s">
        <v>817</v>
      </c>
    </row>
    <row r="25" spans="1:2">
      <c r="A25" t="s">
        <v>818</v>
      </c>
      <c r="B25" t="s">
        <v>826</v>
      </c>
    </row>
    <row r="26" spans="1:2">
      <c r="A26" t="s">
        <v>820</v>
      </c>
      <c r="B26" t="s">
        <v>823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election sqref="A1:XFD1048576"/>
    </sheetView>
  </sheetViews>
  <sheetFormatPr defaultRowHeight="13.2"/>
  <cols>
    <col min="1" max="1" width="5.10937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821</v>
      </c>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A5" t="s">
        <v>821</v>
      </c>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A6" t="s">
        <v>821</v>
      </c>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A7" t="s">
        <v>821</v>
      </c>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A8" t="s">
        <v>821</v>
      </c>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A9" t="s">
        <v>821</v>
      </c>
      <c r="B9" t="s">
        <v>456</v>
      </c>
      <c r="C9" t="s">
        <v>220</v>
      </c>
      <c r="D9" t="s">
        <v>497</v>
      </c>
      <c r="E9" t="s">
        <v>742</v>
      </c>
      <c r="F9" s="566"/>
      <c r="G9" s="566"/>
      <c r="H9" s="566"/>
      <c r="I9" s="566">
        <v>0</v>
      </c>
      <c r="J9" s="566">
        <v>0</v>
      </c>
      <c r="K9" s="566">
        <v>0</v>
      </c>
      <c r="L9" s="566">
        <v>0</v>
      </c>
      <c r="M9" s="566">
        <v>0</v>
      </c>
      <c r="N9" s="566"/>
      <c r="O9" s="566"/>
    </row>
    <row r="10" spans="1:15">
      <c r="A10" t="s">
        <v>821</v>
      </c>
      <c r="B10" t="s">
        <v>457</v>
      </c>
      <c r="C10" t="s">
        <v>221</v>
      </c>
      <c r="D10" t="s">
        <v>497</v>
      </c>
      <c r="E10" t="s">
        <v>742</v>
      </c>
      <c r="F10" s="566"/>
      <c r="G10" s="566"/>
      <c r="H10" s="566"/>
      <c r="I10" s="566">
        <v>0</v>
      </c>
      <c r="J10" s="566">
        <v>0</v>
      </c>
      <c r="K10" s="566">
        <v>0</v>
      </c>
      <c r="L10" s="566">
        <v>0</v>
      </c>
      <c r="M10" s="566">
        <v>0</v>
      </c>
      <c r="N10" s="566"/>
      <c r="O10" s="566"/>
    </row>
    <row r="11" spans="1:15">
      <c r="A11" t="s">
        <v>821</v>
      </c>
      <c r="B11" t="s">
        <v>458</v>
      </c>
      <c r="C11" t="s">
        <v>416</v>
      </c>
      <c r="D11" t="s">
        <v>497</v>
      </c>
      <c r="E11" t="s">
        <v>742</v>
      </c>
      <c r="F11" s="566"/>
      <c r="G11" s="566"/>
      <c r="H11" s="566"/>
      <c r="I11" s="566">
        <v>0</v>
      </c>
      <c r="J11" s="566">
        <v>0</v>
      </c>
      <c r="K11" s="566">
        <v>0</v>
      </c>
      <c r="L11" s="566">
        <v>0</v>
      </c>
      <c r="M11" s="566">
        <v>0</v>
      </c>
      <c r="N11" s="566"/>
      <c r="O11" s="566"/>
    </row>
    <row r="12" spans="1:15">
      <c r="A12" t="s">
        <v>821</v>
      </c>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A13" t="s">
        <v>821</v>
      </c>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A14" t="s">
        <v>821</v>
      </c>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A15" t="s">
        <v>821</v>
      </c>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A16" t="s">
        <v>821</v>
      </c>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1:15">
      <c r="A17" t="s">
        <v>821</v>
      </c>
      <c r="B17" t="s">
        <v>449</v>
      </c>
      <c r="C17" t="s">
        <v>222</v>
      </c>
      <c r="D17" t="s">
        <v>497</v>
      </c>
      <c r="E17" t="s">
        <v>742</v>
      </c>
      <c r="F17" s="566"/>
      <c r="G17" s="566"/>
      <c r="H17" s="566"/>
      <c r="I17" s="566">
        <v>0</v>
      </c>
      <c r="J17" s="566">
        <v>0</v>
      </c>
      <c r="K17" s="566">
        <v>0</v>
      </c>
      <c r="L17" s="566">
        <v>0</v>
      </c>
      <c r="M17" s="566">
        <v>0</v>
      </c>
      <c r="N17" s="566"/>
      <c r="O17" s="566"/>
    </row>
    <row r="18" spans="1:15">
      <c r="A18" t="s">
        <v>821</v>
      </c>
      <c r="B18" t="s">
        <v>450</v>
      </c>
      <c r="C18" t="s">
        <v>223</v>
      </c>
      <c r="D18" t="s">
        <v>497</v>
      </c>
      <c r="E18" t="s">
        <v>742</v>
      </c>
      <c r="F18" s="566"/>
      <c r="G18" s="566"/>
      <c r="H18" s="566"/>
      <c r="I18" s="566">
        <v>0</v>
      </c>
      <c r="J18" s="566">
        <v>0</v>
      </c>
      <c r="K18" s="566">
        <v>0</v>
      </c>
      <c r="L18" s="566">
        <v>0</v>
      </c>
      <c r="M18" s="566">
        <v>0</v>
      </c>
      <c r="N18" s="566"/>
      <c r="O18" s="566"/>
    </row>
    <row r="19" spans="1:15">
      <c r="A19" t="s">
        <v>821</v>
      </c>
      <c r="B19" t="s">
        <v>443</v>
      </c>
      <c r="C19" t="s">
        <v>417</v>
      </c>
      <c r="D19" t="s">
        <v>497</v>
      </c>
      <c r="E19" t="s">
        <v>742</v>
      </c>
      <c r="F19" s="566"/>
      <c r="G19" s="566"/>
      <c r="H19" s="566"/>
      <c r="I19" s="566">
        <v>0</v>
      </c>
      <c r="J19" s="566">
        <v>0</v>
      </c>
      <c r="K19" s="566">
        <v>0</v>
      </c>
      <c r="L19" s="566">
        <v>0</v>
      </c>
      <c r="M19" s="566">
        <v>0</v>
      </c>
      <c r="N19" s="566"/>
      <c r="O19" s="566"/>
    </row>
    <row r="20" spans="1:15">
      <c r="A20" t="s">
        <v>821</v>
      </c>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1:15">
      <c r="A21" t="s">
        <v>821</v>
      </c>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1:15">
      <c r="A22" t="s">
        <v>821</v>
      </c>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1:15">
      <c r="A23" t="s">
        <v>821</v>
      </c>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1:15">
      <c r="A24" t="s">
        <v>821</v>
      </c>
      <c r="B24" t="s">
        <v>441</v>
      </c>
      <c r="C24" t="s">
        <v>224</v>
      </c>
      <c r="D24" t="s">
        <v>497</v>
      </c>
      <c r="E24" t="s">
        <v>742</v>
      </c>
      <c r="F24" s="566"/>
      <c r="G24" s="566"/>
      <c r="H24" s="566"/>
      <c r="I24" s="566">
        <v>0</v>
      </c>
      <c r="J24" s="566">
        <v>0</v>
      </c>
      <c r="K24" s="566">
        <v>0</v>
      </c>
      <c r="L24" s="566">
        <v>0</v>
      </c>
      <c r="M24" s="566">
        <v>0</v>
      </c>
      <c r="N24" s="566"/>
      <c r="O24" s="566"/>
    </row>
    <row r="25" spans="1:15">
      <c r="A25" t="s">
        <v>821</v>
      </c>
      <c r="B25" t="s">
        <v>442</v>
      </c>
      <c r="C25" t="s">
        <v>225</v>
      </c>
      <c r="D25" t="s">
        <v>497</v>
      </c>
      <c r="E25" t="s">
        <v>742</v>
      </c>
      <c r="F25" s="566"/>
      <c r="G25" s="566"/>
      <c r="H25" s="566"/>
      <c r="I25" s="566">
        <v>0</v>
      </c>
      <c r="J25" s="566">
        <v>0</v>
      </c>
      <c r="K25" s="566">
        <v>0</v>
      </c>
      <c r="L25" s="566">
        <v>0</v>
      </c>
      <c r="M25" s="566">
        <v>0</v>
      </c>
      <c r="N25" s="566"/>
      <c r="O25" s="566"/>
    </row>
    <row r="26" spans="1:15">
      <c r="A26" t="s">
        <v>821</v>
      </c>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1:15">
      <c r="A27" t="s">
        <v>821</v>
      </c>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1:15">
      <c r="A28" t="s">
        <v>821</v>
      </c>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1:15">
      <c r="A29" t="s">
        <v>821</v>
      </c>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1:15">
      <c r="A30" t="s">
        <v>821</v>
      </c>
      <c r="B30" t="s">
        <v>439</v>
      </c>
      <c r="C30" t="s">
        <v>226</v>
      </c>
      <c r="D30" t="s">
        <v>497</v>
      </c>
      <c r="E30" t="s">
        <v>742</v>
      </c>
      <c r="F30" s="566"/>
      <c r="G30" s="566"/>
      <c r="H30" s="566"/>
      <c r="I30" s="566">
        <v>0</v>
      </c>
      <c r="J30" s="566">
        <v>0</v>
      </c>
      <c r="K30" s="566">
        <v>0</v>
      </c>
      <c r="L30" s="566">
        <v>0</v>
      </c>
      <c r="M30" s="566">
        <v>0</v>
      </c>
      <c r="N30" s="566"/>
      <c r="O30" s="566"/>
    </row>
    <row r="31" spans="1:15">
      <c r="A31" t="s">
        <v>821</v>
      </c>
      <c r="B31" t="s">
        <v>440</v>
      </c>
      <c r="C31" t="s">
        <v>227</v>
      </c>
      <c r="D31" t="s">
        <v>497</v>
      </c>
      <c r="E31" t="s">
        <v>742</v>
      </c>
      <c r="F31" s="566"/>
      <c r="G31" s="566"/>
      <c r="H31" s="566"/>
      <c r="I31" s="566">
        <v>0</v>
      </c>
      <c r="J31" s="566">
        <v>0</v>
      </c>
      <c r="K31" s="566">
        <v>0</v>
      </c>
      <c r="L31" s="566">
        <v>0</v>
      </c>
      <c r="M31" s="566">
        <v>0</v>
      </c>
      <c r="N31" s="566"/>
      <c r="O31" s="566"/>
    </row>
    <row r="32" spans="1:15">
      <c r="A32" t="s">
        <v>821</v>
      </c>
      <c r="B32" t="s">
        <v>68</v>
      </c>
      <c r="C32" t="s">
        <v>55</v>
      </c>
      <c r="D32" t="s">
        <v>518</v>
      </c>
      <c r="E32" t="s">
        <v>742</v>
      </c>
      <c r="F32" s="567">
        <v>93.598778127411705</v>
      </c>
      <c r="G32" s="567"/>
      <c r="H32" s="567"/>
      <c r="I32" s="567"/>
      <c r="J32" s="567"/>
      <c r="K32" s="567"/>
      <c r="L32" s="567"/>
      <c r="M32" s="567"/>
      <c r="N32" s="567"/>
      <c r="O32" s="567"/>
    </row>
    <row r="33" spans="1:15">
      <c r="A33" t="s">
        <v>821</v>
      </c>
      <c r="B33" t="s">
        <v>69</v>
      </c>
      <c r="C33" t="s">
        <v>55</v>
      </c>
      <c r="D33" t="s">
        <v>518</v>
      </c>
      <c r="E33" t="s">
        <v>742</v>
      </c>
      <c r="F33" s="567">
        <v>107.890038009222</v>
      </c>
      <c r="G33" s="567"/>
      <c r="H33" s="567"/>
      <c r="I33" s="567"/>
      <c r="J33" s="567"/>
      <c r="K33" s="567"/>
      <c r="L33" s="567"/>
      <c r="M33" s="567"/>
      <c r="N33" s="567"/>
      <c r="O33" s="567"/>
    </row>
    <row r="34" spans="1:15">
      <c r="A34" t="s">
        <v>821</v>
      </c>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1:15">
      <c r="A35" t="s">
        <v>821</v>
      </c>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1:15">
      <c r="A36" t="s">
        <v>821</v>
      </c>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1:15">
      <c r="A37" t="s">
        <v>821</v>
      </c>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1:15">
      <c r="A38" t="s">
        <v>821</v>
      </c>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821</v>
      </c>
      <c r="B39" t="s">
        <v>533</v>
      </c>
      <c r="C39" t="s">
        <v>504</v>
      </c>
      <c r="D39" t="s">
        <v>499</v>
      </c>
      <c r="E39" t="s">
        <v>742</v>
      </c>
      <c r="F39" s="570"/>
      <c r="G39" s="570"/>
      <c r="H39" s="570"/>
      <c r="I39" s="570"/>
      <c r="J39" s="570"/>
      <c r="K39" s="570"/>
      <c r="L39" s="570"/>
      <c r="M39" s="570"/>
      <c r="N39" s="570">
        <v>6.2600000000000003E-2</v>
      </c>
      <c r="O39" s="570"/>
    </row>
    <row r="40" spans="1:15">
      <c r="A40" t="s">
        <v>821</v>
      </c>
      <c r="B40" t="s">
        <v>424</v>
      </c>
      <c r="C40" t="s">
        <v>8</v>
      </c>
      <c r="D40" t="s">
        <v>497</v>
      </c>
      <c r="E40" t="s">
        <v>742</v>
      </c>
      <c r="F40" s="566"/>
      <c r="G40" s="566"/>
      <c r="H40" s="566"/>
      <c r="I40" s="566">
        <v>81.11</v>
      </c>
      <c r="J40" s="566">
        <v>62.718000000000004</v>
      </c>
      <c r="K40" s="566">
        <v>82.4</v>
      </c>
      <c r="L40" s="566">
        <v>88.368332833056201</v>
      </c>
      <c r="M40" s="566">
        <v>77.429861180947299</v>
      </c>
      <c r="N40" s="566"/>
      <c r="O40" s="566"/>
    </row>
    <row r="41" spans="1:15">
      <c r="A41" t="s">
        <v>821</v>
      </c>
      <c r="B41" t="s">
        <v>425</v>
      </c>
      <c r="C41" t="s">
        <v>65</v>
      </c>
      <c r="D41" t="s">
        <v>497</v>
      </c>
      <c r="E41" t="s">
        <v>742</v>
      </c>
      <c r="F41" s="566"/>
      <c r="G41" s="566"/>
      <c r="H41" s="566"/>
      <c r="I41" s="566">
        <v>56.975000000000001</v>
      </c>
      <c r="J41" s="566">
        <v>78.7</v>
      </c>
      <c r="K41" s="566">
        <v>104.4</v>
      </c>
      <c r="L41" s="566">
        <v>136.62866166234201</v>
      </c>
      <c r="M41" s="566">
        <v>133.83874986805799</v>
      </c>
      <c r="N41" s="566"/>
      <c r="O41" s="566"/>
    </row>
    <row r="42" spans="1:15">
      <c r="A42" t="s">
        <v>821</v>
      </c>
      <c r="B42" t="s">
        <v>426</v>
      </c>
      <c r="C42" t="s">
        <v>382</v>
      </c>
      <c r="D42" t="s">
        <v>497</v>
      </c>
      <c r="E42" t="s">
        <v>742</v>
      </c>
      <c r="F42" s="566"/>
      <c r="G42" s="566"/>
      <c r="H42" s="566"/>
      <c r="I42" s="566">
        <v>65.067999999999998</v>
      </c>
      <c r="J42" s="566">
        <v>59</v>
      </c>
      <c r="K42" s="566">
        <v>54.5</v>
      </c>
      <c r="L42" s="566">
        <v>50.342912826154702</v>
      </c>
      <c r="M42" s="566">
        <v>51.365397140712403</v>
      </c>
      <c r="N42" s="566"/>
      <c r="O42" s="566"/>
    </row>
    <row r="43" spans="1:15">
      <c r="A43" t="s">
        <v>821</v>
      </c>
      <c r="B43" t="s">
        <v>427</v>
      </c>
      <c r="C43" t="s">
        <v>383</v>
      </c>
      <c r="D43" t="s">
        <v>497</v>
      </c>
      <c r="E43" t="s">
        <v>742</v>
      </c>
      <c r="F43" s="566"/>
      <c r="G43" s="566"/>
      <c r="H43" s="566"/>
      <c r="I43" s="566">
        <v>17.885999999999999</v>
      </c>
      <c r="J43" s="566">
        <v>35.1</v>
      </c>
      <c r="K43" s="566">
        <v>45</v>
      </c>
      <c r="L43" s="566">
        <v>34.700186278274302</v>
      </c>
      <c r="M43" s="566">
        <v>34.526304537293598</v>
      </c>
      <c r="N43" s="566"/>
      <c r="O43" s="566"/>
    </row>
    <row r="44" spans="1:15">
      <c r="A44" t="s">
        <v>821</v>
      </c>
      <c r="B44" t="s">
        <v>428</v>
      </c>
      <c r="C44" t="s">
        <v>230</v>
      </c>
      <c r="D44" t="s">
        <v>497</v>
      </c>
      <c r="E44" t="s">
        <v>742</v>
      </c>
      <c r="F44" s="566"/>
      <c r="G44" s="566"/>
      <c r="H44" s="566"/>
      <c r="I44" s="566">
        <v>0</v>
      </c>
      <c r="J44" s="566">
        <v>0</v>
      </c>
      <c r="K44" s="566">
        <v>0</v>
      </c>
      <c r="L44" s="566">
        <v>0</v>
      </c>
      <c r="M44" s="566">
        <v>0</v>
      </c>
      <c r="N44" s="566"/>
      <c r="O44" s="566"/>
    </row>
    <row r="45" spans="1:15">
      <c r="A45" t="s">
        <v>821</v>
      </c>
      <c r="B45" t="s">
        <v>429</v>
      </c>
      <c r="C45" t="s">
        <v>231</v>
      </c>
      <c r="D45" t="s">
        <v>497</v>
      </c>
      <c r="E45" t="s">
        <v>742</v>
      </c>
      <c r="F45" s="566"/>
      <c r="G45" s="566"/>
      <c r="H45" s="566"/>
      <c r="I45" s="566">
        <v>0</v>
      </c>
      <c r="J45" s="566">
        <v>0</v>
      </c>
      <c r="K45" s="566">
        <v>0</v>
      </c>
      <c r="L45" s="566">
        <v>0</v>
      </c>
      <c r="M45" s="566">
        <v>0</v>
      </c>
      <c r="N45" s="566"/>
      <c r="O45" s="566"/>
    </row>
    <row r="46" spans="1:15">
      <c r="A46" t="s">
        <v>821</v>
      </c>
      <c r="B46" t="s">
        <v>430</v>
      </c>
      <c r="C46" t="s">
        <v>2</v>
      </c>
      <c r="D46" t="s">
        <v>497</v>
      </c>
      <c r="E46" t="s">
        <v>742</v>
      </c>
      <c r="F46" s="566"/>
      <c r="G46" s="566"/>
      <c r="H46" s="566"/>
      <c r="I46" s="566">
        <v>60.942999999999998</v>
      </c>
      <c r="J46" s="566">
        <v>79.064999999999998</v>
      </c>
      <c r="K46" s="566">
        <v>70.834000000000003</v>
      </c>
      <c r="L46" s="566">
        <v>68.472578196943701</v>
      </c>
      <c r="M46" s="566">
        <v>72.258091361310903</v>
      </c>
      <c r="N46" s="566"/>
      <c r="O46" s="566"/>
    </row>
    <row r="47" spans="1:15">
      <c r="A47" t="s">
        <v>821</v>
      </c>
      <c r="B47" t="s">
        <v>431</v>
      </c>
      <c r="C47" t="s">
        <v>64</v>
      </c>
      <c r="D47" t="s">
        <v>497</v>
      </c>
      <c r="E47" t="s">
        <v>742</v>
      </c>
      <c r="F47" s="566"/>
      <c r="G47" s="566"/>
      <c r="H47" s="566"/>
      <c r="I47" s="566">
        <v>128.505</v>
      </c>
      <c r="J47" s="566">
        <v>142.923</v>
      </c>
      <c r="K47" s="566">
        <v>163.24</v>
      </c>
      <c r="L47" s="566">
        <v>178.46914128188399</v>
      </c>
      <c r="M47" s="566">
        <v>206.15899999999999</v>
      </c>
      <c r="N47" s="566"/>
      <c r="O47" s="566"/>
    </row>
    <row r="48" spans="1:15">
      <c r="A48" t="s">
        <v>821</v>
      </c>
      <c r="B48" t="s">
        <v>432</v>
      </c>
      <c r="C48" t="s">
        <v>384</v>
      </c>
      <c r="D48" t="s">
        <v>497</v>
      </c>
      <c r="E48" t="s">
        <v>742</v>
      </c>
      <c r="F48" s="566"/>
      <c r="G48" s="566"/>
      <c r="H48" s="566"/>
      <c r="I48" s="566">
        <v>97.283000000000001</v>
      </c>
      <c r="J48" s="566">
        <v>130.1</v>
      </c>
      <c r="K48" s="566">
        <v>136.06899999999999</v>
      </c>
      <c r="L48" s="566">
        <v>137.88883889028</v>
      </c>
      <c r="M48" s="566">
        <v>142.913356166586</v>
      </c>
      <c r="N48" s="566"/>
      <c r="O48" s="566"/>
    </row>
    <row r="49" spans="1:15">
      <c r="A49" t="s">
        <v>821</v>
      </c>
      <c r="B49" t="s">
        <v>433</v>
      </c>
      <c r="C49" t="s">
        <v>385</v>
      </c>
      <c r="D49" t="s">
        <v>497</v>
      </c>
      <c r="E49" t="s">
        <v>742</v>
      </c>
      <c r="F49" s="566"/>
      <c r="G49" s="566"/>
      <c r="H49" s="566"/>
      <c r="I49" s="566">
        <v>100.616</v>
      </c>
      <c r="J49" s="566">
        <v>100.46</v>
      </c>
      <c r="K49" s="566">
        <v>129.751</v>
      </c>
      <c r="L49" s="566">
        <v>140.96179698633301</v>
      </c>
      <c r="M49" s="566">
        <v>122.10899999999999</v>
      </c>
      <c r="N49" s="566"/>
      <c r="O49" s="566"/>
    </row>
    <row r="50" spans="1:15">
      <c r="A50" t="s">
        <v>821</v>
      </c>
      <c r="B50" t="s">
        <v>434</v>
      </c>
      <c r="C50" t="s">
        <v>232</v>
      </c>
      <c r="D50" t="s">
        <v>497</v>
      </c>
      <c r="E50" t="s">
        <v>742</v>
      </c>
      <c r="F50" s="566"/>
      <c r="G50" s="566"/>
      <c r="H50" s="566"/>
      <c r="I50" s="566">
        <v>0</v>
      </c>
      <c r="J50" s="566">
        <v>0</v>
      </c>
      <c r="K50" s="566">
        <v>0</v>
      </c>
      <c r="L50" s="566">
        <v>0</v>
      </c>
      <c r="M50" s="566">
        <v>0</v>
      </c>
      <c r="N50" s="566"/>
      <c r="O50" s="566"/>
    </row>
    <row r="51" spans="1:15">
      <c r="A51" t="s">
        <v>821</v>
      </c>
      <c r="B51" t="s">
        <v>435</v>
      </c>
      <c r="C51" t="s">
        <v>233</v>
      </c>
      <c r="D51" t="s">
        <v>497</v>
      </c>
      <c r="E51" t="s">
        <v>742</v>
      </c>
      <c r="F51" s="566"/>
      <c r="G51" s="566"/>
      <c r="H51" s="566"/>
      <c r="I51" s="566">
        <v>0</v>
      </c>
      <c r="J51" s="566">
        <v>0</v>
      </c>
      <c r="K51" s="566">
        <v>0</v>
      </c>
      <c r="L51" s="566">
        <v>0</v>
      </c>
      <c r="M51" s="566">
        <v>0</v>
      </c>
      <c r="N51" s="566"/>
      <c r="O51" s="566"/>
    </row>
    <row r="52" spans="1:15">
      <c r="A52" t="s">
        <v>821</v>
      </c>
      <c r="B52" t="s">
        <v>420</v>
      </c>
      <c r="C52" t="s">
        <v>202</v>
      </c>
      <c r="D52" t="s">
        <v>497</v>
      </c>
      <c r="E52" t="s">
        <v>742</v>
      </c>
      <c r="F52" s="566"/>
      <c r="G52" s="566"/>
      <c r="H52" s="566"/>
      <c r="I52" s="566"/>
      <c r="J52" s="566"/>
      <c r="K52" s="566"/>
      <c r="L52" s="566"/>
      <c r="M52" s="566"/>
      <c r="N52" s="566"/>
      <c r="O52" s="566"/>
    </row>
    <row r="53" spans="1:15">
      <c r="A53" t="s">
        <v>821</v>
      </c>
      <c r="B53" t="s">
        <v>422</v>
      </c>
      <c r="C53" t="s">
        <v>203</v>
      </c>
      <c r="D53" t="s">
        <v>497</v>
      </c>
      <c r="E53" t="s">
        <v>742</v>
      </c>
      <c r="F53" s="566"/>
      <c r="G53" s="566"/>
      <c r="H53" s="566"/>
      <c r="I53" s="566"/>
      <c r="J53" s="566"/>
      <c r="K53" s="566"/>
      <c r="L53" s="566"/>
      <c r="M53" s="566"/>
      <c r="N53" s="566"/>
      <c r="O53" s="566"/>
    </row>
    <row r="54" spans="1:15">
      <c r="A54" t="s">
        <v>821</v>
      </c>
      <c r="B54" t="s">
        <v>476</v>
      </c>
      <c r="C54" t="s">
        <v>251</v>
      </c>
      <c r="D54" t="s">
        <v>497</v>
      </c>
      <c r="E54" t="s">
        <v>742</v>
      </c>
      <c r="F54" s="566"/>
      <c r="G54" s="566"/>
      <c r="H54" s="566">
        <v>0</v>
      </c>
      <c r="I54" s="566">
        <v>0</v>
      </c>
      <c r="J54" s="566">
        <v>0</v>
      </c>
      <c r="K54" s="566">
        <v>0</v>
      </c>
      <c r="L54" s="566">
        <v>0</v>
      </c>
      <c r="M54" s="566">
        <v>0</v>
      </c>
      <c r="N54" s="566"/>
      <c r="O54" s="566"/>
    </row>
    <row r="55" spans="1:15">
      <c r="A55" t="s">
        <v>821</v>
      </c>
      <c r="B55" t="s">
        <v>477</v>
      </c>
      <c r="C55" t="s">
        <v>252</v>
      </c>
      <c r="D55" t="s">
        <v>497</v>
      </c>
      <c r="E55" t="s">
        <v>742</v>
      </c>
      <c r="F55" s="566"/>
      <c r="G55" s="566"/>
      <c r="H55" s="566">
        <v>0</v>
      </c>
      <c r="I55" s="566">
        <v>0</v>
      </c>
      <c r="J55" s="566">
        <v>0</v>
      </c>
      <c r="K55" s="566">
        <v>0</v>
      </c>
      <c r="L55" s="566">
        <v>0</v>
      </c>
      <c r="M55" s="566">
        <v>0</v>
      </c>
      <c r="N55" s="566"/>
      <c r="O55" s="566"/>
    </row>
    <row r="56" spans="1:15">
      <c r="A56" t="s">
        <v>821</v>
      </c>
      <c r="B56" t="s">
        <v>478</v>
      </c>
      <c r="C56" t="s">
        <v>200</v>
      </c>
      <c r="D56" t="s">
        <v>497</v>
      </c>
      <c r="E56" t="s">
        <v>742</v>
      </c>
      <c r="F56" s="566"/>
      <c r="G56" s="566"/>
      <c r="H56" s="566">
        <v>0</v>
      </c>
      <c r="I56" s="566">
        <v>0</v>
      </c>
      <c r="J56" s="566">
        <v>0</v>
      </c>
      <c r="K56" s="566">
        <v>0</v>
      </c>
      <c r="L56" s="566">
        <v>0</v>
      </c>
      <c r="M56" s="566">
        <v>-8.0574925374535695</v>
      </c>
      <c r="N56" s="566"/>
      <c r="O56" s="566"/>
    </row>
    <row r="57" spans="1:15">
      <c r="A57" t="s">
        <v>821</v>
      </c>
      <c r="B57" t="s">
        <v>421</v>
      </c>
      <c r="C57" t="s">
        <v>204</v>
      </c>
      <c r="D57" t="s">
        <v>497</v>
      </c>
      <c r="E57" t="s">
        <v>742</v>
      </c>
      <c r="F57" s="566"/>
      <c r="G57" s="566"/>
      <c r="H57" s="566"/>
      <c r="I57" s="566"/>
      <c r="J57" s="566"/>
      <c r="K57" s="566"/>
      <c r="L57" s="566"/>
      <c r="M57" s="566"/>
      <c r="N57" s="566"/>
      <c r="O57" s="566"/>
    </row>
    <row r="58" spans="1:15">
      <c r="A58" t="s">
        <v>821</v>
      </c>
      <c r="B58" t="s">
        <v>423</v>
      </c>
      <c r="C58" t="s">
        <v>205</v>
      </c>
      <c r="D58" t="s">
        <v>497</v>
      </c>
      <c r="E58" t="s">
        <v>742</v>
      </c>
      <c r="F58" s="566"/>
      <c r="G58" s="566"/>
      <c r="H58" s="566"/>
      <c r="I58" s="566"/>
      <c r="J58" s="566"/>
      <c r="K58" s="566"/>
      <c r="L58" s="566"/>
      <c r="M58" s="566"/>
      <c r="N58" s="566"/>
      <c r="O58" s="566"/>
    </row>
    <row r="59" spans="1:15">
      <c r="A59" t="s">
        <v>821</v>
      </c>
      <c r="B59" t="s">
        <v>479</v>
      </c>
      <c r="C59" t="s">
        <v>253</v>
      </c>
      <c r="D59" t="s">
        <v>497</v>
      </c>
      <c r="E59" t="s">
        <v>742</v>
      </c>
      <c r="F59" s="566"/>
      <c r="G59" s="566"/>
      <c r="H59" s="566">
        <v>0</v>
      </c>
      <c r="I59" s="566">
        <v>0.28246441316447002</v>
      </c>
      <c r="J59" s="566">
        <v>13.0264552418378</v>
      </c>
      <c r="K59" s="566">
        <v>21.714323113048199</v>
      </c>
      <c r="L59" s="566">
        <v>24.644042771550598</v>
      </c>
      <c r="M59" s="566">
        <v>49.989885136771697</v>
      </c>
      <c r="N59" s="566"/>
      <c r="O59" s="566"/>
    </row>
    <row r="60" spans="1:15">
      <c r="A60" t="s">
        <v>821</v>
      </c>
      <c r="B60" t="s">
        <v>480</v>
      </c>
      <c r="C60" t="s">
        <v>254</v>
      </c>
      <c r="D60" t="s">
        <v>497</v>
      </c>
      <c r="E60" t="s">
        <v>742</v>
      </c>
      <c r="F60" s="566"/>
      <c r="G60" s="566"/>
      <c r="H60" s="566">
        <v>0</v>
      </c>
      <c r="I60" s="566">
        <v>0.20139714852101601</v>
      </c>
      <c r="J60" s="566">
        <v>9.3251642560225392</v>
      </c>
      <c r="K60" s="566">
        <v>15.6069197128142</v>
      </c>
      <c r="L60" s="566">
        <v>17.783757011812099</v>
      </c>
      <c r="M60" s="566">
        <v>39.564589347712001</v>
      </c>
      <c r="N60" s="566"/>
      <c r="O60" s="566"/>
    </row>
    <row r="61" spans="1:15">
      <c r="A61" t="s">
        <v>821</v>
      </c>
      <c r="B61" t="s">
        <v>481</v>
      </c>
      <c r="C61" t="s">
        <v>201</v>
      </c>
      <c r="D61" t="s">
        <v>497</v>
      </c>
      <c r="E61" t="s">
        <v>742</v>
      </c>
      <c r="F61" s="566"/>
      <c r="G61" s="566"/>
      <c r="H61" s="566">
        <v>0</v>
      </c>
      <c r="I61" s="566">
        <v>-0.4522689985251</v>
      </c>
      <c r="J61" s="566">
        <v>-1.2269052645863101</v>
      </c>
      <c r="K61" s="566">
        <v>-2.3590303473757399</v>
      </c>
      <c r="L61" s="566">
        <v>-22.498090855247899</v>
      </c>
      <c r="M61" s="566">
        <v>-41.193230711400297</v>
      </c>
      <c r="N61" s="566"/>
      <c r="O61" s="566"/>
    </row>
    <row r="62" spans="1:15">
      <c r="A62" t="s">
        <v>821</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821</v>
      </c>
      <c r="B63" t="s">
        <v>438</v>
      </c>
      <c r="C63" t="s">
        <v>92</v>
      </c>
      <c r="D63" t="s">
        <v>499</v>
      </c>
      <c r="E63" t="s">
        <v>742</v>
      </c>
      <c r="F63" s="570"/>
      <c r="G63" s="570"/>
      <c r="H63" s="570"/>
      <c r="I63" s="570"/>
      <c r="J63" s="570"/>
      <c r="K63" s="570"/>
      <c r="L63" s="570"/>
      <c r="M63" s="570"/>
      <c r="N63" s="570"/>
      <c r="O63" s="570"/>
    </row>
    <row r="64" spans="1:15">
      <c r="A64" t="s">
        <v>821</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821</v>
      </c>
      <c r="B65" t="s">
        <v>534</v>
      </c>
      <c r="C65" t="s">
        <v>559</v>
      </c>
      <c r="D65" t="s">
        <v>522</v>
      </c>
      <c r="E65" t="s">
        <v>742</v>
      </c>
      <c r="F65" s="568"/>
      <c r="G65" s="568"/>
      <c r="H65" s="568"/>
      <c r="I65" s="568"/>
      <c r="J65" s="568"/>
      <c r="K65" s="568"/>
      <c r="L65" s="568"/>
      <c r="M65" s="568"/>
      <c r="N65" s="568"/>
      <c r="O65" s="568"/>
    </row>
    <row r="66" spans="1:15">
      <c r="A66" t="s">
        <v>821</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821</v>
      </c>
      <c r="B67" t="s">
        <v>93</v>
      </c>
      <c r="C67" t="s">
        <v>523</v>
      </c>
      <c r="D67" t="s">
        <v>518</v>
      </c>
      <c r="E67" t="s">
        <v>742</v>
      </c>
      <c r="F67" s="569">
        <v>111.3</v>
      </c>
      <c r="G67" s="569"/>
      <c r="H67" s="569"/>
      <c r="I67" s="569"/>
      <c r="J67" s="569"/>
      <c r="K67" s="569"/>
      <c r="L67" s="569"/>
      <c r="M67" s="569"/>
      <c r="N67" s="569"/>
      <c r="O67" s="569"/>
    </row>
    <row r="68" spans="1:15">
      <c r="A68" t="s">
        <v>821</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821</v>
      </c>
      <c r="B69" t="s">
        <v>96</v>
      </c>
      <c r="C69" t="s">
        <v>525</v>
      </c>
      <c r="D69" t="s">
        <v>518</v>
      </c>
      <c r="E69" t="s">
        <v>742</v>
      </c>
      <c r="F69" s="569">
        <v>208.59166666666701</v>
      </c>
      <c r="G69" s="569"/>
      <c r="H69" s="569"/>
      <c r="I69" s="569"/>
      <c r="J69" s="569"/>
      <c r="K69" s="569"/>
      <c r="L69" s="569"/>
      <c r="M69" s="569"/>
      <c r="N69" s="569"/>
      <c r="O69" s="569"/>
    </row>
    <row r="70" spans="1:15">
      <c r="A70" t="s">
        <v>821</v>
      </c>
      <c r="B70" t="s">
        <v>97</v>
      </c>
      <c r="C70" t="s">
        <v>526</v>
      </c>
      <c r="D70" t="s">
        <v>518</v>
      </c>
      <c r="E70" t="s">
        <v>742</v>
      </c>
      <c r="F70" s="569">
        <v>111.3</v>
      </c>
      <c r="G70" s="569"/>
      <c r="H70" s="569"/>
      <c r="I70" s="569"/>
      <c r="J70" s="569"/>
      <c r="K70" s="569"/>
      <c r="L70" s="569"/>
      <c r="M70" s="569"/>
      <c r="N70" s="569"/>
      <c r="O70" s="569"/>
    </row>
    <row r="71" spans="1:15">
      <c r="A71" t="s">
        <v>821</v>
      </c>
      <c r="B71" t="s">
        <v>459</v>
      </c>
      <c r="C71" t="s">
        <v>39</v>
      </c>
      <c r="D71" t="s">
        <v>56</v>
      </c>
      <c r="E71" t="s">
        <v>742</v>
      </c>
      <c r="F71" s="567"/>
      <c r="G71" s="567"/>
      <c r="H71" s="567"/>
      <c r="I71" s="567"/>
      <c r="J71" s="567"/>
      <c r="K71" s="567"/>
      <c r="L71" s="567"/>
      <c r="M71" s="567"/>
      <c r="N71" s="567">
        <v>-7.4999999999999997E-3</v>
      </c>
      <c r="O71" s="567"/>
    </row>
    <row r="72" spans="1:15">
      <c r="A72" t="s">
        <v>821</v>
      </c>
      <c r="B72" t="s">
        <v>460</v>
      </c>
      <c r="C72" t="s">
        <v>40</v>
      </c>
      <c r="D72" t="s">
        <v>56</v>
      </c>
      <c r="E72" t="s">
        <v>742</v>
      </c>
      <c r="F72" s="567"/>
      <c r="G72" s="567"/>
      <c r="H72" s="567"/>
      <c r="I72" s="567"/>
      <c r="J72" s="567"/>
      <c r="K72" s="567"/>
      <c r="L72" s="567"/>
      <c r="M72" s="567"/>
      <c r="N72" s="567">
        <v>1.05</v>
      </c>
      <c r="O72" s="567"/>
    </row>
    <row r="73" spans="1:15">
      <c r="A73" t="s">
        <v>821</v>
      </c>
      <c r="B73" t="s">
        <v>461</v>
      </c>
      <c r="C73" t="s">
        <v>41</v>
      </c>
      <c r="D73" t="s">
        <v>56</v>
      </c>
      <c r="E73" t="s">
        <v>742</v>
      </c>
      <c r="F73" s="567"/>
      <c r="G73" s="567"/>
      <c r="H73" s="567"/>
      <c r="I73" s="567"/>
      <c r="J73" s="567"/>
      <c r="K73" s="567"/>
      <c r="L73" s="567"/>
      <c r="M73" s="567"/>
      <c r="N73" s="567">
        <v>0.25</v>
      </c>
      <c r="O73" s="567"/>
    </row>
    <row r="74" spans="1:15">
      <c r="A74" t="s">
        <v>821</v>
      </c>
      <c r="B74" t="s">
        <v>462</v>
      </c>
      <c r="C74" t="s">
        <v>42</v>
      </c>
      <c r="D74" t="s">
        <v>56</v>
      </c>
      <c r="E74" t="s">
        <v>742</v>
      </c>
      <c r="F74" s="567"/>
      <c r="G74" s="567"/>
      <c r="H74" s="567"/>
      <c r="I74" s="567"/>
      <c r="J74" s="567"/>
      <c r="K74" s="567"/>
      <c r="L74" s="567"/>
      <c r="M74" s="567"/>
      <c r="N74" s="567">
        <v>75</v>
      </c>
      <c r="O74" s="567"/>
    </row>
    <row r="75" spans="1:15">
      <c r="A75" t="s">
        <v>821</v>
      </c>
      <c r="B75" t="s">
        <v>463</v>
      </c>
      <c r="C75" t="s">
        <v>43</v>
      </c>
      <c r="D75" t="s">
        <v>56</v>
      </c>
      <c r="E75" t="s">
        <v>742</v>
      </c>
      <c r="F75" s="567"/>
      <c r="G75" s="567"/>
      <c r="H75" s="567"/>
      <c r="I75" s="567"/>
      <c r="J75" s="567"/>
      <c r="K75" s="567"/>
      <c r="L75" s="567"/>
      <c r="M75" s="567"/>
      <c r="N75" s="567">
        <v>-1.8749999999999999E-3</v>
      </c>
      <c r="O75" s="567"/>
    </row>
    <row r="76" spans="1:15">
      <c r="A76" t="s">
        <v>821</v>
      </c>
      <c r="B76" t="s">
        <v>464</v>
      </c>
      <c r="C76" t="s">
        <v>44</v>
      </c>
      <c r="D76" t="s">
        <v>56</v>
      </c>
      <c r="E76" t="s">
        <v>742</v>
      </c>
      <c r="F76" s="567"/>
      <c r="G76" s="567"/>
      <c r="H76" s="567"/>
      <c r="I76" s="567"/>
      <c r="J76" s="567"/>
      <c r="K76" s="567"/>
      <c r="L76" s="567"/>
      <c r="M76" s="567"/>
      <c r="N76" s="567">
        <v>0.28749999999999998</v>
      </c>
      <c r="O76" s="567"/>
    </row>
    <row r="77" spans="1:15">
      <c r="A77" t="s">
        <v>821</v>
      </c>
      <c r="B77" t="s">
        <v>465</v>
      </c>
      <c r="C77" t="s">
        <v>45</v>
      </c>
      <c r="D77" t="s">
        <v>56</v>
      </c>
      <c r="E77" t="s">
        <v>742</v>
      </c>
      <c r="F77" s="567"/>
      <c r="G77" s="567"/>
      <c r="H77" s="567"/>
      <c r="I77" s="567"/>
      <c r="J77" s="567"/>
      <c r="K77" s="567"/>
      <c r="L77" s="567"/>
      <c r="M77" s="567"/>
      <c r="N77" s="567">
        <v>-10</v>
      </c>
      <c r="O77" s="567"/>
    </row>
    <row r="78" spans="1:15">
      <c r="A78" t="s">
        <v>821</v>
      </c>
      <c r="B78" t="s">
        <v>466</v>
      </c>
      <c r="C78" t="s">
        <v>39</v>
      </c>
      <c r="D78" t="s">
        <v>56</v>
      </c>
      <c r="E78" t="s">
        <v>742</v>
      </c>
      <c r="F78" s="567"/>
      <c r="G78" s="567"/>
      <c r="H78" s="567"/>
      <c r="I78" s="567"/>
      <c r="J78" s="567"/>
      <c r="K78" s="567"/>
      <c r="L78" s="567"/>
      <c r="M78" s="567"/>
      <c r="N78" s="567">
        <v>-5.0000000000000001E-3</v>
      </c>
      <c r="O78" s="567"/>
    </row>
    <row r="79" spans="1:15">
      <c r="A79" t="s">
        <v>821</v>
      </c>
      <c r="B79" t="s">
        <v>467</v>
      </c>
      <c r="C79" t="s">
        <v>40</v>
      </c>
      <c r="D79" t="s">
        <v>56</v>
      </c>
      <c r="E79" t="s">
        <v>742</v>
      </c>
      <c r="F79" s="567"/>
      <c r="G79" s="567"/>
      <c r="H79" s="567"/>
      <c r="I79" s="567"/>
      <c r="J79" s="567"/>
      <c r="K79" s="567"/>
      <c r="L79" s="567"/>
      <c r="M79" s="567"/>
      <c r="N79" s="567">
        <v>0.8</v>
      </c>
      <c r="O79" s="567"/>
    </row>
    <row r="80" spans="1:15">
      <c r="A80" t="s">
        <v>821</v>
      </c>
      <c r="B80" t="s">
        <v>468</v>
      </c>
      <c r="C80" t="s">
        <v>41</v>
      </c>
      <c r="D80" t="s">
        <v>56</v>
      </c>
      <c r="E80" t="s">
        <v>742</v>
      </c>
      <c r="F80" s="567"/>
      <c r="G80" s="567"/>
      <c r="H80" s="567"/>
      <c r="I80" s="567"/>
      <c r="J80" s="567"/>
      <c r="K80" s="567"/>
      <c r="L80" s="567"/>
      <c r="M80" s="567"/>
      <c r="N80" s="567">
        <v>0.25</v>
      </c>
      <c r="O80" s="567"/>
    </row>
    <row r="81" spans="1:15">
      <c r="A81" t="s">
        <v>821</v>
      </c>
      <c r="B81" t="s">
        <v>469</v>
      </c>
      <c r="C81" t="s">
        <v>42</v>
      </c>
      <c r="D81" t="s">
        <v>56</v>
      </c>
      <c r="E81" t="s">
        <v>742</v>
      </c>
      <c r="F81" s="567"/>
      <c r="G81" s="567"/>
      <c r="H81" s="567"/>
      <c r="I81" s="567"/>
      <c r="J81" s="567"/>
      <c r="K81" s="567"/>
      <c r="L81" s="567"/>
      <c r="M81" s="567"/>
      <c r="N81" s="567">
        <v>75</v>
      </c>
      <c r="O81" s="567"/>
    </row>
    <row r="82" spans="1:15">
      <c r="A82" t="s">
        <v>821</v>
      </c>
      <c r="B82" t="s">
        <v>470</v>
      </c>
      <c r="C82" t="s">
        <v>43</v>
      </c>
      <c r="D82" t="s">
        <v>56</v>
      </c>
      <c r="E82" t="s">
        <v>742</v>
      </c>
      <c r="F82" s="567"/>
      <c r="G82" s="567"/>
      <c r="H82" s="567"/>
      <c r="I82" s="567"/>
      <c r="J82" s="567"/>
      <c r="K82" s="567"/>
      <c r="L82" s="567"/>
      <c r="M82" s="567"/>
      <c r="N82" s="567">
        <v>-1.25E-3</v>
      </c>
      <c r="O82" s="567"/>
    </row>
    <row r="83" spans="1:15">
      <c r="A83" t="s">
        <v>821</v>
      </c>
      <c r="B83" t="s">
        <v>471</v>
      </c>
      <c r="C83" t="s">
        <v>44</v>
      </c>
      <c r="D83" t="s">
        <v>56</v>
      </c>
      <c r="E83" t="s">
        <v>742</v>
      </c>
      <c r="F83" s="567"/>
      <c r="G83" s="567"/>
      <c r="H83" s="567"/>
      <c r="I83" s="567"/>
      <c r="J83" s="567"/>
      <c r="K83" s="567"/>
      <c r="L83" s="567"/>
      <c r="M83" s="567"/>
      <c r="N83" s="567">
        <v>0.17499999999999999</v>
      </c>
      <c r="O83" s="567"/>
    </row>
    <row r="84" spans="1:15">
      <c r="A84" t="s">
        <v>821</v>
      </c>
      <c r="B84" t="s">
        <v>472</v>
      </c>
      <c r="C84" t="s">
        <v>45</v>
      </c>
      <c r="D84" t="s">
        <v>56</v>
      </c>
      <c r="E84" t="s">
        <v>742</v>
      </c>
      <c r="F84" s="567"/>
      <c r="G84" s="567"/>
      <c r="H84" s="567"/>
      <c r="I84" s="567"/>
      <c r="J84" s="567"/>
      <c r="K84" s="567"/>
      <c r="L84" s="567"/>
      <c r="M84" s="567"/>
      <c r="N84" s="567">
        <v>-5</v>
      </c>
      <c r="O84" s="567"/>
    </row>
    <row r="85" spans="1:15">
      <c r="A85" t="s">
        <v>821</v>
      </c>
      <c r="B85" t="s">
        <v>473</v>
      </c>
      <c r="C85" t="s">
        <v>46</v>
      </c>
      <c r="D85" t="s">
        <v>56</v>
      </c>
      <c r="E85" t="s">
        <v>742</v>
      </c>
      <c r="F85" s="567"/>
      <c r="G85" s="567"/>
      <c r="H85" s="567"/>
      <c r="I85" s="567"/>
      <c r="J85" s="567"/>
      <c r="K85" s="567"/>
      <c r="L85" s="567"/>
      <c r="M85" s="567"/>
      <c r="N85" s="567">
        <v>0.05</v>
      </c>
      <c r="O85" s="567"/>
    </row>
    <row r="86" spans="1:15">
      <c r="A86" t="s">
        <v>821</v>
      </c>
      <c r="B86" t="s">
        <v>474</v>
      </c>
      <c r="C86" t="s">
        <v>50</v>
      </c>
      <c r="D86" t="s">
        <v>55</v>
      </c>
      <c r="E86" t="s">
        <v>742</v>
      </c>
      <c r="F86" s="567"/>
      <c r="G86" s="567"/>
      <c r="H86" s="567"/>
      <c r="I86" s="567"/>
      <c r="J86" s="567"/>
      <c r="K86" s="567"/>
      <c r="L86" s="567"/>
      <c r="M86" s="567"/>
      <c r="N86" s="567">
        <v>100</v>
      </c>
      <c r="O86" s="567"/>
    </row>
    <row r="87" spans="1:15">
      <c r="A87" t="s">
        <v>821</v>
      </c>
      <c r="B87" t="s">
        <v>475</v>
      </c>
      <c r="C87" t="s">
        <v>47</v>
      </c>
      <c r="D87" t="s">
        <v>55</v>
      </c>
      <c r="E87" t="s">
        <v>742</v>
      </c>
      <c r="F87" s="567"/>
      <c r="G87" s="567"/>
      <c r="H87" s="567"/>
      <c r="I87" s="567"/>
      <c r="J87" s="567"/>
      <c r="K87" s="567"/>
      <c r="L87" s="567"/>
      <c r="M87" s="567"/>
      <c r="N87" s="567">
        <v>130</v>
      </c>
      <c r="O87" s="567"/>
    </row>
    <row r="88" spans="1:15">
      <c r="A88" t="s">
        <v>821</v>
      </c>
      <c r="B88" t="s">
        <v>166</v>
      </c>
      <c r="C88" t="s">
        <v>270</v>
      </c>
      <c r="D88" t="s">
        <v>56</v>
      </c>
      <c r="E88" t="s">
        <v>742</v>
      </c>
      <c r="F88" s="567"/>
      <c r="G88" s="567"/>
      <c r="H88" s="567"/>
      <c r="I88" s="567"/>
      <c r="J88" s="567"/>
      <c r="K88" s="567"/>
      <c r="L88" s="567"/>
      <c r="M88" s="567"/>
      <c r="N88" s="567">
        <v>2</v>
      </c>
      <c r="O88" s="567"/>
    </row>
    <row r="89" spans="1:15">
      <c r="A89" t="s">
        <v>821</v>
      </c>
      <c r="B89" t="s">
        <v>167</v>
      </c>
      <c r="C89" t="s">
        <v>527</v>
      </c>
      <c r="D89" t="s">
        <v>518</v>
      </c>
      <c r="E89" t="s">
        <v>742</v>
      </c>
      <c r="F89" s="567"/>
      <c r="G89" s="567"/>
      <c r="H89" s="567"/>
      <c r="I89" s="567"/>
      <c r="J89" s="567"/>
      <c r="K89" s="567"/>
      <c r="L89" s="567"/>
      <c r="M89" s="567"/>
      <c r="N89" s="567">
        <v>1</v>
      </c>
      <c r="O89" s="567"/>
    </row>
    <row r="90" spans="1:15">
      <c r="A90" t="s">
        <v>821</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sqref="A1:XFD1048576"/>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96.677407217414597</v>
      </c>
      <c r="J4" s="566">
        <v>111.965967265263</v>
      </c>
      <c r="K4" s="566">
        <v>90.137927472951105</v>
      </c>
      <c r="L4" s="566">
        <v>90.6667343285458</v>
      </c>
      <c r="M4" s="566">
        <v>85.142044890137896</v>
      </c>
      <c r="N4" s="566"/>
      <c r="O4" s="566"/>
    </row>
    <row r="5" spans="1:15">
      <c r="B5" t="s">
        <v>452</v>
      </c>
      <c r="C5" t="s">
        <v>178</v>
      </c>
      <c r="D5" t="s">
        <v>497</v>
      </c>
      <c r="E5" t="s">
        <v>742</v>
      </c>
      <c r="F5" s="566"/>
      <c r="G5" s="566"/>
      <c r="H5" s="566"/>
      <c r="I5" s="566">
        <v>71.716342883676703</v>
      </c>
      <c r="J5" s="566">
        <v>108.91078858467</v>
      </c>
      <c r="K5" s="566">
        <v>106.472526906772</v>
      </c>
      <c r="L5" s="566">
        <v>87.405386500713803</v>
      </c>
      <c r="M5" s="566">
        <v>63.638229124167303</v>
      </c>
      <c r="N5" s="566"/>
      <c r="O5" s="566"/>
    </row>
    <row r="6" spans="1:15">
      <c r="B6" t="s">
        <v>453</v>
      </c>
      <c r="C6" t="s">
        <v>123</v>
      </c>
      <c r="D6" t="s">
        <v>497</v>
      </c>
      <c r="E6" t="s">
        <v>742</v>
      </c>
      <c r="F6" s="566"/>
      <c r="G6" s="566"/>
      <c r="H6" s="566"/>
      <c r="I6" s="566">
        <v>87.974174160817597</v>
      </c>
      <c r="J6" s="566">
        <v>67.934574112969699</v>
      </c>
      <c r="K6" s="566">
        <v>55.8016539052811</v>
      </c>
      <c r="L6" s="566">
        <v>42.176527049686499</v>
      </c>
      <c r="M6" s="566">
        <v>29.040736488094399</v>
      </c>
      <c r="N6" s="566"/>
      <c r="O6" s="566"/>
    </row>
    <row r="7" spans="1:15">
      <c r="B7" t="s">
        <v>454</v>
      </c>
      <c r="C7" t="s">
        <v>122</v>
      </c>
      <c r="D7" t="s">
        <v>497</v>
      </c>
      <c r="E7" t="s">
        <v>742</v>
      </c>
      <c r="F7" s="566"/>
      <c r="G7" s="566"/>
      <c r="H7" s="566"/>
      <c r="I7" s="566">
        <v>18.6694271158755</v>
      </c>
      <c r="J7" s="566">
        <v>39.4846614157779</v>
      </c>
      <c r="K7" s="566">
        <v>46.933763093227697</v>
      </c>
      <c r="L7" s="566">
        <v>39.4447534992862</v>
      </c>
      <c r="M7" s="566">
        <v>24.197480875832699</v>
      </c>
      <c r="N7" s="566"/>
      <c r="O7" s="566"/>
    </row>
    <row r="8" spans="1:15">
      <c r="B8" t="s">
        <v>455</v>
      </c>
      <c r="C8" t="s">
        <v>190</v>
      </c>
      <c r="D8" t="s">
        <v>497</v>
      </c>
      <c r="E8" t="s">
        <v>742</v>
      </c>
      <c r="F8" s="566"/>
      <c r="G8" s="566"/>
      <c r="H8" s="566"/>
      <c r="I8" s="566">
        <v>8.6940000000000008</v>
      </c>
      <c r="J8" s="566">
        <v>12.15</v>
      </c>
      <c r="K8" s="566">
        <v>9.1080000000000005</v>
      </c>
      <c r="L8" s="566">
        <v>8.3810000000000002</v>
      </c>
      <c r="M8" s="566">
        <v>9.3680000000000003</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65.399928000000003</v>
      </c>
      <c r="J12" s="566">
        <v>53.841191999999999</v>
      </c>
      <c r="K12" s="566">
        <v>58.89132</v>
      </c>
      <c r="L12" s="566">
        <v>43.576680000000003</v>
      </c>
      <c r="M12" s="566">
        <v>41.869799999999998</v>
      </c>
      <c r="N12" s="566"/>
      <c r="O12" s="566"/>
    </row>
    <row r="13" spans="1:15">
      <c r="B13" t="s">
        <v>445</v>
      </c>
      <c r="C13" t="s">
        <v>180</v>
      </c>
      <c r="D13" t="s">
        <v>497</v>
      </c>
      <c r="E13" t="s">
        <v>742</v>
      </c>
      <c r="F13" s="566"/>
      <c r="G13" s="566"/>
      <c r="H13" s="566"/>
      <c r="I13" s="566">
        <v>89.125</v>
      </c>
      <c r="J13" s="566">
        <v>107.69795999999999</v>
      </c>
      <c r="K13" s="566">
        <v>207.51151999999999</v>
      </c>
      <c r="L13" s="566">
        <v>195.52484000000001</v>
      </c>
      <c r="M13" s="566">
        <v>138.01288</v>
      </c>
      <c r="N13" s="566"/>
      <c r="O13" s="566"/>
    </row>
    <row r="14" spans="1:15">
      <c r="B14" t="s">
        <v>446</v>
      </c>
      <c r="C14" t="s">
        <v>124</v>
      </c>
      <c r="D14" t="s">
        <v>497</v>
      </c>
      <c r="E14" t="s">
        <v>742</v>
      </c>
      <c r="F14" s="566"/>
      <c r="G14" s="566"/>
      <c r="H14" s="566"/>
      <c r="I14" s="566">
        <v>85.553712000000004</v>
      </c>
      <c r="J14" s="566">
        <v>96.272447999999997</v>
      </c>
      <c r="K14" s="566">
        <v>99.670320000000004</v>
      </c>
      <c r="L14" s="566">
        <v>122.7456</v>
      </c>
      <c r="M14" s="566">
        <v>87.498239999999996</v>
      </c>
      <c r="N14" s="566"/>
      <c r="O14" s="566"/>
    </row>
    <row r="15" spans="1:15">
      <c r="B15" t="s">
        <v>447</v>
      </c>
      <c r="C15" t="s">
        <v>125</v>
      </c>
      <c r="D15" t="s">
        <v>497</v>
      </c>
      <c r="E15" t="s">
        <v>742</v>
      </c>
      <c r="F15" s="566"/>
      <c r="G15" s="566"/>
      <c r="H15" s="566"/>
      <c r="I15" s="566">
        <v>140.163582953222</v>
      </c>
      <c r="J15" s="566">
        <v>171.371845860523</v>
      </c>
      <c r="K15" s="566">
        <v>196.860884900516</v>
      </c>
      <c r="L15" s="566">
        <v>216.38377787543601</v>
      </c>
      <c r="M15" s="566">
        <v>129.12972006042801</v>
      </c>
      <c r="N15" s="566"/>
      <c r="O15" s="566"/>
    </row>
    <row r="16" spans="1:15">
      <c r="B16" t="s">
        <v>448</v>
      </c>
      <c r="C16" t="s">
        <v>191</v>
      </c>
      <c r="D16" t="s">
        <v>497</v>
      </c>
      <c r="E16" t="s">
        <v>742</v>
      </c>
      <c r="F16" s="566"/>
      <c r="G16" s="566"/>
      <c r="H16" s="566"/>
      <c r="I16" s="566">
        <v>4.2930000000000001</v>
      </c>
      <c r="J16" s="566">
        <v>5.3529999999999998</v>
      </c>
      <c r="K16" s="566">
        <v>6.4130000000000003</v>
      </c>
      <c r="L16" s="566">
        <v>7.4729999999999999</v>
      </c>
      <c r="M16" s="566">
        <v>8.5329999999999995</v>
      </c>
      <c r="N16" s="566"/>
      <c r="O16" s="566"/>
    </row>
    <row r="17" spans="2:15">
      <c r="B17" t="s">
        <v>449</v>
      </c>
      <c r="C17" t="s">
        <v>222</v>
      </c>
      <c r="D17" t="s">
        <v>497</v>
      </c>
      <c r="E17" t="s">
        <v>742</v>
      </c>
      <c r="F17" s="566"/>
      <c r="G17" s="566"/>
      <c r="H17" s="566"/>
      <c r="I17" s="566">
        <v>0</v>
      </c>
      <c r="J17" s="566">
        <v>0</v>
      </c>
      <c r="K17" s="566">
        <v>0</v>
      </c>
      <c r="L17" s="566">
        <v>0</v>
      </c>
      <c r="M17" s="566">
        <v>0</v>
      </c>
      <c r="N17" s="566"/>
      <c r="O17" s="566"/>
    </row>
    <row r="18" spans="2:15">
      <c r="B18" t="s">
        <v>450</v>
      </c>
      <c r="C18" t="s">
        <v>223</v>
      </c>
      <c r="D18" t="s">
        <v>497</v>
      </c>
      <c r="E18" t="s">
        <v>742</v>
      </c>
      <c r="F18" s="566"/>
      <c r="G18" s="566"/>
      <c r="H18" s="566"/>
      <c r="I18" s="566">
        <v>0</v>
      </c>
      <c r="J18" s="566">
        <v>0</v>
      </c>
      <c r="K18" s="566">
        <v>0</v>
      </c>
      <c r="L18" s="566">
        <v>0</v>
      </c>
      <c r="M18" s="566">
        <v>0</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63.780940999999999</v>
      </c>
      <c r="G20" s="566">
        <v>69.535950958330105</v>
      </c>
      <c r="H20" s="566">
        <v>92.963999999999999</v>
      </c>
      <c r="I20" s="566">
        <v>103.80792034644401</v>
      </c>
      <c r="J20" s="566">
        <v>119.721029127333</v>
      </c>
      <c r="K20" s="566">
        <v>96.053451727038393</v>
      </c>
      <c r="L20" s="566">
        <v>96.095368777823097</v>
      </c>
      <c r="M20" s="566">
        <v>89.772718548515499</v>
      </c>
      <c r="N20" s="566"/>
      <c r="O20" s="566"/>
    </row>
    <row r="21" spans="2:15">
      <c r="B21" t="s">
        <v>529</v>
      </c>
      <c r="C21" t="s">
        <v>512</v>
      </c>
      <c r="D21" t="s">
        <v>497</v>
      </c>
      <c r="E21" t="s">
        <v>742</v>
      </c>
      <c r="F21" s="566">
        <v>98.149025999999907</v>
      </c>
      <c r="G21" s="566">
        <v>78.197305160238997</v>
      </c>
      <c r="H21" s="566">
        <v>38.034999999999997</v>
      </c>
      <c r="I21" s="566">
        <v>75.265681003525302</v>
      </c>
      <c r="J21" s="566">
        <v>113.700229518434</v>
      </c>
      <c r="K21" s="566">
        <v>110.786225626804</v>
      </c>
      <c r="L21" s="566">
        <v>90.6493817737949</v>
      </c>
      <c r="M21" s="566">
        <v>65.836563884895199</v>
      </c>
      <c r="N21" s="566"/>
      <c r="O21" s="566"/>
    </row>
    <row r="22" spans="2:15">
      <c r="B22" t="s">
        <v>1</v>
      </c>
      <c r="C22" t="s">
        <v>513</v>
      </c>
      <c r="D22" t="s">
        <v>497</v>
      </c>
      <c r="E22" t="s">
        <v>742</v>
      </c>
      <c r="F22" s="566">
        <v>81.652688711061799</v>
      </c>
      <c r="G22" s="566">
        <v>56.059135299455299</v>
      </c>
      <c r="H22" s="566">
        <v>98.390656978544499</v>
      </c>
      <c r="I22" s="566">
        <v>90.195537485563605</v>
      </c>
      <c r="J22" s="566">
        <v>65.017064698534796</v>
      </c>
      <c r="K22" s="566">
        <v>55.705633608524998</v>
      </c>
      <c r="L22" s="566">
        <v>41.216315092907003</v>
      </c>
      <c r="M22" s="566">
        <v>25.456763531865899</v>
      </c>
      <c r="N22" s="566"/>
      <c r="O22" s="566"/>
    </row>
    <row r="23" spans="2:15">
      <c r="B23" t="s">
        <v>5</v>
      </c>
      <c r="C23" t="s">
        <v>514</v>
      </c>
      <c r="D23" t="s">
        <v>497</v>
      </c>
      <c r="E23" t="s">
        <v>742</v>
      </c>
      <c r="F23" s="566">
        <v>95.825311288938096</v>
      </c>
      <c r="G23" s="566">
        <v>34.107433064011701</v>
      </c>
      <c r="H23" s="566">
        <v>33.440343021455398</v>
      </c>
      <c r="I23" s="566">
        <v>19.0224934156209</v>
      </c>
      <c r="J23" s="566">
        <v>39.011896238409797</v>
      </c>
      <c r="K23" s="566">
        <v>47.689766045647701</v>
      </c>
      <c r="L23" s="566">
        <v>39.478637687882802</v>
      </c>
      <c r="M23" s="566">
        <v>22.255885369039198</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62.528233999999998</v>
      </c>
      <c r="G26" s="566">
        <v>58.908410297198699</v>
      </c>
      <c r="H26" s="566">
        <v>63.442999999999998</v>
      </c>
      <c r="I26" s="566">
        <v>61.6804104414325</v>
      </c>
      <c r="J26" s="566">
        <v>50.209440835250099</v>
      </c>
      <c r="K26" s="566">
        <v>54.790899940376299</v>
      </c>
      <c r="L26" s="566">
        <v>40.725630109452801</v>
      </c>
      <c r="M26" s="566">
        <v>38.962195347971402</v>
      </c>
      <c r="N26" s="566"/>
      <c r="O26" s="566"/>
    </row>
    <row r="27" spans="2:15">
      <c r="B27" t="s">
        <v>531</v>
      </c>
      <c r="C27" t="s">
        <v>512</v>
      </c>
      <c r="D27" t="s">
        <v>497</v>
      </c>
      <c r="E27" t="s">
        <v>742</v>
      </c>
      <c r="F27" s="566">
        <v>158.161643</v>
      </c>
      <c r="G27" s="566">
        <v>144.077469116164</v>
      </c>
      <c r="H27" s="566">
        <v>94.498999999999995</v>
      </c>
      <c r="I27" s="566">
        <v>84.866015878888305</v>
      </c>
      <c r="J27" s="566">
        <v>102.064067113831</v>
      </c>
      <c r="K27" s="566">
        <v>195.97937785216899</v>
      </c>
      <c r="L27" s="566">
        <v>184.31207761888501</v>
      </c>
      <c r="M27" s="566">
        <v>129.43099034378901</v>
      </c>
      <c r="N27" s="566"/>
      <c r="O27" s="566"/>
    </row>
    <row r="28" spans="2:15">
      <c r="B28" t="s">
        <v>6</v>
      </c>
      <c r="C28" t="s">
        <v>516</v>
      </c>
      <c r="D28" t="s">
        <v>497</v>
      </c>
      <c r="E28" t="s">
        <v>742</v>
      </c>
      <c r="F28" s="566">
        <v>76.756863807480698</v>
      </c>
      <c r="G28" s="566">
        <v>83.008591680963804</v>
      </c>
      <c r="H28" s="566">
        <v>76.061615521343001</v>
      </c>
      <c r="I28" s="566">
        <v>67.587233517949599</v>
      </c>
      <c r="J28" s="566">
        <v>84.706725777189106</v>
      </c>
      <c r="K28" s="566">
        <v>87.541415854037893</v>
      </c>
      <c r="L28" s="566">
        <v>107.245021066265</v>
      </c>
      <c r="M28" s="566">
        <v>76.235230318249805</v>
      </c>
      <c r="N28" s="566"/>
      <c r="O28" s="566"/>
    </row>
    <row r="29" spans="2:15">
      <c r="B29" t="s">
        <v>9</v>
      </c>
      <c r="C29" t="s">
        <v>517</v>
      </c>
      <c r="D29" t="s">
        <v>497</v>
      </c>
      <c r="E29" t="s">
        <v>742</v>
      </c>
      <c r="F29" s="566">
        <v>165.194105192519</v>
      </c>
      <c r="G29" s="566">
        <v>184.989373050936</v>
      </c>
      <c r="H29" s="566">
        <v>150.58116812466599</v>
      </c>
      <c r="I29" s="566">
        <v>120.02013853845</v>
      </c>
      <c r="J29" s="566">
        <v>162.37038949922999</v>
      </c>
      <c r="K29" s="566">
        <v>181.138395550187</v>
      </c>
      <c r="L29" s="566">
        <v>199.24701421961501</v>
      </c>
      <c r="M29" s="566">
        <v>116.624132542399</v>
      </c>
      <c r="N29" s="566"/>
      <c r="O29" s="566"/>
    </row>
    <row r="30" spans="2:15">
      <c r="B30" t="s">
        <v>439</v>
      </c>
      <c r="C30" t="s">
        <v>226</v>
      </c>
      <c r="D30" t="s">
        <v>497</v>
      </c>
      <c r="E30" t="s">
        <v>742</v>
      </c>
      <c r="F30" s="566"/>
      <c r="G30" s="566"/>
      <c r="H30" s="566"/>
      <c r="I30" s="566">
        <v>0</v>
      </c>
      <c r="J30" s="566">
        <v>0</v>
      </c>
      <c r="K30" s="566">
        <v>0</v>
      </c>
      <c r="L30" s="566">
        <v>0</v>
      </c>
      <c r="M30" s="566">
        <v>0</v>
      </c>
      <c r="N30" s="566"/>
      <c r="O30" s="566"/>
    </row>
    <row r="31" spans="2:15">
      <c r="B31" t="s">
        <v>440</v>
      </c>
      <c r="C31" t="s">
        <v>227</v>
      </c>
      <c r="D31" t="s">
        <v>497</v>
      </c>
      <c r="E31" t="s">
        <v>742</v>
      </c>
      <c r="F31" s="566"/>
      <c r="G31" s="566"/>
      <c r="H31" s="566"/>
      <c r="I31" s="566">
        <v>0</v>
      </c>
      <c r="J31" s="566">
        <v>0</v>
      </c>
      <c r="K31" s="566">
        <v>0</v>
      </c>
      <c r="L31" s="566">
        <v>0</v>
      </c>
      <c r="M31" s="566">
        <v>0</v>
      </c>
      <c r="N31" s="566"/>
      <c r="O31" s="566"/>
    </row>
    <row r="32" spans="2:15">
      <c r="B32" t="s">
        <v>68</v>
      </c>
      <c r="C32" t="s">
        <v>55</v>
      </c>
      <c r="D32" t="s">
        <v>518</v>
      </c>
      <c r="E32" t="s">
        <v>742</v>
      </c>
      <c r="F32" s="567">
        <v>93.598778127411705</v>
      </c>
      <c r="G32" s="567"/>
      <c r="H32" s="567"/>
      <c r="I32" s="567"/>
      <c r="J32" s="567"/>
      <c r="K32" s="567"/>
      <c r="L32" s="567"/>
      <c r="M32" s="567"/>
      <c r="N32" s="567"/>
      <c r="O32" s="567"/>
    </row>
    <row r="33" spans="2:15">
      <c r="B33" t="s">
        <v>69</v>
      </c>
      <c r="C33" t="s">
        <v>55</v>
      </c>
      <c r="D33" t="s">
        <v>518</v>
      </c>
      <c r="E33" t="s">
        <v>742</v>
      </c>
      <c r="F33" s="567">
        <v>107.890038009222</v>
      </c>
      <c r="G33" s="567"/>
      <c r="H33" s="567"/>
      <c r="I33" s="567"/>
      <c r="J33" s="567"/>
      <c r="K33" s="567"/>
      <c r="L33" s="567"/>
      <c r="M33" s="567"/>
      <c r="N33" s="567"/>
      <c r="O33" s="567"/>
    </row>
    <row r="34" spans="2:15">
      <c r="B34" t="s">
        <v>210</v>
      </c>
      <c r="C34" t="s">
        <v>519</v>
      </c>
      <c r="D34" t="s">
        <v>497</v>
      </c>
      <c r="E34" t="s">
        <v>742</v>
      </c>
      <c r="F34" s="566"/>
      <c r="G34" s="566"/>
      <c r="H34" s="566"/>
      <c r="I34" s="566">
        <v>1.3932488413005999</v>
      </c>
      <c r="J34" s="566">
        <v>1.6308212755223499</v>
      </c>
      <c r="K34" s="566">
        <v>1.49929659143095</v>
      </c>
      <c r="L34" s="566">
        <v>1.2924761425647</v>
      </c>
      <c r="M34" s="566">
        <v>0.982609321784784</v>
      </c>
      <c r="N34" s="566"/>
      <c r="O34" s="566"/>
    </row>
    <row r="35" spans="2:15">
      <c r="B35" t="s">
        <v>211</v>
      </c>
      <c r="C35" t="s">
        <v>520</v>
      </c>
      <c r="D35" t="s">
        <v>497</v>
      </c>
      <c r="E35" t="s">
        <v>742</v>
      </c>
      <c r="F35" s="566"/>
      <c r="G35" s="566"/>
      <c r="H35" s="566"/>
      <c r="I35" s="566">
        <v>-2.23738932875133</v>
      </c>
      <c r="J35" s="566">
        <v>-2.6739268779090901</v>
      </c>
      <c r="K35" s="566">
        <v>-3.4780753414555399</v>
      </c>
      <c r="L35" s="566">
        <v>-3.5589569255568101</v>
      </c>
      <c r="M35" s="566">
        <v>-2.4188340849088799</v>
      </c>
      <c r="N35" s="566"/>
      <c r="O35" s="566"/>
    </row>
    <row r="36" spans="2:15">
      <c r="B36" t="s">
        <v>66</v>
      </c>
      <c r="C36" t="s">
        <v>196</v>
      </c>
      <c r="D36" t="s">
        <v>497</v>
      </c>
      <c r="E36" t="s">
        <v>742</v>
      </c>
      <c r="F36" s="566">
        <v>2882.4372728563499</v>
      </c>
      <c r="G36" s="566">
        <v>2877.1168960785399</v>
      </c>
      <c r="H36" s="566">
        <v>2867.40088440411</v>
      </c>
      <c r="I36" s="566">
        <v>2914.37304229662</v>
      </c>
      <c r="J36" s="566">
        <v>3016.39800363107</v>
      </c>
      <c r="K36" s="566">
        <v>3091.1413005823201</v>
      </c>
      <c r="L36" s="566">
        <v>3124.1710249800299</v>
      </c>
      <c r="M36" s="566">
        <v>3098.6894026936502</v>
      </c>
      <c r="N36" s="566"/>
      <c r="O36" s="566"/>
    </row>
    <row r="37" spans="2:15">
      <c r="B37" t="s">
        <v>67</v>
      </c>
      <c r="C37" t="s">
        <v>197</v>
      </c>
      <c r="D37" t="s">
        <v>497</v>
      </c>
      <c r="E37" t="s">
        <v>742</v>
      </c>
      <c r="F37" s="566">
        <v>4435.9689049612698</v>
      </c>
      <c r="G37" s="566">
        <v>4488.9847262622498</v>
      </c>
      <c r="H37" s="566">
        <v>4386.8190647615502</v>
      </c>
      <c r="I37" s="566">
        <v>4424.3880377428904</v>
      </c>
      <c r="J37" s="566">
        <v>4540.9914889670299</v>
      </c>
      <c r="K37" s="566">
        <v>4763.56972769604</v>
      </c>
      <c r="L37" s="566">
        <v>4987.76281366284</v>
      </c>
      <c r="M37" s="566">
        <v>5036.0908804693399</v>
      </c>
      <c r="N37" s="566"/>
      <c r="O37" s="566"/>
    </row>
    <row r="38" spans="2:15">
      <c r="B38" t="s">
        <v>243</v>
      </c>
      <c r="C38" t="s">
        <v>521</v>
      </c>
      <c r="D38" t="s">
        <v>522</v>
      </c>
      <c r="E38" t="s">
        <v>742</v>
      </c>
      <c r="F38" s="568">
        <v>5.8097499999999802E-2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81.11</v>
      </c>
      <c r="J40" s="566">
        <v>62.718000000000004</v>
      </c>
      <c r="K40" s="566">
        <v>82.4</v>
      </c>
      <c r="L40" s="566">
        <v>89.337645231888104</v>
      </c>
      <c r="M40" s="566">
        <v>80.212257453233406</v>
      </c>
      <c r="N40" s="566"/>
      <c r="O40" s="566"/>
    </row>
    <row r="41" spans="2:15">
      <c r="B41" t="s">
        <v>425</v>
      </c>
      <c r="C41" t="s">
        <v>65</v>
      </c>
      <c r="D41" t="s">
        <v>497</v>
      </c>
      <c r="E41" t="s">
        <v>742</v>
      </c>
      <c r="F41" s="566"/>
      <c r="G41" s="566"/>
      <c r="H41" s="566"/>
      <c r="I41" s="566">
        <v>56.975000000000001</v>
      </c>
      <c r="J41" s="566">
        <v>78.7</v>
      </c>
      <c r="K41" s="566">
        <v>104.4</v>
      </c>
      <c r="L41" s="566">
        <v>132.823654204842</v>
      </c>
      <c r="M41" s="566">
        <v>145.54941540944299</v>
      </c>
      <c r="N41" s="566"/>
      <c r="O41" s="566"/>
    </row>
    <row r="42" spans="2:15">
      <c r="B42" t="s">
        <v>426</v>
      </c>
      <c r="C42" t="s">
        <v>382</v>
      </c>
      <c r="D42" t="s">
        <v>497</v>
      </c>
      <c r="E42" t="s">
        <v>742</v>
      </c>
      <c r="F42" s="566"/>
      <c r="G42" s="566"/>
      <c r="H42" s="566"/>
      <c r="I42" s="566">
        <v>65.067999999999998</v>
      </c>
      <c r="J42" s="566">
        <v>59</v>
      </c>
      <c r="K42" s="566">
        <v>54.5</v>
      </c>
      <c r="L42" s="566">
        <v>46.737406539603001</v>
      </c>
      <c r="M42" s="566">
        <v>28.190932702302099</v>
      </c>
      <c r="N42" s="566"/>
      <c r="O42" s="566"/>
    </row>
    <row r="43" spans="2:15">
      <c r="B43" t="s">
        <v>427</v>
      </c>
      <c r="C43" t="s">
        <v>383</v>
      </c>
      <c r="D43" t="s">
        <v>497</v>
      </c>
      <c r="E43" t="s">
        <v>742</v>
      </c>
      <c r="F43" s="566"/>
      <c r="G43" s="566"/>
      <c r="H43" s="566"/>
      <c r="I43" s="566">
        <v>17.885999999999999</v>
      </c>
      <c r="J43" s="566">
        <v>35.1</v>
      </c>
      <c r="K43" s="566">
        <v>45</v>
      </c>
      <c r="L43" s="566">
        <v>41.979437787261098</v>
      </c>
      <c r="M43" s="566">
        <v>16.022490149309998</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60.942999999999998</v>
      </c>
      <c r="J46" s="566">
        <v>79.064999999999998</v>
      </c>
      <c r="K46" s="566">
        <v>70.834000000000003</v>
      </c>
      <c r="L46" s="566">
        <v>61.989998569870998</v>
      </c>
      <c r="M46" s="566">
        <v>91.014689886857099</v>
      </c>
      <c r="N46" s="566"/>
      <c r="O46" s="566"/>
    </row>
    <row r="47" spans="2:15">
      <c r="B47" t="s">
        <v>431</v>
      </c>
      <c r="C47" t="s">
        <v>64</v>
      </c>
      <c r="D47" t="s">
        <v>497</v>
      </c>
      <c r="E47" t="s">
        <v>742</v>
      </c>
      <c r="F47" s="566"/>
      <c r="G47" s="566"/>
      <c r="H47" s="566"/>
      <c r="I47" s="566">
        <v>128.505</v>
      </c>
      <c r="J47" s="566">
        <v>142.923</v>
      </c>
      <c r="K47" s="566">
        <v>163.24</v>
      </c>
      <c r="L47" s="566">
        <v>178.46637905083901</v>
      </c>
      <c r="M47" s="566">
        <v>166.93986805584899</v>
      </c>
      <c r="N47" s="566"/>
      <c r="O47" s="566"/>
    </row>
    <row r="48" spans="2:15">
      <c r="B48" t="s">
        <v>432</v>
      </c>
      <c r="C48" t="s">
        <v>384</v>
      </c>
      <c r="D48" t="s">
        <v>497</v>
      </c>
      <c r="E48" t="s">
        <v>742</v>
      </c>
      <c r="F48" s="566"/>
      <c r="G48" s="566"/>
      <c r="H48" s="566"/>
      <c r="I48" s="566">
        <v>97.283000000000001</v>
      </c>
      <c r="J48" s="566">
        <v>130.1</v>
      </c>
      <c r="K48" s="566">
        <v>136.06899999999999</v>
      </c>
      <c r="L48" s="566">
        <v>138.75840462318601</v>
      </c>
      <c r="M48" s="566">
        <v>52.972605414922697</v>
      </c>
      <c r="N48" s="566"/>
      <c r="O48" s="566"/>
    </row>
    <row r="49" spans="2:15">
      <c r="B49" t="s">
        <v>433</v>
      </c>
      <c r="C49" t="s">
        <v>385</v>
      </c>
      <c r="D49" t="s">
        <v>497</v>
      </c>
      <c r="E49" t="s">
        <v>742</v>
      </c>
      <c r="F49" s="566"/>
      <c r="G49" s="566"/>
      <c r="H49" s="566"/>
      <c r="I49" s="566">
        <v>100.616</v>
      </c>
      <c r="J49" s="566">
        <v>100.46</v>
      </c>
      <c r="K49" s="566">
        <v>129.751</v>
      </c>
      <c r="L49" s="566">
        <v>136.706290983983</v>
      </c>
      <c r="M49" s="566">
        <v>205.36746648171101</v>
      </c>
      <c r="N49" s="566"/>
      <c r="O49" s="566"/>
    </row>
    <row r="50" spans="2:15">
      <c r="B50" t="s">
        <v>434</v>
      </c>
      <c r="C50" t="s">
        <v>232</v>
      </c>
      <c r="D50" t="s">
        <v>497</v>
      </c>
      <c r="E50" t="s">
        <v>742</v>
      </c>
      <c r="F50" s="566"/>
      <c r="G50" s="566"/>
      <c r="H50" s="566"/>
      <c r="I50" s="566">
        <v>0</v>
      </c>
      <c r="J50" s="566">
        <v>0</v>
      </c>
      <c r="K50" s="566">
        <v>0</v>
      </c>
      <c r="L50" s="566">
        <v>0</v>
      </c>
      <c r="M50" s="566">
        <v>0</v>
      </c>
      <c r="N50" s="566"/>
      <c r="O50" s="566"/>
    </row>
    <row r="51" spans="2:15">
      <c r="B51" t="s">
        <v>435</v>
      </c>
      <c r="C51" t="s">
        <v>233</v>
      </c>
      <c r="D51" t="s">
        <v>497</v>
      </c>
      <c r="E51" t="s">
        <v>742</v>
      </c>
      <c r="F51" s="566"/>
      <c r="G51" s="566"/>
      <c r="H51" s="566"/>
      <c r="I51" s="566">
        <v>0</v>
      </c>
      <c r="J51" s="566">
        <v>0</v>
      </c>
      <c r="K51" s="566">
        <v>0</v>
      </c>
      <c r="L51" s="566">
        <v>0</v>
      </c>
      <c r="M51" s="566">
        <v>0</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-8.0574925374535695</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0.28246441316447002</v>
      </c>
      <c r="J59" s="566">
        <v>13.0264552418378</v>
      </c>
      <c r="K59" s="566">
        <v>21.714323113048199</v>
      </c>
      <c r="L59" s="566">
        <v>24.644042771550598</v>
      </c>
      <c r="M59" s="566">
        <v>25.447532113894798</v>
      </c>
      <c r="N59" s="566"/>
      <c r="O59" s="566"/>
    </row>
    <row r="60" spans="2:15">
      <c r="B60" t="s">
        <v>480</v>
      </c>
      <c r="C60" t="s">
        <v>254</v>
      </c>
      <c r="D60" t="s">
        <v>497</v>
      </c>
      <c r="E60" t="s">
        <v>742</v>
      </c>
      <c r="F60" s="566"/>
      <c r="G60" s="566"/>
      <c r="H60" s="566">
        <v>0</v>
      </c>
      <c r="I60" s="566">
        <v>0.20139714852101601</v>
      </c>
      <c r="J60" s="566">
        <v>9.3251642560225392</v>
      </c>
      <c r="K60" s="566">
        <v>15.6069197128142</v>
      </c>
      <c r="L60" s="566">
        <v>17.783757011812099</v>
      </c>
      <c r="M60" s="566">
        <v>47.455058776219801</v>
      </c>
      <c r="N60" s="566"/>
      <c r="O60" s="566"/>
    </row>
    <row r="61" spans="2:15">
      <c r="B61" t="s">
        <v>481</v>
      </c>
      <c r="C61" t="s">
        <v>201</v>
      </c>
      <c r="D61" t="s">
        <v>497</v>
      </c>
      <c r="E61" t="s">
        <v>742</v>
      </c>
      <c r="F61" s="566"/>
      <c r="G61" s="566"/>
      <c r="H61" s="566">
        <v>0</v>
      </c>
      <c r="I61" s="566">
        <v>-0.4522689985251</v>
      </c>
      <c r="J61" s="566">
        <v>-1.2269052645863101</v>
      </c>
      <c r="K61" s="566">
        <v>-2.3590303473757399</v>
      </c>
      <c r="L61" s="566">
        <v>-22.498090855247899</v>
      </c>
      <c r="M61" s="566">
        <v>-28.446642262507901</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258.245833333333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117.80275077500001</v>
      </c>
      <c r="M64" s="569">
        <v>121.43339195</v>
      </c>
      <c r="N64" s="569"/>
      <c r="O64" s="569"/>
    </row>
    <row r="65" spans="2:15">
      <c r="B65" t="s">
        <v>534</v>
      </c>
      <c r="C65" t="s">
        <v>559</v>
      </c>
      <c r="D65" t="s">
        <v>522</v>
      </c>
      <c r="E65" t="s">
        <v>742</v>
      </c>
      <c r="F65" s="568"/>
      <c r="G65" s="568"/>
      <c r="H65" s="568"/>
      <c r="I65" s="568"/>
      <c r="J65" s="568"/>
      <c r="K65" s="568"/>
      <c r="L65" s="568"/>
      <c r="M65" s="568"/>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1</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96.677407217414597</v>
      </c>
      <c r="K10" s="221">
        <f>INDEX('F_Inputs FD'!$B$4:$O$90,MATCH($C10,'F_Inputs FD'!$B$4:$B$90,0),MATCH(K$2,'F_Inputs FD'!$B$2:$N$2,0))</f>
        <v>111.965967265263</v>
      </c>
      <c r="L10" s="221">
        <f>INDEX('F_Inputs FD'!$B$4:$O$90,MATCH($C10,'F_Inputs FD'!$B$4:$B$90,0),MATCH(L$2,'F_Inputs FD'!$B$2:$N$2,0))</f>
        <v>90.137927472951105</v>
      </c>
      <c r="M10" s="221">
        <f>INDEX('F_Inputs FD'!$B$4:$O$90,MATCH($C10,'F_Inputs FD'!$B$4:$B$90,0),MATCH(M$2,'F_Inputs FD'!$B$2:$N$2,0))</f>
        <v>90.6667343285458</v>
      </c>
      <c r="N10" s="395">
        <f>INDEX('F_Inputs FD'!$B$4:$O$90,MATCH($C10,'F_Inputs FD'!$B$4:$B$90,0),MATCH(N$2,'F_Inputs FD'!$B$2:$N$2,0))</f>
        <v>85.142044890137896</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71.716342883676703</v>
      </c>
      <c r="K11" s="221">
        <f>INDEX('F_Inputs FD'!$B$4:$O$90,MATCH($C11,'F_Inputs FD'!$B$4:$B$90,0),MATCH(K$2,'F_Inputs FD'!$B$2:$N$2,0))</f>
        <v>108.91078858467</v>
      </c>
      <c r="L11" s="221">
        <f>INDEX('F_Inputs FD'!$B$4:$O$90,MATCH($C11,'F_Inputs FD'!$B$4:$B$90,0),MATCH(L$2,'F_Inputs FD'!$B$2:$N$2,0))</f>
        <v>106.472526906772</v>
      </c>
      <c r="M11" s="221">
        <f>INDEX('F_Inputs FD'!$B$4:$O$90,MATCH($C11,'F_Inputs FD'!$B$4:$B$90,0),MATCH(M$2,'F_Inputs FD'!$B$2:$N$2,0))</f>
        <v>87.405386500713803</v>
      </c>
      <c r="N11" s="395">
        <f>INDEX('F_Inputs FD'!$B$4:$O$90,MATCH($C11,'F_Inputs FD'!$B$4:$B$90,0),MATCH(N$2,'F_Inputs FD'!$B$2:$N$2,0))</f>
        <v>63.638229124167303</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87.974174160817597</v>
      </c>
      <c r="K12" s="221">
        <f>INDEX('F_Inputs FD'!$B$4:$O$90,MATCH($C12,'F_Inputs FD'!$B$4:$B$90,0),MATCH(K$2,'F_Inputs FD'!$B$2:$N$2,0))</f>
        <v>67.934574112969699</v>
      </c>
      <c r="L12" s="221">
        <f>INDEX('F_Inputs FD'!$B$4:$O$90,MATCH($C12,'F_Inputs FD'!$B$4:$B$90,0),MATCH(L$2,'F_Inputs FD'!$B$2:$N$2,0))</f>
        <v>55.8016539052811</v>
      </c>
      <c r="M12" s="221">
        <f>INDEX('F_Inputs FD'!$B$4:$O$90,MATCH($C12,'F_Inputs FD'!$B$4:$B$90,0),MATCH(M$2,'F_Inputs FD'!$B$2:$N$2,0))</f>
        <v>42.176527049686499</v>
      </c>
      <c r="N12" s="395">
        <f>INDEX('F_Inputs FD'!$B$4:$O$90,MATCH($C12,'F_Inputs FD'!$B$4:$B$90,0),MATCH(N$2,'F_Inputs FD'!$B$2:$N$2,0))</f>
        <v>29.040736488094399</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18.6694271158755</v>
      </c>
      <c r="K13" s="221">
        <f>INDEX('F_Inputs FD'!$B$4:$O$90,MATCH($C13,'F_Inputs FD'!$B$4:$B$90,0),MATCH(K$2,'F_Inputs FD'!$B$2:$N$2,0))</f>
        <v>39.4846614157779</v>
      </c>
      <c r="L13" s="221">
        <f>INDEX('F_Inputs FD'!$B$4:$O$90,MATCH($C13,'F_Inputs FD'!$B$4:$B$90,0),MATCH(L$2,'F_Inputs FD'!$B$2:$N$2,0))</f>
        <v>46.933763093227697</v>
      </c>
      <c r="M13" s="221">
        <f>INDEX('F_Inputs FD'!$B$4:$O$90,MATCH($C13,'F_Inputs FD'!$B$4:$B$90,0),MATCH(M$2,'F_Inputs FD'!$B$2:$N$2,0))</f>
        <v>39.4447534992862</v>
      </c>
      <c r="N13" s="395">
        <f>INDEX('F_Inputs FD'!$B$4:$O$90,MATCH($C13,'F_Inputs FD'!$B$4:$B$90,0),MATCH(N$2,'F_Inputs FD'!$B$2:$N$2,0))</f>
        <v>24.197480875832699</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8.6940000000000008</v>
      </c>
      <c r="K14" s="221">
        <f>INDEX('F_Inputs FD'!$B$4:$O$90,MATCH($C14,'F_Inputs FD'!$B$4:$B$90,0),MATCH(K$2,'F_Inputs FD'!$B$2:$N$2,0))</f>
        <v>12.15</v>
      </c>
      <c r="L14" s="221">
        <f>INDEX('F_Inputs FD'!$B$4:$O$90,MATCH($C14,'F_Inputs FD'!$B$4:$B$90,0),MATCH(L$2,'F_Inputs FD'!$B$2:$N$2,0))</f>
        <v>9.1080000000000005</v>
      </c>
      <c r="M14" s="221">
        <f>INDEX('F_Inputs FD'!$B$4:$O$90,MATCH($C14,'F_Inputs FD'!$B$4:$B$90,0),MATCH(M$2,'F_Inputs FD'!$B$2:$N$2,0))</f>
        <v>8.3810000000000002</v>
      </c>
      <c r="N14" s="395">
        <f>INDEX('F_Inputs FD'!$B$4:$O$90,MATCH($C14,'F_Inputs FD'!$B$4:$B$90,0),MATCH(N$2,'F_Inputs FD'!$B$2:$N$2,0))</f>
        <v>9.3680000000000003</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65.399928000000003</v>
      </c>
      <c r="K19" s="221">
        <f>INDEX('F_Inputs FD'!$B$4:$O$90,MATCH($C19,'F_Inputs FD'!$B$4:$B$90,0),MATCH(K$2,'F_Inputs FD'!$B$2:$N$2,0))</f>
        <v>53.841191999999999</v>
      </c>
      <c r="L19" s="221">
        <f>INDEX('F_Inputs FD'!$B$4:$O$90,MATCH($C19,'F_Inputs FD'!$B$4:$B$90,0),MATCH(L$2,'F_Inputs FD'!$B$2:$N$2,0))</f>
        <v>58.89132</v>
      </c>
      <c r="M19" s="221">
        <f>INDEX('F_Inputs FD'!$B$4:$O$90,MATCH($C19,'F_Inputs FD'!$B$4:$B$90,0),MATCH(M$2,'F_Inputs FD'!$B$2:$N$2,0))</f>
        <v>43.576680000000003</v>
      </c>
      <c r="N19" s="395">
        <f>INDEX('F_Inputs FD'!$B$4:$O$90,MATCH($C19,'F_Inputs FD'!$B$4:$B$90,0),MATCH(N$2,'F_Inputs FD'!$B$2:$N$2,0))</f>
        <v>41.869799999999998</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89.125</v>
      </c>
      <c r="K20" s="221">
        <f>INDEX('F_Inputs FD'!$B$4:$O$90,MATCH($C20,'F_Inputs FD'!$B$4:$B$90,0),MATCH(K$2,'F_Inputs FD'!$B$2:$N$2,0))</f>
        <v>107.69795999999999</v>
      </c>
      <c r="L20" s="221">
        <f>INDEX('F_Inputs FD'!$B$4:$O$90,MATCH($C20,'F_Inputs FD'!$B$4:$B$90,0),MATCH(L$2,'F_Inputs FD'!$B$2:$N$2,0))</f>
        <v>207.51151999999999</v>
      </c>
      <c r="M20" s="221">
        <f>INDEX('F_Inputs FD'!$B$4:$O$90,MATCH($C20,'F_Inputs FD'!$B$4:$B$90,0),MATCH(M$2,'F_Inputs FD'!$B$2:$N$2,0))</f>
        <v>195.52484000000001</v>
      </c>
      <c r="N20" s="395">
        <f>INDEX('F_Inputs FD'!$B$4:$O$90,MATCH($C20,'F_Inputs FD'!$B$4:$B$90,0),MATCH(N$2,'F_Inputs FD'!$B$2:$N$2,0))</f>
        <v>138.01288</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85.553712000000004</v>
      </c>
      <c r="K21" s="221">
        <f>INDEX('F_Inputs FD'!$B$4:$O$90,MATCH($C21,'F_Inputs FD'!$B$4:$B$90,0),MATCH(K$2,'F_Inputs FD'!$B$2:$N$2,0))</f>
        <v>96.272447999999997</v>
      </c>
      <c r="L21" s="221">
        <f>INDEX('F_Inputs FD'!$B$4:$O$90,MATCH($C21,'F_Inputs FD'!$B$4:$B$90,0),MATCH(L$2,'F_Inputs FD'!$B$2:$N$2,0))</f>
        <v>99.670320000000004</v>
      </c>
      <c r="M21" s="221">
        <f>INDEX('F_Inputs FD'!$B$4:$O$90,MATCH($C21,'F_Inputs FD'!$B$4:$B$90,0),MATCH(M$2,'F_Inputs FD'!$B$2:$N$2,0))</f>
        <v>122.7456</v>
      </c>
      <c r="N21" s="395">
        <f>INDEX('F_Inputs FD'!$B$4:$O$90,MATCH($C21,'F_Inputs FD'!$B$4:$B$90,0),MATCH(N$2,'F_Inputs FD'!$B$2:$N$2,0))</f>
        <v>87.498239999999996</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140.163582953222</v>
      </c>
      <c r="K22" s="221">
        <f>INDEX('F_Inputs FD'!$B$4:$O$90,MATCH($C22,'F_Inputs FD'!$B$4:$B$90,0),MATCH(K$2,'F_Inputs FD'!$B$2:$N$2,0))</f>
        <v>171.371845860523</v>
      </c>
      <c r="L22" s="221">
        <f>INDEX('F_Inputs FD'!$B$4:$O$90,MATCH($C22,'F_Inputs FD'!$B$4:$B$90,0),MATCH(L$2,'F_Inputs FD'!$B$2:$N$2,0))</f>
        <v>196.860884900516</v>
      </c>
      <c r="M22" s="221">
        <f>INDEX('F_Inputs FD'!$B$4:$O$90,MATCH($C22,'F_Inputs FD'!$B$4:$B$90,0),MATCH(M$2,'F_Inputs FD'!$B$2:$N$2,0))</f>
        <v>216.38377787543601</v>
      </c>
      <c r="N22" s="395">
        <f>INDEX('F_Inputs FD'!$B$4:$O$90,MATCH($C22,'F_Inputs FD'!$B$4:$B$90,0),MATCH(N$2,'F_Inputs FD'!$B$2:$N$2,0))</f>
        <v>129.12972006042801</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4.2930000000000001</v>
      </c>
      <c r="K23" s="221">
        <f>INDEX('F_Inputs FD'!$B$4:$O$90,MATCH($C23,'F_Inputs FD'!$B$4:$B$90,0),MATCH(K$2,'F_Inputs FD'!$B$2:$N$2,0))</f>
        <v>5.3529999999999998</v>
      </c>
      <c r="L23" s="221">
        <f>INDEX('F_Inputs FD'!$B$4:$O$90,MATCH($C23,'F_Inputs FD'!$B$4:$B$90,0),MATCH(L$2,'F_Inputs FD'!$B$2:$N$2,0))</f>
        <v>6.4130000000000003</v>
      </c>
      <c r="M23" s="221">
        <f>INDEX('F_Inputs FD'!$B$4:$O$90,MATCH($C23,'F_Inputs FD'!$B$4:$B$90,0),MATCH(M$2,'F_Inputs FD'!$B$2:$N$2,0))</f>
        <v>7.4729999999999999</v>
      </c>
      <c r="N23" s="395">
        <f>INDEX('F_Inputs FD'!$B$4:$O$90,MATCH($C23,'F_Inputs FD'!$B$4:$B$90,0),MATCH(N$2,'F_Inputs FD'!$B$2:$N$2,0))</f>
        <v>8.5329999999999995</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103.80792034644401</v>
      </c>
      <c r="K30" s="221">
        <f>INDEX('F_Inputs FD'!$B$4:$O$90,MATCH($C30,'F_Inputs FD'!$B$4:$B$90,0),MATCH(K$2,'F_Inputs FD'!$B$2:$N$2,0))</f>
        <v>119.721029127333</v>
      </c>
      <c r="L30" s="221">
        <f>INDEX('F_Inputs FD'!$B$4:$O$90,MATCH($C30,'F_Inputs FD'!$B$4:$B$90,0),MATCH(L$2,'F_Inputs FD'!$B$2:$N$2,0))</f>
        <v>96.053451727038393</v>
      </c>
      <c r="M30" s="221">
        <f>INDEX('F_Inputs FD'!$B$4:$O$90,MATCH($C30,'F_Inputs FD'!$B$4:$B$90,0),MATCH(M$2,'F_Inputs FD'!$B$2:$N$2,0))</f>
        <v>96.095368777823097</v>
      </c>
      <c r="N30" s="395">
        <f>INDEX('F_Inputs FD'!$B$4:$O$90,MATCH($C30,'F_Inputs FD'!$B$4:$B$90,0),MATCH(N$2,'F_Inputs FD'!$B$2:$N$2,0))</f>
        <v>89.772718548515499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75.265681003525302</v>
      </c>
      <c r="K31" s="221">
        <f>INDEX('F_Inputs FD'!$B$4:$O$90,MATCH($C31,'F_Inputs FD'!$B$4:$B$90,0),MATCH(K$2,'F_Inputs FD'!$B$2:$N$2,0))</f>
        <v>113.700229518434</v>
      </c>
      <c r="L31" s="221">
        <f>INDEX('F_Inputs FD'!$B$4:$O$90,MATCH($C31,'F_Inputs FD'!$B$4:$B$90,0),MATCH(L$2,'F_Inputs FD'!$B$2:$N$2,0))</f>
        <v>110.786225626804</v>
      </c>
      <c r="M31" s="221">
        <f>INDEX('F_Inputs FD'!$B$4:$O$90,MATCH($C31,'F_Inputs FD'!$B$4:$B$90,0),MATCH(M$2,'F_Inputs FD'!$B$2:$N$2,0))</f>
        <v>90.6493817737949</v>
      </c>
      <c r="N31" s="395">
        <f>INDEX('F_Inputs FD'!$B$4:$O$90,MATCH($C31,'F_Inputs FD'!$B$4:$B$90,0),MATCH(N$2,'F_Inputs FD'!$B$2:$N$2,0))</f>
        <v>65.836563884895199</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90.195537485563605</v>
      </c>
      <c r="K32" s="221">
        <f>INDEX('F_Inputs FD'!$B$4:$O$90,MATCH($C32,'F_Inputs FD'!$B$4:$B$90,0),MATCH(K$2,'F_Inputs FD'!$B$2:$N$2,0))</f>
        <v>65.017064698534796</v>
      </c>
      <c r="L32" s="221">
        <f>INDEX('F_Inputs FD'!$B$4:$O$90,MATCH($C32,'F_Inputs FD'!$B$4:$B$90,0),MATCH(L$2,'F_Inputs FD'!$B$2:$N$2,0))</f>
        <v>55.705633608524998</v>
      </c>
      <c r="M32" s="221">
        <f>INDEX('F_Inputs FD'!$B$4:$O$90,MATCH($C32,'F_Inputs FD'!$B$4:$B$90,0),MATCH(M$2,'F_Inputs FD'!$B$2:$N$2,0))</f>
        <v>41.216315092907003</v>
      </c>
      <c r="N32" s="395">
        <f>INDEX('F_Inputs FD'!$B$4:$O$90,MATCH($C32,'F_Inputs FD'!$B$4:$B$90,0),MATCH(N$2,'F_Inputs FD'!$B$2:$N$2,0))</f>
        <v>25.456763531865899</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19.0224934156209</v>
      </c>
      <c r="K33" s="221">
        <f>INDEX('F_Inputs FD'!$B$4:$O$90,MATCH($C33,'F_Inputs FD'!$B$4:$B$90,0),MATCH(K$2,'F_Inputs FD'!$B$2:$N$2,0))</f>
        <v>39.011896238409797</v>
      </c>
      <c r="L33" s="221">
        <f>INDEX('F_Inputs FD'!$B$4:$O$90,MATCH($C33,'F_Inputs FD'!$B$4:$B$90,0),MATCH(L$2,'F_Inputs FD'!$B$2:$N$2,0))</f>
        <v>47.689766045647701</v>
      </c>
      <c r="M33" s="221">
        <f>INDEX('F_Inputs FD'!$B$4:$O$90,MATCH($C33,'F_Inputs FD'!$B$4:$B$90,0),MATCH(M$2,'F_Inputs FD'!$B$2:$N$2,0))</f>
        <v>39.478637687882802</v>
      </c>
      <c r="N33" s="395">
        <f>INDEX('F_Inputs FD'!$B$4:$O$90,MATCH($C33,'F_Inputs FD'!$B$4:$B$90,0),MATCH(N$2,'F_Inputs FD'!$B$2:$N$2,0))</f>
        <v>22.255885369039198</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61.6804104414325</v>
      </c>
      <c r="K37" s="221">
        <f>INDEX('F_Inputs FD'!$B$4:$O$90,MATCH($C37,'F_Inputs FD'!$B$4:$B$90,0),MATCH(K$2,'F_Inputs FD'!$B$2:$N$2,0))</f>
        <v>50.209440835250099</v>
      </c>
      <c r="L37" s="221">
        <f>INDEX('F_Inputs FD'!$B$4:$O$90,MATCH($C37,'F_Inputs FD'!$B$4:$B$90,0),MATCH(L$2,'F_Inputs FD'!$B$2:$N$2,0))</f>
        <v>54.790899940376299</v>
      </c>
      <c r="M37" s="221">
        <f>INDEX('F_Inputs FD'!$B$4:$O$90,MATCH($C37,'F_Inputs FD'!$B$4:$B$90,0),MATCH(M$2,'F_Inputs FD'!$B$2:$N$2,0))</f>
        <v>40.725630109452801</v>
      </c>
      <c r="N37" s="395">
        <f>INDEX('F_Inputs FD'!$B$4:$O$90,MATCH($C37,'F_Inputs FD'!$B$4:$B$90,0),MATCH(N$2,'F_Inputs FD'!$B$2:$N$2,0))</f>
        <v>38.962195347971402</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84.866015878888305</v>
      </c>
      <c r="K38" s="221">
        <f>INDEX('F_Inputs FD'!$B$4:$O$90,MATCH($C38,'F_Inputs FD'!$B$4:$B$90,0),MATCH(K$2,'F_Inputs FD'!$B$2:$N$2,0))</f>
        <v>102.064067113831</v>
      </c>
      <c r="L38" s="221">
        <f>INDEX('F_Inputs FD'!$B$4:$O$90,MATCH($C38,'F_Inputs FD'!$B$4:$B$90,0),MATCH(L$2,'F_Inputs FD'!$B$2:$N$2,0))</f>
        <v>195.97937785216899</v>
      </c>
      <c r="M38" s="221">
        <f>INDEX('F_Inputs FD'!$B$4:$O$90,MATCH($C38,'F_Inputs FD'!$B$4:$B$90,0),MATCH(M$2,'F_Inputs FD'!$B$2:$N$2,0))</f>
        <v>184.31207761888501</v>
      </c>
      <c r="N38" s="395">
        <f>INDEX('F_Inputs FD'!$B$4:$O$90,MATCH($C38,'F_Inputs FD'!$B$4:$B$90,0),MATCH(N$2,'F_Inputs FD'!$B$2:$N$2,0))</f>
        <v>129.43099034378901</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67.587233517949599</v>
      </c>
      <c r="K39" s="221">
        <f>INDEX('F_Inputs FD'!$B$4:$O$90,MATCH($C39,'F_Inputs FD'!$B$4:$B$90,0),MATCH(K$2,'F_Inputs FD'!$B$2:$N$2,0))</f>
        <v>84.706725777189106</v>
      </c>
      <c r="L39" s="221">
        <f>INDEX('F_Inputs FD'!$B$4:$O$90,MATCH($C39,'F_Inputs FD'!$B$4:$B$90,0),MATCH(L$2,'F_Inputs FD'!$B$2:$N$2,0))</f>
        <v>87.541415854037893</v>
      </c>
      <c r="M39" s="221">
        <f>INDEX('F_Inputs FD'!$B$4:$O$90,MATCH($C39,'F_Inputs FD'!$B$4:$B$90,0),MATCH(M$2,'F_Inputs FD'!$B$2:$N$2,0))</f>
        <v>107.245021066265</v>
      </c>
      <c r="N39" s="395">
        <f>INDEX('F_Inputs FD'!$B$4:$O$90,MATCH($C39,'F_Inputs FD'!$B$4:$B$90,0),MATCH(N$2,'F_Inputs FD'!$B$2:$N$2,0))</f>
        <v>76.235230318249805</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120.02013853845</v>
      </c>
      <c r="K40" s="221">
        <f>INDEX('F_Inputs FD'!$B$4:$O$90,MATCH($C40,'F_Inputs FD'!$B$4:$B$90,0),MATCH(K$2,'F_Inputs FD'!$B$2:$N$2,0))</f>
        <v>162.37038949922999</v>
      </c>
      <c r="L40" s="221">
        <f>INDEX('F_Inputs FD'!$B$4:$O$90,MATCH($C40,'F_Inputs FD'!$B$4:$B$90,0),MATCH(L$2,'F_Inputs FD'!$B$2:$N$2,0))</f>
        <v>181.138395550187</v>
      </c>
      <c r="M40" s="221">
        <f>INDEX('F_Inputs FD'!$B$4:$O$90,MATCH($C40,'F_Inputs FD'!$B$4:$B$90,0),MATCH(M$2,'F_Inputs FD'!$B$2:$N$2,0))</f>
        <v>199.24701421961501</v>
      </c>
      <c r="N40" s="395">
        <f>INDEX('F_Inputs FD'!$B$4:$O$90,MATCH($C40,'F_Inputs FD'!$B$4:$B$90,0),MATCH(N$2,'F_Inputs FD'!$B$2:$N$2,0))</f>
        <v>116.624132542399</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1.3932488413005999</v>
      </c>
      <c r="K49" s="221">
        <f>IF(INDEX('F_Inputs FD'!$B$4:$O$90,MATCH($C49,'F_Inputs FD'!$B$4:$B$90,0),MATCH(K$2,'F_Inputs FD'!$B$2:$N$2,0))="","",INDEX('F_Inputs FD'!$B$4:$O$90,MATCH($C49,'F_Inputs FD'!$B$4:$B$90,0),MATCH(K$2,'F_Inputs FD'!$B$2:$N$2,0)))</f>
        <v>1.6308212755223499</v>
      </c>
      <c r="L49" s="221">
        <f>IF(INDEX('F_Inputs FD'!$B$4:$O$90,MATCH($C49,'F_Inputs FD'!$B$4:$B$90,0),MATCH(L$2,'F_Inputs FD'!$B$2:$N$2,0))="","",INDEX('F_Inputs FD'!$B$4:$O$90,MATCH($C49,'F_Inputs FD'!$B$4:$B$90,0),MATCH(L$2,'F_Inputs FD'!$B$2:$N$2,0)))</f>
        <v>1.49929659143095</v>
      </c>
      <c r="M49" s="221">
        <f>IF(INDEX('F_Inputs FD'!$B$4:$O$90,MATCH($C49,'F_Inputs FD'!$B$4:$B$90,0),MATCH(M$2,'F_Inputs FD'!$B$2:$N$2,0))="","",INDEX('F_Inputs FD'!$B$4:$O$90,MATCH($C49,'F_Inputs FD'!$B$4:$B$90,0),MATCH(M$2,'F_Inputs FD'!$B$2:$N$2,0)))</f>
        <v>1.2924761425647</v>
      </c>
      <c r="N49" s="395">
        <f>IF(INDEX('F_Inputs FD'!$B$4:$O$90,MATCH($C49,'F_Inputs FD'!$B$4:$B$90,0),MATCH(N$2,'F_Inputs FD'!$B$2:$N$2,0))="","",INDEX('F_Inputs FD'!$B$4:$O$90,MATCH($C49,'F_Inputs FD'!$B$4:$B$90,0),MATCH(N$2,'F_Inputs FD'!$B$2:$N$2,0)))</f>
        <v>0.982609321784784</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-2.23738932875133</v>
      </c>
      <c r="K50" s="221">
        <f>IF(INDEX('F_Inputs FD'!$B$4:$O$90,MATCH($C50,'F_Inputs FD'!$B$4:$B$90,0),MATCH(K$2,'F_Inputs FD'!$B$2:$N$2,0))="","",INDEX('F_Inputs FD'!$B$4:$O$90,MATCH($C50,'F_Inputs FD'!$B$4:$B$90,0),MATCH(K$2,'F_Inputs FD'!$B$2:$N$2,0)))</f>
        <v>-2.6739268779090901</v>
      </c>
      <c r="L50" s="221">
        <f>IF(INDEX('F_Inputs FD'!$B$4:$O$90,MATCH($C50,'F_Inputs FD'!$B$4:$B$90,0),MATCH(L$2,'F_Inputs FD'!$B$2:$N$2,0))="","",INDEX('F_Inputs FD'!$B$4:$O$90,MATCH($C50,'F_Inputs FD'!$B$4:$B$90,0),MATCH(L$2,'F_Inputs FD'!$B$2:$N$2,0)))</f>
        <v>-3.4780753414555399</v>
      </c>
      <c r="M50" s="221">
        <f>IF(INDEX('F_Inputs FD'!$B$4:$O$90,MATCH($C50,'F_Inputs FD'!$B$4:$B$90,0),MATCH(M$2,'F_Inputs FD'!$B$2:$N$2,0))="","",INDEX('F_Inputs FD'!$B$4:$O$90,MATCH($C50,'F_Inputs FD'!$B$4:$B$90,0),MATCH(M$2,'F_Inputs FD'!$B$2:$N$2,0)))</f>
        <v>-3.5589569255568101</v>
      </c>
      <c r="N50" s="395">
        <f>IF(INDEX('F_Inputs FD'!$B$4:$O$90,MATCH($C50,'F_Inputs FD'!$B$4:$B$90,0),MATCH(N$2,'F_Inputs FD'!$B$2:$N$2,0))="","",INDEX('F_Inputs FD'!$B$4:$O$90,MATCH($C50,'F_Inputs FD'!$B$4:$B$90,0),MATCH(N$2,'F_Inputs FD'!$B$2:$N$2,0)))</f>
        <v>-2.4188340849088799</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2867.40088440411</v>
      </c>
      <c r="J54" s="221">
        <f>INDEX('F_Inputs FD'!$B$4:$O$90,MATCH($C54,'F_Inputs FD'!$B$4:$B$90,0),MATCH(J$2,'F_Inputs FD'!$B$2:$N$2,0))</f>
        <v>2914.37304229662</v>
      </c>
      <c r="K54" s="221">
        <f>INDEX('F_Inputs FD'!$B$4:$O$90,MATCH($C54,'F_Inputs FD'!$B$4:$B$90,0),MATCH(K$2,'F_Inputs FD'!$B$2:$N$2,0))</f>
        <v>3016.39800363107</v>
      </c>
      <c r="L54" s="221">
        <f>INDEX('F_Inputs FD'!$B$4:$O$90,MATCH($C54,'F_Inputs FD'!$B$4:$B$90,0),MATCH(L$2,'F_Inputs FD'!$B$2:$N$2,0))</f>
        <v>3091.1413005823201</v>
      </c>
      <c r="M54" s="221">
        <f>INDEX('F_Inputs FD'!$B$4:$O$90,MATCH($C54,'F_Inputs FD'!$B$4:$B$90,0),MATCH(M$2,'F_Inputs FD'!$B$2:$N$2,0))</f>
        <v>3124.1710249800299</v>
      </c>
      <c r="N54" s="395">
        <f>INDEX('F_Inputs FD'!$B$4:$O$90,MATCH($C54,'F_Inputs FD'!$B$4:$B$90,0),MATCH(N$2,'F_Inputs FD'!$B$2:$N$2,0))</f>
        <v>3098.6894026936502</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4386.8190647615502</v>
      </c>
      <c r="J55" s="221">
        <f>INDEX('F_Inputs FD'!$B$4:$O$90,MATCH($C55,'F_Inputs FD'!$B$4:$B$90,0),MATCH(J$2,'F_Inputs FD'!$B$2:$N$2,0))</f>
        <v>4424.3880377428904</v>
      </c>
      <c r="K55" s="221">
        <f>INDEX('F_Inputs FD'!$B$4:$O$90,MATCH($C55,'F_Inputs FD'!$B$4:$B$90,0),MATCH(K$2,'F_Inputs FD'!$B$2:$N$2,0))</f>
        <v>4540.9914889670299</v>
      </c>
      <c r="L55" s="221">
        <f>INDEX('F_Inputs FD'!$B$4:$O$90,MATCH($C55,'F_Inputs FD'!$B$4:$B$90,0),MATCH(L$2,'F_Inputs FD'!$B$2:$N$2,0))</f>
        <v>4763.56972769604</v>
      </c>
      <c r="M55" s="221">
        <f>INDEX('F_Inputs FD'!$B$4:$O$90,MATCH($C55,'F_Inputs FD'!$B$4:$B$90,0),MATCH(M$2,'F_Inputs FD'!$B$2:$N$2,0))</f>
        <v>4987.76281366284</v>
      </c>
      <c r="N55" s="395">
        <f>INDEX('F_Inputs FD'!$B$4:$O$90,MATCH($C55,'F_Inputs FD'!$B$4:$B$90,0),MATCH(N$2,'F_Inputs FD'!$B$2:$N$2,0))</f>
        <v>5036.0908804693399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81.11</v>
      </c>
      <c r="K65" s="221">
        <f>INDEX('F_Inputs FD'!$B$4:$O$90,MATCH($C65,'F_Inputs FD'!$B$4:$B$90,0),MATCH(K$2,'F_Inputs FD'!$B$2:$N$2,0))</f>
        <v>62.718000000000004</v>
      </c>
      <c r="L65" s="221">
        <f>INDEX('F_Inputs FD'!$B$4:$O$90,MATCH($C65,'F_Inputs FD'!$B$4:$B$90,0),MATCH(L$2,'F_Inputs FD'!$B$2:$N$2,0))</f>
        <v>82.4</v>
      </c>
      <c r="M65" s="221">
        <f>INDEX('F_Inputs FD'!$B$4:$O$90,MATCH($C65,'F_Inputs FD'!$B$4:$B$90,0),MATCH(M$2,'F_Inputs FD'!$B$2:$N$2,0))</f>
        <v>89.337645231888104</v>
      </c>
      <c r="N65" s="395">
        <f>INDEX('F_Inputs FD'!$B$4:$O$90,MATCH($C65,'F_Inputs FD'!$B$4:$B$90,0),MATCH(N$2,'F_Inputs FD'!$B$2:$N$2,0))</f>
        <v>80.212257453233406</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56.975000000000001</v>
      </c>
      <c r="K66" s="221">
        <f>INDEX('F_Inputs FD'!$B$4:$O$90,MATCH($C66,'F_Inputs FD'!$B$4:$B$90,0),MATCH(K$2,'F_Inputs FD'!$B$2:$N$2,0))</f>
        <v>78.7</v>
      </c>
      <c r="L66" s="221">
        <f>INDEX('F_Inputs FD'!$B$4:$O$90,MATCH($C66,'F_Inputs FD'!$B$4:$B$90,0),MATCH(L$2,'F_Inputs FD'!$B$2:$N$2,0))</f>
        <v>104.4</v>
      </c>
      <c r="M66" s="221">
        <f>INDEX('F_Inputs FD'!$B$4:$O$90,MATCH($C66,'F_Inputs FD'!$B$4:$B$90,0),MATCH(M$2,'F_Inputs FD'!$B$2:$N$2,0))</f>
        <v>132.823654204842</v>
      </c>
      <c r="N66" s="395">
        <f>INDEX('F_Inputs FD'!$B$4:$O$90,MATCH($C66,'F_Inputs FD'!$B$4:$B$90,0),MATCH(N$2,'F_Inputs FD'!$B$2:$N$2,0))</f>
        <v>145.54941540944299</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65.067999999999998</v>
      </c>
      <c r="K67" s="221">
        <f>INDEX('F_Inputs FD'!$B$4:$O$90,MATCH($C67,'F_Inputs FD'!$B$4:$B$90,0),MATCH(K$2,'F_Inputs FD'!$B$2:$N$2,0))</f>
        <v>59</v>
      </c>
      <c r="L67" s="221">
        <f>INDEX('F_Inputs FD'!$B$4:$O$90,MATCH($C67,'F_Inputs FD'!$B$4:$B$90,0),MATCH(L$2,'F_Inputs FD'!$B$2:$N$2,0))</f>
        <v>54.5</v>
      </c>
      <c r="M67" s="221">
        <f>INDEX('F_Inputs FD'!$B$4:$O$90,MATCH($C67,'F_Inputs FD'!$B$4:$B$90,0),MATCH(M$2,'F_Inputs FD'!$B$2:$N$2,0))</f>
        <v>46.737406539603001</v>
      </c>
      <c r="N67" s="395">
        <f>INDEX('F_Inputs FD'!$B$4:$O$90,MATCH($C67,'F_Inputs FD'!$B$4:$B$90,0),MATCH(N$2,'F_Inputs FD'!$B$2:$N$2,0))</f>
        <v>28.190932702302099</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17.885999999999999</v>
      </c>
      <c r="K68" s="221">
        <f>INDEX('F_Inputs FD'!$B$4:$O$90,MATCH($C68,'F_Inputs FD'!$B$4:$B$90,0),MATCH(K$2,'F_Inputs FD'!$B$2:$N$2,0))</f>
        <v>35.1</v>
      </c>
      <c r="L68" s="221">
        <f>INDEX('F_Inputs FD'!$B$4:$O$90,MATCH($C68,'F_Inputs FD'!$B$4:$B$90,0),MATCH(L$2,'F_Inputs FD'!$B$2:$N$2,0))</f>
        <v>45</v>
      </c>
      <c r="M68" s="221">
        <f>INDEX('F_Inputs FD'!$B$4:$O$90,MATCH($C68,'F_Inputs FD'!$B$4:$B$90,0),MATCH(M$2,'F_Inputs FD'!$B$2:$N$2,0))</f>
        <v>41.979437787261098</v>
      </c>
      <c r="N68" s="395">
        <f>INDEX('F_Inputs FD'!$B$4:$O$90,MATCH($C68,'F_Inputs FD'!$B$4:$B$90,0),MATCH(N$2,'F_Inputs FD'!$B$2:$N$2,0))</f>
        <v>16.022490149309998</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60.942999999999998</v>
      </c>
      <c r="K72" s="221">
        <f>INDEX('F_Inputs FD'!$B$4:$O$90,MATCH($C72,'F_Inputs FD'!$B$4:$B$90,0),MATCH(K$2,'F_Inputs FD'!$B$2:$N$2,0))</f>
        <v>79.064999999999998</v>
      </c>
      <c r="L72" s="221">
        <f>INDEX('F_Inputs FD'!$B$4:$O$90,MATCH($C72,'F_Inputs FD'!$B$4:$B$90,0),MATCH(L$2,'F_Inputs FD'!$B$2:$N$2,0))</f>
        <v>70.834000000000003</v>
      </c>
      <c r="M72" s="221">
        <f>INDEX('F_Inputs FD'!$B$4:$O$90,MATCH($C72,'F_Inputs FD'!$B$4:$B$90,0),MATCH(M$2,'F_Inputs FD'!$B$2:$N$2,0))</f>
        <v>61.989998569870998</v>
      </c>
      <c r="N72" s="395">
        <f>INDEX('F_Inputs FD'!$B$4:$O$90,MATCH($C72,'F_Inputs FD'!$B$4:$B$90,0),MATCH(N$2,'F_Inputs FD'!$B$2:$N$2,0))</f>
        <v>91.014689886857099</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128.505</v>
      </c>
      <c r="K73" s="221">
        <f>INDEX('F_Inputs FD'!$B$4:$O$90,MATCH($C73,'F_Inputs FD'!$B$4:$B$90,0),MATCH(K$2,'F_Inputs FD'!$B$2:$N$2,0))</f>
        <v>142.923</v>
      </c>
      <c r="L73" s="221">
        <f>INDEX('F_Inputs FD'!$B$4:$O$90,MATCH($C73,'F_Inputs FD'!$B$4:$B$90,0),MATCH(L$2,'F_Inputs FD'!$B$2:$N$2,0))</f>
        <v>163.24</v>
      </c>
      <c r="M73" s="221">
        <f>INDEX('F_Inputs FD'!$B$4:$O$90,MATCH($C73,'F_Inputs FD'!$B$4:$B$90,0),MATCH(M$2,'F_Inputs FD'!$B$2:$N$2,0))</f>
        <v>178.46637905083901</v>
      </c>
      <c r="N73" s="395">
        <f>INDEX('F_Inputs FD'!$B$4:$O$90,MATCH($C73,'F_Inputs FD'!$B$4:$B$90,0),MATCH(N$2,'F_Inputs FD'!$B$2:$N$2,0))</f>
        <v>166.93986805584899</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97.283000000000001</v>
      </c>
      <c r="K74" s="221">
        <f>INDEX('F_Inputs FD'!$B$4:$O$90,MATCH($C74,'F_Inputs FD'!$B$4:$B$90,0),MATCH(K$2,'F_Inputs FD'!$B$2:$N$2,0))</f>
        <v>130.1</v>
      </c>
      <c r="L74" s="221">
        <f>INDEX('F_Inputs FD'!$B$4:$O$90,MATCH($C74,'F_Inputs FD'!$B$4:$B$90,0),MATCH(L$2,'F_Inputs FD'!$B$2:$N$2,0))</f>
        <v>136.06899999999999</v>
      </c>
      <c r="M74" s="221">
        <f>INDEX('F_Inputs FD'!$B$4:$O$90,MATCH($C74,'F_Inputs FD'!$B$4:$B$90,0),MATCH(M$2,'F_Inputs FD'!$B$2:$N$2,0))</f>
        <v>138.75840462318601</v>
      </c>
      <c r="N74" s="395">
        <f>INDEX('F_Inputs FD'!$B$4:$O$90,MATCH($C74,'F_Inputs FD'!$B$4:$B$90,0),MATCH(N$2,'F_Inputs FD'!$B$2:$N$2,0))</f>
        <v>52.972605414922697</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100.616</v>
      </c>
      <c r="K75" s="221">
        <f>INDEX('F_Inputs FD'!$B$4:$O$90,MATCH($C75,'F_Inputs FD'!$B$4:$B$90,0),MATCH(K$2,'F_Inputs FD'!$B$2:$N$2,0))</f>
        <v>100.46</v>
      </c>
      <c r="L75" s="221">
        <f>INDEX('F_Inputs FD'!$B$4:$O$90,MATCH($C75,'F_Inputs FD'!$B$4:$B$90,0),MATCH(L$2,'F_Inputs FD'!$B$2:$N$2,0))</f>
        <v>129.751</v>
      </c>
      <c r="M75" s="221">
        <f>INDEX('F_Inputs FD'!$B$4:$O$90,MATCH($C75,'F_Inputs FD'!$B$4:$B$90,0),MATCH(M$2,'F_Inputs FD'!$B$2:$N$2,0))</f>
        <v>136.706290983983</v>
      </c>
      <c r="N75" s="395">
        <f>INDEX('F_Inputs FD'!$B$4:$O$90,MATCH($C75,'F_Inputs FD'!$B$4:$B$90,0),MATCH(N$2,'F_Inputs FD'!$B$2:$N$2,0))</f>
        <v>205.36746648171101</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-8.0574925374535695</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0.28246441316447002</v>
      </c>
      <c r="K93" s="221">
        <f>INDEX('F_Inputs FD'!$B$4:$O$90,MATCH($C93,'F_Inputs FD'!$B$4:$B$90,0),MATCH(K$2,'F_Inputs FD'!$B$2:$N$2,0))</f>
        <v>13.0264552418378</v>
      </c>
      <c r="L93" s="221">
        <f>INDEX('F_Inputs FD'!$B$4:$O$90,MATCH($C93,'F_Inputs FD'!$B$4:$B$90,0),MATCH(L$2,'F_Inputs FD'!$B$2:$N$2,0))</f>
        <v>21.714323113048199</v>
      </c>
      <c r="M93" s="221">
        <f>INDEX('F_Inputs FD'!$B$4:$O$90,MATCH($C93,'F_Inputs FD'!$B$4:$B$90,0),MATCH(M$2,'F_Inputs FD'!$B$2:$N$2,0))</f>
        <v>24.644042771550598</v>
      </c>
      <c r="N93" s="395">
        <f>INDEX('F_Inputs FD'!$B$4:$O$90,MATCH($C93,'F_Inputs FD'!$B$4:$B$90,0),MATCH(N$2,'F_Inputs FD'!$B$2:$N$2,0))</f>
        <v>25.447532113894798</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0.20139714852101601</v>
      </c>
      <c r="K94" s="221">
        <f>INDEX('F_Inputs FD'!$B$4:$O$90,MATCH($C94,'F_Inputs FD'!$B$4:$B$90,0),MATCH(K$2,'F_Inputs FD'!$B$2:$N$2,0))</f>
        <v>9.3251642560225392</v>
      </c>
      <c r="L94" s="221">
        <f>INDEX('F_Inputs FD'!$B$4:$O$90,MATCH($C94,'F_Inputs FD'!$B$4:$B$90,0),MATCH(L$2,'F_Inputs FD'!$B$2:$N$2,0))</f>
        <v>15.6069197128142</v>
      </c>
      <c r="M94" s="221">
        <f>INDEX('F_Inputs FD'!$B$4:$O$90,MATCH($C94,'F_Inputs FD'!$B$4:$B$90,0),MATCH(M$2,'F_Inputs FD'!$B$2:$N$2,0))</f>
        <v>17.783757011812099</v>
      </c>
      <c r="N94" s="395">
        <f>INDEX('F_Inputs FD'!$B$4:$O$90,MATCH($C94,'F_Inputs FD'!$B$4:$B$90,0),MATCH(N$2,'F_Inputs FD'!$B$2:$N$2,0))</f>
        <v>47.455058776219801</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-0.4522689985251</v>
      </c>
      <c r="K96" s="221">
        <f>INDEX('F_Inputs FD'!$B$4:$O$90,MATCH($C96,'F_Inputs FD'!$B$4:$B$90,0),MATCH(K$2,'F_Inputs FD'!$B$2:$N$2,0))</f>
        <v>-1.2269052645863101</v>
      </c>
      <c r="L96" s="221">
        <f>INDEX('F_Inputs FD'!$B$4:$O$90,MATCH($C96,'F_Inputs FD'!$B$4:$B$90,0),MATCH(L$2,'F_Inputs FD'!$B$2:$N$2,0))</f>
        <v>-2.3590303473757399</v>
      </c>
      <c r="M96" s="221">
        <f>INDEX('F_Inputs FD'!$B$4:$O$90,MATCH($C96,'F_Inputs FD'!$B$4:$B$90,0),MATCH(M$2,'F_Inputs FD'!$B$2:$N$2,0))</f>
        <v>-22.498090855247899</v>
      </c>
      <c r="N96" s="395">
        <f>INDEX('F_Inputs FD'!$B$4:$O$90,MATCH($C96,'F_Inputs FD'!$B$4:$B$90,0),MATCH(N$2,'F_Inputs FD'!$B$2:$N$2,0))</f>
        <v>-28.446642262507901</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258.245833333333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117.80275077500001</v>
      </c>
      <c r="N106" s="565">
        <f>INDEX('F_Inputs FD'!$B$4:$O$90,MATCH($C106,'F_Inputs FD'!$B$4:$B$90,0),MATCH(N$2,'F_Inputs FD'!$B$2:$N$2,0))</f>
        <v>121.43339195</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0</v>
      </c>
      <c r="N107" s="416">
        <f>INDEX('F_Inputs FD'!$B$4:$O$90,MATCH($C107,'F_Inputs FD'!$B$4:$B$90,0),MATCH(N$2,'F_Inputs FD'!$B$2:$N$2,0))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781</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20"/>
  <sheetViews>
    <sheetView showGridLines="0" zoomScale="70" zoomScaleNormal="70" workbookViewId="0">
      <pane xSplit="6" ySplit="7" topLeftCell="G8" activePane="bottomRight" state="frozen"/>
      <selection activeCell="P219" sqref="P219"/>
      <selection pane="topRight" activeCell="P219" sqref="P219"/>
      <selection pane="bottomLeft" activeCell="P219" sqref="P219"/>
      <selection pane="bottomRight" activeCell="P219" sqref="P219"/>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258.245833333333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2.5870630296610075E-2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0.80772519724423031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117.80275077500001</v>
      </c>
      <c r="N17" s="375">
        <f>IF('Input FD'!N106=0,M17*(1+'Input FD'!N107),'Input FD'!N106)</f>
        <v>121.43339195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1.0584254337376462</v>
      </c>
      <c r="N18" s="377">
        <f t="shared" si="4"/>
        <v>1.0910457497753818</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87.703413108736427</v>
      </c>
      <c r="N20" s="375">
        <f>((N17/'Input FD'!$G$117)/(N13/'Input FD'!$G$116))*100</f>
        <v>88.126514343979935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0.87703413108736428</v>
      </c>
      <c r="N21" s="377">
        <f t="shared" si="5"/>
        <v>0.88126514343979934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102.1466765207702</v>
      </c>
      <c r="K39" s="156">
        <f>IF(OR(K$5&lt;4,K$5&gt;8),'Input FD'!K30,'Input FD'!K30*$G$95/100)</f>
        <v>117.80512695168643</v>
      </c>
      <c r="L39" s="156">
        <f>IF(OR(L$5&lt;4,L$5&gt;8),'Input FD'!L30,'Input FD'!L30*$G$95/100)</f>
        <v>94.516303086706671</v>
      </c>
      <c r="M39" s="156">
        <f>IF(OR(M$5&lt;4,M$5&gt;8),'Input FD'!M30,'Input FD'!M30*$G$95/100)</f>
        <v>94.557549336635589</v>
      </c>
      <c r="N39" s="365">
        <f>IF(OR(N$5&lt;4,N$5&gt;8),'Input FD'!N30,'Input FD'!N30*$G$95/100)</f>
        <v>88.336080824679414</v>
      </c>
      <c r="O39" s="157"/>
      <c r="P39" s="158"/>
      <c r="Q39" s="148"/>
      <c r="R39" s="147" t="s">
        <v>242</v>
      </c>
    </row>
    <row r="40" spans="1:23" s="37" customFormat="1">
      <c r="C40" s="131"/>
      <c r="D40" s="153" t="s">
        <v>57</v>
      </c>
      <c r="E40" s="154" t="s">
        <v>61</v>
      </c>
      <c r="F40" s="155"/>
      <c r="G40" s="148"/>
      <c r="H40" s="148"/>
      <c r="I40" s="148"/>
      <c r="J40" s="156">
        <f>IF(OR(J$5&lt;4,J$5&gt;8),'Input FD'!J31,'Input FD'!J31*$G$95/100)</f>
        <v>74.061200194787816</v>
      </c>
      <c r="K40" s="156">
        <f>IF(OR(K$5&lt;4,K$5&gt;8),'Input FD'!K31,'Input FD'!K31*$G$95/100)</f>
        <v>111.88067852815482</v>
      </c>
      <c r="L40" s="156">
        <f>IF(OR(L$5&lt;4,L$5&gt;8),'Input FD'!L31,'Input FD'!L31*$G$95/100)</f>
        <v>109.0133076001446</v>
      </c>
      <c r="M40" s="156">
        <f>IF(OR(M$5&lt;4,M$5&gt;8),'Input FD'!M31,'Input FD'!M31*$G$95/100)</f>
        <v>89.198714760427436</v>
      </c>
      <c r="N40" s="365">
        <f>IF(OR(N$5&lt;4,N$5&gt;8),'Input FD'!N31,'Input FD'!N31*$G$95/100)</f>
        <v>64.782977753005127</v>
      </c>
      <c r="O40" s="157"/>
      <c r="P40" s="158"/>
      <c r="Q40" s="148"/>
      <c r="R40" s="147" t="s">
        <v>242</v>
      </c>
    </row>
    <row r="41" spans="1:23" s="37" customFormat="1">
      <c r="C41" s="131"/>
      <c r="D41" s="153" t="s">
        <v>57</v>
      </c>
      <c r="E41" s="154" t="s">
        <v>63</v>
      </c>
      <c r="F41" s="155"/>
      <c r="G41" s="148"/>
      <c r="H41" s="148"/>
      <c r="I41" s="148"/>
      <c r="J41" s="156">
        <f>IF(OR(J$5&lt;4,J$5&gt;8),'Input FD'!J32,'Input FD'!J32*$G$95/100)</f>
        <v>88.752133367157569</v>
      </c>
      <c r="K41" s="156">
        <f>IF(OR(K$5&lt;4,K$5&gt;8),'Input FD'!K32,'Input FD'!K32*$G$95/100)</f>
        <v>63.976593056935478</v>
      </c>
      <c r="L41" s="156">
        <f>IF(OR(L$5&lt;4,L$5&gt;8),'Input FD'!L32,'Input FD'!L32*$G$95/100)</f>
        <v>54.814173307821846</v>
      </c>
      <c r="M41" s="156">
        <f>IF(OR(M$5&lt;4,M$5&gt;8),'Input FD'!M32,'Input FD'!M32*$G$95/100)</f>
        <v>40.556728148706519</v>
      </c>
      <c r="N41" s="365">
        <f>IF(OR(N$5&lt;4,N$5&gt;8),'Input FD'!N32,'Input FD'!N32*$G$95/100)</f>
        <v>25.049377553052199</v>
      </c>
      <c r="O41" s="157"/>
      <c r="P41" s="158"/>
      <c r="Q41" s="148"/>
      <c r="R41" s="147" t="s">
        <v>242</v>
      </c>
    </row>
    <row r="42" spans="1:23" s="37" customFormat="1">
      <c r="C42" s="131"/>
      <c r="D42" s="153" t="s">
        <v>57</v>
      </c>
      <c r="E42" s="154" t="s">
        <v>62</v>
      </c>
      <c r="F42" s="155"/>
      <c r="G42" s="148"/>
      <c r="H42" s="148"/>
      <c r="I42" s="148"/>
      <c r="J42" s="156">
        <f>IF(OR(J$5&lt;4,J$5&gt;8),'Input FD'!J33,'Input FD'!J33*$G$95/100)</f>
        <v>18.718075413312821</v>
      </c>
      <c r="K42" s="156">
        <f>IF(OR(K$5&lt;4,K$5&gt;8),'Input FD'!K33,'Input FD'!K33*$G$95/100)</f>
        <v>38.387586729678695</v>
      </c>
      <c r="L42" s="156">
        <f>IF(OR(L$5&lt;4,L$5&gt;8),'Input FD'!L33,'Input FD'!L33*$G$95/100)</f>
        <v>46.9265841118727</v>
      </c>
      <c r="M42" s="156">
        <f>IF(OR(M$5&lt;4,M$5&gt;8),'Input FD'!M33,'Input FD'!M33*$G$95/100)</f>
        <v>38.846858890213674</v>
      </c>
      <c r="N42" s="365">
        <f>IF(OR(N$5&lt;4,N$5&gt;8),'Input FD'!N33,'Input FD'!N33*$G$95/100)</f>
        <v>21.899723218493943</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62.89706239845075</v>
      </c>
      <c r="K46" s="156">
        <f>IF('Input FD'!$O$151=1,0,IF(OR(K$5&lt;4,K$5&gt;8),'Input FD'!K37,'Input FD'!K37*$G$100/100))</f>
        <v>51.199826826779834</v>
      </c>
      <c r="L46" s="156">
        <f>IF('Input FD'!$O$151=1,0,IF(OR(L$5&lt;4,L$5&gt;8),'Input FD'!L37,'Input FD'!L37*$G$100/100))</f>
        <v>55.871655648098887</v>
      </c>
      <c r="M46" s="156">
        <f>IF('Input FD'!$O$151=1,0,IF(OR(M$5&lt;4,M$5&gt;8),'Input FD'!M37,'Input FD'!M37*$G$100/100))</f>
        <v>41.528947033235525</v>
      </c>
      <c r="N46" s="365">
        <f>IF('Input FD'!$O$151=1,0,IF(OR(N$5&lt;4,N$5&gt;8),'Input FD'!N37,'Input FD'!N37*$G$100/100))</f>
        <v>39.730728353516945</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86.540006106327425</v>
      </c>
      <c r="K47" s="156">
        <f>IF('Input FD'!$O$151=1,0,IF(OR(K$5&lt;4,K$5&gt;8),'Input FD'!K38,'Input FD'!K38*$G$100/100))</f>
        <v>104.07729053609071</v>
      </c>
      <c r="L47" s="156">
        <f>IF('Input FD'!$O$151=1,0,IF(OR(L$5&lt;4,L$5&gt;8),'Input FD'!L38,'Input FD'!L38*$G$100/100))</f>
        <v>199.84508970286214</v>
      </c>
      <c r="M47" s="156">
        <f>IF('Input FD'!$O$151=1,0,IF(OR(M$5&lt;4,M$5&gt;8),'Input FD'!M38,'Input FD'!M38*$G$100/100))</f>
        <v>187.94765086381409</v>
      </c>
      <c r="N47" s="365">
        <f>IF('Input FD'!$O$151=1,0,IF(OR(N$5&lt;4,N$5&gt;8),'Input FD'!N38,'Input FD'!N38*$G$100/100))</f>
        <v>131.98402892724829</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68.92039812143652</v>
      </c>
      <c r="K48" s="156">
        <f>IF('Input FD'!$O$151=1,0,IF(OR(K$5&lt;4,K$5&gt;8),'Input FD'!K39,'Input FD'!K39*$G$100/100))</f>
        <v>86.37757399223598</v>
      </c>
      <c r="L48" s="156">
        <f>IF('Input FD'!$O$151=1,0,IF(OR(L$5&lt;4,L$5&gt;8),'Input FD'!L39,'Input FD'!L39*$G$100/100))</f>
        <v>89.268178600211527</v>
      </c>
      <c r="M48" s="156">
        <f>IF('Input FD'!$O$151=1,0,IF(OR(M$5&lt;4,M$5&gt;8),'Input FD'!M39,'Input FD'!M39*$G$100/100))</f>
        <v>109.36043929754655</v>
      </c>
      <c r="N48" s="365">
        <f>IF('Input FD'!$O$151=1,0,IF(OR(N$5&lt;4,N$5&gt;8),'Input FD'!N39,'Input FD'!N39*$G$100/100))</f>
        <v>77.73897748038172</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122.38754717580109</v>
      </c>
      <c r="K49" s="156">
        <f>IF('Input FD'!$O$151=1,0,IF(OR(K$5&lt;4,K$5&gt;8),'Input FD'!K40,'Input FD'!K40*$G$100/100))</f>
        <v>165.57316086103268</v>
      </c>
      <c r="L49" s="156">
        <f>IF('Input FD'!$O$151=1,0,IF(OR(L$5&lt;4,L$5&gt;8),'Input FD'!L40,'Input FD'!L40*$G$100/100))</f>
        <v>184.71136761473804</v>
      </c>
      <c r="M49" s="156">
        <f>IF('Input FD'!$O$151=1,0,IF(OR(M$5&lt;4,M$5&gt;8),'Input FD'!M40,'Input FD'!M40*$G$100/100))</f>
        <v>203.17718050815677</v>
      </c>
      <c r="N49" s="365">
        <f>IF('Input FD'!$O$151=1,0,IF(OR(N$5&lt;4,N$5&gt;8),'Input FD'!N40,'Input FD'!N40*$G$100/100))</f>
        <v>118.92455463877911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266.34335137778442</v>
      </c>
      <c r="K55" s="156">
        <f>SUM('Input FD'!K10:K13)-'Input FD'!K14-'Input FD'!K17+'Input FD'!K15+'Input FD'!K16</f>
        <v>316.14599137868066</v>
      </c>
      <c r="L55" s="156">
        <f>SUM('Input FD'!L10:L13)-'Input FD'!L14-'Input FD'!L17+'Input FD'!L15+'Input FD'!L16</f>
        <v>290.23787137823189</v>
      </c>
      <c r="M55" s="156">
        <f>SUM('Input FD'!M10:M13)-'Input FD'!M14-'Input FD'!M17+'Input FD'!M15+'Input FD'!M16</f>
        <v>251.31240137823229</v>
      </c>
      <c r="N55" s="365">
        <f>SUM('Input FD'!N10:N13)-'Input FD'!N14-'Input FD'!N17+'Input FD'!N15+'Input FD'!N16</f>
        <v>192.65049137823232</v>
      </c>
      <c r="O55" s="157"/>
      <c r="P55" s="158"/>
      <c r="Q55" s="148"/>
      <c r="R55" s="147" t="s">
        <v>242</v>
      </c>
    </row>
    <row r="56" spans="1:18" s="37" customFormat="1">
      <c r="C56" s="131"/>
      <c r="D56" s="153" t="s">
        <v>57</v>
      </c>
      <c r="E56" s="154" t="s">
        <v>114</v>
      </c>
      <c r="F56" s="155"/>
      <c r="G56" s="148"/>
      <c r="H56" s="148"/>
      <c r="I56" s="148"/>
      <c r="J56" s="156">
        <f>SUM('Input FD'!J30:J35)</f>
        <v>288.29163225115377</v>
      </c>
      <c r="K56" s="156">
        <f>SUM('Input FD'!K30:K35)</f>
        <v>337.45021958271161</v>
      </c>
      <c r="L56" s="156">
        <f>SUM('Input FD'!L30:L35)</f>
        <v>310.23507700801508</v>
      </c>
      <c r="M56" s="156">
        <f>SUM('Input FD'!M30:M35)</f>
        <v>267.43970333240776</v>
      </c>
      <c r="N56" s="365">
        <f>SUM('Input FD'!N30:N35)</f>
        <v>203.32193133431579</v>
      </c>
      <c r="O56" s="157"/>
      <c r="P56" s="158"/>
      <c r="Q56" s="148"/>
      <c r="R56" s="147" t="s">
        <v>242</v>
      </c>
    </row>
    <row r="57" spans="1:18" s="37" customFormat="1">
      <c r="C57" s="131"/>
      <c r="D57" s="153" t="s">
        <v>57</v>
      </c>
      <c r="E57" s="154" t="s">
        <v>115</v>
      </c>
      <c r="F57" s="155"/>
      <c r="G57" s="148"/>
      <c r="H57" s="148"/>
      <c r="I57" s="148"/>
      <c r="J57" s="156">
        <f>SUM(J39:J44)</f>
        <v>283.67808549602842</v>
      </c>
      <c r="K57" s="156">
        <f t="shared" ref="K57:N57" si="7">SUM(K39:K44)</f>
        <v>332.04998526645539</v>
      </c>
      <c r="L57" s="156">
        <f t="shared" si="7"/>
        <v>305.27036810654579</v>
      </c>
      <c r="M57" s="156">
        <f t="shared" si="7"/>
        <v>263.15985113598322</v>
      </c>
      <c r="N57" s="365">
        <f t="shared" si="7"/>
        <v>200.06815934923068</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-8.0574925374535695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266.34335137778442</v>
      </c>
      <c r="K62" s="156">
        <f t="shared" ref="K62:N62" si="8">K55+K59</f>
        <v>316.14599137868066</v>
      </c>
      <c r="L62" s="156">
        <f t="shared" si="8"/>
        <v>290.23787137823189</v>
      </c>
      <c r="M62" s="156">
        <f t="shared" si="8"/>
        <v>251.31240137823229</v>
      </c>
      <c r="N62" s="365">
        <f t="shared" si="8"/>
        <v>192.65049137823232</v>
      </c>
      <c r="O62" s="157"/>
      <c r="P62" s="158"/>
      <c r="Q62" s="148"/>
      <c r="R62" s="147" t="s">
        <v>242</v>
      </c>
    </row>
    <row r="63" spans="1:18" s="37" customFormat="1">
      <c r="C63" s="131"/>
      <c r="D63" s="153" t="s">
        <v>57</v>
      </c>
      <c r="E63" s="154" t="s">
        <v>182</v>
      </c>
      <c r="F63" s="155"/>
      <c r="G63" s="148"/>
      <c r="H63" s="148"/>
      <c r="I63" s="148"/>
      <c r="J63" s="156">
        <f>J56+J60</f>
        <v>288.29163225115377</v>
      </c>
      <c r="K63" s="156">
        <f t="shared" ref="K63:N63" si="9">K56+K60</f>
        <v>337.45021958271161</v>
      </c>
      <c r="L63" s="156">
        <f t="shared" si="9"/>
        <v>310.23507700801508</v>
      </c>
      <c r="M63" s="156">
        <f t="shared" si="9"/>
        <v>267.43970333240776</v>
      </c>
      <c r="N63" s="365">
        <f t="shared" si="9"/>
        <v>195.26443879686224</v>
      </c>
      <c r="O63" s="157"/>
      <c r="P63" s="158"/>
      <c r="Q63" s="148"/>
      <c r="R63" s="147" t="s">
        <v>242</v>
      </c>
    </row>
    <row r="64" spans="1:18" s="37" customFormat="1">
      <c r="C64" s="131"/>
      <c r="D64" s="153" t="s">
        <v>57</v>
      </c>
      <c r="E64" s="154" t="s">
        <v>250</v>
      </c>
      <c r="F64" s="155"/>
      <c r="G64" s="148"/>
      <c r="H64" s="148"/>
      <c r="I64" s="148"/>
      <c r="J64" s="156">
        <f>J63*$G$107/100</f>
        <v>284.0667039678151</v>
      </c>
      <c r="K64" s="156">
        <f t="shared" ref="K64:N64" si="10">K63*$G$107/100</f>
        <v>332.50486974442077</v>
      </c>
      <c r="L64" s="156">
        <f t="shared" si="10"/>
        <v>305.68856644473573</v>
      </c>
      <c r="M64" s="156">
        <f t="shared" si="10"/>
        <v>263.52036110983352</v>
      </c>
      <c r="N64" s="365">
        <f t="shared" si="10"/>
        <v>192.40282868434807</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375.94922295322203</v>
      </c>
      <c r="K66" s="156">
        <f>IF('Input FD'!$O$151=1,0,SUM('Input FD'!K19:K22)-'Input FD'!K23-'Input FD'!K26+'Input FD'!K24+'Input FD'!K25)</f>
        <v>423.83044586052296</v>
      </c>
      <c r="L66" s="156">
        <f>IF('Input FD'!$O$151=1,0,SUM('Input FD'!L19:L22)-'Input FD'!L23-'Input FD'!L26+'Input FD'!L24+'Input FD'!L25)</f>
        <v>556.52104490051602</v>
      </c>
      <c r="M66" s="156">
        <f>IF('Input FD'!$O$151=1,0,SUM('Input FD'!M19:M22)-'Input FD'!M23-'Input FD'!M26+'Input FD'!M24+'Input FD'!M25)</f>
        <v>570.75789787543613</v>
      </c>
      <c r="N66" s="365">
        <f>IF('Input FD'!$O$151=1,0,SUM('Input FD'!N19:N22)-'Input FD'!N23-'Input FD'!N26+'Input FD'!N24+'Input FD'!N25)</f>
        <v>387.97764006042803</v>
      </c>
      <c r="O66" s="157"/>
      <c r="P66" s="158"/>
      <c r="Q66" s="148"/>
      <c r="R66" s="147" t="s">
        <v>242</v>
      </c>
    </row>
    <row r="67" spans="1:18" s="37" customFormat="1">
      <c r="C67" s="131"/>
      <c r="D67" s="153" t="s">
        <v>57</v>
      </c>
      <c r="E67" s="154" t="s">
        <v>117</v>
      </c>
      <c r="F67" s="155"/>
      <c r="G67" s="148"/>
      <c r="H67" s="148"/>
      <c r="I67" s="148"/>
      <c r="J67" s="156">
        <f>IF('Input FD'!$O$151=1,0,SUM('Input FD'!J37:J42))</f>
        <v>334.15379837672037</v>
      </c>
      <c r="K67" s="156">
        <f>IF('Input FD'!$O$151=1,0,SUM('Input FD'!K37:K42))</f>
        <v>399.35062322550021</v>
      </c>
      <c r="L67" s="156">
        <f>IF('Input FD'!$O$151=1,0,SUM('Input FD'!L37:L42))</f>
        <v>519.45008919677025</v>
      </c>
      <c r="M67" s="156">
        <f>IF('Input FD'!$O$151=1,0,SUM('Input FD'!M37:M42))</f>
        <v>531.52974301421784</v>
      </c>
      <c r="N67" s="365">
        <f>IF('Input FD'!$O$151=1,0,SUM('Input FD'!N37:N42))</f>
        <v>361.25254855240917</v>
      </c>
      <c r="O67" s="157"/>
      <c r="P67" s="158"/>
      <c r="Q67" s="148"/>
      <c r="R67" s="147" t="s">
        <v>242</v>
      </c>
    </row>
    <row r="68" spans="1:18" s="37" customFormat="1">
      <c r="C68" s="131"/>
      <c r="D68" s="153" t="s">
        <v>57</v>
      </c>
      <c r="E68" s="154" t="s">
        <v>118</v>
      </c>
      <c r="F68" s="155"/>
      <c r="G68" s="148"/>
      <c r="H68" s="148"/>
      <c r="I68" s="148"/>
      <c r="J68" s="156">
        <f>SUM(J46:J51)</f>
        <v>340.74501380201582</v>
      </c>
      <c r="K68" s="156">
        <f t="shared" ref="K68:N68" si="11">SUM(K46:K51)</f>
        <v>407.22785221613924</v>
      </c>
      <c r="L68" s="156">
        <f t="shared" si="11"/>
        <v>529.69629156591054</v>
      </c>
      <c r="M68" s="156">
        <f t="shared" si="11"/>
        <v>542.01421770275294</v>
      </c>
      <c r="N68" s="365">
        <f t="shared" si="11"/>
        <v>368.37828939992608</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0.28246441316447002</v>
      </c>
      <c r="K70" s="156">
        <f>'Input FD'!K93+'Input FD'!K90</f>
        <v>13.0264552418378</v>
      </c>
      <c r="L70" s="156">
        <f>'Input FD'!L93+'Input FD'!L90</f>
        <v>21.714323113048199</v>
      </c>
      <c r="M70" s="156">
        <f>'Input FD'!M93+'Input FD'!M90</f>
        <v>24.644042771550598</v>
      </c>
      <c r="N70" s="365">
        <f>'Input FD'!N93+'Input FD'!N90</f>
        <v>25.447532113894798</v>
      </c>
      <c r="P70" s="136"/>
      <c r="Q70" s="131"/>
      <c r="R70" s="147" t="s">
        <v>242</v>
      </c>
    </row>
    <row r="71" spans="1:18" s="37" customFormat="1">
      <c r="C71" s="131"/>
      <c r="D71" s="153" t="s">
        <v>57</v>
      </c>
      <c r="E71" s="132" t="s">
        <v>120</v>
      </c>
      <c r="F71" s="131"/>
      <c r="G71" s="131"/>
      <c r="H71" s="131"/>
      <c r="I71" s="131"/>
      <c r="J71" s="156">
        <f>'Input FD'!J94+'Input FD'!J96+'Input FD'!J91</f>
        <v>-0.25087185000408396</v>
      </c>
      <c r="K71" s="156">
        <f>'Input FD'!K94+'Input FD'!K96+'Input FD'!K91</f>
        <v>8.0982589914362286</v>
      </c>
      <c r="L71" s="156">
        <f>'Input FD'!L94+'Input FD'!L96+'Input FD'!L91</f>
        <v>13.247889365438461</v>
      </c>
      <c r="M71" s="156">
        <f>'Input FD'!M94+'Input FD'!M96+'Input FD'!M91</f>
        <v>-4.7143338434357993</v>
      </c>
      <c r="N71" s="365">
        <f>'Input FD'!N94+'Input FD'!N96+'Input FD'!N91</f>
        <v>19.0084165137119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376.2316873663865</v>
      </c>
      <c r="K73" s="156">
        <f t="shared" si="12"/>
        <v>436.85690110236078</v>
      </c>
      <c r="L73" s="156">
        <f t="shared" si="12"/>
        <v>578.2353680135642</v>
      </c>
      <c r="M73" s="156">
        <f t="shared" si="12"/>
        <v>595.40194064698676</v>
      </c>
      <c r="N73" s="365">
        <f t="shared" si="12"/>
        <v>413.42517217432282</v>
      </c>
      <c r="P73" s="136"/>
      <c r="Q73" s="131"/>
      <c r="R73" s="147" t="s">
        <v>242</v>
      </c>
    </row>
    <row r="74" spans="1:18" s="37" customFormat="1">
      <c r="C74" s="131"/>
      <c r="D74" s="153" t="s">
        <v>57</v>
      </c>
      <c r="E74" s="132" t="s">
        <v>184</v>
      </c>
      <c r="F74" s="131"/>
      <c r="G74" s="131"/>
      <c r="H74" s="131"/>
      <c r="I74" s="131"/>
      <c r="J74" s="156">
        <f t="shared" si="12"/>
        <v>333.90292652671627</v>
      </c>
      <c r="K74" s="156">
        <f t="shared" si="12"/>
        <v>407.44888221693645</v>
      </c>
      <c r="L74" s="156">
        <f t="shared" si="12"/>
        <v>532.69797856220873</v>
      </c>
      <c r="M74" s="156">
        <f t="shared" si="12"/>
        <v>526.815409170782</v>
      </c>
      <c r="N74" s="365">
        <f t="shared" si="12"/>
        <v>380.26096506612106</v>
      </c>
      <c r="P74" s="136"/>
      <c r="Q74" s="131"/>
      <c r="R74" s="147" t="s">
        <v>242</v>
      </c>
    </row>
    <row r="75" spans="1:18" s="37" customFormat="1">
      <c r="C75" s="131"/>
      <c r="D75" s="153" t="s">
        <v>57</v>
      </c>
      <c r="E75" s="132" t="s">
        <v>109</v>
      </c>
      <c r="F75" s="131"/>
      <c r="G75" s="131"/>
      <c r="H75" s="131"/>
      <c r="I75" s="131"/>
      <c r="J75" s="156">
        <f>J74*$G$111/100</f>
        <v>342.2854147767157</v>
      </c>
      <c r="K75" s="156">
        <f t="shared" ref="K75:N75" si="13">K74*$G$111/100</f>
        <v>417.67770980819625</v>
      </c>
      <c r="L75" s="156">
        <f t="shared" si="13"/>
        <v>546.07113043166055</v>
      </c>
      <c r="M75" s="156">
        <f t="shared" si="13"/>
        <v>540.04088168528961</v>
      </c>
      <c r="N75" s="365">
        <f t="shared" si="13"/>
        <v>389.80725178111686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236.66092545841994</v>
      </c>
      <c r="K79" s="156">
        <f t="shared" ref="K79:N79" si="14">K62*K$21</f>
        <v>274.48000645516748</v>
      </c>
      <c r="L79" s="156">
        <f t="shared" si="14"/>
        <v>252.49281171372024</v>
      </c>
      <c r="M79" s="156">
        <f t="shared" si="14"/>
        <v>220.4095535742369</v>
      </c>
      <c r="N79" s="365">
        <f t="shared" si="14"/>
        <v>169.77616291818572</v>
      </c>
      <c r="P79" s="136"/>
      <c r="Q79" s="131"/>
      <c r="R79" s="147" t="s">
        <v>242</v>
      </c>
    </row>
    <row r="80" spans="1:18" s="37" customFormat="1">
      <c r="C80" s="131"/>
      <c r="D80" s="153" t="s">
        <v>57</v>
      </c>
      <c r="E80" s="132" t="s">
        <v>317</v>
      </c>
      <c r="F80" s="161"/>
      <c r="G80" s="162"/>
      <c r="H80" s="162"/>
      <c r="I80" s="163"/>
      <c r="J80" s="156">
        <f>J63*J$21</f>
        <v>256.16319738239702</v>
      </c>
      <c r="K80" s="156">
        <f t="shared" ref="K80:N80" si="15">K63*K$21</f>
        <v>292.9764759800982</v>
      </c>
      <c r="L80" s="156">
        <f t="shared" si="15"/>
        <v>269.88940662362933</v>
      </c>
      <c r="M80" s="156">
        <f t="shared" si="15"/>
        <v>234.55374783040071</v>
      </c>
      <c r="N80" s="365">
        <f t="shared" si="15"/>
        <v>172.07974366500872</v>
      </c>
      <c r="P80" s="136"/>
      <c r="Q80" s="131"/>
      <c r="R80" s="147" t="s">
        <v>242</v>
      </c>
    </row>
    <row r="81" spans="1:18" s="37" customFormat="1">
      <c r="C81" s="131"/>
      <c r="D81" s="153" t="s">
        <v>57</v>
      </c>
      <c r="E81" s="132" t="s">
        <v>318</v>
      </c>
      <c r="F81" s="161"/>
      <c r="G81" s="162"/>
      <c r="H81" s="162"/>
      <c r="I81" s="163"/>
      <c r="J81" s="156">
        <f>J64*J$21</f>
        <v>252.40911291827183</v>
      </c>
      <c r="K81" s="156">
        <f t="shared" ref="K81:N81" si="16">K64*K$21</f>
        <v>288.68289107770028</v>
      </c>
      <c r="L81" s="156">
        <f t="shared" si="16"/>
        <v>265.93416387685306</v>
      </c>
      <c r="M81" s="156">
        <f t="shared" si="16"/>
        <v>231.11635092979131</v>
      </c>
      <c r="N81" s="365">
        <f t="shared" si="16"/>
        <v>169.55790641873514</v>
      </c>
      <c r="P81" s="136"/>
      <c r="Q81" s="131"/>
      <c r="R81" s="147" t="s">
        <v>242</v>
      </c>
    </row>
    <row r="82" spans="1:18" s="37" customFormat="1">
      <c r="C82" s="131"/>
      <c r="D82" s="153" t="s">
        <v>57</v>
      </c>
      <c r="E82" s="132" t="s">
        <v>110</v>
      </c>
      <c r="F82" s="164"/>
      <c r="G82" s="164"/>
      <c r="H82" s="164"/>
      <c r="I82" s="164"/>
      <c r="J82" s="156">
        <f>SUM('Input FD'!J65:J70)*J$15</f>
        <v>203.58491404496485</v>
      </c>
      <c r="K82" s="156">
        <f>SUM('Input FD'!K65:K70)*K$15</f>
        <v>206.98890692040311</v>
      </c>
      <c r="L82" s="156">
        <f>SUM('Input FD'!L65:L70)*L$15</f>
        <v>244.0780388951334</v>
      </c>
      <c r="M82" s="156">
        <f>SUM('Input FD'!M65:M70)*M$15</f>
        <v>257.60033158588942</v>
      </c>
      <c r="N82" s="365">
        <f>SUM('Input FD'!N65:N70)*N$15</f>
        <v>218.06568743685364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334.3028420207026</v>
      </c>
      <c r="K84" s="156">
        <f t="shared" ref="K84:N84" si="17">K73*K$21</f>
        <v>379.28200358211626</v>
      </c>
      <c r="L84" s="156">
        <f t="shared" si="17"/>
        <v>503.03660652126996</v>
      </c>
      <c r="M84" s="156">
        <f t="shared" si="17"/>
        <v>522.1878236630605</v>
      </c>
      <c r="N84" s="365">
        <f t="shared" si="17"/>
        <v>364.33719365782832</v>
      </c>
      <c r="P84" s="136"/>
      <c r="Q84" s="131"/>
      <c r="R84" s="147" t="s">
        <v>242</v>
      </c>
    </row>
    <row r="85" spans="1:18" s="37" customFormat="1">
      <c r="C85" s="131"/>
      <c r="D85" s="153" t="s">
        <v>57</v>
      </c>
      <c r="E85" s="132" t="s">
        <v>320</v>
      </c>
      <c r="F85" s="161"/>
      <c r="G85" s="162"/>
      <c r="H85" s="162"/>
      <c r="I85" s="163"/>
      <c r="J85" s="156">
        <f>J74*J$21</f>
        <v>296.69137673724805</v>
      </c>
      <c r="K85" s="156">
        <f t="shared" ref="K85:N85" si="18">K74*K$21</f>
        <v>353.74977026704505</v>
      </c>
      <c r="L85" s="156">
        <f t="shared" si="18"/>
        <v>463.42129565202896</v>
      </c>
      <c r="M85" s="156">
        <f t="shared" si="18"/>
        <v>462.03509462553109</v>
      </c>
      <c r="N85" s="365">
        <f t="shared" si="18"/>
        <v>335.11073392355172</v>
      </c>
      <c r="P85" s="136"/>
      <c r="Q85" s="131"/>
      <c r="R85" s="147" t="s">
        <v>242</v>
      </c>
    </row>
    <row r="86" spans="1:18" s="37" customFormat="1">
      <c r="C86" s="131"/>
      <c r="D86" s="153" t="s">
        <v>57</v>
      </c>
      <c r="E86" s="132" t="s">
        <v>321</v>
      </c>
      <c r="F86" s="161"/>
      <c r="G86" s="162"/>
      <c r="H86" s="162"/>
      <c r="I86" s="163"/>
      <c r="J86" s="156">
        <f>J75*J$21</f>
        <v>304.13968515804038</v>
      </c>
      <c r="K86" s="156">
        <f t="shared" ref="K86:N86" si="19">K75*K$21</f>
        <v>362.6305049271117</v>
      </c>
      <c r="L86" s="156">
        <f t="shared" si="19"/>
        <v>475.0552864229719</v>
      </c>
      <c r="M86" s="156">
        <f t="shared" si="19"/>
        <v>473.63428542051207</v>
      </c>
      <c r="N86" s="365">
        <f t="shared" si="19"/>
        <v>343.52354365475992</v>
      </c>
      <c r="P86" s="136"/>
      <c r="Q86" s="131"/>
      <c r="R86" s="147" t="s">
        <v>242</v>
      </c>
    </row>
    <row r="87" spans="1:18" s="37" customFormat="1">
      <c r="C87" s="131"/>
      <c r="D87" s="153" t="s">
        <v>57</v>
      </c>
      <c r="E87" s="132" t="s">
        <v>111</v>
      </c>
      <c r="F87" s="131"/>
      <c r="G87" s="132"/>
      <c r="H87" s="132"/>
      <c r="I87" s="131"/>
      <c r="J87" s="156">
        <f>IF('Input FD'!$O$151=1,0,SUM('Input FD'!J72:J77)*J$15)</f>
        <v>356.76059745372982</v>
      </c>
      <c r="K87" s="156">
        <f>IF('Input FD'!$O$151=1,0,SUM('Input FD'!K72:K77)*K$15)</f>
        <v>397.72932790281243</v>
      </c>
      <c r="L87" s="156">
        <f>IF('Input FD'!$O$151=1,0,SUM('Input FD'!L72:L77)*L$15)</f>
        <v>426.17236177241989</v>
      </c>
      <c r="M87" s="156">
        <f>IF('Input FD'!$O$151=1,0,SUM('Input FD'!M72:M77)*M$15)</f>
        <v>427.50332309213047</v>
      </c>
      <c r="N87" s="365">
        <f>IF('Input FD'!$O$151=1,0,SUM('Input FD'!N72:N77)*N$15)</f>
        <v>417.02418172311752</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93.598778127412032</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98.399694531853015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0.34800916404440985</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0.48327758611000959</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107.89003800922178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101.97250950230544</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0.2605498099538911</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-0.6695687254253393</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94.137980002613475</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98.534495000653365</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0.34396514998039907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110.04182663170363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102.51045665792591</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0.24979086684148188</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92.220967269724127</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2.6549110989844933</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105.97493597799989</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-1.5349640179410058</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32.540251646361988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-29.333289342879439</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1.3932488413005999</v>
      </c>
      <c r="K127" s="156">
        <f>IF('Input FD'!K49&lt;&gt;"",'Input FD'!K49,K56*$G$97/100)</f>
        <v>1.6308212755223499</v>
      </c>
      <c r="L127" s="156">
        <f>IF('Input FD'!L49&lt;&gt;"",'Input FD'!L49,L56*$G$97/100)</f>
        <v>1.49929659143095</v>
      </c>
      <c r="M127" s="156">
        <f>IF('Input FD'!M49&lt;&gt;"",'Input FD'!M49,M56*$G$97/100)</f>
        <v>1.2924761425647</v>
      </c>
      <c r="N127" s="365">
        <f>IF('Input FD'!N49&lt;&gt;"",'Input FD'!N49,N56*$G$97/100)</f>
        <v>0.982609321784784</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-2.23738932875133</v>
      </c>
      <c r="K128" s="156">
        <f>IF('Input FD'!K50&lt;&gt;"",'Input FD'!K50,K67*$G$102/100)</f>
        <v>-2.6739268779090901</v>
      </c>
      <c r="L128" s="156">
        <f>IF('Input FD'!L50&lt;&gt;"",'Input FD'!L50,L67*$G$102/100)</f>
        <v>-3.4780753414555399</v>
      </c>
      <c r="M128" s="156">
        <f>IF('Input FD'!M50&lt;&gt;"",'Input FD'!M50,M67*$G$102/100)</f>
        <v>-3.5589569255568101</v>
      </c>
      <c r="N128" s="365">
        <f>IF('Input FD'!N50&lt;&gt;"",'Input FD'!N50,N67*$G$102/100)</f>
        <v>-2.4188340849088799</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25.741799473758604</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-14.966106784297789</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282.49826918712654</v>
      </c>
      <c r="K138" s="156">
        <f>(K57+'Input FD'!K83)*K$29</f>
        <v>340.57865849517219</v>
      </c>
      <c r="L138" s="156">
        <f>(L57+'Input FD'!L83)*L$29</f>
        <v>321.56521199201211</v>
      </c>
      <c r="M138" s="156">
        <f>(M57+'Input FD'!M83)*M$29</f>
        <v>284.13707556775717</v>
      </c>
      <c r="N138" s="365">
        <f>(N57+'Input FD'!N83)*N$29</f>
        <v>221.41656868622596</v>
      </c>
      <c r="O138" s="109"/>
      <c r="P138" s="136"/>
      <c r="Q138" s="104"/>
      <c r="R138" s="147" t="s">
        <v>87</v>
      </c>
    </row>
    <row r="139" spans="1:18" s="37" customFormat="1">
      <c r="C139" s="131"/>
      <c r="D139" s="131" t="s">
        <v>57</v>
      </c>
      <c r="E139" s="132" t="s">
        <v>110</v>
      </c>
      <c r="F139" s="131"/>
      <c r="G139" s="131"/>
      <c r="H139" s="182"/>
      <c r="I139" s="148"/>
      <c r="J139" s="156">
        <f>SUM('Input FD'!J65:J70)</f>
        <v>221.03900000000002</v>
      </c>
      <c r="K139" s="156">
        <f>SUM('Input FD'!K65:K70)</f>
        <v>235.518</v>
      </c>
      <c r="L139" s="156">
        <f>SUM('Input FD'!L65:L70)</f>
        <v>286.3</v>
      </c>
      <c r="M139" s="156">
        <f>SUM('Input FD'!M65:M70)</f>
        <v>310.87814376359415</v>
      </c>
      <c r="N139" s="365">
        <f>SUM('Input FD'!N65:N70)</f>
        <v>269.9750957142885</v>
      </c>
      <c r="P139" s="136"/>
      <c r="Q139" s="131"/>
      <c r="R139" s="147" t="s">
        <v>87</v>
      </c>
    </row>
    <row r="140" spans="1:18" s="37" customFormat="1">
      <c r="C140" s="131"/>
      <c r="D140" s="131" t="s">
        <v>57</v>
      </c>
      <c r="E140" s="132" t="s">
        <v>192</v>
      </c>
      <c r="F140" s="131"/>
      <c r="G140" s="131"/>
      <c r="H140" s="131"/>
      <c r="I140" s="181"/>
      <c r="J140" s="205">
        <f>(J139-J138)*J$15</f>
        <v>-56.60620992099814</v>
      </c>
      <c r="K140" s="205">
        <f>(K139-K138)*K$15</f>
        <v>-92.334305073299944</v>
      </c>
      <c r="L140" s="205">
        <f>(L139-L138)*L$15</f>
        <v>-30.064491038181814</v>
      </c>
      <c r="M140" s="205">
        <f>(M139-M138)*M$15</f>
        <v>22.158225569716553</v>
      </c>
      <c r="N140" s="675">
        <f>(N139-N138)*N$15</f>
        <v>39.221945821631103</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339.32785630901577</v>
      </c>
      <c r="K142" s="156">
        <f>(K68+'Input FD'!K91)*K$29</f>
        <v>417.6874620197554</v>
      </c>
      <c r="L142" s="156">
        <f>(L68+'Input FD'!L91)*L$29</f>
        <v>557.97063221453993</v>
      </c>
      <c r="M142" s="156">
        <f>(M68+'Input FD'!M91)*M$29</f>
        <v>585.21972128121411</v>
      </c>
      <c r="N142" s="365">
        <f>(N68+'Input FD'!N91)*N$29</f>
        <v>407.68634590702948</v>
      </c>
      <c r="O142" s="109"/>
      <c r="P142" s="136"/>
      <c r="Q142" s="104"/>
      <c r="R142" s="147" t="s">
        <v>87</v>
      </c>
    </row>
    <row r="143" spans="1:18" s="37" customFormat="1">
      <c r="C143" s="131"/>
      <c r="D143" s="131" t="s">
        <v>57</v>
      </c>
      <c r="E143" s="132" t="s">
        <v>111</v>
      </c>
      <c r="F143" s="131"/>
      <c r="G143" s="131"/>
      <c r="H143" s="131"/>
      <c r="I143" s="131"/>
      <c r="J143" s="156">
        <f>IF('Input FD'!$O$151=1,0,SUM('Input FD'!J72:J77))</f>
        <v>387.34699999999998</v>
      </c>
      <c r="K143" s="156">
        <f>IF('Input FD'!$O$151=1,0,SUM('Input FD'!K72:K77))</f>
        <v>452.54799999999994</v>
      </c>
      <c r="L143" s="156">
        <f>IF('Input FD'!$O$151=1,0,SUM('Input FD'!L72:L77))</f>
        <v>499.89400000000001</v>
      </c>
      <c r="M143" s="156">
        <f>IF('Input FD'!$O$151=1,0,SUM('Input FD'!M72:M77))</f>
        <v>515.92107322787899</v>
      </c>
      <c r="N143" s="365">
        <f>IF('Input FD'!$O$151=1,0,SUM('Input FD'!N72:N77))</f>
        <v>516.29462983933968</v>
      </c>
      <c r="P143" s="158"/>
      <c r="Q143" s="131"/>
      <c r="R143" s="147" t="s">
        <v>87</v>
      </c>
    </row>
    <row r="144" spans="1:18" s="37" customFormat="1">
      <c r="C144" s="131"/>
      <c r="D144" s="131" t="s">
        <v>57</v>
      </c>
      <c r="E144" s="132" t="s">
        <v>193</v>
      </c>
      <c r="F144" s="131"/>
      <c r="G144" s="131"/>
      <c r="H144" s="131"/>
      <c r="I144" s="131"/>
      <c r="J144" s="205">
        <f>(J143-J142)*J$15</f>
        <v>44.22736820580004</v>
      </c>
      <c r="K144" s="205">
        <f>(K143-K142)*K$15</f>
        <v>30.637762936115351</v>
      </c>
      <c r="L144" s="205">
        <f>(L143-L142)*L$15</f>
        <v>-49.511807532514261</v>
      </c>
      <c r="M144" s="205">
        <f>(M143-M142)*M$15</f>
        <v>-57.422353662044372</v>
      </c>
      <c r="N144" s="675">
        <f>(N143-N142)*N$15</f>
        <v>87.725647561582633</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2867.40088440411</v>
      </c>
      <c r="J148" s="156">
        <f>'Input FD'!J$54</f>
        <v>2914.37304229662</v>
      </c>
      <c r="K148" s="156">
        <f>'Input FD'!K$54</f>
        <v>3016.39800363107</v>
      </c>
      <c r="L148" s="156">
        <f>'Input FD'!L$54</f>
        <v>3091.1413005823201</v>
      </c>
      <c r="M148" s="156">
        <f>'Input FD'!M$54</f>
        <v>3124.1710249800299</v>
      </c>
      <c r="N148" s="365">
        <f>'Input FD'!N$54</f>
        <v>3098.6894026936502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-117.62483464113225</v>
      </c>
      <c r="Q149" s="161"/>
      <c r="R149" s="147" t="s">
        <v>242</v>
      </c>
    </row>
    <row r="150" spans="1:24" s="37" customFormat="1">
      <c r="A150" s="109"/>
      <c r="B150" s="109"/>
      <c r="C150" s="104"/>
      <c r="D150" s="104" t="s">
        <v>57</v>
      </c>
      <c r="E150" s="177" t="s">
        <v>386</v>
      </c>
      <c r="F150" s="131"/>
      <c r="G150" s="104"/>
      <c r="H150" s="104"/>
      <c r="I150" s="205"/>
      <c r="J150" s="156">
        <f>IF(J5=8,J148+$P$149,J148)</f>
        <v>2914.37304229662</v>
      </c>
      <c r="K150" s="156">
        <f>IF(K5=8,K148+$P$149,K148)</f>
        <v>3016.39800363107</v>
      </c>
      <c r="L150" s="156">
        <f>IF(L5=8,L148+$P$149,L148)</f>
        <v>3091.1413005823201</v>
      </c>
      <c r="M150" s="156">
        <f>IF(M5=8,M148+$P$149,M148)</f>
        <v>3124.1710249800299</v>
      </c>
      <c r="N150" s="365">
        <f>IF(N5=8,N148+$P$149,N148)</f>
        <v>2981.0645680525181</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4386.8190647615502</v>
      </c>
      <c r="J152" s="156">
        <f>'Input FD'!J$55</f>
        <v>4424.3880377428904</v>
      </c>
      <c r="K152" s="156">
        <f>'Input FD'!K$55</f>
        <v>4540.9914889670299</v>
      </c>
      <c r="L152" s="156">
        <f>'Input FD'!L$55</f>
        <v>4763.56972769604</v>
      </c>
      <c r="M152" s="156">
        <f>'Input FD'!M$55</f>
        <v>4987.76281366284</v>
      </c>
      <c r="N152" s="365">
        <f>'Input FD'!N$55</f>
        <v>5036.0908804693399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55.656617508939384</v>
      </c>
      <c r="Q153" s="161"/>
      <c r="R153" s="147" t="s">
        <v>242</v>
      </c>
    </row>
    <row r="154" spans="1:24" s="37" customFormat="1">
      <c r="A154" s="109"/>
      <c r="B154" s="109"/>
      <c r="C154" s="104"/>
      <c r="D154" s="104" t="s">
        <v>57</v>
      </c>
      <c r="E154" s="177" t="s">
        <v>387</v>
      </c>
      <c r="F154" s="131"/>
      <c r="G154" s="104"/>
      <c r="H154" s="104"/>
      <c r="I154" s="205"/>
      <c r="J154" s="156">
        <f>IF(J5=8,J152+$P$153,J152)</f>
        <v>4424.3880377428904</v>
      </c>
      <c r="K154" s="156">
        <f>IF(K5=8,K152+$P$153,K152)</f>
        <v>4540.9914889670299</v>
      </c>
      <c r="L154" s="156">
        <f>IF(L5=8,L152+$P$153,L152)</f>
        <v>4763.56972769604</v>
      </c>
      <c r="M154" s="156">
        <f>IF(M5=8,M152+$P$153,M152)</f>
        <v>4987.76281366284</v>
      </c>
      <c r="N154" s="365">
        <f>IF(N5=8,N152+$P$153,N152)</f>
        <v>5091.7474979782792</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271.26032591771337</v>
      </c>
      <c r="L161" s="360">
        <f t="shared" si="21"/>
        <v>588.77511408633154</v>
      </c>
      <c r="M161" s="360">
        <f t="shared" si="21"/>
        <v>880.68253936667202</v>
      </c>
      <c r="N161" s="363">
        <f t="shared" si="21"/>
        <v>1132.3227986513575</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271.26032591771337</v>
      </c>
      <c r="K162" s="360">
        <f t="shared" ref="K162:N162" si="22">K161+K138*K$26</f>
        <v>588.77511408633154</v>
      </c>
      <c r="L162" s="360">
        <f t="shared" si="22"/>
        <v>880.68253936667202</v>
      </c>
      <c r="M162" s="360">
        <f t="shared" si="22"/>
        <v>1132.3227986513575</v>
      </c>
      <c r="N162" s="363">
        <f t="shared" si="22"/>
        <v>1323.6331496639639</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135.63016295885669</v>
      </c>
      <c r="K163" s="360">
        <f t="shared" ref="K163:N163" si="23">(K162+K161)/2</f>
        <v>430.01772000202243</v>
      </c>
      <c r="L163" s="360">
        <f t="shared" si="23"/>
        <v>734.72882672650178</v>
      </c>
      <c r="M163" s="360">
        <f t="shared" si="23"/>
        <v>1006.5026690090148</v>
      </c>
      <c r="N163" s="363">
        <f t="shared" si="23"/>
        <v>1227.9779741576608</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325.82919945032063</v>
      </c>
      <c r="L165" s="156">
        <f t="shared" si="24"/>
        <v>715.23100932846478</v>
      </c>
      <c r="M165" s="156">
        <f t="shared" si="24"/>
        <v>1221.7403099546659</v>
      </c>
      <c r="N165" s="365">
        <f t="shared" si="24"/>
        <v>1740.0283302964476</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325.82919945032063</v>
      </c>
      <c r="K166" s="156">
        <f t="shared" ref="K166:N166" si="25">K165+K142*K$26</f>
        <v>715.23100932846478</v>
      </c>
      <c r="L166" s="156">
        <f t="shared" si="25"/>
        <v>1221.7403099546659</v>
      </c>
      <c r="M166" s="156">
        <f t="shared" si="25"/>
        <v>1740.0283302964476</v>
      </c>
      <c r="N166" s="365">
        <f t="shared" si="25"/>
        <v>2092.2811829230659</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162.91459972516031</v>
      </c>
      <c r="K167" s="156">
        <f t="shared" ref="K167" si="26">(K166+K165)/2</f>
        <v>520.5301043893927</v>
      </c>
      <c r="L167" s="156">
        <f t="shared" ref="L167" si="27">(L166+L165)/2</f>
        <v>968.48565964156535</v>
      </c>
      <c r="M167" s="156">
        <f t="shared" ref="M167" si="28">(M166+M165)/2</f>
        <v>1480.8843201255568</v>
      </c>
      <c r="N167" s="365">
        <f t="shared" ref="N167" si="29">(N166+N165)/2</f>
        <v>1916.1547566097568</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203.58491404496485</v>
      </c>
      <c r="L171" s="360">
        <f t="shared" si="30"/>
        <v>410.57382096536799</v>
      </c>
      <c r="M171" s="360">
        <f t="shared" si="30"/>
        <v>654.65185986050142</v>
      </c>
      <c r="N171" s="363">
        <f t="shared" si="30"/>
        <v>912.25219144639084</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203.58491404496485</v>
      </c>
      <c r="K172" s="360">
        <f t="shared" ref="K172:N172" si="31">K171+K139*K$15</f>
        <v>410.57382096536799</v>
      </c>
      <c r="L172" s="360">
        <f t="shared" si="31"/>
        <v>654.65185986050142</v>
      </c>
      <c r="M172" s="360">
        <f t="shared" si="31"/>
        <v>912.25219144639084</v>
      </c>
      <c r="N172" s="363">
        <f t="shared" si="31"/>
        <v>1130.3178788832445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101.79245702248242</v>
      </c>
      <c r="K173" s="360">
        <f t="shared" ref="K173" si="32">(K172+K171)/2</f>
        <v>307.07936750516643</v>
      </c>
      <c r="L173" s="360">
        <f t="shared" ref="L173" si="33">(L172+L171)/2</f>
        <v>532.6128404129347</v>
      </c>
      <c r="M173" s="360">
        <f t="shared" ref="M173" si="34">(M172+M171)/2</f>
        <v>783.45202565344607</v>
      </c>
      <c r="N173" s="363">
        <f t="shared" ref="N173" si="35">(N172+N171)/2</f>
        <v>1021.2850351648176</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356.76059745372982</v>
      </c>
      <c r="L175" s="360">
        <f t="shared" si="36"/>
        <v>754.48992535654224</v>
      </c>
      <c r="M175" s="360">
        <f t="shared" si="36"/>
        <v>1180.6622871289621</v>
      </c>
      <c r="N175" s="363">
        <f t="shared" si="36"/>
        <v>1608.1656102210927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356.76059745372982</v>
      </c>
      <c r="K176" s="360">
        <f t="shared" ref="K176:N176" si="37">K175+K143*K$15</f>
        <v>754.48992535654224</v>
      </c>
      <c r="L176" s="360">
        <f t="shared" si="37"/>
        <v>1180.6622871289621</v>
      </c>
      <c r="M176" s="360">
        <f t="shared" si="37"/>
        <v>1608.1656102210927</v>
      </c>
      <c r="N176" s="363">
        <f t="shared" si="37"/>
        <v>2025.1897919442104</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178.38029872686491</v>
      </c>
      <c r="K177" s="360">
        <f t="shared" ref="K177" si="38">(K176+K175)/2</f>
        <v>555.62526140513603</v>
      </c>
      <c r="L177" s="360">
        <f t="shared" ref="L177" si="39">(L176+L175)/2</f>
        <v>967.57610624275219</v>
      </c>
      <c r="M177" s="360">
        <f t="shared" ref="M177" si="40">(M176+M175)/2</f>
        <v>1394.4139486750273</v>
      </c>
      <c r="N177" s="363">
        <f t="shared" ref="N177" si="41">(N176+N175)/2</f>
        <v>1816.6777010826515</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-67.675411872748526</v>
      </c>
      <c r="K181" s="156">
        <f>(K$139*K$15)-(K$138*K$26)</f>
        <v>-110.52588124821511</v>
      </c>
      <c r="L181" s="156">
        <f>(L$139*L$15)-(L$138*L$26)</f>
        <v>-47.829386385207073</v>
      </c>
      <c r="M181" s="156">
        <f>(M$139*M$15)-(M$138*M$26)</f>
        <v>5.9600723012040078</v>
      </c>
      <c r="N181" s="365">
        <f>(N$139*N$15)-(N$138*N$26)</f>
        <v>26.755336424247361</v>
      </c>
      <c r="O181" s="157"/>
      <c r="P181" s="158"/>
      <c r="Q181" s="148"/>
      <c r="R181" s="147" t="s">
        <v>242</v>
      </c>
    </row>
    <row r="182" spans="1:24" s="37" customFormat="1">
      <c r="C182" s="131"/>
      <c r="D182" s="153" t="s">
        <v>57</v>
      </c>
      <c r="E182" s="154" t="s">
        <v>247</v>
      </c>
      <c r="F182" s="155"/>
      <c r="G182" s="148"/>
      <c r="H182" s="148"/>
      <c r="I182" s="148"/>
      <c r="J182" s="156">
        <f>(J$143*J$15)-(J$142*J$26)</f>
        <v>30.931398003409186</v>
      </c>
      <c r="K182" s="156">
        <f>(K$143*K$15)-(K$142*K$26)</f>
        <v>8.3275180246683362</v>
      </c>
      <c r="L182" s="156">
        <f>(L$143*L$15)-(L$142*L$26)</f>
        <v>-80.336938853781191</v>
      </c>
      <c r="M182" s="156">
        <f>(M$143*M$15)-(M$142*M$26)</f>
        <v>-90.784697249651117</v>
      </c>
      <c r="N182" s="365">
        <f>(N$143*N$15)-(N$142*N$26)</f>
        <v>64.771329096499358</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-1.7257230027550874</v>
      </c>
      <c r="K184" s="156">
        <f>(K173-K163)*'Input FD'!$O$59</f>
        <v>-6.2698559773396552</v>
      </c>
      <c r="L184" s="156">
        <f>(L173-L163)*'Input FD'!$O$59</f>
        <v>-10.307915301991921</v>
      </c>
      <c r="M184" s="156">
        <f>(M173-M163)*'Input FD'!$O$59</f>
        <v>-11.375582811134002</v>
      </c>
      <c r="N184" s="365">
        <f>(N173-N163)*'Input FD'!$O$59</f>
        <v>-10.541339888635003</v>
      </c>
      <c r="O184" s="157"/>
      <c r="P184" s="158"/>
      <c r="Q184" s="148"/>
      <c r="R184" s="147" t="s">
        <v>242</v>
      </c>
    </row>
    <row r="185" spans="1:24" s="37" customFormat="1">
      <c r="C185" s="131"/>
      <c r="D185" s="153" t="s">
        <v>57</v>
      </c>
      <c r="E185" s="154" t="s">
        <v>249</v>
      </c>
      <c r="F185" s="155"/>
      <c r="G185" s="148"/>
      <c r="H185" s="148"/>
      <c r="I185" s="148"/>
      <c r="J185" s="156">
        <f>(J177-J167)*'Input FD'!$O$59</f>
        <v>0.78875064908693415</v>
      </c>
      <c r="K185" s="156">
        <f>(K177-K167)*'Input FD'!$O$59</f>
        <v>1.7898530078029096</v>
      </c>
      <c r="L185" s="156">
        <f>(L177-L167)*'Input FD'!$O$59</f>
        <v>-4.6387223339471116E-2</v>
      </c>
      <c r="M185" s="156">
        <f>(M177-M167)*'Input FD'!$O$59</f>
        <v>-4.4099889439770017</v>
      </c>
      <c r="N185" s="365">
        <f>(N177-N167)*'Input FD'!$O$59</f>
        <v>-5.0733298318823659</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5.3058167021728648</v>
      </c>
      <c r="K187" s="156">
        <f>$P$130*K63/SUM($J$63:$N$63)</f>
        <v>6.2105479691968632</v>
      </c>
      <c r="L187" s="156">
        <f>$P$130*L63/SUM($J$63:$N$63)</f>
        <v>5.7096712809028247</v>
      </c>
      <c r="M187" s="156">
        <f>$P$130*M63/SUM($J$63:$N$63)</f>
        <v>4.9220507500857797</v>
      </c>
      <c r="N187" s="365">
        <f>$P$130*N63/SUM($J$63:$N$63)</f>
        <v>3.5937127714002748</v>
      </c>
      <c r="O187" s="157"/>
      <c r="P187" s="158"/>
      <c r="Q187" s="148"/>
      <c r="R187" s="147" t="s">
        <v>242</v>
      </c>
    </row>
    <row r="188" spans="1:24" s="37" customFormat="1">
      <c r="C188" s="131"/>
      <c r="D188" s="153" t="s">
        <v>57</v>
      </c>
      <c r="E188" s="154" t="s">
        <v>245</v>
      </c>
      <c r="F188" s="155"/>
      <c r="G188" s="148"/>
      <c r="H188" s="148"/>
      <c r="I188" s="148"/>
      <c r="J188" s="156">
        <f>IF(SUM($J$74:$N$74)=0,0,$P$131*J74/SUM($J$74:$N$74))</f>
        <v>-2.2911223303349457</v>
      </c>
      <c r="K188" s="156">
        <f>IF(SUM($J$74:$N$74)=0,0,$P$131*K74/SUM($J$74:$N$74))</f>
        <v>-2.7957683456917644</v>
      </c>
      <c r="L188" s="156">
        <f>IF(SUM($J$74:$N$74)=0,0,$P$131*L74/SUM($J$74:$N$74))</f>
        <v>-3.6551828002936353</v>
      </c>
      <c r="M188" s="156">
        <f>IF(SUM($J$74:$N$74)=0,0,$P$131*M74/SUM($J$74:$N$74))</f>
        <v>-3.6148187153404465</v>
      </c>
      <c r="N188" s="365">
        <f>IF(SUM($J$74:$N$74)=0,0,$P$131*N74/SUM($J$74:$N$74))</f>
        <v>-2.6092145926369956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3.5800936994177777</v>
      </c>
      <c r="K190" s="156">
        <f t="shared" ref="K190:N190" si="42">K187+K184</f>
        <v>-5.9308008142791913E-2</v>
      </c>
      <c r="L190" s="156">
        <f t="shared" si="42"/>
        <v>-4.598244021089096</v>
      </c>
      <c r="M190" s="156">
        <f t="shared" si="42"/>
        <v>-6.4535320610482225</v>
      </c>
      <c r="N190" s="365">
        <f t="shared" si="42"/>
        <v>-6.9476271172347275</v>
      </c>
      <c r="O190" s="157"/>
      <c r="P190" s="158"/>
      <c r="Q190" s="148"/>
      <c r="R190" s="147" t="s">
        <v>242</v>
      </c>
    </row>
    <row r="191" spans="1:24" s="37" customFormat="1">
      <c r="C191" s="131"/>
      <c r="D191" s="153" t="s">
        <v>57</v>
      </c>
      <c r="E191" s="154" t="s">
        <v>406</v>
      </c>
      <c r="F191" s="155"/>
      <c r="G191" s="148"/>
      <c r="H191" s="148"/>
      <c r="I191" s="148"/>
      <c r="J191" s="156">
        <f>J188+J185</f>
        <v>-1.5023716812480115</v>
      </c>
      <c r="K191" s="156">
        <f t="shared" ref="K191:N191" si="43">K188+K185</f>
        <v>-1.0059153378888548</v>
      </c>
      <c r="L191" s="156">
        <f t="shared" si="43"/>
        <v>-3.7015700236331064</v>
      </c>
      <c r="M191" s="156">
        <f t="shared" si="43"/>
        <v>-8.0248076593174478</v>
      </c>
      <c r="N191" s="365">
        <f t="shared" si="43"/>
        <v>-7.6825444245193619</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4.3682275884628794</v>
      </c>
      <c r="K193" s="156">
        <f>IF('Input FD'!$O$156=0,(K190/(1+'Input FD'!$O$60)^K$6),(K190/(1+'Input FD'!$O$59)^K$6))</f>
        <v>-6.8852781042765432E-2</v>
      </c>
      <c r="L193" s="156">
        <f>IF('Input FD'!$O$156=0,(L190/(1+'Input FD'!$O$60)^L$6),(L190/(1+'Input FD'!$O$59)^L$6))</f>
        <v>-5.0792249439390362</v>
      </c>
      <c r="M193" s="156">
        <f>IF('Input FD'!$O$156=0,(M190/(1+'Input FD'!$O$60)^M$6),(M190/(1+'Input FD'!$O$59)^M$6))</f>
        <v>-6.7826621961616809</v>
      </c>
      <c r="N193" s="664">
        <f>IF('Input FD'!$O$156=0,(N190/(1+'Input FD'!$O$60)^N$6),(N190/(1+'Input FD'!$O$59)^N$6))</f>
        <v>-6.9476271172347275</v>
      </c>
      <c r="O193" s="109"/>
      <c r="P193" s="622">
        <f>SUM(J193:N193)</f>
        <v>-14.51013944991533</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-1.8331088449501196</v>
      </c>
      <c r="K194" s="156">
        <f>IF('Input FD'!$O$156=0,(K191/(1+'Input FD'!$O$60)^K$6),(K191/(1+'Input FD'!$O$59)^K$6))</f>
        <v>-1.1678029776428827</v>
      </c>
      <c r="L194" s="156">
        <f>IF('Input FD'!$O$156=0,(L191/(1+'Input FD'!$O$60)^L$6),(L191/(1+'Input FD'!$O$59)^L$6))</f>
        <v>-4.0887579496751529</v>
      </c>
      <c r="M194" s="156">
        <f>IF('Input FD'!$O$156=0,(M191/(1+'Input FD'!$O$60)^M$6),(M191/(1+'Input FD'!$O$59)^M$6))</f>
        <v>-8.4340728499426376</v>
      </c>
      <c r="N194" s="664">
        <f>IF('Input FD'!$O$156=0,(N191/(1+'Input FD'!$O$60)^N$6),(N191/(1+'Input FD'!$O$59)^N$6))</f>
        <v>-7.6825444245193619</v>
      </c>
      <c r="O194" s="368"/>
      <c r="P194" s="622">
        <f>SUM(J194:N194)</f>
        <v>-23.206287046730154</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5.1238676131540251</v>
      </c>
      <c r="K196" s="156">
        <f t="shared" ref="K196:N197" si="44">K193*$L$13/$G$13</f>
        <v>-8.0763313658928235E-2</v>
      </c>
      <c r="L196" s="156">
        <f t="shared" si="44"/>
        <v>-5.9578572002314658</v>
      </c>
      <c r="M196" s="156">
        <f t="shared" si="44"/>
        <v>-7.9559643938117848</v>
      </c>
      <c r="N196" s="365">
        <f t="shared" si="44"/>
        <v>-8.1494658539062961</v>
      </c>
      <c r="O196" s="109"/>
      <c r="P196" s="622">
        <f>P193*$L$13/$G$13</f>
        <v>-17.02018314845445</v>
      </c>
      <c r="Q196" s="104"/>
      <c r="R196" s="160" t="s">
        <v>413</v>
      </c>
    </row>
    <row r="197" spans="1:20" s="37" customFormat="1">
      <c r="A197" s="109"/>
      <c r="B197" s="109"/>
      <c r="C197" s="131"/>
      <c r="D197" s="104" t="s">
        <v>57</v>
      </c>
      <c r="E197" s="177" t="s">
        <v>412</v>
      </c>
      <c r="F197" s="104"/>
      <c r="G197" s="104"/>
      <c r="H197" s="131"/>
      <c r="I197" s="131"/>
      <c r="J197" s="156">
        <f>J194*$L$13/$G$13</f>
        <v>-2.1502100913499409</v>
      </c>
      <c r="K197" s="156">
        <f t="shared" si="44"/>
        <v>-1.3698159572758828</v>
      </c>
      <c r="L197" s="156">
        <f t="shared" si="44"/>
        <v>-4.7960537797296139</v>
      </c>
      <c r="M197" s="156">
        <f t="shared" si="44"/>
        <v>-9.8930451419106475</v>
      </c>
      <c r="N197" s="365">
        <f t="shared" si="44"/>
        <v>-9.0115131975675222</v>
      </c>
      <c r="O197" s="368"/>
      <c r="P197" s="622">
        <f>P194*$L$13/$G$13</f>
        <v>-27.220638167833602</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-137.97222523663771</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38.169243281883773</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7.9744858071913871</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30.194757474692391</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-47.177965842525772</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-16.98320836783337</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-17.02018314845445</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65.284405204744772</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-34.40752300732219</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-16.852496788083382</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-17.555026219238808</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-8.1535422425206381</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-25.708568461759448</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-27.220638167833602</v>
      </c>
      <c r="Q215" s="104"/>
      <c r="R215" s="147" t="s">
        <v>413</v>
      </c>
      <c r="S215" s="659"/>
    </row>
    <row r="216" spans="1:20" s="37" customForma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827</v>
      </c>
      <c r="G217" s="104"/>
      <c r="H217" s="104"/>
      <c r="I217" s="104"/>
      <c r="J217" s="156">
        <f xml:space="preserve"> J57 * J$32</f>
        <v>271.26032591771343</v>
      </c>
      <c r="K217" s="156">
        <f t="shared" ref="K217:N217" si="45" xml:space="preserve"> K57 * K$32</f>
        <v>317.51478816861828</v>
      </c>
      <c r="L217" s="156">
        <f t="shared" si="45"/>
        <v>291.90742528034053</v>
      </c>
      <c r="M217" s="156">
        <f t="shared" si="45"/>
        <v>251.64025928468547</v>
      </c>
      <c r="N217" s="704">
        <f t="shared" si="45"/>
        <v>191.31035101260633</v>
      </c>
      <c r="O217" s="109"/>
      <c r="P217" s="622">
        <f>SUM(J217:N217)*$L$13/$G$13</f>
        <v>1552.6024892047296</v>
      </c>
      <c r="Q217" s="104"/>
      <c r="R217" s="147" t="s">
        <v>413</v>
      </c>
      <c r="S217" s="659"/>
    </row>
    <row r="218" spans="1:20" s="37" customFormat="1">
      <c r="A218" s="109"/>
      <c r="B218" s="109"/>
      <c r="C218" s="104"/>
      <c r="D218" s="104" t="s">
        <v>57</v>
      </c>
      <c r="E218" s="132" t="s">
        <v>828</v>
      </c>
      <c r="G218" s="104"/>
      <c r="H218" s="104"/>
      <c r="I218" s="104"/>
      <c r="J218" s="156">
        <f xml:space="preserve"> J68 * J$32</f>
        <v>325.82919945032074</v>
      </c>
      <c r="K218" s="156">
        <f t="shared" ref="K218:N218" si="46" xml:space="preserve"> K68 * K$32</f>
        <v>389.40180987814415</v>
      </c>
      <c r="L218" s="156">
        <f t="shared" si="46"/>
        <v>506.5093006262012</v>
      </c>
      <c r="M218" s="156">
        <f t="shared" si="46"/>
        <v>518.2880203417817</v>
      </c>
      <c r="N218" s="704">
        <f t="shared" si="46"/>
        <v>352.25285262661828</v>
      </c>
      <c r="O218" s="109"/>
      <c r="P218" s="622">
        <f>SUM(J218:N218)*$L$13/$G$13</f>
        <v>2454.2154852704261</v>
      </c>
      <c r="Q218" s="104"/>
      <c r="R218" s="147" t="s">
        <v>413</v>
      </c>
      <c r="S218" s="659"/>
    </row>
    <row r="219" spans="1:20" s="37" customFormat="1">
      <c r="A219" s="209"/>
      <c r="B219" s="209"/>
      <c r="C219" s="599"/>
      <c r="D219" s="209"/>
      <c r="E219" s="210"/>
      <c r="F219" s="209"/>
      <c r="G219" s="209"/>
      <c r="H219" s="209"/>
      <c r="I219" s="209"/>
      <c r="J219" s="211"/>
      <c r="K219" s="211"/>
      <c r="L219" s="211"/>
      <c r="M219" s="211"/>
      <c r="N219" s="212"/>
      <c r="O219" s="109"/>
      <c r="P219" s="188"/>
      <c r="Q219" s="131"/>
      <c r="R219" s="147"/>
    </row>
    <row r="220" spans="1:20">
      <c r="E220"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PublishingExpirationDate xmlns="http://schemas.microsoft.com/sharepoint/v3" xsi:nil="true"/>
    <ce9941ced6574acb8cdb7a3424c8a8b0 xmlns="3e4c319f-f868-4ceb-8801-8cf7367b8c3d">
      <Terms xmlns="http://schemas.microsoft.com/office/infopath/2007/PartnerControls"/>
    </ce9941ced6574acb8cdb7a3424c8a8b0>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F51172C3A4BD47A1A9529415872F16" ma:contentTypeVersion="1" ma:contentTypeDescription="Create a new document." ma:contentTypeScope="" ma:versionID="32fb654694a8b50ad77b709abb91d112">
  <xsd:schema xmlns:xsd="http://www.w3.org/2001/XMLSchema" xmlns:xs="http://www.w3.org/2001/XMLSchema" xmlns:p="http://schemas.microsoft.com/office/2006/metadata/properties" xmlns:ns1="http://schemas.microsoft.com/sharepoint/v3" xmlns:ns2="3e4c319f-f868-4ceb-8801-8cf7367b8c3d" targetNamespace="http://schemas.microsoft.com/office/2006/metadata/properties" ma:root="true" ma:fieldsID="e6e92e02edd5ff6af040f66aaed2a98f" ns1:_="" ns2:_="">
    <xsd:import namespace="http://schemas.microsoft.com/sharepoint/v3"/>
    <xsd:import namespace="3e4c319f-f868-4ceb-8801-8cf7367b8c3d"/>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 ma:hidden="true" ma:internalName="PublishingStartDate">
      <xsd:simpleType>
        <xsd:restriction base="dms:Unknown"/>
      </xsd:simpleType>
    </xsd:element>
    <xsd:element name="PublishingExpirationDate" ma:index="17"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4D15AF-1DBB-48B3-9C18-AD5E88CC93F3}">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3e4c319f-f868-4ceb-8801-8cf7367b8c3d"/>
    <ds:schemaRef ds:uri="http://purl.org/dc/dcmitype/"/>
  </ds:schemaRefs>
</ds:datastoreItem>
</file>

<file path=customXml/itemProps2.xml><?xml version="1.0" encoding="utf-8"?>
<ds:datastoreItem xmlns:ds="http://schemas.openxmlformats.org/officeDocument/2006/customXml" ds:itemID="{D35A50CC-344F-4E5A-890A-ED90404FD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4c319f-f868-4ceb-8801-8cf7367b8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7EA3A-81D2-4D80-ADF4-EB202ECEF5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2017-12-18T11:18:39Z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0x01010084F51172C3A4BD47A1A9529415872F16</vt:lpwstr>
  </property>
  <property fmtid="{D5CDD505-2E9C-101B-9397-08002B2CF9AE}" pid="3" name="TaxKeyword">
    <vt:lpwstr/>
  </property>
</Properties>
</file>