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680" windowHeight="8990" tabRatio="785"/>
  </bookViews>
  <sheets>
    <sheet name="Cover" sheetId="87" r:id="rId1"/>
    <sheet name="Data" sheetId="41" r:id="rId2"/>
    <sheet name="Deep dive_SRN" sheetId="72" r:id="rId3"/>
    <sheet name="Deep dive_TMS" sheetId="79" r:id="rId4"/>
    <sheet name="Deep dive_WSX" sheetId="78" r:id="rId5"/>
    <sheet name="Analysis" sheetId="85" r:id="rId6"/>
    <sheet name="Allowance" sheetId="82" r:id="rId7"/>
  </sheets>
  <calcPr calcId="152511"/>
</workbook>
</file>

<file path=xl/calcChain.xml><?xml version="1.0" encoding="utf-8"?>
<calcChain xmlns="http://schemas.openxmlformats.org/spreadsheetml/2006/main">
  <c r="E24" i="82" l="1"/>
  <c r="G17" i="85" l="1"/>
  <c r="F17" i="85"/>
  <c r="F17" i="82" l="1"/>
  <c r="F21" i="82" l="1"/>
  <c r="F14" i="82"/>
  <c r="F15" i="82"/>
  <c r="F18" i="82"/>
  <c r="F16" i="82"/>
  <c r="G24" i="82"/>
  <c r="F20" i="82"/>
  <c r="F19" i="82"/>
  <c r="F22" i="82"/>
  <c r="F23" i="82"/>
  <c r="F13" i="82"/>
  <c r="F24" i="82" l="1"/>
  <c r="A57" i="41" l="1"/>
  <c r="A62" i="41" l="1"/>
  <c r="A58" i="41"/>
  <c r="A63" i="41" l="1"/>
  <c r="A59" i="41"/>
  <c r="A64" i="41" l="1"/>
  <c r="A60" i="41"/>
  <c r="A61" i="41"/>
  <c r="A66" i="41" l="1"/>
  <c r="A65" i="41"/>
  <c r="C14" i="85" l="1"/>
  <c r="C10" i="85"/>
  <c r="C11" i="85"/>
  <c r="C4" i="79" s="1"/>
  <c r="C6" i="85"/>
  <c r="C9" i="85"/>
  <c r="C4" i="72" s="1"/>
  <c r="C12" i="85"/>
  <c r="C16" i="85"/>
  <c r="C8" i="85"/>
  <c r="C7" i="85"/>
  <c r="C15" i="85"/>
  <c r="D6" i="85"/>
  <c r="C13" i="85"/>
  <c r="C4" i="78" s="1"/>
  <c r="D11" i="85"/>
  <c r="D12" i="85"/>
  <c r="D15" i="85"/>
  <c r="D9" i="85"/>
  <c r="D13" i="85"/>
  <c r="D14" i="85"/>
  <c r="D16" i="85"/>
  <c r="D7" i="85"/>
  <c r="D8" i="85"/>
  <c r="D10" i="85"/>
  <c r="N6" i="85" l="1"/>
  <c r="N14" i="85"/>
  <c r="N16" i="85"/>
  <c r="N12" i="85"/>
  <c r="N15" i="85"/>
  <c r="N13" i="85" l="1"/>
  <c r="H13" i="85"/>
  <c r="N10" i="85"/>
  <c r="H10" i="85"/>
  <c r="N9" i="85"/>
  <c r="H9" i="85"/>
  <c r="N11" i="85"/>
  <c r="H11" i="85"/>
  <c r="N8" i="85"/>
  <c r="H8" i="85"/>
  <c r="E7" i="85"/>
  <c r="N7" i="85"/>
  <c r="C17" i="85"/>
  <c r="H17" i="85" s="1"/>
  <c r="E6" i="85"/>
  <c r="N17" i="85" l="1"/>
  <c r="D13" i="82"/>
  <c r="P6" i="85"/>
  <c r="D23" i="82"/>
  <c r="H23" i="82" s="1"/>
  <c r="P14" i="85"/>
  <c r="I23" i="82" s="1"/>
  <c r="E14" i="85"/>
  <c r="D22" i="82"/>
  <c r="H22" i="82" s="1"/>
  <c r="E13" i="85"/>
  <c r="P16" i="85"/>
  <c r="I14" i="82" s="1"/>
  <c r="D14" i="82"/>
  <c r="H14" i="82" s="1"/>
  <c r="D20" i="82"/>
  <c r="H20" i="82" s="1"/>
  <c r="E11" i="85"/>
  <c r="E16" i="85"/>
  <c r="D18" i="82"/>
  <c r="H18" i="82" s="1"/>
  <c r="P15" i="85"/>
  <c r="I18" i="82" s="1"/>
  <c r="E15" i="85"/>
  <c r="P7" i="85"/>
  <c r="I15" i="82" s="1"/>
  <c r="D15" i="82"/>
  <c r="H15" i="82" s="1"/>
  <c r="D21" i="82"/>
  <c r="H21" i="82" s="1"/>
  <c r="H12" i="85"/>
  <c r="P12" i="85"/>
  <c r="I21" i="82" s="1"/>
  <c r="E12" i="85"/>
  <c r="O11" i="85" l="1"/>
  <c r="O13" i="85"/>
  <c r="O9" i="85"/>
  <c r="J21" i="82"/>
  <c r="J23" i="82"/>
  <c r="J14" i="82"/>
  <c r="D16" i="82"/>
  <c r="H16" i="82" s="1"/>
  <c r="P8" i="85"/>
  <c r="I16" i="82" s="1"/>
  <c r="E8" i="85"/>
  <c r="D17" i="82"/>
  <c r="H17" i="82" s="1"/>
  <c r="E9" i="85"/>
  <c r="J15" i="82"/>
  <c r="I13" i="82"/>
  <c r="D19" i="82"/>
  <c r="H19" i="82" s="1"/>
  <c r="E10" i="85"/>
  <c r="P10" i="85"/>
  <c r="I19" i="82" s="1"/>
  <c r="J18" i="82"/>
  <c r="H13" i="82"/>
  <c r="M21" i="82" l="1"/>
  <c r="L21" i="82"/>
  <c r="L23" i="82"/>
  <c r="J16" i="82"/>
  <c r="D24" i="82"/>
  <c r="M23" i="82"/>
  <c r="L15" i="82"/>
  <c r="M15" i="82"/>
  <c r="H24" i="82"/>
  <c r="J13" i="82"/>
  <c r="M18" i="82"/>
  <c r="L18" i="82"/>
  <c r="J19" i="82"/>
  <c r="L14" i="82"/>
  <c r="M14" i="82"/>
  <c r="M16" i="82" l="1"/>
  <c r="L16" i="82"/>
  <c r="M13" i="82"/>
  <c r="L13" i="82"/>
  <c r="L19" i="82"/>
  <c r="M19" i="82"/>
  <c r="P9" i="85"/>
  <c r="P11" i="85"/>
  <c r="I20" i="82" s="1"/>
  <c r="J20" i="82" s="1"/>
  <c r="P13" i="85"/>
  <c r="I22" i="82" s="1"/>
  <c r="J22" i="82" s="1"/>
  <c r="M20" i="82" l="1"/>
  <c r="L20" i="82"/>
  <c r="I17" i="82"/>
  <c r="P17" i="85"/>
  <c r="M22" i="82"/>
  <c r="L22" i="82"/>
  <c r="J17" i="82" l="1"/>
  <c r="I24" i="82"/>
  <c r="L17" i="82" l="1"/>
  <c r="L24" i="82" s="1"/>
  <c r="M17" i="82"/>
  <c r="M24" i="82" s="1"/>
  <c r="J24" i="82"/>
</calcChain>
</file>

<file path=xl/sharedStrings.xml><?xml version="1.0" encoding="utf-8"?>
<sst xmlns="http://schemas.openxmlformats.org/spreadsheetml/2006/main" count="279" uniqueCount="162">
  <si>
    <t>ANH</t>
  </si>
  <si>
    <t>NES</t>
  </si>
  <si>
    <t>NWT</t>
  </si>
  <si>
    <t>SRN</t>
  </si>
  <si>
    <t>SVT</t>
  </si>
  <si>
    <t>SWB</t>
  </si>
  <si>
    <t>TMS</t>
  </si>
  <si>
    <t>WSH</t>
  </si>
  <si>
    <t>WSX</t>
  </si>
  <si>
    <t>YKY</t>
  </si>
  <si>
    <t>Industry</t>
  </si>
  <si>
    <t>Company</t>
  </si>
  <si>
    <t>Assessor's name</t>
  </si>
  <si>
    <t>Control</t>
  </si>
  <si>
    <t>Assessment</t>
  </si>
  <si>
    <t>References</t>
  </si>
  <si>
    <t>Need for investment</t>
  </si>
  <si>
    <t>N/A</t>
  </si>
  <si>
    <t>Need for adjustment</t>
  </si>
  <si>
    <t>Management control</t>
  </si>
  <si>
    <t>Best option for customers</t>
  </si>
  <si>
    <t>Robustness and efficiency of costs</t>
  </si>
  <si>
    <t>Customer protection</t>
  </si>
  <si>
    <t>Overall assessment result</t>
  </si>
  <si>
    <t>Pass</t>
  </si>
  <si>
    <t>Ofwat view of allowance for AMP7 (£m)</t>
  </si>
  <si>
    <t>Shallow dive</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</si>
  <si>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</si>
  <si>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</si>
  <si>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</si>
  <si>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</si>
  <si>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</si>
  <si>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</si>
  <si>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</si>
  <si>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</si>
  <si>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</si>
  <si>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</si>
  <si>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</si>
  <si>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</si>
  <si>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</si>
  <si>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</si>
  <si>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</si>
  <si>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</si>
  <si>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</si>
  <si>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</si>
  <si>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</si>
  <si>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</si>
  <si>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</si>
  <si>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</si>
  <si>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</si>
  <si>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</si>
  <si>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</si>
  <si>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</si>
  <si>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</si>
  <si>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</si>
  <si>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</si>
  <si>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</si>
  <si>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</si>
  <si>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</si>
  <si>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</si>
  <si>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</si>
  <si>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</si>
  <si>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</si>
  <si>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</si>
  <si>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</si>
  <si>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</si>
  <si>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</si>
  <si>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</si>
  <si>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</si>
  <si>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</si>
  <si>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</si>
  <si>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</si>
  <si>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</si>
  <si>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</si>
  <si>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</si>
  <si>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</si>
  <si>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</si>
  <si>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t>
  </si>
  <si>
    <t>HDD</t>
  </si>
  <si>
    <t>Capex carried through deep dive AMP7  (£m)</t>
  </si>
  <si>
    <t>S3040TCAS</t>
  </si>
  <si>
    <t>S3004CAS</t>
  </si>
  <si>
    <t>realS3004CAS</t>
  </si>
  <si>
    <t>Wastewater totex</t>
  </si>
  <si>
    <t>Wholesale wastewater</t>
  </si>
  <si>
    <t>cost per scheme</t>
  </si>
  <si>
    <t>WINEP / NEP ~ Conservation drivers</t>
  </si>
  <si>
    <t>Land management / physical improvement, extending habitat, and joint funding towards a partnership surface water outfall improvement</t>
  </si>
  <si>
    <t>type of scheme / solution expected WINEP</t>
  </si>
  <si>
    <t>what companies have costed (if different)</t>
  </si>
  <si>
    <t xml:space="preserve">14 Shellfish ND schemes </t>
  </si>
  <si>
    <t>Partial pass</t>
  </si>
  <si>
    <t>PR19 Business Plan Commentary September 2018 v1.0.pdf</t>
  </si>
  <si>
    <t>TA.12.WW06 Business Case - Wastewater Environmental Programme.pdf</t>
  </si>
  <si>
    <t>PR19 Business Plan Commentary September 2018 v1.0.pdf
TA.12.WW06 Business Case - Wastewater Environmental Programme.pdf</t>
  </si>
  <si>
    <t>There is an adjustment mechanism for uncertain schemes, and this particular programme of SW_ND schemes was formulated by SRN, with EA's backing, under the uncertainty mechanism.
There are PCs for length of river improved and bathing waters, but not specifically shellfish waters.  We assume this enhancement expenditure is partially covered by WFD River Water Quality and maintain / improve bathing waters.</t>
  </si>
  <si>
    <t>Fail</t>
  </si>
  <si>
    <t>5.1 - Protecting and enhancing the environment.
08.11 - Assessing the costs of our enhancement programme.pdf</t>
  </si>
  <si>
    <t>ODIs for treatment works compliance, length of river with improved water quality through WINEP delivery, and two natural capital-related ODIs.</t>
  </si>
  <si>
    <t>08.11 - Assessing the costs of our enhancement programme.pdf
5.1 - Protecting and enhancing the environment.</t>
  </si>
  <si>
    <t>5.1 - Protecting and enhancing the environment.</t>
  </si>
  <si>
    <t>CSD005-ES02-PR19 - Environmental Measured Delivered Wastewater.pdf table 11</t>
  </si>
  <si>
    <t>PCD2 - Wastewater Network Plus Price Control - September 2018.pdf table 3-17.</t>
  </si>
  <si>
    <t>There is an overarching PC for 'securing our sites environmental measures delivered'. The ODI returns 50% of totex if scope is reduced, and will give overperformance payments for scope increases.</t>
  </si>
  <si>
    <t>PCD2 - Wastewater Network Plus Price Control - September 2018.pdf
CSD006-WINEP-PR19-WINEP.pdf</t>
  </si>
  <si>
    <t>Data</t>
  </si>
  <si>
    <t>Cost allowance for AMP7 (£m)</t>
  </si>
  <si>
    <t>Capex in business plan - wholesale wastewater</t>
  </si>
  <si>
    <t>Capex allowed - network plus</t>
  </si>
  <si>
    <t>Peer review (initials, date)</t>
  </si>
  <si>
    <t>BoN code</t>
  </si>
  <si>
    <t>Enhancement line</t>
  </si>
  <si>
    <t>Total</t>
  </si>
  <si>
    <t>Materiality analysis</t>
  </si>
  <si>
    <t>Assessment approach</t>
  </si>
  <si>
    <t>NEP conservation drivers (S3004CASreal)</t>
  </si>
  <si>
    <t>Total capex in business plan</t>
  </si>
  <si>
    <t>Wholesale totex</t>
  </si>
  <si>
    <t>Materiality</t>
  </si>
  <si>
    <t>Shallow dive haircut</t>
  </si>
  <si>
    <t xml:space="preserve">Allowed costs </t>
  </si>
  <si>
    <t>Capex allowed - wholesale wastewater</t>
  </si>
  <si>
    <t>Capex reallocated out to other lines</t>
  </si>
  <si>
    <t>Capex reallocated in to this line</t>
  </si>
  <si>
    <t>Net Capex reallocated in</t>
  </si>
  <si>
    <t>Proportion of Bioresources</t>
  </si>
  <si>
    <t>Capex allowed - Bioresources</t>
  </si>
  <si>
    <t>Conservation drivers - capex</t>
  </si>
  <si>
    <t>Year</t>
  </si>
  <si>
    <t>Code</t>
  </si>
  <si>
    <t>Analysis</t>
  </si>
  <si>
    <t>Unit cost analysis</t>
  </si>
  <si>
    <t>Information from business plans and WINEP/NEP</t>
  </si>
  <si>
    <t>Cost allowance (£m)</t>
  </si>
  <si>
    <t>Company unit cost relative to industry average</t>
  </si>
  <si>
    <t>Shallow/Deep dive</t>
  </si>
  <si>
    <t>Allowance if not deep dive</t>
  </si>
  <si>
    <t>Allowance for deep dive companies</t>
  </si>
  <si>
    <t>Final allowance</t>
  </si>
  <si>
    <t>below average</t>
  </si>
  <si>
    <t>Above average</t>
  </si>
  <si>
    <t>Heath Lake SSSI, Lee Valley SSSI, Roding Valley SSSI, Kennet SSSI and Hogsmill stream habitat enhancements</t>
  </si>
  <si>
    <t>Deep dive sheet</t>
  </si>
  <si>
    <t>Deep dive</t>
  </si>
  <si>
    <t>Company no of schemes (from BP documents)</t>
  </si>
  <si>
    <t>No. Schemes in WINEP (from EA's WINEP3 Master file 29.03.18)</t>
  </si>
  <si>
    <t>UC analysis used only as a guide for determining outliers and therefore deep dives.</t>
  </si>
  <si>
    <t>RP, 19/12/18</t>
  </si>
  <si>
    <t>We expected 2 schemes when referencing WINEP3, and TMS claim for 5, but only one of these has substantial capex (Heath Lake = £4m).  This one scheme has generated a deep dive.</t>
  </si>
  <si>
    <t>We can only confirm 2 SWS schemes from evidence provided, so average scheme cost is not reliable for the whole conservation programme.  However, even when using 10 schemes for a view of potential unit costs, WSX is still an outlier and therefore deep dived.</t>
  </si>
  <si>
    <t>Cover sheet</t>
  </si>
  <si>
    <t>Costs developed using SRN's PR19 costing process, scheme by scheme. Storage solutions were generated for intermittent discharges where an options-appraisal approach was taken to look into % spill reduction, network storage or sewer rehab to reduce infiltration.
Costs work out at an average of £1.35m per scheme, making SRN one of the higher costs-per-scheme companies.  We would have liked to see a full breakdown of this programme considering it is not fully declared in WINEP.  SRN has not put any capex against line 16 - investigations, so it is plausible that this line includes 9no. investigations, in which case it is difficult to determine a 'unit cost' for SRN without fully appreciating the scope of the investigations. It could be that the £18.95m is predominantly for the 5no. storage schemes, in which case the average cost is being pulled down by 9 investigations.</t>
  </si>
  <si>
    <t>There are 3 investment areas making up WSX's conservation enhancement programme - surface water sewer improvements and monitoring (SSSI_imp), natural capital  and a contribution to P &amp; N removal schemes.  There is some information provided on options, but not a complete picture.
WSX state that solutions offer best value for customers.  The same robust approach to options appraisal is said to have been used for enhancement as used in day to day business planning.</t>
  </si>
  <si>
    <t xml:space="preserve">WSX aimed to benchmark 50% of their WINEP programme, and external benchmarking suggests they are 11%+ more efficient than their cost consultant's view of their larger enhancement projects (&gt;£2m).
We know of 2no. surface water sewer schemes at a total of £7.1m, comprising an investigation and a partnership SSSI quality improvement project.  These alone puts their average scheme cost as the highest in the industry for conservation projects.  We are not so clear on the full breakdown of the scheme numbers for the remaining c.£7m, except that £6.6m addresses some P&amp;N removal options and £0.5m contributes towards natural capital schemes. We would need a clearer understanding of these additional conservation schemes in order to assess our view of costs.  </t>
  </si>
  <si>
    <r>
      <t xml:space="preserve">In terms of cost per scheme, we are told the individual scheme </t>
    </r>
    <r>
      <rPr>
        <b/>
        <sz val="10"/>
        <color theme="1"/>
        <rFont val="Calibri"/>
        <family val="2"/>
        <scheme val="minor"/>
      </rPr>
      <t xml:space="preserve">totex </t>
    </r>
    <r>
      <rPr>
        <sz val="10"/>
        <color theme="1"/>
        <rFont val="Calibri"/>
        <family val="2"/>
        <scheme val="minor"/>
      </rPr>
      <t>and total opex (£0.85m)
Heath Lake - £4.07m totex
Lee Valley - £0.136m totex
Roding Valley - £0.136m totex
Kennet - £0.584m totex
Hogsmill - £0.871m totex
It was therefore not useful to consider an average cost per scheme, but consider evidence for the Heath Lake SSSI improvement scheme at c. £4m capex. This is the highest scheme cost observed for any of the company conservation schemes, and we would have liked to have seen evidence for this scheme's costs readily available, and where possible, benchmarked.</t>
    </r>
  </si>
  <si>
    <t>£m prices 2017-18</t>
  </si>
  <si>
    <t>Capex after reallocations</t>
  </si>
  <si>
    <t>Modelled allowance</t>
  </si>
  <si>
    <t>JS</t>
  </si>
  <si>
    <t>One line in WINEP saying that SRN will 'develop a programme'. Their programme is for 14 schemes, one of which might be Otterbourne Brook Lamprey Screens (fish screen).</t>
  </si>
  <si>
    <t>The 5 schemes listed for this enhancement line are a mix of SSSI investigations (for Phosphorus) and land management/ physical improvement, all found in WINEP3. The biggest scheme, Heath Lake, is listed in WINEP as being a scheme to identify and address coliforms in the lake, redesign the silt trap, and clear silt from the lake. TMS does not appear to have readily detailed the options appraisal in their main documents to understand how they arrived at the cost for this major project.</t>
  </si>
  <si>
    <t xml:space="preserve">We understand that this programme is for Shellfish no-deterioration schemes which do not require UV disinfection.  The 14 schemes mentioned under Shellfish waters drivers the BP table commentary form part of the 'Water company developed WINEP3 obligations" (one line in WINEP stating that SRN will develop a programme).  We understand that the schemes include 5no. shellfish water no deterioration (storage, not UV) schemes, and 9no. studies / investigations linked to assets causing the failure of WFD SWs, but this is not absolutely clear. It would have been useful to see an itemised list of schemes, costs and options explored.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</si>
</sst>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
    <numFmt numFmtId="166" formatCode="0.0"/>
    <numFmt numFmtId="167" formatCode="0.0000"/>
    <numFmt numFmtId="168" formatCode="#,##0_);\(#,##0\);&quot;-  &quot;;&quot; &quot;@&quot; &quot;"/>
    <numFmt numFmtId="169" formatCode="0.0%"/>
    <numFmt numFmtId="170" formatCode="_-* #,##0.0_-;\-* #,##0.0_-;_-* &quot;-&quot;??_-;_-@_-"/>
    <numFmt numFmtId="171" formatCode="_-* #,##0_-;\-* #,##0_-;_-* &quot;-&quot;??_-;_-@_-"/>
    <numFmt numFmtId="172" formatCode="_-* #,##0.0_-;\-* #,##0.0_-;_-* &quot;-&quot;?_-;_-@_-"/>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1"/>
      <color rgb="FF7F7F7F"/>
      <name val="Arial"/>
      <family val="2"/>
    </font>
    <font>
      <b/>
      <sz val="10"/>
      <name val="Calibri"/>
      <family val="2"/>
      <scheme val="minor"/>
    </font>
    <font>
      <sz val="10"/>
      <name val="Calibri"/>
      <family val="2"/>
      <scheme val="minor"/>
    </font>
    <font>
      <i/>
      <sz val="10"/>
      <color rgb="FF7F7F7F"/>
      <name val="Calibri"/>
      <family val="2"/>
      <scheme val="minor"/>
    </font>
    <font>
      <sz val="10"/>
      <color rgb="FF000000"/>
      <name val="Calibri"/>
      <family val="2"/>
      <scheme val="minor"/>
    </font>
    <font>
      <b/>
      <sz val="12"/>
      <color theme="1"/>
      <name val="Calibri"/>
      <family val="2"/>
      <scheme val="minor"/>
    </font>
    <font>
      <b/>
      <i/>
      <sz val="10"/>
      <color theme="1"/>
      <name val="Calibri"/>
      <family val="2"/>
      <scheme val="minor"/>
    </font>
    <font>
      <sz val="14"/>
      <color theme="3"/>
      <name val="Calibri"/>
      <family val="2"/>
      <scheme val="minor"/>
    </font>
  </fonts>
  <fills count="9">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6">
    <xf numFmtId="0" fontId="0" fillId="0" borderId="0"/>
    <xf numFmtId="0" fontId="12" fillId="0" borderId="0"/>
    <xf numFmtId="0" fontId="11" fillId="0" borderId="0"/>
    <xf numFmtId="0" fontId="13" fillId="0" borderId="0"/>
    <xf numFmtId="0" fontId="14" fillId="0" borderId="0"/>
    <xf numFmtId="0" fontId="10" fillId="0" borderId="0"/>
    <xf numFmtId="164" fontId="14" fillId="0" borderId="0" applyFont="0" applyFill="0" applyBorder="0" applyAlignment="0" applyProtection="0"/>
    <xf numFmtId="0" fontId="9" fillId="0" borderId="0"/>
    <xf numFmtId="168" fontId="8" fillId="0" borderId="0" applyFont="0" applyFill="0" applyBorder="0" applyProtection="0">
      <alignment vertical="top"/>
    </xf>
    <xf numFmtId="0" fontId="14" fillId="0" borderId="0"/>
    <xf numFmtId="164" fontId="14" fillId="0" borderId="0" applyFont="0" applyFill="0" applyBorder="0" applyAlignment="0" applyProtection="0"/>
    <xf numFmtId="0" fontId="7" fillId="0" borderId="0"/>
    <xf numFmtId="0" fontId="6" fillId="0" borderId="0"/>
    <xf numFmtId="0" fontId="6" fillId="0" borderId="0"/>
    <xf numFmtId="164" fontId="14" fillId="0" borderId="0" applyFont="0" applyFill="0" applyBorder="0" applyAlignment="0" applyProtection="0"/>
    <xf numFmtId="0" fontId="14" fillId="0" borderId="0"/>
    <xf numFmtId="0" fontId="5" fillId="0" borderId="0"/>
    <xf numFmtId="0" fontId="4" fillId="0" borderId="0"/>
    <xf numFmtId="0" fontId="18" fillId="0" borderId="0" applyNumberForma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15" fillId="3" borderId="0" xfId="9" applyFont="1" applyFill="1" applyAlignment="1">
      <alignment vertical="center"/>
    </xf>
    <xf numFmtId="0" fontId="16" fillId="0" borderId="0" xfId="0" applyFont="1"/>
    <xf numFmtId="0" fontId="16" fillId="0" borderId="1" xfId="0" applyFont="1" applyBorder="1" applyAlignment="1">
      <alignment vertical="center"/>
    </xf>
    <xf numFmtId="0" fontId="16" fillId="0" borderId="1" xfId="0" applyFont="1" applyBorder="1"/>
    <xf numFmtId="0" fontId="17" fillId="2" borderId="1" xfId="0" applyFont="1" applyFill="1" applyBorder="1" applyAlignment="1">
      <alignment horizontal="left" wrapText="1"/>
    </xf>
    <xf numFmtId="0" fontId="17" fillId="0" borderId="0" xfId="0" applyFont="1"/>
    <xf numFmtId="0" fontId="17" fillId="2" borderId="1" xfId="0" quotePrefix="1" applyFont="1" applyFill="1" applyBorder="1" applyAlignment="1">
      <alignment horizontal="left" wrapText="1"/>
    </xf>
    <xf numFmtId="0" fontId="17" fillId="5" borderId="1" xfId="0" applyFont="1" applyFill="1" applyBorder="1" applyAlignment="1">
      <alignment horizontal="left" wrapText="1"/>
    </xf>
    <xf numFmtId="0" fontId="16" fillId="0" borderId="0" xfId="23" applyFont="1"/>
    <xf numFmtId="171" fontId="16" fillId="0" borderId="1" xfId="24" applyNumberFormat="1" applyFont="1" applyBorder="1"/>
    <xf numFmtId="0" fontId="16" fillId="0" borderId="2" xfId="23" applyFont="1" applyFill="1" applyBorder="1" applyAlignment="1">
      <alignment vertical="center"/>
    </xf>
    <xf numFmtId="166" fontId="17" fillId="0" borderId="1" xfId="23" applyNumberFormat="1" applyFont="1" applyBorder="1" applyAlignment="1">
      <alignment vertical="center" wrapText="1"/>
    </xf>
    <xf numFmtId="165" fontId="16" fillId="0" borderId="1" xfId="23" applyNumberFormat="1" applyFont="1" applyBorder="1" applyAlignment="1">
      <alignment vertical="center" wrapText="1"/>
    </xf>
    <xf numFmtId="0" fontId="16" fillId="2" borderId="1" xfId="23" applyFont="1" applyFill="1" applyBorder="1" applyAlignment="1">
      <alignment horizontal="left" wrapText="1"/>
    </xf>
    <xf numFmtId="0" fontId="15" fillId="6" borderId="0" xfId="23" applyFont="1" applyFill="1"/>
    <xf numFmtId="0" fontId="17" fillId="0" borderId="2" xfId="23" applyFont="1" applyBorder="1" applyAlignment="1">
      <alignment horizontal="centerContinuous"/>
    </xf>
    <xf numFmtId="0" fontId="16" fillId="0" borderId="0" xfId="0" applyFont="1" applyAlignment="1">
      <alignment vertical="center"/>
    </xf>
    <xf numFmtId="0" fontId="16" fillId="0" borderId="0" xfId="0" applyFont="1" applyAlignment="1">
      <alignment vertical="top" wrapText="1"/>
    </xf>
    <xf numFmtId="167" fontId="16" fillId="0" borderId="1" xfId="0" applyNumberFormat="1" applyFont="1" applyFill="1" applyBorder="1" applyAlignment="1">
      <alignment vertical="center"/>
    </xf>
    <xf numFmtId="1" fontId="16" fillId="0" borderId="1" xfId="0" applyNumberFormat="1" applyFont="1" applyBorder="1" applyAlignment="1">
      <alignment vertical="center"/>
    </xf>
    <xf numFmtId="2" fontId="16" fillId="0" borderId="1" xfId="15" applyNumberFormat="1" applyFont="1" applyFill="1" applyBorder="1" applyAlignment="1">
      <alignment vertical="center"/>
    </xf>
    <xf numFmtId="0" fontId="16" fillId="0" borderId="1" xfId="0" applyFont="1" applyFill="1" applyBorder="1" applyAlignment="1">
      <alignment vertical="center"/>
    </xf>
    <xf numFmtId="0" fontId="17" fillId="0" borderId="0" xfId="23" applyFont="1"/>
    <xf numFmtId="0" fontId="16" fillId="0" borderId="3" xfId="23" applyFont="1" applyBorder="1" applyAlignment="1">
      <alignment horizontal="centerContinuous"/>
    </xf>
    <xf numFmtId="0" fontId="17" fillId="0" borderId="1" xfId="23" applyFont="1" applyBorder="1" applyAlignment="1">
      <alignment horizontal="centerContinuous"/>
    </xf>
    <xf numFmtId="170" fontId="16" fillId="0" borderId="1" xfId="24" applyNumberFormat="1" applyFont="1" applyBorder="1"/>
    <xf numFmtId="169" fontId="16" fillId="0" borderId="1" xfId="25" applyNumberFormat="1" applyFont="1" applyBorder="1"/>
    <xf numFmtId="0" fontId="16" fillId="0" borderId="1" xfId="23" applyFont="1" applyBorder="1"/>
    <xf numFmtId="0" fontId="16" fillId="0" borderId="1" xfId="23" applyFont="1" applyBorder="1" applyAlignment="1">
      <alignment wrapText="1"/>
    </xf>
    <xf numFmtId="0" fontId="16" fillId="0" borderId="1" xfId="23" quotePrefix="1" applyFont="1" applyBorder="1"/>
    <xf numFmtId="172" fontId="16" fillId="0" borderId="1" xfId="23" applyNumberFormat="1" applyFont="1" applyBorder="1"/>
    <xf numFmtId="169" fontId="17" fillId="0" borderId="1" xfId="25" applyNumberFormat="1" applyFont="1" applyBorder="1"/>
    <xf numFmtId="2" fontId="16" fillId="0" borderId="1" xfId="23" applyNumberFormat="1" applyFont="1" applyFill="1" applyBorder="1" applyAlignment="1">
      <alignment vertical="center" wrapText="1"/>
    </xf>
    <xf numFmtId="165" fontId="16" fillId="0" borderId="1" xfId="23" applyNumberFormat="1" applyFont="1" applyFill="1" applyBorder="1" applyAlignment="1">
      <alignment vertical="center" wrapText="1"/>
    </xf>
    <xf numFmtId="0" fontId="16" fillId="0" borderId="1" xfId="23" applyFont="1" applyBorder="1" applyAlignment="1">
      <alignment horizontal="left" vertical="top" wrapText="1"/>
    </xf>
    <xf numFmtId="170" fontId="17" fillId="0" borderId="1" xfId="24" applyNumberFormat="1" applyFont="1" applyBorder="1"/>
    <xf numFmtId="172" fontId="17" fillId="0" borderId="1" xfId="23" applyNumberFormat="1" applyFont="1" applyBorder="1"/>
    <xf numFmtId="0" fontId="16" fillId="4" borderId="1" xfId="0" applyFont="1" applyFill="1" applyBorder="1" applyAlignment="1">
      <alignment horizontal="left"/>
    </xf>
    <xf numFmtId="0" fontId="16" fillId="0" borderId="1" xfId="0" applyFont="1" applyBorder="1" applyAlignment="1"/>
    <xf numFmtId="0" fontId="16" fillId="0" borderId="0" xfId="0" applyFont="1" applyBorder="1" applyAlignment="1"/>
    <xf numFmtId="0" fontId="16" fillId="0" borderId="1"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21" fillId="0" borderId="0" xfId="18" applyFont="1"/>
    <xf numFmtId="14" fontId="16" fillId="0" borderId="1" xfId="0" applyNumberFormat="1" applyFont="1" applyBorder="1" applyAlignment="1" applyProtection="1">
      <alignment horizontal="left"/>
      <protection locked="0"/>
    </xf>
    <xf numFmtId="14" fontId="16" fillId="0" borderId="0" xfId="0" applyNumberFormat="1" applyFont="1" applyBorder="1" applyAlignment="1" applyProtection="1">
      <alignment horizontal="left"/>
      <protection locked="0"/>
    </xf>
    <xf numFmtId="0" fontId="16" fillId="0" borderId="5" xfId="0" applyFont="1" applyBorder="1" applyAlignment="1">
      <alignment vertical="top"/>
    </xf>
    <xf numFmtId="0" fontId="16" fillId="0" borderId="5" xfId="0" applyFont="1" applyBorder="1" applyAlignment="1"/>
    <xf numFmtId="0" fontId="17" fillId="3" borderId="0" xfId="0" applyFont="1" applyFill="1"/>
    <xf numFmtId="0" fontId="16" fillId="0" borderId="1" xfId="11" applyFont="1" applyBorder="1" applyAlignment="1">
      <alignment horizontal="center"/>
    </xf>
    <xf numFmtId="170" fontId="16" fillId="0" borderId="1" xfId="6" applyNumberFormat="1" applyFont="1" applyBorder="1"/>
    <xf numFmtId="170" fontId="16" fillId="5" borderId="1" xfId="6" applyNumberFormat="1" applyFont="1" applyFill="1" applyBorder="1"/>
    <xf numFmtId="0" fontId="17" fillId="0" borderId="1" xfId="11" applyFont="1" applyBorder="1"/>
    <xf numFmtId="170" fontId="17" fillId="0" borderId="1" xfId="6" applyNumberFormat="1" applyFont="1" applyBorder="1"/>
    <xf numFmtId="170" fontId="19" fillId="0" borderId="1" xfId="6" applyNumberFormat="1" applyFont="1" applyBorder="1"/>
    <xf numFmtId="170" fontId="19" fillId="5" borderId="1" xfId="6" applyNumberFormat="1" applyFont="1" applyFill="1" applyBorder="1"/>
    <xf numFmtId="0" fontId="17" fillId="3" borderId="0" xfId="9" applyFont="1" applyFill="1" applyAlignment="1">
      <alignment vertical="center"/>
    </xf>
    <xf numFmtId="0" fontId="17" fillId="7" borderId="2" xfId="23" applyFont="1" applyFill="1" applyBorder="1" applyAlignment="1">
      <alignment horizontal="centerContinuous"/>
    </xf>
    <xf numFmtId="0" fontId="16" fillId="7" borderId="3" xfId="23" applyFont="1" applyFill="1" applyBorder="1" applyAlignment="1">
      <alignment horizontal="centerContinuous"/>
    </xf>
    <xf numFmtId="0" fontId="16" fillId="7" borderId="1" xfId="23" applyFont="1" applyFill="1" applyBorder="1" applyAlignment="1">
      <alignment horizontal="left" wrapText="1"/>
    </xf>
    <xf numFmtId="0" fontId="16" fillId="7" borderId="1" xfId="23" applyFont="1" applyFill="1" applyBorder="1"/>
    <xf numFmtId="164" fontId="16" fillId="7" borderId="1" xfId="23" applyNumberFormat="1" applyFont="1" applyFill="1" applyBorder="1"/>
    <xf numFmtId="164" fontId="17" fillId="7" borderId="1" xfId="23" applyNumberFormat="1" applyFont="1" applyFill="1" applyBorder="1"/>
    <xf numFmtId="171" fontId="17" fillId="7" borderId="1" xfId="24" applyNumberFormat="1" applyFont="1" applyFill="1" applyBorder="1"/>
    <xf numFmtId="0" fontId="16" fillId="7" borderId="3" xfId="23" applyFont="1" applyFill="1" applyBorder="1"/>
    <xf numFmtId="0" fontId="15" fillId="3" borderId="0" xfId="0" applyFont="1" applyFill="1"/>
    <xf numFmtId="0" fontId="23" fillId="3" borderId="2" xfId="9" applyFont="1" applyFill="1" applyBorder="1"/>
    <xf numFmtId="0" fontId="20" fillId="3" borderId="4" xfId="1" applyFont="1" applyFill="1" applyBorder="1"/>
    <xf numFmtId="0" fontId="16" fillId="0" borderId="0" xfId="0" applyFont="1" applyAlignment="1">
      <alignment horizontal="center" vertical="center"/>
    </xf>
    <xf numFmtId="0" fontId="19" fillId="0" borderId="0" xfId="0" applyFont="1"/>
    <xf numFmtId="0" fontId="20" fillId="0" borderId="0" xfId="1" applyFont="1"/>
    <xf numFmtId="0" fontId="20" fillId="0" borderId="0" xfId="0" applyFont="1"/>
    <xf numFmtId="0" fontId="17" fillId="0" borderId="0" xfId="9" applyFont="1"/>
    <xf numFmtId="0" fontId="17" fillId="0" borderId="0" xfId="9" applyFont="1" applyAlignment="1">
      <alignment vertical="center"/>
    </xf>
    <xf numFmtId="0" fontId="16" fillId="0" borderId="1" xfId="0" applyFont="1" applyBorder="1" applyAlignment="1">
      <alignment vertical="top"/>
    </xf>
    <xf numFmtId="4" fontId="16" fillId="0" borderId="1" xfId="0" applyNumberFormat="1" applyFont="1" applyBorder="1"/>
    <xf numFmtId="0" fontId="16" fillId="0" borderId="1" xfId="0" applyFont="1" applyBorder="1" applyAlignment="1">
      <alignment vertical="top" wrapText="1"/>
    </xf>
    <xf numFmtId="0" fontId="16" fillId="0" borderId="0" xfId="0" applyFont="1" applyBorder="1" applyAlignment="1">
      <alignment vertical="top"/>
    </xf>
    <xf numFmtId="0" fontId="24" fillId="0" borderId="0" xfId="0" applyFont="1" applyAlignment="1">
      <alignment horizontal="left" indent="1"/>
    </xf>
    <xf numFmtId="0" fontId="15" fillId="0" borderId="0" xfId="9" applyFont="1" applyAlignment="1">
      <alignment vertical="center"/>
    </xf>
    <xf numFmtId="164" fontId="16" fillId="0" borderId="1" xfId="6" applyFont="1" applyBorder="1"/>
    <xf numFmtId="0" fontId="16" fillId="0" borderId="1" xfId="9" applyFont="1" applyBorder="1"/>
    <xf numFmtId="0" fontId="0" fillId="0" borderId="0" xfId="0" applyFont="1"/>
    <xf numFmtId="0" fontId="16" fillId="8" borderId="1" xfId="0" applyFont="1" applyFill="1" applyBorder="1" applyAlignment="1">
      <alignment vertical="top" wrapText="1"/>
    </xf>
    <xf numFmtId="0" fontId="25" fillId="0" borderId="0" xfId="0" applyFont="1" applyFill="1" applyAlignment="1">
      <alignment vertical="center"/>
    </xf>
    <xf numFmtId="0" fontId="16" fillId="0" borderId="0" xfId="0" applyFont="1" applyFill="1" applyAlignment="1">
      <alignment vertical="center"/>
    </xf>
    <xf numFmtId="0" fontId="17" fillId="0" borderId="0" xfId="23" applyFont="1" applyFill="1"/>
    <xf numFmtId="0" fontId="22" fillId="0" borderId="1" xfId="0" applyFont="1" applyBorder="1" applyAlignment="1">
      <alignment wrapText="1"/>
    </xf>
    <xf numFmtId="0" fontId="16" fillId="7" borderId="1" xfId="23" applyFont="1" applyFill="1" applyBorder="1" applyAlignment="1">
      <alignment horizontal="center" wrapText="1"/>
    </xf>
  </cellXfs>
  <cellStyles count="26">
    <cellStyle name="Comma" xfId="6" builtinId="3"/>
    <cellStyle name="Comma 2" xfId="10"/>
    <cellStyle name="Comma 3" xfId="14"/>
    <cellStyle name="Comma 4" xfId="20"/>
    <cellStyle name="Comma 4 2" xfId="22"/>
    <cellStyle name="Comma 5" xfId="24"/>
    <cellStyle name="Explanatory Text" xfId="18" builtinId="53"/>
    <cellStyle name="Normal" xfId="0" builtinId="0"/>
    <cellStyle name="Normal 2" xfId="4"/>
    <cellStyle name="Normal 2 2" xfId="1"/>
    <cellStyle name="Normal 2 2 2" xfId="9"/>
    <cellStyle name="Normal 2 3" xfId="16"/>
    <cellStyle name="Normal 2 6" xfId="15"/>
    <cellStyle name="Normal 20" xfId="8"/>
    <cellStyle name="Normal 3" xfId="2"/>
    <cellStyle name="Normal 3 2" xfId="12"/>
    <cellStyle name="Normal 4" xfId="5"/>
    <cellStyle name="Normal 4 2" xfId="13"/>
    <cellStyle name="Normal 5" xfId="7"/>
    <cellStyle name="Normal 5 2" xfId="11"/>
    <cellStyle name="Normal 6" xfId="17"/>
    <cellStyle name="Normal 7" xfId="19"/>
    <cellStyle name="Normal 8" xfId="23"/>
    <cellStyle name="Normal 9" xfId="3"/>
    <cellStyle name="Percent 2" xfId="21"/>
    <cellStyle name="Percent 3" xfId="25"/>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19</xdr:row>
      <xdr:rowOff>16328</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7971" y="364671"/>
          <a:ext cx="9188450" cy="2792186"/>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Conservation drivers enhancement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We assess this line using shallow and deep dives using the materiality of the capex requested and an assessment of the unit cost of each scheme. We also reconcile information that has been identified within the companies’ submissions with the list of schemes in the EAs’ WINEP3, March 2018. </a:t>
          </a:r>
          <a:r>
            <a:rPr lang="en-US" sz="1100" b="0" i="0">
              <a:solidFill>
                <a:schemeClr val="dk1"/>
              </a:solidFill>
              <a:effectLst/>
              <a:latin typeface="+mn-lt"/>
              <a:ea typeface="+mn-ea"/>
              <a:cs typeface="+mn-cs"/>
            </a:rPr>
            <a:t> </a:t>
          </a:r>
          <a:endParaRPr lang="en-US" b="0" i="0">
            <a:effectLst/>
          </a:endParaRPr>
        </a:p>
        <a:p>
          <a:pPr rtl="0" fontAlgn="base"/>
          <a:r>
            <a:rPr lang="en-GB" sz="1100" b="0" i="0">
              <a:solidFill>
                <a:schemeClr val="dk1"/>
              </a:solidFill>
              <a:effectLst/>
              <a:latin typeface="+mn-lt"/>
              <a:ea typeface="+mn-ea"/>
              <a:cs typeface="+mn-cs"/>
            </a:rPr>
            <a:t>For claims below our materiality threshold, we apply the company-specific efficiency challenge. Where companies provide evidence, we use an indicative unit cost (number of schemes declared in the companies’ business plans) to support the need for a deep dive. For example, where one scheme dominates a company’s programme and the scheme is considered a cost outlier, we deep dive the costs.  We consider the availability and quality of evidence for the deep dives.</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13466</xdr:colOff>
      <xdr:row>14</xdr:row>
      <xdr:rowOff>8310</xdr:rowOff>
    </xdr:from>
    <xdr:ext cx="8748898" cy="2159053"/>
    <xdr:sp macro="" textlink="">
      <xdr:nvSpPr>
        <xdr:cNvPr id="4" name="TextBox 3">
          <a:extLst>
            <a:ext uri="{FF2B5EF4-FFF2-40B4-BE49-F238E27FC236}">
              <a16:creationId xmlns:a16="http://schemas.microsoft.com/office/drawing/2014/main" xmlns="" id="{00000000-0008-0000-0400-000005000000}"/>
            </a:ext>
          </a:extLst>
        </xdr:cNvPr>
        <xdr:cNvSpPr txBox="1"/>
      </xdr:nvSpPr>
      <xdr:spPr>
        <a:xfrm>
          <a:off x="148933" y="8449577"/>
          <a:ext cx="8748898" cy="215905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endParaRPr lang="en-GB" sz="1100"/>
        </a:p>
        <a:p>
          <a:r>
            <a:rPr lang="en-GB" sz="1100"/>
            <a:t>There</a:t>
          </a:r>
          <a:r>
            <a:rPr lang="en-GB" sz="1100" baseline="0"/>
            <a:t> appears to be some uncertainty over what schemes were expected under the conservation driver in WINEP - we assumed Habitats improvements (HD_Imp),  SRN has assumed shellfish waters (SW_ND).  SRN's TA.12.WW06 document does not appear to itemise the schemes included in this line.  We can see 5no. storage schemes (non-UV) for SW_ND and a further 9No, 'studies and investigations' for SW_Inv1.  The total number of schemes could be the 5No. SW_ND and any of the other 138 schemes in Table 34 of TA.12.WW06 document.  It would have been helpful to see a breakdown, scheme by scheme for this line, given that WINEP was not fully itemised at March 2018.</a:t>
          </a:r>
        </a:p>
        <a:p>
          <a:endParaRPr lang="en-GB" sz="1100"/>
        </a:p>
        <a:p>
          <a:r>
            <a:rPr lang="en-GB" sz="1100">
              <a:solidFill>
                <a:schemeClr val="dk1"/>
              </a:solidFill>
              <a:latin typeface="+mn-lt"/>
              <a:ea typeface="+mn-ea"/>
              <a:cs typeface="+mn-cs"/>
            </a:rPr>
            <a:t>Given lack of clarity regarding the number of schemes (we are not party to the breakdown of 'company level' lines in WINEP), lack of transparency over options and chosen solutions and what appears to be high</a:t>
          </a:r>
          <a:r>
            <a:rPr lang="en-GB" sz="1100" baseline="0">
              <a:solidFill>
                <a:schemeClr val="dk1"/>
              </a:solidFill>
              <a:latin typeface="+mn-lt"/>
              <a:ea typeface="+mn-ea"/>
              <a:cs typeface="+mn-cs"/>
            </a:rPr>
            <a:t> average scheme costs</a:t>
          </a:r>
          <a:r>
            <a:rPr lang="en-GB" sz="1100">
              <a:solidFill>
                <a:schemeClr val="dk1"/>
              </a:solidFill>
              <a:latin typeface="+mn-lt"/>
              <a:ea typeface="+mn-ea"/>
              <a:cs typeface="+mn-cs"/>
            </a:rPr>
            <a:t>, we apply the company-specific efficiency challenge plus a further 20% efficiency challenge for what might be an investigations-dominated programme.  (investigations probably should have been itemised under WWS2 line 16).</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35</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3572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13465</xdr:colOff>
      <xdr:row>13</xdr:row>
      <xdr:rowOff>182935</xdr:rowOff>
    </xdr:from>
    <xdr:ext cx="8748898" cy="1470146"/>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156341" y="6607018"/>
          <a:ext cx="8748898" cy="147014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We base our assessment on the 5 schemes itemised in table 3-17 of TMS' PCD2 Wastewater Network Plus Price Control document - a mixture of SSSI investigations (for Phosphorus) and land management/ physical improvement.  One scheme, Heath Lake is c. £4m capex and a significant outlier compared to other companies' individual schemes.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As a result of this outlier, and the fact the rest of the claim might be investigations, we apply a 20% efficiency challenge on top of the company efficiency challenge.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34</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16198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124591</xdr:colOff>
      <xdr:row>14</xdr:row>
      <xdr:rowOff>34767</xdr:rowOff>
    </xdr:from>
    <xdr:ext cx="8781283" cy="1470146"/>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124591" y="6621834"/>
          <a:ext cx="8781283" cy="147014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It is not clear how many schemes make up this enhancement line except for the 2no. surface water sewer schemes at £7.1m (£3.5m each?). Based on these 2 schemes alone, WSX could be considered an outlier and highest average scheme cost. It is not clear if this enhancement line formed part of the benchmarking exercise.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Given the high average scheme cost  for the 2 SWS schemes and lack of clarity on the remaining schemes that make up the total amount, we apply a 20% efficiency challenge on top of the company-specific efficiency challenge.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1"/>
  <sheetViews>
    <sheetView showGridLines="0" tabSelected="1" workbookViewId="0"/>
  </sheetViews>
  <sheetFormatPr defaultColWidth="8.6328125" defaultRowHeight="13" x14ac:dyDescent="0.3"/>
  <cols>
    <col min="1" max="1" width="1.26953125" style="2" customWidth="1"/>
    <col min="2" max="2" width="11.26953125" style="2" customWidth="1"/>
    <col min="3" max="3" width="100.26953125" style="2" customWidth="1"/>
    <col min="4" max="4" width="18" style="68" customWidth="1"/>
    <col min="5" max="16384" width="8.6328125" style="2"/>
  </cols>
  <sheetData>
    <row r="1" spans="2:4" ht="15.5" x14ac:dyDescent="0.35">
      <c r="B1" s="66" t="s">
        <v>150</v>
      </c>
      <c r="C1" s="67"/>
      <c r="D1" s="6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6"/>
  <sheetViews>
    <sheetView showGridLines="0" workbookViewId="0">
      <pane xSplit="3" ySplit="6" topLeftCell="D7" activePane="bottomRight" state="frozen"/>
      <selection activeCell="C29" sqref="C29"/>
      <selection pane="topRight" activeCell="C29" sqref="C29"/>
      <selection pane="bottomLeft" activeCell="C29" sqref="C29"/>
      <selection pane="bottomRight"/>
    </sheetView>
  </sheetViews>
  <sheetFormatPr defaultColWidth="8.6328125" defaultRowHeight="13" x14ac:dyDescent="0.3"/>
  <cols>
    <col min="1" max="1" width="10.6328125" style="17" customWidth="1"/>
    <col min="2" max="2" width="11.26953125" style="17" customWidth="1"/>
    <col min="3" max="3" width="10.26953125" style="17" customWidth="1"/>
    <col min="4" max="5" width="13.6328125" style="2" customWidth="1"/>
    <col min="6" max="6" width="5" style="2" customWidth="1"/>
    <col min="7" max="7" width="13.36328125" style="2" bestFit="1" customWidth="1"/>
    <col min="8" max="13" width="6.6328125" style="2" customWidth="1"/>
    <col min="14" max="16384" width="8.6328125" style="2"/>
  </cols>
  <sheetData>
    <row r="1" spans="1:15" ht="18.5" x14ac:dyDescent="0.3">
      <c r="A1" s="84" t="s">
        <v>105</v>
      </c>
      <c r="B1" s="85"/>
      <c r="C1" s="85"/>
      <c r="D1" s="86"/>
      <c r="E1" s="86"/>
    </row>
    <row r="2" spans="1:15" x14ac:dyDescent="0.3">
      <c r="A2" s="17" t="s">
        <v>155</v>
      </c>
    </row>
    <row r="4" spans="1:15" x14ac:dyDescent="0.3">
      <c r="A4" s="2"/>
      <c r="B4" s="2"/>
      <c r="C4" s="2"/>
    </row>
    <row r="5" spans="1:15" s="18" customFormat="1" x14ac:dyDescent="0.3">
      <c r="A5" s="83"/>
      <c r="B5" s="83"/>
      <c r="C5" s="83"/>
      <c r="D5" s="83" t="s">
        <v>82</v>
      </c>
      <c r="E5" s="83" t="s">
        <v>80</v>
      </c>
      <c r="G5" s="2"/>
      <c r="H5" s="2"/>
      <c r="I5" s="2"/>
      <c r="J5" s="2"/>
      <c r="K5" s="2"/>
      <c r="L5" s="2"/>
      <c r="M5" s="2"/>
      <c r="N5" s="2"/>
      <c r="O5" s="2"/>
    </row>
    <row r="6" spans="1:15" ht="26" x14ac:dyDescent="0.3">
      <c r="A6" s="83" t="s">
        <v>129</v>
      </c>
      <c r="B6" s="83" t="s">
        <v>11</v>
      </c>
      <c r="C6" s="83" t="s">
        <v>128</v>
      </c>
      <c r="D6" s="83" t="s">
        <v>127</v>
      </c>
      <c r="E6" s="83" t="s">
        <v>83</v>
      </c>
    </row>
    <row r="7" spans="1:15" x14ac:dyDescent="0.3">
      <c r="A7" s="21" t="s">
        <v>27</v>
      </c>
      <c r="B7" s="22" t="s">
        <v>0</v>
      </c>
      <c r="C7" s="11">
        <v>2021</v>
      </c>
      <c r="D7" s="19">
        <v>0</v>
      </c>
      <c r="E7" s="20">
        <v>551.50375405476098</v>
      </c>
    </row>
    <row r="8" spans="1:15" x14ac:dyDescent="0.3">
      <c r="A8" s="21" t="s">
        <v>28</v>
      </c>
      <c r="B8" s="22" t="s">
        <v>0</v>
      </c>
      <c r="C8" s="11">
        <v>2022</v>
      </c>
      <c r="D8" s="19">
        <v>0</v>
      </c>
      <c r="E8" s="20">
        <v>653.12795659695598</v>
      </c>
    </row>
    <row r="9" spans="1:15" x14ac:dyDescent="0.3">
      <c r="A9" s="21" t="s">
        <v>29</v>
      </c>
      <c r="B9" s="22" t="s">
        <v>0</v>
      </c>
      <c r="C9" s="11">
        <v>2023</v>
      </c>
      <c r="D9" s="19">
        <v>0</v>
      </c>
      <c r="E9" s="20">
        <v>659.79125581432402</v>
      </c>
    </row>
    <row r="10" spans="1:15" x14ac:dyDescent="0.3">
      <c r="A10" s="21" t="s">
        <v>30</v>
      </c>
      <c r="B10" s="22" t="s">
        <v>0</v>
      </c>
      <c r="C10" s="11">
        <v>2024</v>
      </c>
      <c r="D10" s="19">
        <v>0</v>
      </c>
      <c r="E10" s="20">
        <v>762.56025220065897</v>
      </c>
    </row>
    <row r="11" spans="1:15" x14ac:dyDescent="0.3">
      <c r="A11" s="21" t="s">
        <v>31</v>
      </c>
      <c r="B11" s="22" t="s">
        <v>0</v>
      </c>
      <c r="C11" s="11">
        <v>2025</v>
      </c>
      <c r="D11" s="19">
        <v>0</v>
      </c>
      <c r="E11" s="20">
        <v>701.76121450352298</v>
      </c>
    </row>
    <row r="12" spans="1:15" x14ac:dyDescent="0.3">
      <c r="A12" s="21" t="s">
        <v>32</v>
      </c>
      <c r="B12" s="22" t="s">
        <v>1</v>
      </c>
      <c r="C12" s="11">
        <v>2021</v>
      </c>
      <c r="D12" s="19">
        <v>0</v>
      </c>
      <c r="E12" s="20">
        <v>194.71899999999999</v>
      </c>
    </row>
    <row r="13" spans="1:15" x14ac:dyDescent="0.3">
      <c r="A13" s="21" t="s">
        <v>33</v>
      </c>
      <c r="B13" s="22" t="s">
        <v>1</v>
      </c>
      <c r="C13" s="11">
        <v>2022</v>
      </c>
      <c r="D13" s="19">
        <v>0</v>
      </c>
      <c r="E13" s="20">
        <v>225.87200000000001</v>
      </c>
    </row>
    <row r="14" spans="1:15" x14ac:dyDescent="0.3">
      <c r="A14" s="21" t="s">
        <v>34</v>
      </c>
      <c r="B14" s="22" t="s">
        <v>1</v>
      </c>
      <c r="C14" s="11">
        <v>2023</v>
      </c>
      <c r="D14" s="19">
        <v>0</v>
      </c>
      <c r="E14" s="20">
        <v>250.01400000000001</v>
      </c>
    </row>
    <row r="15" spans="1:15" x14ac:dyDescent="0.3">
      <c r="A15" s="21" t="s">
        <v>35</v>
      </c>
      <c r="B15" s="22" t="s">
        <v>1</v>
      </c>
      <c r="C15" s="11">
        <v>2024</v>
      </c>
      <c r="D15" s="19">
        <v>0</v>
      </c>
      <c r="E15" s="20">
        <v>314.52300000000002</v>
      </c>
    </row>
    <row r="16" spans="1:15" x14ac:dyDescent="0.3">
      <c r="A16" s="21" t="s">
        <v>36</v>
      </c>
      <c r="B16" s="22" t="s">
        <v>1</v>
      </c>
      <c r="C16" s="11">
        <v>2025</v>
      </c>
      <c r="D16" s="19">
        <v>0</v>
      </c>
      <c r="E16" s="20">
        <v>258.24900000000002</v>
      </c>
    </row>
    <row r="17" spans="1:5" x14ac:dyDescent="0.3">
      <c r="A17" s="21" t="s">
        <v>37</v>
      </c>
      <c r="B17" s="22" t="s">
        <v>2</v>
      </c>
      <c r="C17" s="11">
        <v>2021</v>
      </c>
      <c r="D17" s="19">
        <v>0</v>
      </c>
      <c r="E17" s="20">
        <v>557.40503234329799</v>
      </c>
    </row>
    <row r="18" spans="1:5" x14ac:dyDescent="0.3">
      <c r="A18" s="21" t="s">
        <v>38</v>
      </c>
      <c r="B18" s="22" t="s">
        <v>2</v>
      </c>
      <c r="C18" s="11">
        <v>2022</v>
      </c>
      <c r="D18" s="19">
        <v>0</v>
      </c>
      <c r="E18" s="20">
        <v>584.41680129680901</v>
      </c>
    </row>
    <row r="19" spans="1:5" x14ac:dyDescent="0.3">
      <c r="A19" s="21" t="s">
        <v>39</v>
      </c>
      <c r="B19" s="22" t="s">
        <v>2</v>
      </c>
      <c r="C19" s="11">
        <v>2023</v>
      </c>
      <c r="D19" s="19">
        <v>2.4303514268366699E-2</v>
      </c>
      <c r="E19" s="20">
        <v>527.23793476313404</v>
      </c>
    </row>
    <row r="20" spans="1:5" x14ac:dyDescent="0.3">
      <c r="A20" s="21" t="s">
        <v>40</v>
      </c>
      <c r="B20" s="22" t="s">
        <v>2</v>
      </c>
      <c r="C20" s="11">
        <v>2024</v>
      </c>
      <c r="D20" s="19">
        <v>0.123301289297345</v>
      </c>
      <c r="E20" s="20">
        <v>706.99058633935101</v>
      </c>
    </row>
    <row r="21" spans="1:5" x14ac:dyDescent="0.3">
      <c r="A21" s="21" t="s">
        <v>41</v>
      </c>
      <c r="B21" s="22" t="s">
        <v>2</v>
      </c>
      <c r="C21" s="11">
        <v>2025</v>
      </c>
      <c r="D21" s="19">
        <v>0.61425322882375699</v>
      </c>
      <c r="E21" s="20">
        <v>637.00849885031198</v>
      </c>
    </row>
    <row r="22" spans="1:5" x14ac:dyDescent="0.3">
      <c r="A22" s="21" t="s">
        <v>42</v>
      </c>
      <c r="B22" s="22" t="s">
        <v>3</v>
      </c>
      <c r="C22" s="11">
        <v>2021</v>
      </c>
      <c r="D22" s="19">
        <v>3.5910000000000002</v>
      </c>
      <c r="E22" s="20">
        <v>462.08100000000002</v>
      </c>
    </row>
    <row r="23" spans="1:5" x14ac:dyDescent="0.3">
      <c r="A23" s="21" t="s">
        <v>43</v>
      </c>
      <c r="B23" s="22" t="s">
        <v>3</v>
      </c>
      <c r="C23" s="11">
        <v>2022</v>
      </c>
      <c r="D23" s="19">
        <v>9.6170000000000009</v>
      </c>
      <c r="E23" s="20">
        <v>610.50400000000002</v>
      </c>
    </row>
    <row r="24" spans="1:5" x14ac:dyDescent="0.3">
      <c r="A24" s="21" t="s">
        <v>44</v>
      </c>
      <c r="B24" s="22" t="s">
        <v>3</v>
      </c>
      <c r="C24" s="11">
        <v>2023</v>
      </c>
      <c r="D24" s="19">
        <v>5.7460000000000004</v>
      </c>
      <c r="E24" s="20">
        <v>633.11300000000006</v>
      </c>
    </row>
    <row r="25" spans="1:5" x14ac:dyDescent="0.3">
      <c r="A25" s="21" t="s">
        <v>45</v>
      </c>
      <c r="B25" s="22" t="s">
        <v>3</v>
      </c>
      <c r="C25" s="11">
        <v>2024</v>
      </c>
      <c r="D25" s="19">
        <v>0</v>
      </c>
      <c r="E25" s="20">
        <v>495.7</v>
      </c>
    </row>
    <row r="26" spans="1:5" x14ac:dyDescent="0.3">
      <c r="A26" s="21" t="s">
        <v>46</v>
      </c>
      <c r="B26" s="22" t="s">
        <v>3</v>
      </c>
      <c r="C26" s="11">
        <v>2025</v>
      </c>
      <c r="D26" s="19">
        <v>0</v>
      </c>
      <c r="E26" s="20">
        <v>408.06400000000002</v>
      </c>
    </row>
    <row r="27" spans="1:5" x14ac:dyDescent="0.3">
      <c r="A27" s="21" t="s">
        <v>47</v>
      </c>
      <c r="B27" s="22" t="s">
        <v>4</v>
      </c>
      <c r="C27" s="11">
        <v>2021</v>
      </c>
      <c r="D27" s="19">
        <v>0</v>
      </c>
      <c r="E27" s="20">
        <v>0</v>
      </c>
    </row>
    <row r="28" spans="1:5" x14ac:dyDescent="0.3">
      <c r="A28" s="21" t="s">
        <v>48</v>
      </c>
      <c r="B28" s="22" t="s">
        <v>4</v>
      </c>
      <c r="C28" s="11">
        <v>2022</v>
      </c>
      <c r="D28" s="19">
        <v>0</v>
      </c>
      <c r="E28" s="20">
        <v>0</v>
      </c>
    </row>
    <row r="29" spans="1:5" x14ac:dyDescent="0.3">
      <c r="A29" s="21" t="s">
        <v>49</v>
      </c>
      <c r="B29" s="22" t="s">
        <v>4</v>
      </c>
      <c r="C29" s="11">
        <v>2023</v>
      </c>
      <c r="D29" s="19">
        <v>0</v>
      </c>
      <c r="E29" s="20">
        <v>0</v>
      </c>
    </row>
    <row r="30" spans="1:5" x14ac:dyDescent="0.3">
      <c r="A30" s="21" t="s">
        <v>50</v>
      </c>
      <c r="B30" s="22" t="s">
        <v>4</v>
      </c>
      <c r="C30" s="11">
        <v>2024</v>
      </c>
      <c r="D30" s="19">
        <v>0</v>
      </c>
      <c r="E30" s="20">
        <v>0</v>
      </c>
    </row>
    <row r="31" spans="1:5" x14ac:dyDescent="0.3">
      <c r="A31" s="21" t="s">
        <v>51</v>
      </c>
      <c r="B31" s="22" t="s">
        <v>4</v>
      </c>
      <c r="C31" s="11">
        <v>2025</v>
      </c>
      <c r="D31" s="19">
        <v>0</v>
      </c>
      <c r="E31" s="20">
        <v>0</v>
      </c>
    </row>
    <row r="32" spans="1:5" x14ac:dyDescent="0.3">
      <c r="A32" s="21" t="s">
        <v>52</v>
      </c>
      <c r="B32" s="22" t="s">
        <v>5</v>
      </c>
      <c r="C32" s="11">
        <v>2021</v>
      </c>
      <c r="D32" s="19">
        <v>2.35</v>
      </c>
      <c r="E32" s="20">
        <v>209.88399999999999</v>
      </c>
    </row>
    <row r="33" spans="1:5" x14ac:dyDescent="0.3">
      <c r="A33" s="21" t="s">
        <v>53</v>
      </c>
      <c r="B33" s="22" t="s">
        <v>5</v>
      </c>
      <c r="C33" s="11">
        <v>2022</v>
      </c>
      <c r="D33" s="19">
        <v>0.65</v>
      </c>
      <c r="E33" s="20">
        <v>205.41800000000001</v>
      </c>
    </row>
    <row r="34" spans="1:5" x14ac:dyDescent="0.3">
      <c r="A34" s="21" t="s">
        <v>54</v>
      </c>
      <c r="B34" s="22" t="s">
        <v>5</v>
      </c>
      <c r="C34" s="11">
        <v>2023</v>
      </c>
      <c r="D34" s="19">
        <v>0.4</v>
      </c>
      <c r="E34" s="20">
        <v>184.16300000000001</v>
      </c>
    </row>
    <row r="35" spans="1:5" x14ac:dyDescent="0.3">
      <c r="A35" s="21" t="s">
        <v>55</v>
      </c>
      <c r="B35" s="22" t="s">
        <v>5</v>
      </c>
      <c r="C35" s="11">
        <v>2024</v>
      </c>
      <c r="D35" s="19">
        <v>0.41</v>
      </c>
      <c r="E35" s="20">
        <v>182.45099999999999</v>
      </c>
    </row>
    <row r="36" spans="1:5" x14ac:dyDescent="0.3">
      <c r="A36" s="21" t="s">
        <v>56</v>
      </c>
      <c r="B36" s="22" t="s">
        <v>5</v>
      </c>
      <c r="C36" s="11">
        <v>2025</v>
      </c>
      <c r="D36" s="19">
        <v>0.42</v>
      </c>
      <c r="E36" s="20">
        <v>169.172</v>
      </c>
    </row>
    <row r="37" spans="1:5" x14ac:dyDescent="0.3">
      <c r="A37" s="21" t="s">
        <v>57</v>
      </c>
      <c r="B37" s="22" t="s">
        <v>6</v>
      </c>
      <c r="C37" s="11">
        <v>2021</v>
      </c>
      <c r="D37" s="19">
        <v>2.1558313140999998</v>
      </c>
      <c r="E37" s="20">
        <v>943.20508384003995</v>
      </c>
    </row>
    <row r="38" spans="1:5" x14ac:dyDescent="0.3">
      <c r="A38" s="21" t="s">
        <v>58</v>
      </c>
      <c r="B38" s="22" t="s">
        <v>6</v>
      </c>
      <c r="C38" s="11">
        <v>2022</v>
      </c>
      <c r="D38" s="19">
        <v>2.2604308983000001</v>
      </c>
      <c r="E38" s="20">
        <v>1059.5585860040801</v>
      </c>
    </row>
    <row r="39" spans="1:5" x14ac:dyDescent="0.3">
      <c r="A39" s="21" t="s">
        <v>59</v>
      </c>
      <c r="B39" s="22" t="s">
        <v>6</v>
      </c>
      <c r="C39" s="11">
        <v>2023</v>
      </c>
      <c r="D39" s="19">
        <v>0.1741149266</v>
      </c>
      <c r="E39" s="20">
        <v>1043.6785429854101</v>
      </c>
    </row>
    <row r="40" spans="1:5" x14ac:dyDescent="0.3">
      <c r="A40" s="21" t="s">
        <v>60</v>
      </c>
      <c r="B40" s="22" t="s">
        <v>6</v>
      </c>
      <c r="C40" s="11">
        <v>2024</v>
      </c>
      <c r="D40" s="19">
        <v>0.1758219405</v>
      </c>
      <c r="E40" s="20">
        <v>989.85067441146896</v>
      </c>
    </row>
    <row r="41" spans="1:5" x14ac:dyDescent="0.3">
      <c r="A41" s="21" t="s">
        <v>61</v>
      </c>
      <c r="B41" s="22" t="s">
        <v>6</v>
      </c>
      <c r="C41" s="11">
        <v>2025</v>
      </c>
      <c r="D41" s="19">
        <v>0.17754568009999999</v>
      </c>
      <c r="E41" s="20">
        <v>960.87480281767398</v>
      </c>
    </row>
    <row r="42" spans="1:5" x14ac:dyDescent="0.3">
      <c r="A42" s="21" t="s">
        <v>62</v>
      </c>
      <c r="B42" s="22" t="s">
        <v>7</v>
      </c>
      <c r="C42" s="11">
        <v>2021</v>
      </c>
      <c r="D42" s="19">
        <v>0.32600000000000001</v>
      </c>
      <c r="E42" s="20">
        <v>358.459</v>
      </c>
    </row>
    <row r="43" spans="1:5" x14ac:dyDescent="0.3">
      <c r="A43" s="21" t="s">
        <v>63</v>
      </c>
      <c r="B43" s="22" t="s">
        <v>7</v>
      </c>
      <c r="C43" s="11">
        <v>2022</v>
      </c>
      <c r="D43" s="19">
        <v>0.32200000000000001</v>
      </c>
      <c r="E43" s="20">
        <v>291.94099999999997</v>
      </c>
    </row>
    <row r="44" spans="1:5" x14ac:dyDescent="0.3">
      <c r="A44" s="21" t="s">
        <v>64</v>
      </c>
      <c r="B44" s="22" t="s">
        <v>7</v>
      </c>
      <c r="C44" s="11">
        <v>2023</v>
      </c>
      <c r="D44" s="19">
        <v>0.31900000000000001</v>
      </c>
      <c r="E44" s="20">
        <v>301.45100000000002</v>
      </c>
    </row>
    <row r="45" spans="1:5" x14ac:dyDescent="0.3">
      <c r="A45" s="21" t="s">
        <v>65</v>
      </c>
      <c r="B45" s="22" t="s">
        <v>7</v>
      </c>
      <c r="C45" s="11">
        <v>2024</v>
      </c>
      <c r="D45" s="19">
        <v>0.315</v>
      </c>
      <c r="E45" s="20">
        <v>290.19</v>
      </c>
    </row>
    <row r="46" spans="1:5" x14ac:dyDescent="0.3">
      <c r="A46" s="21" t="s">
        <v>66</v>
      </c>
      <c r="B46" s="22" t="s">
        <v>7</v>
      </c>
      <c r="C46" s="11">
        <v>2025</v>
      </c>
      <c r="D46" s="19">
        <v>0.311</v>
      </c>
      <c r="E46" s="20">
        <v>287.05399999999997</v>
      </c>
    </row>
    <row r="47" spans="1:5" x14ac:dyDescent="0.3">
      <c r="A47" s="21" t="s">
        <v>67</v>
      </c>
      <c r="B47" s="22" t="s">
        <v>8</v>
      </c>
      <c r="C47" s="11">
        <v>2021</v>
      </c>
      <c r="D47" s="19">
        <v>5.4892224669646099</v>
      </c>
      <c r="E47" s="20">
        <v>334.40990139956699</v>
      </c>
    </row>
    <row r="48" spans="1:5" x14ac:dyDescent="0.3">
      <c r="A48" s="21" t="s">
        <v>68</v>
      </c>
      <c r="B48" s="22" t="s">
        <v>8</v>
      </c>
      <c r="C48" s="11">
        <v>2022</v>
      </c>
      <c r="D48" s="19">
        <v>1.0530416099584701</v>
      </c>
      <c r="E48" s="20">
        <v>310.35824991875199</v>
      </c>
    </row>
    <row r="49" spans="1:5" x14ac:dyDescent="0.3">
      <c r="A49" s="21" t="s">
        <v>69</v>
      </c>
      <c r="B49" s="22" t="s">
        <v>8</v>
      </c>
      <c r="C49" s="11">
        <v>2023</v>
      </c>
      <c r="D49" s="19">
        <v>1.5641854615384601</v>
      </c>
      <c r="E49" s="20">
        <v>316.21891660017798</v>
      </c>
    </row>
    <row r="50" spans="1:5" x14ac:dyDescent="0.3">
      <c r="A50" s="21" t="s">
        <v>70</v>
      </c>
      <c r="B50" s="22" t="s">
        <v>8</v>
      </c>
      <c r="C50" s="11">
        <v>2024</v>
      </c>
      <c r="D50" s="19">
        <v>3.4398650769230801</v>
      </c>
      <c r="E50" s="20">
        <v>314.555053101689</v>
      </c>
    </row>
    <row r="51" spans="1:5" x14ac:dyDescent="0.3">
      <c r="A51" s="21" t="s">
        <v>71</v>
      </c>
      <c r="B51" s="22" t="s">
        <v>8</v>
      </c>
      <c r="C51" s="11">
        <v>2025</v>
      </c>
      <c r="D51" s="19">
        <v>2.5259067692307702</v>
      </c>
      <c r="E51" s="20">
        <v>297.66581065083898</v>
      </c>
    </row>
    <row r="52" spans="1:5" x14ac:dyDescent="0.3">
      <c r="A52" s="21" t="s">
        <v>72</v>
      </c>
      <c r="B52" s="22" t="s">
        <v>9</v>
      </c>
      <c r="C52" s="11">
        <v>2021</v>
      </c>
      <c r="D52" s="19">
        <v>0</v>
      </c>
      <c r="E52" s="20">
        <v>707.06500000000005</v>
      </c>
    </row>
    <row r="53" spans="1:5" x14ac:dyDescent="0.3">
      <c r="A53" s="21" t="s">
        <v>73</v>
      </c>
      <c r="B53" s="22" t="s">
        <v>9</v>
      </c>
      <c r="C53" s="11">
        <v>2022</v>
      </c>
      <c r="D53" s="19">
        <v>0</v>
      </c>
      <c r="E53" s="20">
        <v>713.04899999999998</v>
      </c>
    </row>
    <row r="54" spans="1:5" x14ac:dyDescent="0.3">
      <c r="A54" s="21" t="s">
        <v>74</v>
      </c>
      <c r="B54" s="22" t="s">
        <v>9</v>
      </c>
      <c r="C54" s="11">
        <v>2023</v>
      </c>
      <c r="D54" s="19">
        <v>0</v>
      </c>
      <c r="E54" s="20">
        <v>603.85599999999999</v>
      </c>
    </row>
    <row r="55" spans="1:5" x14ac:dyDescent="0.3">
      <c r="A55" s="3" t="s">
        <v>75</v>
      </c>
      <c r="B55" s="22" t="s">
        <v>9</v>
      </c>
      <c r="C55" s="11">
        <v>2024</v>
      </c>
      <c r="D55" s="19">
        <v>0</v>
      </c>
      <c r="E55" s="20">
        <v>488.68900000000002</v>
      </c>
    </row>
    <row r="56" spans="1:5" x14ac:dyDescent="0.3">
      <c r="A56" s="3" t="s">
        <v>76</v>
      </c>
      <c r="B56" s="22" t="s">
        <v>9</v>
      </c>
      <c r="C56" s="11">
        <v>2025</v>
      </c>
      <c r="D56" s="19">
        <v>0</v>
      </c>
      <c r="E56" s="20">
        <v>381.36700000000002</v>
      </c>
    </row>
    <row r="57" spans="1:5" x14ac:dyDescent="0.3">
      <c r="A57" s="3" t="str">
        <f t="shared" ref="A57" si="0">B57&amp;RIGHT(C57,2)</f>
        <v>SVE21</v>
      </c>
      <c r="B57" s="3" t="s">
        <v>77</v>
      </c>
      <c r="C57" s="11">
        <v>2021</v>
      </c>
      <c r="D57" s="19">
        <v>0</v>
      </c>
      <c r="E57" s="20">
        <v>560.93585269017797</v>
      </c>
    </row>
    <row r="58" spans="1:5" x14ac:dyDescent="0.3">
      <c r="A58" s="3" t="str">
        <f>B58&amp;RIGHT(C58,2)</f>
        <v>SVE22</v>
      </c>
      <c r="B58" s="3" t="s">
        <v>77</v>
      </c>
      <c r="C58" s="11">
        <v>2022</v>
      </c>
      <c r="D58" s="19">
        <v>0</v>
      </c>
      <c r="E58" s="20">
        <v>614.47872550832301</v>
      </c>
    </row>
    <row r="59" spans="1:5" x14ac:dyDescent="0.3">
      <c r="A59" s="3" t="str">
        <f>B59&amp;RIGHT(C59,2)</f>
        <v>SVE23</v>
      </c>
      <c r="B59" s="3" t="s">
        <v>77</v>
      </c>
      <c r="C59" s="11">
        <v>2023</v>
      </c>
      <c r="D59" s="19">
        <v>0</v>
      </c>
      <c r="E59" s="20">
        <v>621.22299129652799</v>
      </c>
    </row>
    <row r="60" spans="1:5" x14ac:dyDescent="0.3">
      <c r="A60" s="3" t="str">
        <f>B60&amp;RIGHT(C60,2)</f>
        <v>SVE24</v>
      </c>
      <c r="B60" s="3" t="s">
        <v>77</v>
      </c>
      <c r="C60" s="11">
        <v>2024</v>
      </c>
      <c r="D60" s="19">
        <v>0</v>
      </c>
      <c r="E60" s="20">
        <v>610.59658027129899</v>
      </c>
    </row>
    <row r="61" spans="1:5" x14ac:dyDescent="0.3">
      <c r="A61" s="3" t="str">
        <f>B61&amp;RIGHT(C61,2)</f>
        <v>SVE25</v>
      </c>
      <c r="B61" s="3" t="s">
        <v>77</v>
      </c>
      <c r="C61" s="11">
        <v>2025</v>
      </c>
      <c r="D61" s="19">
        <v>0</v>
      </c>
      <c r="E61" s="20">
        <v>545.43688543661597</v>
      </c>
    </row>
    <row r="62" spans="1:5" x14ac:dyDescent="0.3">
      <c r="A62" s="3" t="str">
        <f t="shared" ref="A62" si="1">B62&amp;RIGHT(C62,2)</f>
        <v>HDD21</v>
      </c>
      <c r="B62" s="3" t="s">
        <v>78</v>
      </c>
      <c r="C62" s="11">
        <v>2021</v>
      </c>
      <c r="D62" s="19">
        <v>0</v>
      </c>
      <c r="E62" s="20">
        <v>4.3490774731552699</v>
      </c>
    </row>
    <row r="63" spans="1:5" x14ac:dyDescent="0.3">
      <c r="A63" s="3" t="str">
        <f>B63&amp;RIGHT(C63,2)</f>
        <v>HDD22</v>
      </c>
      <c r="B63" s="3" t="s">
        <v>78</v>
      </c>
      <c r="C63" s="11">
        <v>2022</v>
      </c>
      <c r="D63" s="19">
        <v>0</v>
      </c>
      <c r="E63" s="20">
        <v>4.8159413760622201</v>
      </c>
    </row>
    <row r="64" spans="1:5" x14ac:dyDescent="0.3">
      <c r="A64" s="3" t="str">
        <f>B64&amp;RIGHT(C64,2)</f>
        <v>HDD23</v>
      </c>
      <c r="B64" s="3" t="s">
        <v>78</v>
      </c>
      <c r="C64" s="11">
        <v>2023</v>
      </c>
      <c r="D64" s="19">
        <v>0</v>
      </c>
      <c r="E64" s="20">
        <v>5.0266953078384402</v>
      </c>
    </row>
    <row r="65" spans="1:5" x14ac:dyDescent="0.3">
      <c r="A65" s="3" t="str">
        <f>B65&amp;RIGHT(C65,2)</f>
        <v>HDD24</v>
      </c>
      <c r="B65" s="3" t="s">
        <v>78</v>
      </c>
      <c r="C65" s="11">
        <v>2024</v>
      </c>
      <c r="D65" s="19">
        <v>0</v>
      </c>
      <c r="E65" s="20">
        <v>6.13945027329786</v>
      </c>
    </row>
    <row r="66" spans="1:5" x14ac:dyDescent="0.3">
      <c r="A66" s="3" t="str">
        <f>B66&amp;RIGHT(C66,2)</f>
        <v>HDD25</v>
      </c>
      <c r="B66" s="3" t="s">
        <v>78</v>
      </c>
      <c r="C66" s="11">
        <v>2025</v>
      </c>
      <c r="D66" s="19">
        <v>0</v>
      </c>
      <c r="E66" s="20">
        <v>4.5652000305771701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B1:N40"/>
  <sheetViews>
    <sheetView showGridLines="0" zoomScale="90" zoomScaleNormal="90" workbookViewId="0">
      <selection activeCell="D11" sqref="D11"/>
    </sheetView>
  </sheetViews>
  <sheetFormatPr defaultColWidth="8.7265625" defaultRowHeight="13" x14ac:dyDescent="0.3"/>
  <cols>
    <col min="1" max="1" width="2" style="2" customWidth="1"/>
    <col min="2" max="2" width="37.6328125" style="2" customWidth="1"/>
    <col min="3" max="3" width="16.6328125" style="2" customWidth="1"/>
    <col min="4" max="4" width="68.26953125" style="2" customWidth="1"/>
    <col min="5" max="5" width="8.6328125" style="2" customWidth="1"/>
    <col min="6" max="6" width="26.6328125" style="2" customWidth="1"/>
    <col min="7" max="14" width="8.6328125" style="2" customWidth="1"/>
    <col min="15" max="16384" width="8.7265625" style="2"/>
  </cols>
  <sheetData>
    <row r="1" spans="2:9" s="71" customFormat="1" ht="18.5" x14ac:dyDescent="0.3">
      <c r="B1" s="1" t="s">
        <v>142</v>
      </c>
      <c r="C1" s="2"/>
      <c r="D1" s="2"/>
      <c r="E1" s="2"/>
      <c r="F1" s="2"/>
      <c r="G1" s="2"/>
      <c r="H1" s="69"/>
      <c r="I1" s="70"/>
    </row>
    <row r="2" spans="2:9" s="71" customFormat="1" ht="18.5" x14ac:dyDescent="0.3">
      <c r="B2" s="6"/>
      <c r="C2" s="79"/>
      <c r="D2" s="79"/>
      <c r="E2" s="2"/>
      <c r="F2" s="2"/>
      <c r="G2" s="2"/>
      <c r="H2" s="69"/>
      <c r="I2" s="70"/>
    </row>
    <row r="3" spans="2:9" s="71" customFormat="1" ht="18.5" x14ac:dyDescent="0.3">
      <c r="B3" s="72" t="s">
        <v>23</v>
      </c>
      <c r="C3" s="79"/>
      <c r="D3" s="79"/>
      <c r="E3" s="2"/>
      <c r="F3" s="2"/>
      <c r="G3" s="2"/>
      <c r="H3" s="69"/>
      <c r="I3" s="70"/>
    </row>
    <row r="4" spans="2:9" x14ac:dyDescent="0.3">
      <c r="B4" s="74" t="s">
        <v>79</v>
      </c>
      <c r="C4" s="75">
        <f>Analysis!$C$9</f>
        <v>18.954000000000001</v>
      </c>
    </row>
    <row r="5" spans="2:9" x14ac:dyDescent="0.3">
      <c r="B5" s="4" t="s">
        <v>25</v>
      </c>
      <c r="C5" s="75">
        <v>12.888720000000001</v>
      </c>
    </row>
    <row r="7" spans="2:9" x14ac:dyDescent="0.3">
      <c r="B7" s="6" t="s">
        <v>14</v>
      </c>
      <c r="F7" s="6" t="s">
        <v>15</v>
      </c>
    </row>
    <row r="8" spans="2:9" x14ac:dyDescent="0.3">
      <c r="B8" s="74" t="s">
        <v>16</v>
      </c>
      <c r="C8" s="74" t="s">
        <v>17</v>
      </c>
      <c r="D8" s="74"/>
      <c r="F8" s="74"/>
    </row>
    <row r="9" spans="2:9" x14ac:dyDescent="0.3">
      <c r="B9" s="74" t="s">
        <v>18</v>
      </c>
      <c r="C9" s="74" t="s">
        <v>17</v>
      </c>
      <c r="D9" s="74"/>
      <c r="F9" s="74"/>
    </row>
    <row r="10" spans="2:9" x14ac:dyDescent="0.3">
      <c r="B10" s="74" t="s">
        <v>19</v>
      </c>
      <c r="C10" s="74" t="s">
        <v>17</v>
      </c>
      <c r="D10" s="74"/>
      <c r="F10" s="74"/>
    </row>
    <row r="11" spans="2:9" ht="117" x14ac:dyDescent="0.3">
      <c r="B11" s="74" t="s">
        <v>20</v>
      </c>
      <c r="C11" s="74" t="s">
        <v>91</v>
      </c>
      <c r="D11" s="76" t="s">
        <v>161</v>
      </c>
      <c r="F11" s="76" t="s">
        <v>94</v>
      </c>
    </row>
    <row r="12" spans="2:9" ht="169" x14ac:dyDescent="0.3">
      <c r="B12" s="74" t="s">
        <v>21</v>
      </c>
      <c r="C12" s="74" t="s">
        <v>96</v>
      </c>
      <c r="D12" s="76" t="s">
        <v>151</v>
      </c>
      <c r="F12" s="76" t="s">
        <v>92</v>
      </c>
    </row>
    <row r="13" spans="2:9" ht="78" x14ac:dyDescent="0.3">
      <c r="B13" s="74" t="s">
        <v>22</v>
      </c>
      <c r="C13" s="74" t="s">
        <v>24</v>
      </c>
      <c r="D13" s="76" t="s">
        <v>95</v>
      </c>
      <c r="F13" s="76" t="s">
        <v>93</v>
      </c>
    </row>
    <row r="14" spans="2:9" x14ac:dyDescent="0.3">
      <c r="B14" s="77"/>
      <c r="C14" s="77"/>
      <c r="D14" s="77"/>
      <c r="F14" s="77"/>
    </row>
    <row r="15" spans="2:9" x14ac:dyDescent="0.3">
      <c r="B15" s="78"/>
      <c r="C15" s="77"/>
      <c r="D15" s="77"/>
      <c r="F15" s="77"/>
    </row>
    <row r="16" spans="2:9" x14ac:dyDescent="0.3">
      <c r="B16" s="77"/>
      <c r="C16" s="77"/>
      <c r="D16" s="77"/>
      <c r="F16" s="77"/>
    </row>
    <row r="17" spans="2:6" x14ac:dyDescent="0.3">
      <c r="B17" s="77"/>
      <c r="C17" s="77"/>
      <c r="D17" s="77"/>
      <c r="F17" s="77"/>
    </row>
    <row r="18" spans="2:6" ht="14.5" x14ac:dyDescent="0.35">
      <c r="B18" s="77"/>
      <c r="C18" s="77"/>
      <c r="D18" s="77"/>
      <c r="E18" s="82"/>
      <c r="F18" s="77"/>
    </row>
    <row r="19" spans="2:6" x14ac:dyDescent="0.3">
      <c r="B19" s="77"/>
      <c r="C19" s="77"/>
      <c r="D19" s="77"/>
      <c r="F19" s="77"/>
    </row>
    <row r="20" spans="2:6" x14ac:dyDescent="0.3">
      <c r="B20" s="77"/>
      <c r="C20" s="77"/>
      <c r="D20" s="77"/>
      <c r="F20" s="77"/>
    </row>
    <row r="21" spans="2:6" x14ac:dyDescent="0.3">
      <c r="B21" s="77"/>
      <c r="C21" s="77"/>
      <c r="D21" s="77"/>
      <c r="F21" s="77"/>
    </row>
    <row r="32" spans="2:6" x14ac:dyDescent="0.3">
      <c r="B32" s="6"/>
    </row>
    <row r="35" spans="2:14" x14ac:dyDescent="0.3">
      <c r="B35" s="6"/>
    </row>
    <row r="40" spans="2:14" x14ac:dyDescent="0.3">
      <c r="N40" s="69"/>
    </row>
  </sheetData>
  <dataValidations count="2">
    <dataValidation type="list" allowBlank="1" showInputMessage="1" showErrorMessage="1" sqref="C14:C21">
      <formula1>"Pass,Marginal pass, Partial pass, Fail, ,Not assessed, N/A"</formula1>
    </dataValidation>
    <dataValidation type="list" allowBlank="1" showInputMessage="1" showErrorMessage="1" sqref="C8:C13">
      <formula1>"Pass, Partial pass, Fail, ,Not assessed, N/A"</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B1:N40"/>
  <sheetViews>
    <sheetView showGridLines="0" zoomScale="90" zoomScaleNormal="90" workbookViewId="0"/>
  </sheetViews>
  <sheetFormatPr defaultColWidth="8.7265625" defaultRowHeight="13" x14ac:dyDescent="0.3"/>
  <cols>
    <col min="1" max="1" width="2" style="2" customWidth="1"/>
    <col min="2" max="2" width="37.6328125" style="2" customWidth="1"/>
    <col min="3" max="3" width="16.6328125" style="2" customWidth="1"/>
    <col min="4" max="4" width="68.26953125" style="2" customWidth="1"/>
    <col min="5" max="5" width="8.6328125" style="2" customWidth="1"/>
    <col min="6" max="6" width="26.6328125" style="2" customWidth="1"/>
    <col min="7" max="14" width="8.6328125" style="2" customWidth="1"/>
    <col min="15" max="16384" width="8.7265625" style="2"/>
  </cols>
  <sheetData>
    <row r="1" spans="2:9" s="71" customFormat="1" ht="18.5" x14ac:dyDescent="0.3">
      <c r="B1" s="1" t="s">
        <v>142</v>
      </c>
      <c r="C1" s="2"/>
      <c r="D1" s="2"/>
      <c r="E1" s="2"/>
      <c r="F1" s="2"/>
      <c r="G1" s="2"/>
      <c r="H1" s="69"/>
      <c r="I1" s="70"/>
    </row>
    <row r="2" spans="2:9" s="71" customFormat="1" ht="18.5" x14ac:dyDescent="0.3">
      <c r="B2" s="6"/>
      <c r="C2" s="79"/>
      <c r="D2" s="79"/>
      <c r="E2" s="2"/>
      <c r="F2" s="2"/>
      <c r="G2" s="2"/>
      <c r="H2" s="69"/>
      <c r="I2" s="70"/>
    </row>
    <row r="3" spans="2:9" s="71" customFormat="1" ht="18.5" x14ac:dyDescent="0.3">
      <c r="B3" s="72" t="s">
        <v>23</v>
      </c>
      <c r="C3" s="79"/>
      <c r="D3" s="79"/>
      <c r="E3" s="2"/>
      <c r="F3" s="2"/>
      <c r="G3" s="2"/>
      <c r="H3" s="69"/>
      <c r="I3" s="70"/>
    </row>
    <row r="4" spans="2:9" x14ac:dyDescent="0.3">
      <c r="B4" s="74" t="s">
        <v>79</v>
      </c>
      <c r="C4" s="80">
        <f>Analysis!$C$11</f>
        <v>4.9437447595999986</v>
      </c>
    </row>
    <row r="5" spans="2:9" x14ac:dyDescent="0.3">
      <c r="B5" s="81" t="s">
        <v>25</v>
      </c>
      <c r="C5" s="75">
        <v>3.3617464365279992</v>
      </c>
    </row>
    <row r="7" spans="2:9" x14ac:dyDescent="0.3">
      <c r="B7" s="6" t="s">
        <v>14</v>
      </c>
      <c r="F7" s="6" t="s">
        <v>15</v>
      </c>
    </row>
    <row r="8" spans="2:9" x14ac:dyDescent="0.3">
      <c r="B8" s="74" t="s">
        <v>16</v>
      </c>
      <c r="C8" s="74" t="s">
        <v>17</v>
      </c>
      <c r="D8" s="74"/>
      <c r="F8" s="74"/>
    </row>
    <row r="9" spans="2:9" x14ac:dyDescent="0.3">
      <c r="B9" s="74" t="s">
        <v>18</v>
      </c>
      <c r="C9" s="74" t="s">
        <v>17</v>
      </c>
      <c r="D9" s="74"/>
      <c r="F9" s="74"/>
    </row>
    <row r="10" spans="2:9" x14ac:dyDescent="0.3">
      <c r="B10" s="74" t="s">
        <v>19</v>
      </c>
      <c r="C10" s="74" t="s">
        <v>17</v>
      </c>
      <c r="D10" s="74"/>
      <c r="F10" s="74"/>
    </row>
    <row r="11" spans="2:9" ht="78" x14ac:dyDescent="0.3">
      <c r="B11" s="74" t="s">
        <v>20</v>
      </c>
      <c r="C11" s="74" t="s">
        <v>91</v>
      </c>
      <c r="D11" s="76" t="s">
        <v>160</v>
      </c>
      <c r="F11" s="76" t="s">
        <v>102</v>
      </c>
    </row>
    <row r="12" spans="2:9" ht="156" x14ac:dyDescent="0.3">
      <c r="B12" s="74" t="s">
        <v>21</v>
      </c>
      <c r="C12" s="74" t="s">
        <v>96</v>
      </c>
      <c r="D12" s="76" t="s">
        <v>154</v>
      </c>
      <c r="F12" s="76" t="s">
        <v>101</v>
      </c>
    </row>
    <row r="13" spans="2:9" ht="52" x14ac:dyDescent="0.3">
      <c r="B13" s="74" t="s">
        <v>22</v>
      </c>
      <c r="C13" s="74" t="s">
        <v>24</v>
      </c>
      <c r="D13" s="76" t="s">
        <v>103</v>
      </c>
      <c r="F13" s="76" t="s">
        <v>104</v>
      </c>
    </row>
    <row r="14" spans="2:9" x14ac:dyDescent="0.3">
      <c r="B14" s="77"/>
      <c r="C14" s="77"/>
      <c r="D14" s="77"/>
      <c r="F14" s="77"/>
    </row>
    <row r="15" spans="2:9" x14ac:dyDescent="0.3">
      <c r="B15" s="78"/>
      <c r="C15" s="77"/>
      <c r="D15" s="77"/>
      <c r="F15" s="77"/>
    </row>
    <row r="16" spans="2:9" x14ac:dyDescent="0.3">
      <c r="B16" s="77"/>
      <c r="C16" s="77"/>
      <c r="D16" s="77"/>
      <c r="F16" s="77"/>
    </row>
    <row r="17" spans="2:6" x14ac:dyDescent="0.3">
      <c r="B17" s="77"/>
      <c r="C17" s="77"/>
      <c r="D17" s="77"/>
      <c r="F17" s="77"/>
    </row>
    <row r="18" spans="2:6" ht="14.5" x14ac:dyDescent="0.35">
      <c r="B18" s="77"/>
      <c r="C18" s="77"/>
      <c r="D18" s="77"/>
      <c r="E18" s="82"/>
      <c r="F18" s="77"/>
    </row>
    <row r="19" spans="2:6" x14ac:dyDescent="0.3">
      <c r="B19" s="77"/>
      <c r="C19" s="77"/>
      <c r="D19" s="77"/>
      <c r="F19" s="77"/>
    </row>
    <row r="20" spans="2:6" x14ac:dyDescent="0.3">
      <c r="B20" s="77"/>
      <c r="C20" s="77"/>
      <c r="D20" s="77"/>
      <c r="F20" s="77"/>
    </row>
    <row r="21" spans="2:6" x14ac:dyDescent="0.3">
      <c r="B21" s="77"/>
      <c r="C21" s="77"/>
      <c r="D21" s="77"/>
      <c r="F21" s="77"/>
    </row>
    <row r="32" spans="2:6" x14ac:dyDescent="0.3">
      <c r="B32" s="6"/>
      <c r="C32" s="6"/>
    </row>
    <row r="33" spans="2:14" x14ac:dyDescent="0.3">
      <c r="B33" s="6"/>
      <c r="C33" s="6"/>
    </row>
    <row r="34" spans="2:14" x14ac:dyDescent="0.3">
      <c r="B34" s="6"/>
      <c r="C34" s="6"/>
    </row>
    <row r="35" spans="2:14" x14ac:dyDescent="0.3">
      <c r="B35" s="6"/>
      <c r="C35" s="6"/>
    </row>
    <row r="36" spans="2:14" x14ac:dyDescent="0.3">
      <c r="B36" s="6"/>
      <c r="C36" s="6"/>
    </row>
    <row r="37" spans="2:14" x14ac:dyDescent="0.3">
      <c r="B37" s="6"/>
      <c r="C37" s="6"/>
    </row>
    <row r="40" spans="2:14" x14ac:dyDescent="0.3">
      <c r="N40" s="69"/>
    </row>
  </sheetData>
  <dataValidations count="2">
    <dataValidation type="list" allowBlank="1" showInputMessage="1" showErrorMessage="1" sqref="C8:C13">
      <formula1>"Pass, Partial pass, Fail, ,Not assessed, N/A"</formula1>
    </dataValidation>
    <dataValidation type="list" allowBlank="1" showInputMessage="1" showErrorMessage="1" sqref="C14:C21">
      <formula1>"Pass,Marginal pass, Partial pass, Fail, ,Not assessed, N/A"</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B1:N39"/>
  <sheetViews>
    <sheetView showGridLines="0" zoomScale="90" zoomScaleNormal="90" workbookViewId="0">
      <selection activeCell="D11" sqref="D11"/>
    </sheetView>
  </sheetViews>
  <sheetFormatPr defaultColWidth="8.7265625" defaultRowHeight="13" x14ac:dyDescent="0.3"/>
  <cols>
    <col min="1" max="1" width="2" style="2" customWidth="1"/>
    <col min="2" max="2" width="37.6328125" style="2" customWidth="1"/>
    <col min="3" max="3" width="16.6328125" style="2" customWidth="1"/>
    <col min="4" max="4" width="68.26953125" style="2" customWidth="1"/>
    <col min="5" max="5" width="8.6328125" style="2" customWidth="1"/>
    <col min="6" max="6" width="26.6328125" style="2" customWidth="1"/>
    <col min="7" max="14" width="8.6328125" style="2" customWidth="1"/>
    <col min="15" max="16384" width="8.7265625" style="2"/>
  </cols>
  <sheetData>
    <row r="1" spans="2:9" s="71" customFormat="1" x14ac:dyDescent="0.3">
      <c r="B1" s="56" t="s">
        <v>142</v>
      </c>
      <c r="C1" s="2"/>
      <c r="D1" s="2"/>
      <c r="E1" s="2"/>
      <c r="F1" s="2"/>
      <c r="G1" s="2"/>
      <c r="H1" s="69"/>
      <c r="I1" s="70"/>
    </row>
    <row r="2" spans="2:9" s="71" customFormat="1" x14ac:dyDescent="0.3">
      <c r="B2" s="2"/>
      <c r="C2" s="2"/>
      <c r="D2" s="2"/>
      <c r="E2" s="2"/>
      <c r="F2" s="2"/>
      <c r="G2" s="2"/>
      <c r="H2" s="69"/>
      <c r="I2" s="70"/>
    </row>
    <row r="3" spans="2:9" s="71" customFormat="1" x14ac:dyDescent="0.3">
      <c r="B3" s="72" t="s">
        <v>23</v>
      </c>
      <c r="C3" s="73"/>
      <c r="D3" s="73"/>
      <c r="E3" s="2"/>
      <c r="F3" s="2"/>
      <c r="G3" s="2"/>
      <c r="H3" s="69"/>
      <c r="I3" s="70"/>
    </row>
    <row r="4" spans="2:9" x14ac:dyDescent="0.3">
      <c r="B4" s="74" t="s">
        <v>79</v>
      </c>
      <c r="C4" s="75">
        <f>Analysis!$C$13</f>
        <v>14.072221384615391</v>
      </c>
    </row>
    <row r="5" spans="2:9" x14ac:dyDescent="0.3">
      <c r="B5" s="4" t="s">
        <v>25</v>
      </c>
      <c r="C5" s="75">
        <v>10.872901025563493</v>
      </c>
    </row>
    <row r="7" spans="2:9" x14ac:dyDescent="0.3">
      <c r="B7" s="6" t="s">
        <v>14</v>
      </c>
      <c r="F7" s="6" t="s">
        <v>15</v>
      </c>
    </row>
    <row r="8" spans="2:9" x14ac:dyDescent="0.3">
      <c r="B8" s="74" t="s">
        <v>16</v>
      </c>
      <c r="C8" s="74" t="s">
        <v>17</v>
      </c>
      <c r="D8" s="74"/>
      <c r="F8" s="74"/>
    </row>
    <row r="9" spans="2:9" x14ac:dyDescent="0.3">
      <c r="B9" s="74" t="s">
        <v>18</v>
      </c>
      <c r="C9" s="74" t="s">
        <v>17</v>
      </c>
      <c r="D9" s="74"/>
      <c r="F9" s="74"/>
    </row>
    <row r="10" spans="2:9" x14ac:dyDescent="0.3">
      <c r="B10" s="74" t="s">
        <v>19</v>
      </c>
      <c r="C10" s="74" t="s">
        <v>17</v>
      </c>
      <c r="D10" s="74"/>
      <c r="F10" s="74"/>
    </row>
    <row r="11" spans="2:9" ht="91" x14ac:dyDescent="0.3">
      <c r="B11" s="74" t="s">
        <v>20</v>
      </c>
      <c r="C11" s="74" t="s">
        <v>91</v>
      </c>
      <c r="D11" s="76" t="s">
        <v>152</v>
      </c>
      <c r="F11" s="87" t="s">
        <v>97</v>
      </c>
    </row>
    <row r="12" spans="2:9" ht="130" x14ac:dyDescent="0.3">
      <c r="B12" s="74" t="s">
        <v>21</v>
      </c>
      <c r="C12" s="74" t="s">
        <v>91</v>
      </c>
      <c r="D12" s="76" t="s">
        <v>153</v>
      </c>
      <c r="F12" s="76" t="s">
        <v>99</v>
      </c>
    </row>
    <row r="13" spans="2:9" ht="26" x14ac:dyDescent="0.3">
      <c r="B13" s="74" t="s">
        <v>22</v>
      </c>
      <c r="C13" s="74" t="s">
        <v>24</v>
      </c>
      <c r="D13" s="76" t="s">
        <v>98</v>
      </c>
      <c r="F13" s="76" t="s">
        <v>100</v>
      </c>
    </row>
    <row r="14" spans="2:9" x14ac:dyDescent="0.3">
      <c r="B14" s="77"/>
      <c r="C14" s="77"/>
      <c r="D14" s="77"/>
      <c r="F14" s="77"/>
    </row>
    <row r="15" spans="2:9" x14ac:dyDescent="0.3">
      <c r="B15" s="78"/>
      <c r="C15" s="77"/>
      <c r="D15" s="77"/>
      <c r="F15" s="77"/>
    </row>
    <row r="16" spans="2:9" x14ac:dyDescent="0.3">
      <c r="B16" s="77"/>
      <c r="C16" s="77"/>
      <c r="D16" s="77"/>
      <c r="F16" s="77"/>
    </row>
    <row r="17" spans="2:6" x14ac:dyDescent="0.3">
      <c r="B17" s="77"/>
      <c r="C17" s="77"/>
      <c r="D17" s="77"/>
      <c r="F17" s="77"/>
    </row>
    <row r="18" spans="2:6" x14ac:dyDescent="0.3">
      <c r="B18" s="77"/>
      <c r="C18" s="77"/>
      <c r="D18" s="77"/>
      <c r="F18" s="77"/>
    </row>
    <row r="19" spans="2:6" x14ac:dyDescent="0.3">
      <c r="B19" s="77"/>
      <c r="C19" s="77"/>
      <c r="D19" s="77"/>
      <c r="F19" s="77"/>
    </row>
    <row r="20" spans="2:6" x14ac:dyDescent="0.3">
      <c r="B20" s="77"/>
      <c r="C20" s="77"/>
      <c r="D20" s="77"/>
      <c r="F20" s="77"/>
    </row>
    <row r="21" spans="2:6" x14ac:dyDescent="0.3">
      <c r="B21" s="77"/>
      <c r="C21" s="77"/>
      <c r="D21" s="77"/>
      <c r="F21" s="77"/>
    </row>
    <row r="34" spans="2:14" x14ac:dyDescent="0.3">
      <c r="B34" s="6"/>
    </row>
    <row r="39" spans="2:14" x14ac:dyDescent="0.3">
      <c r="N39" s="69"/>
    </row>
  </sheetData>
  <dataValidations count="2">
    <dataValidation type="list" allowBlank="1" showInputMessage="1" showErrorMessage="1" sqref="C8:C13">
      <formula1>"Pass, Partial pass, Fail, ,Not assessed, N/A"</formula1>
    </dataValidation>
    <dataValidation type="list" allowBlank="1" showInputMessage="1" showErrorMessage="1" sqref="C14:C21">
      <formula1>"Pass,Marginal pass, Partial pass, Fail, ,Not assessed, 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showGridLines="0" zoomScale="90" zoomScaleNormal="90" workbookViewId="0">
      <pane xSplit="3" ySplit="5" topLeftCell="D6" activePane="bottomRight" state="frozen"/>
      <selection activeCell="C29" sqref="C29"/>
      <selection pane="topRight" activeCell="C29" sqref="C29"/>
      <selection pane="bottomLeft" activeCell="C29" sqref="C29"/>
      <selection pane="bottomRight" activeCell="J11" sqref="J11"/>
    </sheetView>
  </sheetViews>
  <sheetFormatPr defaultColWidth="9.26953125" defaultRowHeight="13" x14ac:dyDescent="0.3"/>
  <cols>
    <col min="1" max="1" width="2.7265625" style="9" customWidth="1"/>
    <col min="2" max="2" width="20.26953125" style="9" customWidth="1"/>
    <col min="3" max="3" width="11.6328125" style="9" bestFit="1" customWidth="1"/>
    <col min="4" max="4" width="10.26953125" style="9" bestFit="1" customWidth="1"/>
    <col min="5" max="5" width="11.7265625" style="9" customWidth="1"/>
    <col min="6" max="6" width="10.26953125" style="9" customWidth="1"/>
    <col min="7" max="7" width="11.26953125" style="9" customWidth="1"/>
    <col min="8" max="8" width="9.26953125" style="9"/>
    <col min="9" max="9" width="12.7265625" style="9" customWidth="1"/>
    <col min="10" max="10" width="32.26953125" style="9" customWidth="1"/>
    <col min="11" max="11" width="27.26953125" style="9" customWidth="1"/>
    <col min="12" max="12" width="12.7265625" style="9" customWidth="1"/>
    <col min="13" max="13" width="9.26953125" style="9"/>
    <col min="14" max="15" width="10.7265625" style="9" bestFit="1" customWidth="1"/>
    <col min="16" max="16384" width="9.26953125" style="9"/>
  </cols>
  <sheetData>
    <row r="1" spans="1:16" ht="18.5" x14ac:dyDescent="0.45">
      <c r="A1" s="15" t="s">
        <v>130</v>
      </c>
      <c r="B1" s="15"/>
      <c r="C1" s="15"/>
      <c r="D1" s="15"/>
      <c r="E1" s="15"/>
      <c r="F1" s="15"/>
      <c r="G1" s="15"/>
      <c r="H1" s="15"/>
      <c r="I1" s="15"/>
      <c r="J1" s="15"/>
      <c r="K1" s="15"/>
      <c r="L1" s="15"/>
      <c r="M1" s="15"/>
      <c r="N1" s="15"/>
      <c r="O1" s="15"/>
    </row>
    <row r="2" spans="1:16" x14ac:dyDescent="0.3">
      <c r="F2" s="88" t="s">
        <v>146</v>
      </c>
      <c r="G2" s="88"/>
      <c r="H2" s="88"/>
      <c r="I2" s="88"/>
    </row>
    <row r="3" spans="1:16" x14ac:dyDescent="0.3">
      <c r="F3" s="88"/>
      <c r="G3" s="88"/>
      <c r="H3" s="88"/>
      <c r="I3" s="88"/>
    </row>
    <row r="4" spans="1:16" x14ac:dyDescent="0.3">
      <c r="B4" s="23"/>
      <c r="D4" s="16" t="s">
        <v>113</v>
      </c>
      <c r="E4" s="24"/>
      <c r="F4" s="57" t="s">
        <v>131</v>
      </c>
      <c r="G4" s="58"/>
      <c r="H4" s="57"/>
      <c r="I4" s="58"/>
      <c r="J4" s="16" t="s">
        <v>132</v>
      </c>
      <c r="K4" s="24"/>
      <c r="L4" s="16" t="s">
        <v>114</v>
      </c>
      <c r="M4" s="24"/>
      <c r="N4" s="16" t="s">
        <v>133</v>
      </c>
      <c r="O4" s="24"/>
      <c r="P4" s="25"/>
    </row>
    <row r="5" spans="1:16" ht="78" x14ac:dyDescent="0.3">
      <c r="B5" s="14" t="s">
        <v>115</v>
      </c>
      <c r="C5" s="14" t="s">
        <v>116</v>
      </c>
      <c r="D5" s="14" t="s">
        <v>117</v>
      </c>
      <c r="E5" s="14" t="s">
        <v>118</v>
      </c>
      <c r="F5" s="59" t="s">
        <v>144</v>
      </c>
      <c r="G5" s="59" t="s">
        <v>145</v>
      </c>
      <c r="H5" s="59" t="s">
        <v>85</v>
      </c>
      <c r="I5" s="59" t="s">
        <v>134</v>
      </c>
      <c r="J5" s="14" t="s">
        <v>88</v>
      </c>
      <c r="K5" s="14" t="s">
        <v>89</v>
      </c>
      <c r="L5" s="14" t="s">
        <v>135</v>
      </c>
      <c r="M5" s="14" t="s">
        <v>119</v>
      </c>
      <c r="N5" s="14" t="s">
        <v>136</v>
      </c>
      <c r="O5" s="14" t="s">
        <v>137</v>
      </c>
      <c r="P5" s="14" t="s">
        <v>138</v>
      </c>
    </row>
    <row r="6" spans="1:16" x14ac:dyDescent="0.3">
      <c r="B6" s="13" t="s">
        <v>0</v>
      </c>
      <c r="C6" s="26">
        <f>SUMIF(Data!$B$7:$B$66,Analysis!$B6,Data!$D$7:$D$66)</f>
        <v>0</v>
      </c>
      <c r="D6" s="10">
        <f>SUMIFS(Data!$E$7:$E$67,Data!$B$7:$B$67,$B6,Data!$C$7:$C$67,"&gt;=2021")</f>
        <v>3328.7444331702227</v>
      </c>
      <c r="E6" s="27">
        <f>C6/D6</f>
        <v>0</v>
      </c>
      <c r="F6" s="60">
        <v>2</v>
      </c>
      <c r="G6" s="60">
        <v>2</v>
      </c>
      <c r="H6" s="60"/>
      <c r="I6" s="60"/>
      <c r="J6" s="29"/>
      <c r="K6" s="29"/>
      <c r="L6" s="30"/>
      <c r="M6" s="27"/>
      <c r="N6" s="26">
        <f>IF(C6=0,0,IF(L6="Shallow dive",C6*(1-M6),0))</f>
        <v>0</v>
      </c>
      <c r="O6" s="26"/>
      <c r="P6" s="31">
        <f>N6+O6</f>
        <v>0</v>
      </c>
    </row>
    <row r="7" spans="1:16" x14ac:dyDescent="0.3">
      <c r="B7" s="13" t="s">
        <v>1</v>
      </c>
      <c r="C7" s="26">
        <f>SUMIF(Data!$B$7:$B$66,Analysis!$B7,Data!$D$7:$D$66)</f>
        <v>0</v>
      </c>
      <c r="D7" s="10">
        <f>SUMIFS(Data!$E$7:$E$67,Data!$B$7:$B$67,$B7,Data!$C$7:$C$67,"&gt;=2021")</f>
        <v>1243.377</v>
      </c>
      <c r="E7" s="27">
        <f t="shared" ref="E7:E16" si="0">C7/D7</f>
        <v>0</v>
      </c>
      <c r="F7" s="60">
        <v>6</v>
      </c>
      <c r="G7" s="60">
        <v>6</v>
      </c>
      <c r="H7" s="60"/>
      <c r="I7" s="60"/>
      <c r="J7" s="29"/>
      <c r="K7" s="29"/>
      <c r="L7" s="30"/>
      <c r="M7" s="27"/>
      <c r="N7" s="26">
        <f>IF(C7=0,0,IF(L7="Shallow dive",C7*(1-M7),0))</f>
        <v>0</v>
      </c>
      <c r="O7" s="26"/>
      <c r="P7" s="31">
        <f t="shared" ref="P7:P16" si="1">N7+O7</f>
        <v>0</v>
      </c>
    </row>
    <row r="8" spans="1:16" x14ac:dyDescent="0.3">
      <c r="B8" s="13" t="s">
        <v>2</v>
      </c>
      <c r="C8" s="26">
        <f>SUMIF(Data!$B$7:$B$66,Analysis!$B8,Data!$D$7:$D$66)</f>
        <v>0.7618580323894687</v>
      </c>
      <c r="D8" s="10">
        <f>SUMIFS(Data!$E$7:$E$67,Data!$B$7:$B$67,$B8,Data!$C$7:$C$67,"&gt;=2021")</f>
        <v>3013.0588535929037</v>
      </c>
      <c r="E8" s="27">
        <f t="shared" si="0"/>
        <v>2.5285202493837642E-4</v>
      </c>
      <c r="F8" s="60">
        <v>5</v>
      </c>
      <c r="G8" s="60">
        <v>5</v>
      </c>
      <c r="H8" s="61">
        <f>C8/F8</f>
        <v>0.15237160647789375</v>
      </c>
      <c r="I8" s="61" t="s">
        <v>139</v>
      </c>
      <c r="J8" s="29"/>
      <c r="K8" s="29"/>
      <c r="L8" s="30" t="s">
        <v>26</v>
      </c>
      <c r="M8" s="27">
        <v>0</v>
      </c>
      <c r="N8" s="26">
        <f>IF(C8=0,0,IF(L8="Shallow dive",C8*(1-M8),0))</f>
        <v>0.7618580323894687</v>
      </c>
      <c r="O8" s="26"/>
      <c r="P8" s="31">
        <f t="shared" si="1"/>
        <v>0.7618580323894687</v>
      </c>
    </row>
    <row r="9" spans="1:16" ht="65" x14ac:dyDescent="0.3">
      <c r="B9" s="13" t="s">
        <v>3</v>
      </c>
      <c r="C9" s="26">
        <f>SUMIF(Data!$B$7:$B$66,Analysis!$B9,Data!$D$7:$D$66)</f>
        <v>18.954000000000001</v>
      </c>
      <c r="D9" s="10">
        <f>SUMIFS(Data!$E$7:$E$67,Data!$B$7:$B$67,$B9,Data!$C$7:$C$67,"&gt;=2021")</f>
        <v>2609.462</v>
      </c>
      <c r="E9" s="32">
        <f t="shared" si="0"/>
        <v>7.263566206367443E-3</v>
      </c>
      <c r="F9" s="60">
        <v>14</v>
      </c>
      <c r="G9" s="60">
        <v>1</v>
      </c>
      <c r="H9" s="61">
        <f>C9/F9</f>
        <v>1.3538571428571429</v>
      </c>
      <c r="I9" s="62" t="s">
        <v>140</v>
      </c>
      <c r="J9" s="29" t="s">
        <v>159</v>
      </c>
      <c r="K9" s="29" t="s">
        <v>90</v>
      </c>
      <c r="L9" s="30" t="s">
        <v>143</v>
      </c>
      <c r="M9" s="27"/>
      <c r="N9" s="26">
        <f t="shared" ref="N9:N17" si="2">IF(C9=0,0,IF(L9="Shallow dive",C9*(1-M9),0))</f>
        <v>0</v>
      </c>
      <c r="O9" s="26">
        <f>'Deep dive_SRN'!$C$5</f>
        <v>12.888720000000001</v>
      </c>
      <c r="P9" s="31">
        <f t="shared" si="1"/>
        <v>12.888720000000001</v>
      </c>
    </row>
    <row r="10" spans="1:16" x14ac:dyDescent="0.3">
      <c r="B10" s="33" t="s">
        <v>5</v>
      </c>
      <c r="C10" s="26">
        <f>SUMIF(Data!$B$7:$B$66,Analysis!$B10,Data!$D$7:$D$66)</f>
        <v>4.2300000000000004</v>
      </c>
      <c r="D10" s="10">
        <f>SUMIFS(Data!$E$7:$E$67,Data!$B$7:$B$67,$B10,Data!$C$7:$C$67,"&gt;=2021")</f>
        <v>951.08800000000008</v>
      </c>
      <c r="E10" s="27">
        <f t="shared" si="0"/>
        <v>4.4475379775583334E-3</v>
      </c>
      <c r="F10" s="60">
        <v>12</v>
      </c>
      <c r="G10" s="60">
        <v>12</v>
      </c>
      <c r="H10" s="61">
        <f>C10/F10</f>
        <v>0.35250000000000004</v>
      </c>
      <c r="I10" s="61" t="s">
        <v>139</v>
      </c>
      <c r="J10" s="29"/>
      <c r="K10" s="29"/>
      <c r="L10" s="30" t="s">
        <v>26</v>
      </c>
      <c r="M10" s="27">
        <v>0</v>
      </c>
      <c r="N10" s="26">
        <f t="shared" si="2"/>
        <v>4.2300000000000004</v>
      </c>
      <c r="O10" s="26"/>
      <c r="P10" s="31">
        <f t="shared" si="1"/>
        <v>4.2300000000000004</v>
      </c>
    </row>
    <row r="11" spans="1:16" ht="78" x14ac:dyDescent="0.3">
      <c r="B11" s="34" t="s">
        <v>6</v>
      </c>
      <c r="C11" s="26">
        <f>SUMIF(Data!$B$7:$B$66,Analysis!$B11,Data!$D$7:$D$66)</f>
        <v>4.9437447595999986</v>
      </c>
      <c r="D11" s="10">
        <f>SUMIFS(Data!$E$7:$E$67,Data!$B$7:$B$67,$B11,Data!$C$7:$C$67,"&gt;=2021")</f>
        <v>4997.1676900586726</v>
      </c>
      <c r="E11" s="27">
        <f t="shared" si="0"/>
        <v>9.8930935806597949E-4</v>
      </c>
      <c r="F11" s="60">
        <v>5</v>
      </c>
      <c r="G11" s="60">
        <v>2</v>
      </c>
      <c r="H11" s="61">
        <f>C11/F11</f>
        <v>0.98874895191999967</v>
      </c>
      <c r="I11" s="62" t="s">
        <v>140</v>
      </c>
      <c r="J11" s="29" t="s">
        <v>141</v>
      </c>
      <c r="K11" s="29" t="s">
        <v>148</v>
      </c>
      <c r="L11" s="30" t="s">
        <v>143</v>
      </c>
      <c r="M11" s="27"/>
      <c r="N11" s="26">
        <f t="shared" si="2"/>
        <v>0</v>
      </c>
      <c r="O11" s="26">
        <f>'Deep dive_TMS'!$C$5</f>
        <v>3.3617464365279992</v>
      </c>
      <c r="P11" s="31">
        <f t="shared" si="1"/>
        <v>3.3617464365279992</v>
      </c>
    </row>
    <row r="12" spans="1:16" x14ac:dyDescent="0.3">
      <c r="B12" s="34" t="s">
        <v>7</v>
      </c>
      <c r="C12" s="26">
        <f>SUMIF(Data!$B$7:$B$66,Analysis!$B12,Data!$D$7:$D$66)</f>
        <v>1.593</v>
      </c>
      <c r="D12" s="10">
        <f>SUMIFS(Data!$E$7:$E$67,Data!$B$7:$B$67,$B12,Data!$C$7:$C$67,"&gt;=2021")</f>
        <v>1529.0949999999998</v>
      </c>
      <c r="E12" s="27">
        <f t="shared" si="0"/>
        <v>1.0417926943715075E-3</v>
      </c>
      <c r="F12" s="60">
        <v>37</v>
      </c>
      <c r="G12" s="60">
        <v>37</v>
      </c>
      <c r="H12" s="61">
        <f t="shared" ref="H12" si="3">C12/F12</f>
        <v>4.3054054054054054E-2</v>
      </c>
      <c r="I12" s="61" t="s">
        <v>139</v>
      </c>
      <c r="J12" s="29"/>
      <c r="K12" s="29"/>
      <c r="L12" s="30" t="s">
        <v>26</v>
      </c>
      <c r="M12" s="27">
        <v>5.3222695394977662E-2</v>
      </c>
      <c r="N12" s="26">
        <f t="shared" si="2"/>
        <v>1.5082162462358004</v>
      </c>
      <c r="O12" s="26"/>
      <c r="P12" s="31">
        <f t="shared" si="1"/>
        <v>1.5082162462358004</v>
      </c>
    </row>
    <row r="13" spans="1:16" ht="117" x14ac:dyDescent="0.3">
      <c r="B13" s="34" t="s">
        <v>8</v>
      </c>
      <c r="C13" s="26">
        <f>SUMIF(Data!$B$7:$B$66,Analysis!$B13,Data!$D$7:$D$66)</f>
        <v>14.072221384615391</v>
      </c>
      <c r="D13" s="10">
        <f>SUMIFS(Data!$E$7:$E$67,Data!$B$7:$B$67,$B13,Data!$C$7:$C$67,"&gt;=2021")</f>
        <v>1573.2079316710249</v>
      </c>
      <c r="E13" s="32">
        <f t="shared" si="0"/>
        <v>8.9449214571834783E-3</v>
      </c>
      <c r="F13" s="60">
        <v>10</v>
      </c>
      <c r="G13" s="60">
        <v>10</v>
      </c>
      <c r="H13" s="61">
        <f>C13/F13</f>
        <v>1.4072221384615391</v>
      </c>
      <c r="I13" s="62" t="s">
        <v>140</v>
      </c>
      <c r="J13" s="35" t="s">
        <v>87</v>
      </c>
      <c r="K13" s="29" t="s">
        <v>149</v>
      </c>
      <c r="L13" s="30" t="s">
        <v>143</v>
      </c>
      <c r="M13" s="27"/>
      <c r="N13" s="26">
        <f t="shared" si="2"/>
        <v>0</v>
      </c>
      <c r="O13" s="26">
        <f>'Deep dive_WSX'!$C$5</f>
        <v>10.872901025563493</v>
      </c>
      <c r="P13" s="31">
        <f t="shared" si="1"/>
        <v>10.872901025563493</v>
      </c>
    </row>
    <row r="14" spans="1:16" x14ac:dyDescent="0.3">
      <c r="B14" s="34" t="s">
        <v>9</v>
      </c>
      <c r="C14" s="26">
        <f>SUMIF(Data!$B$7:$B$66,Analysis!$B14,Data!$D$7:$D$66)</f>
        <v>0</v>
      </c>
      <c r="D14" s="10">
        <f>SUMIFS(Data!$E$7:$E$67,Data!$B$7:$B$67,$B14,Data!$C$7:$C$67,"&gt;=2021")</f>
        <v>2894.0260000000003</v>
      </c>
      <c r="E14" s="27">
        <f t="shared" si="0"/>
        <v>0</v>
      </c>
      <c r="F14" s="60">
        <v>6</v>
      </c>
      <c r="G14" s="60">
        <v>6</v>
      </c>
      <c r="H14" s="61"/>
      <c r="I14" s="60"/>
      <c r="J14" s="28"/>
      <c r="K14" s="28"/>
      <c r="L14" s="30"/>
      <c r="M14" s="28"/>
      <c r="N14" s="26">
        <f t="shared" si="2"/>
        <v>0</v>
      </c>
      <c r="O14" s="26"/>
      <c r="P14" s="31">
        <f t="shared" si="1"/>
        <v>0</v>
      </c>
    </row>
    <row r="15" spans="1:16" x14ac:dyDescent="0.3">
      <c r="B15" s="34" t="s">
        <v>77</v>
      </c>
      <c r="C15" s="26">
        <f>SUMIF(Data!$B$7:$B$66,Analysis!$B15,Data!$D$7:$D$66)</f>
        <v>0</v>
      </c>
      <c r="D15" s="10">
        <f>SUMIFS(Data!$E$7:$E$67,Data!$B$7:$B$67,$B15,Data!$C$7:$C$67,"&gt;=2021")</f>
        <v>2952.671035202944</v>
      </c>
      <c r="E15" s="27">
        <f t="shared" si="0"/>
        <v>0</v>
      </c>
      <c r="F15" s="60">
        <v>13</v>
      </c>
      <c r="G15" s="60">
        <v>13</v>
      </c>
      <c r="H15" s="61"/>
      <c r="I15" s="60"/>
      <c r="J15" s="28"/>
      <c r="K15" s="28"/>
      <c r="L15" s="30"/>
      <c r="M15" s="28"/>
      <c r="N15" s="26">
        <f t="shared" si="2"/>
        <v>0</v>
      </c>
      <c r="O15" s="26"/>
      <c r="P15" s="31">
        <f t="shared" si="1"/>
        <v>0</v>
      </c>
    </row>
    <row r="16" spans="1:16" x14ac:dyDescent="0.3">
      <c r="B16" s="34" t="s">
        <v>78</v>
      </c>
      <c r="C16" s="26">
        <f>SUMIF(Data!$B$7:$B$66,Analysis!$B16,Data!$D$7:$D$66)</f>
        <v>0</v>
      </c>
      <c r="D16" s="10">
        <f>SUMIFS(Data!$E$7:$E$67,Data!$B$7:$B$67,$B16,Data!$C$7:$C$67,"&gt;=2021")</f>
        <v>24.896364460930961</v>
      </c>
      <c r="E16" s="27">
        <f t="shared" si="0"/>
        <v>0</v>
      </c>
      <c r="F16" s="60">
        <v>0</v>
      </c>
      <c r="G16" s="60">
        <v>0</v>
      </c>
      <c r="H16" s="61"/>
      <c r="I16" s="60"/>
      <c r="J16" s="28"/>
      <c r="K16" s="28"/>
      <c r="L16" s="30"/>
      <c r="M16" s="28"/>
      <c r="N16" s="26">
        <f t="shared" si="2"/>
        <v>0</v>
      </c>
      <c r="O16" s="26"/>
      <c r="P16" s="31">
        <f t="shared" si="1"/>
        <v>0</v>
      </c>
    </row>
    <row r="17" spans="2:16" x14ac:dyDescent="0.3">
      <c r="B17" s="12" t="s">
        <v>10</v>
      </c>
      <c r="C17" s="36">
        <f>SUM(C$6:C$16)</f>
        <v>44.55482417660486</v>
      </c>
      <c r="D17" s="36"/>
      <c r="E17" s="32"/>
      <c r="F17" s="63">
        <f>SUM(F$6:F$16)</f>
        <v>110</v>
      </c>
      <c r="G17" s="63">
        <f>SUM(G$6:G$16)</f>
        <v>94</v>
      </c>
      <c r="H17" s="62">
        <f>C17/G17</f>
        <v>0.47398749124047723</v>
      </c>
      <c r="I17" s="64"/>
      <c r="J17" s="28"/>
      <c r="K17" s="28"/>
      <c r="L17" s="28"/>
      <c r="M17" s="28"/>
      <c r="N17" s="26">
        <f t="shared" si="2"/>
        <v>0</v>
      </c>
      <c r="O17" s="26"/>
      <c r="P17" s="37">
        <f>SUM(P6:P16)</f>
        <v>33.623441740716764</v>
      </c>
    </row>
  </sheetData>
  <mergeCells count="1">
    <mergeCell ref="F2:I3"/>
  </mergeCells>
  <conditionalFormatting sqref="B6:B9">
    <cfRule type="cellIs" dxfId="5" priority="7" operator="equal">
      <formula>0</formula>
    </cfRule>
  </conditionalFormatting>
  <conditionalFormatting sqref="B11:B14">
    <cfRule type="cellIs" dxfId="4" priority="6" operator="equal">
      <formula>0</formula>
    </cfRule>
  </conditionalFormatting>
  <conditionalFormatting sqref="B10">
    <cfRule type="cellIs" dxfId="3" priority="5" operator="equal">
      <formula>0</formula>
    </cfRule>
  </conditionalFormatting>
  <conditionalFormatting sqref="B15">
    <cfRule type="cellIs" dxfId="2" priority="4" operator="equal">
      <formula>0</formula>
    </cfRule>
  </conditionalFormatting>
  <conditionalFormatting sqref="B16">
    <cfRule type="cellIs" dxfId="1" priority="3" operator="equal">
      <formula>0</formula>
    </cfRule>
  </conditionalFormatting>
  <conditionalFormatting sqref="B17">
    <cfRule type="cellIs" dxfId="0" priority="2"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24"/>
  <sheetViews>
    <sheetView showGridLines="0" zoomScale="90" zoomScaleNormal="90" workbookViewId="0">
      <selection activeCell="K12" sqref="K12"/>
    </sheetView>
  </sheetViews>
  <sheetFormatPr defaultColWidth="9.26953125" defaultRowHeight="13" x14ac:dyDescent="0.3"/>
  <cols>
    <col min="1" max="1" width="2.6328125" style="2" customWidth="1"/>
    <col min="2" max="2" width="2.7265625" style="2" customWidth="1"/>
    <col min="3" max="3" width="14.26953125" style="2" customWidth="1"/>
    <col min="4" max="4" width="19.26953125" style="2" customWidth="1"/>
    <col min="5" max="5" width="14.6328125" style="2" customWidth="1"/>
    <col min="6" max="6" width="14.26953125" style="2" customWidth="1"/>
    <col min="7" max="7" width="12.6328125" style="2" customWidth="1"/>
    <col min="8" max="8" width="15.7265625" style="2" customWidth="1"/>
    <col min="9" max="9" width="12.26953125" style="2" customWidth="1"/>
    <col min="10" max="10" width="11.6328125" style="2" bestFit="1" customWidth="1"/>
    <col min="11" max="11" width="11.6328125" style="2" customWidth="1"/>
    <col min="12" max="12" width="11.26953125" style="2" bestFit="1" customWidth="1"/>
    <col min="13" max="13" width="12" style="2" customWidth="1"/>
    <col min="14" max="16384" width="9.26953125" style="2"/>
  </cols>
  <sheetData>
    <row r="1" spans="2:13" ht="18.5" x14ac:dyDescent="0.45">
      <c r="B1" s="65" t="s">
        <v>120</v>
      </c>
      <c r="C1" s="48"/>
      <c r="D1" s="48"/>
      <c r="E1" s="48"/>
      <c r="F1" s="48"/>
      <c r="G1" s="48"/>
      <c r="H1" s="48"/>
      <c r="I1" s="48"/>
      <c r="J1" s="48"/>
      <c r="K1" s="48"/>
      <c r="L1" s="48"/>
    </row>
    <row r="3" spans="2:13" x14ac:dyDescent="0.3">
      <c r="C3" s="38" t="s">
        <v>12</v>
      </c>
      <c r="D3" s="39" t="s">
        <v>158</v>
      </c>
      <c r="E3" s="40"/>
      <c r="F3" s="40"/>
      <c r="G3" s="40"/>
      <c r="H3" s="40"/>
      <c r="I3" s="40"/>
    </row>
    <row r="4" spans="2:13" x14ac:dyDescent="0.3">
      <c r="C4" s="38" t="s">
        <v>109</v>
      </c>
      <c r="D4" s="39" t="s">
        <v>147</v>
      </c>
      <c r="E4" s="40"/>
      <c r="F4" s="40"/>
      <c r="G4" s="40"/>
      <c r="H4" s="40"/>
      <c r="I4" s="40"/>
    </row>
    <row r="5" spans="2:13" x14ac:dyDescent="0.3">
      <c r="C5" s="38" t="s">
        <v>110</v>
      </c>
      <c r="D5" s="41" t="s">
        <v>81</v>
      </c>
      <c r="E5" s="42"/>
      <c r="F5" s="42"/>
      <c r="G5" s="42"/>
      <c r="H5" s="42"/>
      <c r="I5" s="42"/>
      <c r="J5" s="43"/>
      <c r="K5" s="43"/>
    </row>
    <row r="6" spans="2:13" x14ac:dyDescent="0.3">
      <c r="C6" s="38" t="s">
        <v>111</v>
      </c>
      <c r="D6" s="44" t="s">
        <v>86</v>
      </c>
      <c r="E6" s="45"/>
      <c r="F6" s="45"/>
      <c r="G6" s="45"/>
      <c r="H6" s="45"/>
      <c r="I6" s="45"/>
    </row>
    <row r="7" spans="2:13" x14ac:dyDescent="0.3">
      <c r="C7" s="46" t="s">
        <v>13</v>
      </c>
      <c r="D7" s="47" t="s">
        <v>84</v>
      </c>
      <c r="E7" s="40"/>
      <c r="F7" s="40"/>
      <c r="G7" s="40"/>
      <c r="H7" s="40"/>
      <c r="I7" s="40"/>
    </row>
    <row r="10" spans="2:13" ht="12.75" customHeight="1" x14ac:dyDescent="0.3">
      <c r="B10" s="6" t="s">
        <v>106</v>
      </c>
    </row>
    <row r="11" spans="2:13" ht="12.75" customHeight="1" x14ac:dyDescent="0.3">
      <c r="B11" s="43"/>
      <c r="C11" s="43"/>
      <c r="D11" s="43"/>
      <c r="E11" s="43"/>
      <c r="F11" s="43"/>
      <c r="G11" s="43"/>
      <c r="H11" s="43"/>
      <c r="I11" s="43"/>
      <c r="K11" s="43"/>
    </row>
    <row r="12" spans="2:13" ht="52" x14ac:dyDescent="0.3">
      <c r="C12" s="5" t="s">
        <v>11</v>
      </c>
      <c r="D12" s="5" t="s">
        <v>107</v>
      </c>
      <c r="E12" s="5" t="s">
        <v>122</v>
      </c>
      <c r="F12" s="5" t="s">
        <v>123</v>
      </c>
      <c r="G12" s="5" t="s">
        <v>124</v>
      </c>
      <c r="H12" s="5" t="s">
        <v>156</v>
      </c>
      <c r="I12" s="7" t="s">
        <v>157</v>
      </c>
      <c r="J12" s="8" t="s">
        <v>121</v>
      </c>
      <c r="K12" s="5" t="s">
        <v>125</v>
      </c>
      <c r="L12" s="5" t="s">
        <v>126</v>
      </c>
      <c r="M12" s="5" t="s">
        <v>108</v>
      </c>
    </row>
    <row r="13" spans="2:13" x14ac:dyDescent="0.3">
      <c r="B13" s="49">
        <v>1</v>
      </c>
      <c r="C13" s="4" t="s">
        <v>0</v>
      </c>
      <c r="D13" s="50">
        <f>INDEX(Analysis!$C$6:$C$16,MATCH($C13,Analysis!$B$6:$B$16,0))</f>
        <v>0</v>
      </c>
      <c r="E13" s="50">
        <v>0</v>
      </c>
      <c r="F13" s="50">
        <f>SUM(E13,G13)</f>
        <v>0</v>
      </c>
      <c r="G13" s="50">
        <v>0</v>
      </c>
      <c r="H13" s="50">
        <f>D13+G13</f>
        <v>0</v>
      </c>
      <c r="I13" s="50">
        <f>INDEX(Analysis!$P$6:$P$16,MATCH($C13,Analysis!$B$6:$B$16,0))</f>
        <v>0</v>
      </c>
      <c r="J13" s="51">
        <f>MIN(H13,I13)</f>
        <v>0</v>
      </c>
      <c r="K13" s="50">
        <v>0</v>
      </c>
      <c r="L13" s="50">
        <f>$J13*$K13</f>
        <v>0</v>
      </c>
      <c r="M13" s="50">
        <f>$J13*(1-$K13)</f>
        <v>0</v>
      </c>
    </row>
    <row r="14" spans="2:13" x14ac:dyDescent="0.3">
      <c r="B14" s="49">
        <v>2</v>
      </c>
      <c r="C14" s="4" t="s">
        <v>78</v>
      </c>
      <c r="D14" s="50">
        <f>INDEX(Analysis!$C$6:$C$16,MATCH($C14,Analysis!$B$6:$B$16,0))</f>
        <v>0</v>
      </c>
      <c r="E14" s="50">
        <v>0</v>
      </c>
      <c r="F14" s="50">
        <f t="shared" ref="F14:F23" si="0">SUM(E14,G14)</f>
        <v>0</v>
      </c>
      <c r="G14" s="50">
        <v>0</v>
      </c>
      <c r="H14" s="50">
        <f t="shared" ref="H14:H23" si="1">D14+G14</f>
        <v>0</v>
      </c>
      <c r="I14" s="50">
        <f>INDEX(Analysis!$P$6:$P$16,MATCH($C14,Analysis!$B$6:$B$16,0))</f>
        <v>0</v>
      </c>
      <c r="J14" s="51">
        <f t="shared" ref="J14:J23" si="2">MIN(H14,I14)</f>
        <v>0</v>
      </c>
      <c r="K14" s="50">
        <v>0</v>
      </c>
      <c r="L14" s="50">
        <f t="shared" ref="L14:L23" si="3">$J14*$K14</f>
        <v>0</v>
      </c>
      <c r="M14" s="50">
        <f t="shared" ref="M14:M23" si="4">$J14*(1-$K14)</f>
        <v>0</v>
      </c>
    </row>
    <row r="15" spans="2:13" x14ac:dyDescent="0.3">
      <c r="B15" s="49">
        <v>3</v>
      </c>
      <c r="C15" s="4" t="s">
        <v>1</v>
      </c>
      <c r="D15" s="50">
        <f>INDEX(Analysis!$C$6:$C$16,MATCH($C15,Analysis!$B$6:$B$16,0))</f>
        <v>0</v>
      </c>
      <c r="E15" s="50">
        <v>0</v>
      </c>
      <c r="F15" s="50">
        <f t="shared" si="0"/>
        <v>0</v>
      </c>
      <c r="G15" s="50">
        <v>0</v>
      </c>
      <c r="H15" s="50">
        <f t="shared" si="1"/>
        <v>0</v>
      </c>
      <c r="I15" s="50">
        <f>INDEX(Analysis!$P$6:$P$16,MATCH($C15,Analysis!$B$6:$B$16,0))</f>
        <v>0</v>
      </c>
      <c r="J15" s="51">
        <f t="shared" si="2"/>
        <v>0</v>
      </c>
      <c r="K15" s="50">
        <v>0</v>
      </c>
      <c r="L15" s="50">
        <f t="shared" si="3"/>
        <v>0</v>
      </c>
      <c r="M15" s="50">
        <f t="shared" si="4"/>
        <v>0</v>
      </c>
    </row>
    <row r="16" spans="2:13" x14ac:dyDescent="0.3">
      <c r="B16" s="49">
        <v>4</v>
      </c>
      <c r="C16" s="4" t="s">
        <v>2</v>
      </c>
      <c r="D16" s="50">
        <f>INDEX(Analysis!$C$6:$C$16,MATCH($C16,Analysis!$B$6:$B$16,0))</f>
        <v>0.7618580323894687</v>
      </c>
      <c r="E16" s="50">
        <v>0</v>
      </c>
      <c r="F16" s="50">
        <f t="shared" si="0"/>
        <v>0</v>
      </c>
      <c r="G16" s="50">
        <v>0</v>
      </c>
      <c r="H16" s="50">
        <f t="shared" si="1"/>
        <v>0.7618580323894687</v>
      </c>
      <c r="I16" s="50">
        <f>INDEX(Analysis!$P$6:$P$16,MATCH($C16,Analysis!$B$6:$B$16,0))</f>
        <v>0.7618580323894687</v>
      </c>
      <c r="J16" s="51">
        <f t="shared" si="2"/>
        <v>0.7618580323894687</v>
      </c>
      <c r="K16" s="50">
        <v>0</v>
      </c>
      <c r="L16" s="50">
        <f t="shared" si="3"/>
        <v>0</v>
      </c>
      <c r="M16" s="50">
        <f t="shared" si="4"/>
        <v>0.7618580323894687</v>
      </c>
    </row>
    <row r="17" spans="2:13" x14ac:dyDescent="0.3">
      <c r="B17" s="49">
        <v>5</v>
      </c>
      <c r="C17" s="4" t="s">
        <v>3</v>
      </c>
      <c r="D17" s="50">
        <f>INDEX(Analysis!$C$6:$C$16,MATCH($C17,Analysis!$B$6:$B$16,0))</f>
        <v>18.954000000000001</v>
      </c>
      <c r="E17" s="50">
        <v>0</v>
      </c>
      <c r="F17" s="50">
        <f t="shared" si="0"/>
        <v>0</v>
      </c>
      <c r="G17" s="50">
        <v>0</v>
      </c>
      <c r="H17" s="50">
        <f t="shared" si="1"/>
        <v>18.954000000000001</v>
      </c>
      <c r="I17" s="50">
        <f>INDEX(Analysis!$P$6:$P$16,MATCH($C17,Analysis!$B$6:$B$16,0))</f>
        <v>12.888720000000001</v>
      </c>
      <c r="J17" s="51">
        <f t="shared" si="2"/>
        <v>12.888720000000001</v>
      </c>
      <c r="K17" s="50">
        <v>0</v>
      </c>
      <c r="L17" s="50">
        <f t="shared" si="3"/>
        <v>0</v>
      </c>
      <c r="M17" s="50">
        <f t="shared" si="4"/>
        <v>12.888720000000001</v>
      </c>
    </row>
    <row r="18" spans="2:13" x14ac:dyDescent="0.3">
      <c r="B18" s="49">
        <v>6</v>
      </c>
      <c r="C18" s="4" t="s">
        <v>77</v>
      </c>
      <c r="D18" s="50">
        <f>INDEX(Analysis!$C$6:$C$16,MATCH($C18,Analysis!$B$6:$B$16,0))</f>
        <v>0</v>
      </c>
      <c r="E18" s="50">
        <v>0</v>
      </c>
      <c r="F18" s="50">
        <f t="shared" si="0"/>
        <v>0</v>
      </c>
      <c r="G18" s="50">
        <v>0</v>
      </c>
      <c r="H18" s="50">
        <f t="shared" si="1"/>
        <v>0</v>
      </c>
      <c r="I18" s="50">
        <f>INDEX(Analysis!$P$6:$P$16,MATCH($C18,Analysis!$B$6:$B$16,0))</f>
        <v>0</v>
      </c>
      <c r="J18" s="51">
        <f t="shared" si="2"/>
        <v>0</v>
      </c>
      <c r="K18" s="50">
        <v>0</v>
      </c>
      <c r="L18" s="50">
        <f t="shared" si="3"/>
        <v>0</v>
      </c>
      <c r="M18" s="50">
        <f t="shared" si="4"/>
        <v>0</v>
      </c>
    </row>
    <row r="19" spans="2:13" x14ac:dyDescent="0.3">
      <c r="B19" s="49">
        <v>7</v>
      </c>
      <c r="C19" s="4" t="s">
        <v>5</v>
      </c>
      <c r="D19" s="50">
        <f>INDEX(Analysis!$C$6:$C$16,MATCH($C19,Analysis!$B$6:$B$16,0))</f>
        <v>4.2300000000000004</v>
      </c>
      <c r="E19" s="50">
        <v>0</v>
      </c>
      <c r="F19" s="50">
        <f t="shared" si="0"/>
        <v>0</v>
      </c>
      <c r="G19" s="50">
        <v>0</v>
      </c>
      <c r="H19" s="50">
        <f t="shared" si="1"/>
        <v>4.2300000000000004</v>
      </c>
      <c r="I19" s="50">
        <f>INDEX(Analysis!$P$6:$P$16,MATCH($C19,Analysis!$B$6:$B$16,0))</f>
        <v>4.2300000000000004</v>
      </c>
      <c r="J19" s="51">
        <f t="shared" si="2"/>
        <v>4.2300000000000004</v>
      </c>
      <c r="K19" s="50">
        <v>0</v>
      </c>
      <c r="L19" s="50">
        <f t="shared" si="3"/>
        <v>0</v>
      </c>
      <c r="M19" s="50">
        <f t="shared" si="4"/>
        <v>4.2300000000000004</v>
      </c>
    </row>
    <row r="20" spans="2:13" x14ac:dyDescent="0.3">
      <c r="B20" s="49">
        <v>8</v>
      </c>
      <c r="C20" s="4" t="s">
        <v>6</v>
      </c>
      <c r="D20" s="50">
        <f>INDEX(Analysis!$C$6:$C$16,MATCH($C20,Analysis!$B$6:$B$16,0))</f>
        <v>4.9437447595999986</v>
      </c>
      <c r="E20" s="50">
        <v>0</v>
      </c>
      <c r="F20" s="50">
        <f t="shared" si="0"/>
        <v>0</v>
      </c>
      <c r="G20" s="50">
        <v>0</v>
      </c>
      <c r="H20" s="50">
        <f t="shared" si="1"/>
        <v>4.9437447595999986</v>
      </c>
      <c r="I20" s="50">
        <f>INDEX(Analysis!$P$6:$P$16,MATCH($C20,Analysis!$B$6:$B$16,0))</f>
        <v>3.3617464365279992</v>
      </c>
      <c r="J20" s="51">
        <f t="shared" si="2"/>
        <v>3.3617464365279992</v>
      </c>
      <c r="K20" s="50">
        <v>0</v>
      </c>
      <c r="L20" s="50">
        <f t="shared" si="3"/>
        <v>0</v>
      </c>
      <c r="M20" s="50">
        <f t="shared" si="4"/>
        <v>3.3617464365279992</v>
      </c>
    </row>
    <row r="21" spans="2:13" x14ac:dyDescent="0.3">
      <c r="B21" s="49">
        <v>9</v>
      </c>
      <c r="C21" s="4" t="s">
        <v>7</v>
      </c>
      <c r="D21" s="50">
        <f>INDEX(Analysis!$C$6:$C$16,MATCH($C21,Analysis!$B$6:$B$16,0))</f>
        <v>1.593</v>
      </c>
      <c r="E21" s="50">
        <v>0</v>
      </c>
      <c r="F21" s="50">
        <f t="shared" si="0"/>
        <v>0</v>
      </c>
      <c r="G21" s="50">
        <v>0</v>
      </c>
      <c r="H21" s="50">
        <f t="shared" si="1"/>
        <v>1.593</v>
      </c>
      <c r="I21" s="50">
        <f>INDEX(Analysis!$P$6:$P$16,MATCH($C21,Analysis!$B$6:$B$16,0))</f>
        <v>1.5082162462358004</v>
      </c>
      <c r="J21" s="51">
        <f t="shared" si="2"/>
        <v>1.5082162462358004</v>
      </c>
      <c r="K21" s="50">
        <v>0</v>
      </c>
      <c r="L21" s="50">
        <f t="shared" si="3"/>
        <v>0</v>
      </c>
      <c r="M21" s="50">
        <f t="shared" si="4"/>
        <v>1.5082162462358004</v>
      </c>
    </row>
    <row r="22" spans="2:13" x14ac:dyDescent="0.3">
      <c r="B22" s="49">
        <v>10</v>
      </c>
      <c r="C22" s="4" t="s">
        <v>8</v>
      </c>
      <c r="D22" s="50">
        <f>INDEX(Analysis!$C$6:$C$16,MATCH($C22,Analysis!$B$6:$B$16,0))</f>
        <v>14.072221384615391</v>
      </c>
      <c r="E22" s="50">
        <v>0</v>
      </c>
      <c r="F22" s="50">
        <f>SUM(E22,G22)</f>
        <v>0</v>
      </c>
      <c r="G22" s="50">
        <v>0</v>
      </c>
      <c r="H22" s="50">
        <f>D22+G22</f>
        <v>14.072221384615391</v>
      </c>
      <c r="I22" s="50">
        <f>INDEX(Analysis!$P$6:$P$16,MATCH($C22,Analysis!$B$6:$B$16,0))</f>
        <v>10.872901025563493</v>
      </c>
      <c r="J22" s="51">
        <f>MIN(H22,I22)</f>
        <v>10.872901025563493</v>
      </c>
      <c r="K22" s="50">
        <v>0</v>
      </c>
      <c r="L22" s="50">
        <f t="shared" si="3"/>
        <v>0</v>
      </c>
      <c r="M22" s="50">
        <f t="shared" si="4"/>
        <v>10.872901025563493</v>
      </c>
    </row>
    <row r="23" spans="2:13" x14ac:dyDescent="0.3">
      <c r="B23" s="49">
        <v>11</v>
      </c>
      <c r="C23" s="4" t="s">
        <v>9</v>
      </c>
      <c r="D23" s="50">
        <f>INDEX(Analysis!$C$6:$C$16,MATCH($C23,Analysis!$B$6:$B$16,0))</f>
        <v>0</v>
      </c>
      <c r="E23" s="50">
        <v>0</v>
      </c>
      <c r="F23" s="50">
        <f t="shared" si="0"/>
        <v>0</v>
      </c>
      <c r="G23" s="50">
        <v>0</v>
      </c>
      <c r="H23" s="50">
        <f t="shared" si="1"/>
        <v>0</v>
      </c>
      <c r="I23" s="50">
        <f>INDEX(Analysis!$P$6:$P$16,MATCH($C23,Analysis!$B$6:$B$16,0))</f>
        <v>0</v>
      </c>
      <c r="J23" s="51">
        <f t="shared" si="2"/>
        <v>0</v>
      </c>
      <c r="K23" s="50">
        <v>0</v>
      </c>
      <c r="L23" s="50">
        <f t="shared" si="3"/>
        <v>0</v>
      </c>
      <c r="M23" s="50">
        <f t="shared" si="4"/>
        <v>0</v>
      </c>
    </row>
    <row r="24" spans="2:13" x14ac:dyDescent="0.3">
      <c r="C24" s="52" t="s">
        <v>112</v>
      </c>
      <c r="D24" s="53">
        <f>SUM(D13:D23)</f>
        <v>44.55482417660486</v>
      </c>
      <c r="E24" s="53">
        <f>SUM(E13:E23)</f>
        <v>0</v>
      </c>
      <c r="F24" s="54">
        <f t="shared" ref="F24:H24" si="5">SUM(F13:F23)</f>
        <v>0</v>
      </c>
      <c r="G24" s="54">
        <f t="shared" si="5"/>
        <v>0</v>
      </c>
      <c r="H24" s="54">
        <f t="shared" si="5"/>
        <v>44.55482417660486</v>
      </c>
      <c r="I24" s="53">
        <f>SUM(I13:I23)</f>
        <v>33.623441740716764</v>
      </c>
      <c r="J24" s="55">
        <f>SUM(J13:J23)</f>
        <v>33.623441740716764</v>
      </c>
      <c r="K24" s="50"/>
      <c r="L24" s="54">
        <f t="shared" ref="L24:M24" si="6">SUM(L13:L23)</f>
        <v>0</v>
      </c>
      <c r="M24" s="54">
        <f t="shared" si="6"/>
        <v>33.623441740716764</v>
      </c>
    </row>
  </sheetData>
  <dataValidations count="1">
    <dataValidation type="list" allowBlank="1" showInputMessage="1" showErrorMessage="1" sqref="D7:I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Cover</vt:lpstr>
      <vt:lpstr>Data</vt:lpstr>
      <vt:lpstr>Deep dive_SRN</vt:lpstr>
      <vt:lpstr>Deep dive_TMS</vt:lpstr>
      <vt:lpstr>Deep dive_WSX</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2019-01-25T15:40:35Z</dcterms:created>
  <dcterms:modified xsi:type="dcterms:W3CDTF">2019-01-25T15:40:52Z</dcterms:modified>
  <cp:category/>
  <cp:contentStatus/>
</cp:coreProperties>
</file>