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28800" windowHeight="10920" tabRatio="839"/>
  </bookViews>
  <sheets>
    <sheet name="Cover" sheetId="22" r:id="rId1"/>
    <sheet name="Data" sheetId="41" r:id="rId2"/>
    <sheet name="Analysis" sheetId="81" r:id="rId3"/>
    <sheet name="Allowance" sheetId="79" r:id="rId4"/>
  </sheets>
  <calcPr calcId="152511"/>
</workbook>
</file>

<file path=xl/calcChain.xml><?xml version="1.0" encoding="utf-8"?>
<calcChain xmlns="http://schemas.openxmlformats.org/spreadsheetml/2006/main">
  <c r="M9" i="81" l="1"/>
  <c r="K24" i="79" l="1"/>
  <c r="F16" i="79" l="1"/>
  <c r="F18" i="79" l="1"/>
  <c r="F13" i="79"/>
  <c r="F15" i="79"/>
  <c r="F23" i="79"/>
  <c r="F20" i="79"/>
  <c r="F21" i="79"/>
  <c r="F14" i="79" l="1"/>
  <c r="F19" i="79"/>
  <c r="F22" i="79"/>
  <c r="F17" i="79"/>
  <c r="B4" i="81" l="1"/>
  <c r="D11" i="81" l="1"/>
  <c r="I18" i="79" s="1"/>
  <c r="F16" i="81"/>
  <c r="C16" i="81"/>
  <c r="G15" i="81"/>
  <c r="D7" i="81"/>
  <c r="I14" i="79" s="1"/>
  <c r="G16" i="81"/>
  <c r="E16" i="81"/>
  <c r="E11" i="81"/>
  <c r="C11" i="81"/>
  <c r="D16" i="81"/>
  <c r="I23" i="79" s="1"/>
  <c r="F15" i="81"/>
  <c r="C15" i="81"/>
  <c r="G14" i="81"/>
  <c r="D14" i="81"/>
  <c r="C14" i="81"/>
  <c r="E13" i="81"/>
  <c r="F12" i="81"/>
  <c r="C12" i="81"/>
  <c r="F10" i="81"/>
  <c r="E9" i="81"/>
  <c r="F8" i="81"/>
  <c r="G6" i="81"/>
  <c r="D6" i="81"/>
  <c r="E15" i="81"/>
  <c r="F14" i="81"/>
  <c r="G13" i="81"/>
  <c r="C13" i="81"/>
  <c r="E12" i="81"/>
  <c r="E10" i="81"/>
  <c r="F9" i="81"/>
  <c r="D9" i="81"/>
  <c r="G8" i="81"/>
  <c r="D8" i="81"/>
  <c r="I15" i="79" s="1"/>
  <c r="E6" i="81"/>
  <c r="D15" i="81"/>
  <c r="I22" i="79" s="1"/>
  <c r="E14" i="81"/>
  <c r="F13" i="81"/>
  <c r="D13" i="81"/>
  <c r="I20" i="79" s="1"/>
  <c r="G12" i="81"/>
  <c r="D12" i="81"/>
  <c r="I19" i="79" s="1"/>
  <c r="G10" i="81"/>
  <c r="D10" i="81"/>
  <c r="I17" i="79" s="1"/>
  <c r="G9" i="81"/>
  <c r="E8" i="81"/>
  <c r="F6" i="81"/>
  <c r="C6" i="81"/>
  <c r="K15" i="81" l="1"/>
  <c r="H6" i="81"/>
  <c r="D17" i="79"/>
  <c r="H13" i="81"/>
  <c r="H14" i="81"/>
  <c r="H16" i="81"/>
  <c r="I21" i="79"/>
  <c r="D18" i="79"/>
  <c r="K7" i="81"/>
  <c r="K12" i="81"/>
  <c r="K14" i="81"/>
  <c r="F11" i="81"/>
  <c r="F7" i="81"/>
  <c r="C7" i="81"/>
  <c r="G11" i="81"/>
  <c r="G7" i="81"/>
  <c r="E7" i="81"/>
  <c r="E17" i="81" s="1"/>
  <c r="H12" i="81"/>
  <c r="K9" i="81"/>
  <c r="K8" i="81"/>
  <c r="K10" i="81"/>
  <c r="K16" i="81"/>
  <c r="L16" i="81" s="1"/>
  <c r="C9" i="81"/>
  <c r="H9" i="81" s="1"/>
  <c r="L9" i="81" s="1"/>
  <c r="D17" i="81"/>
  <c r="H15" i="81"/>
  <c r="K13" i="81"/>
  <c r="K6" i="81"/>
  <c r="K11" i="81"/>
  <c r="C10" i="81"/>
  <c r="H10" i="81" s="1"/>
  <c r="C8" i="81"/>
  <c r="H8" i="81" s="1"/>
  <c r="I16" i="79"/>
  <c r="D16" i="79"/>
  <c r="D14" i="79"/>
  <c r="D13" i="79"/>
  <c r="D20" i="79"/>
  <c r="D19" i="79"/>
  <c r="D21" i="79"/>
  <c r="D23" i="79"/>
  <c r="D15" i="79"/>
  <c r="D22" i="79"/>
  <c r="I13" i="79" l="1"/>
  <c r="I17" i="81"/>
  <c r="L15" i="81"/>
  <c r="L14" i="81"/>
  <c r="L13" i="81"/>
  <c r="G17" i="81"/>
  <c r="H11" i="81"/>
  <c r="L11" i="81" s="1"/>
  <c r="F17" i="81"/>
  <c r="L8" i="81"/>
  <c r="L10" i="81"/>
  <c r="L12" i="81"/>
  <c r="C17" i="81"/>
  <c r="K17" i="81"/>
  <c r="H7" i="81"/>
  <c r="L7" i="81" s="1"/>
  <c r="L6" i="81"/>
  <c r="H17" i="81" l="1"/>
  <c r="L17" i="81" l="1"/>
  <c r="H13" i="79"/>
  <c r="H19" i="79"/>
  <c r="H17" i="79"/>
  <c r="H15" i="79"/>
  <c r="H23" i="79"/>
  <c r="H16" i="79"/>
  <c r="H22" i="79"/>
  <c r="H21" i="79"/>
  <c r="H20" i="79"/>
  <c r="H14" i="79" l="1"/>
  <c r="H18" i="79"/>
  <c r="J18" i="79" l="1"/>
  <c r="J14" i="79"/>
  <c r="L14" i="79" l="1"/>
  <c r="M14" i="79"/>
  <c r="M18" i="79"/>
  <c r="L18" i="79"/>
  <c r="D24" i="79" l="1"/>
  <c r="E24" i="79" l="1"/>
  <c r="F24" i="79"/>
  <c r="H24" i="79" l="1"/>
  <c r="J15" i="79" l="1"/>
  <c r="J17" i="79"/>
  <c r="J23" i="79"/>
  <c r="M15" i="79" l="1"/>
  <c r="L15" i="79"/>
  <c r="M23" i="79"/>
  <c r="L23" i="79"/>
  <c r="L17" i="79"/>
  <c r="M17" i="79"/>
  <c r="J20" i="79"/>
  <c r="J16" i="79"/>
  <c r="J19" i="79"/>
  <c r="J21" i="79"/>
  <c r="M21" i="79" l="1"/>
  <c r="L21" i="79"/>
  <c r="M19" i="79"/>
  <c r="L19" i="79"/>
  <c r="M16" i="79"/>
  <c r="L16" i="79"/>
  <c r="L20" i="79"/>
  <c r="M20" i="79"/>
  <c r="J22" i="79"/>
  <c r="L22" i="79" l="1"/>
  <c r="M22" i="79"/>
  <c r="J13" i="79" l="1"/>
  <c r="I24" i="79"/>
  <c r="J24" i="79" l="1"/>
  <c r="M13" i="79"/>
  <c r="M24" i="79" s="1"/>
  <c r="L13" i="79"/>
  <c r="L24" i="79" s="1"/>
</calcChain>
</file>

<file path=xl/sharedStrings.xml><?xml version="1.0" encoding="utf-8"?>
<sst xmlns="http://schemas.openxmlformats.org/spreadsheetml/2006/main" count="244" uniqueCount="114">
  <si>
    <t>ANH</t>
  </si>
  <si>
    <t>NES</t>
  </si>
  <si>
    <t>NWT</t>
  </si>
  <si>
    <t>SRN</t>
  </si>
  <si>
    <t>SVT</t>
  </si>
  <si>
    <t>SWB</t>
  </si>
  <si>
    <t>TMS</t>
  </si>
  <si>
    <t>WSH</t>
  </si>
  <si>
    <t>WSX</t>
  </si>
  <si>
    <t>YKY</t>
  </si>
  <si>
    <t>Company</t>
  </si>
  <si>
    <t>Assessor's name</t>
  </si>
  <si>
    <t>Control</t>
  </si>
  <si>
    <t>Capex to carry through shallow/deep dive AMP7 (£m)</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</si>
  <si>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</si>
  <si>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</si>
  <si>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</si>
  <si>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</si>
  <si>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</si>
  <si>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</si>
  <si>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</si>
  <si>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</si>
  <si>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</si>
  <si>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</si>
  <si>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</si>
  <si>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</si>
  <si>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</si>
  <si>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</si>
  <si>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</si>
  <si>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</si>
  <si>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</si>
  <si>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</si>
  <si>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</si>
  <si>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</si>
  <si>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</si>
  <si>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</si>
  <si>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</si>
  <si>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</si>
  <si>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</si>
  <si>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</si>
  <si>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</si>
  <si>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</si>
  <si>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</si>
  <si>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</si>
  <si>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</si>
  <si>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</si>
  <si>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</si>
  <si>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</si>
  <si>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</si>
  <si>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</si>
  <si>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</si>
  <si>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</si>
  <si>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</si>
  <si>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</si>
  <si>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</si>
  <si>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</si>
  <si>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</si>
  <si>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</si>
  <si>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</si>
  <si>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</si>
  <si>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</si>
  <si>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</si>
  <si>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</si>
  <si>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</si>
  <si>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t>
  </si>
  <si>
    <t>HDD</t>
  </si>
  <si>
    <t>Cover sheet</t>
  </si>
  <si>
    <t>S3040TCAS</t>
  </si>
  <si>
    <t>WWS2001CAS</t>
  </si>
  <si>
    <t>£m, Enhancement capex wastewater, WINEP / NEP ~ Eels Regulations (measures at outfalls)</t>
  </si>
  <si>
    <t>£m, Totex wholesale wastewater (including cash items and atypical expenditure)</t>
  </si>
  <si>
    <t>Wholesale wastewater</t>
  </si>
  <si>
    <t>Materiality</t>
  </si>
  <si>
    <t xml:space="preserve">Allowed costs </t>
  </si>
  <si>
    <t>Peer review (initials, date)</t>
  </si>
  <si>
    <t>BoN code</t>
  </si>
  <si>
    <t>Enhancement line</t>
  </si>
  <si>
    <t>Cost allowance for AMP7 (£m)</t>
  </si>
  <si>
    <t>Capex allowed - network plus</t>
  </si>
  <si>
    <t>Total</t>
  </si>
  <si>
    <t>Capex in business plan - wholesale water</t>
  </si>
  <si>
    <t>Capex reallocated out to other lines</t>
  </si>
  <si>
    <t>Capex reallocated in to this line</t>
  </si>
  <si>
    <t>Net Capex reallocated in</t>
  </si>
  <si>
    <t>Capex allowed - wholesale wastewater</t>
  </si>
  <si>
    <t>Proportion of Bioresources</t>
  </si>
  <si>
    <t>Capex allowed - Bioresources</t>
  </si>
  <si>
    <t>Capex after reallocations</t>
  </si>
  <si>
    <t>Modelled allowance</t>
  </si>
  <si>
    <t>Analysis and determination of allowance</t>
  </si>
  <si>
    <t>£m 2017-18 prices</t>
  </si>
  <si>
    <t>AMP7 total</t>
  </si>
  <si>
    <t>Totex - AMP7 total</t>
  </si>
  <si>
    <t>Final allowance</t>
  </si>
  <si>
    <t>2021</t>
  </si>
  <si>
    <t>2022</t>
  </si>
  <si>
    <t>2023</t>
  </si>
  <si>
    <t>2024</t>
  </si>
  <si>
    <t>2025</t>
  </si>
  <si>
    <t>Data</t>
  </si>
  <si>
    <t>Code</t>
  </si>
  <si>
    <t>Year</t>
  </si>
  <si>
    <t>SVE21</t>
  </si>
  <si>
    <t>SVE22</t>
  </si>
  <si>
    <t>SVE23</t>
  </si>
  <si>
    <t>SVE24</t>
  </si>
  <si>
    <t>SVE25</t>
  </si>
  <si>
    <t>HDD21</t>
  </si>
  <si>
    <t>HDD22</t>
  </si>
  <si>
    <t>HDD23</t>
  </si>
  <si>
    <t>HDD24</t>
  </si>
  <si>
    <t>HDD25</t>
  </si>
  <si>
    <t>PM</t>
  </si>
  <si>
    <t>MG, KR 22/01/2019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</si>
</sst>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_);\(#,##0\);&quot;-  &quot;;&quot; &quot;@&quot; &quot;"/>
    <numFmt numFmtId="167" formatCode="0.0%"/>
    <numFmt numFmtId="168" formatCode="_-* #,##0.0_-;\-* #,##0.0_-;_-* &quot;-&quot;??_-;_-@_-"/>
    <numFmt numFmtId="169" formatCode="_-* #,##0.000_-;\-* #,##0.000_-;_-* &quot;-&quot;???_-;_-@_-"/>
    <numFmt numFmtId="170" formatCode="_-* #,##0.000_-;\-* #,##0.000_-;_-* &quot;-&quot;??_-;_-@_-"/>
    <numFmt numFmtId="171" formatCode="_(* #,##0.0_);_(* \(#,##0.0\);_(* &quot;-&quot;??_);_(@_)"/>
    <numFmt numFmtId="172" formatCode="_(* #,##0_);_(* \(#,##0\);_(* &quot;-&quot;??_);_(@_)"/>
    <numFmt numFmtId="173" formatCode="_(* #,##0.000_);_(* \(#,##0.000\);_(* &quot;-&quot;??_);_(@_)"/>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sz val="11"/>
      <color rgb="FFFF0000"/>
      <name val="Calibri"/>
      <family val="2"/>
      <scheme val="minor"/>
    </font>
    <font>
      <sz val="9"/>
      <color theme="1"/>
      <name val="Calibri"/>
      <family val="2"/>
      <scheme val="minor"/>
    </font>
    <font>
      <b/>
      <sz val="14"/>
      <color theme="1"/>
      <name val="Calibri"/>
      <family val="2"/>
      <scheme val="minor"/>
    </font>
    <font>
      <sz val="10"/>
      <color theme="1"/>
      <name val="Calibri"/>
      <family val="2"/>
      <scheme val="minor"/>
    </font>
    <font>
      <i/>
      <sz val="11"/>
      <color rgb="FF7F7F7F"/>
      <name val="Arial"/>
      <family val="2"/>
    </font>
    <font>
      <b/>
      <sz val="10"/>
      <color theme="1"/>
      <name val="Calibri"/>
      <family val="2"/>
      <scheme val="minor"/>
    </font>
    <font>
      <i/>
      <sz val="10"/>
      <color rgb="FF7F7F7F"/>
      <name val="Calibri"/>
      <family val="2"/>
      <scheme val="minor"/>
    </font>
    <font>
      <b/>
      <sz val="10"/>
      <name val="Calibri"/>
      <family val="2"/>
      <scheme val="minor"/>
    </font>
    <font>
      <sz val="14"/>
      <color theme="3"/>
      <name val="Calibri"/>
      <family val="2"/>
      <scheme val="minor"/>
    </font>
    <font>
      <sz val="12"/>
      <color theme="3"/>
      <name val="Calibri"/>
      <family val="2"/>
      <scheme val="minor"/>
    </font>
    <font>
      <b/>
      <sz val="10"/>
      <color theme="3"/>
      <name val="Calibri"/>
      <family val="2"/>
      <scheme val="minor"/>
    </font>
    <font>
      <sz val="9"/>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3">
    <xf numFmtId="0" fontId="0" fillId="0" borderId="0"/>
    <xf numFmtId="0" fontId="10" fillId="0" borderId="0"/>
    <xf numFmtId="0" fontId="9" fillId="0" borderId="0"/>
    <xf numFmtId="0" fontId="11" fillId="0" borderId="0"/>
    <xf numFmtId="0" fontId="12" fillId="0" borderId="0"/>
    <xf numFmtId="0" fontId="8" fillId="0" borderId="0"/>
    <xf numFmtId="164" fontId="12" fillId="0" borderId="0" applyFont="0" applyFill="0" applyBorder="0" applyAlignment="0" applyProtection="0"/>
    <xf numFmtId="9" fontId="12" fillId="0" borderId="0" applyFont="0" applyFill="0" applyBorder="0" applyAlignment="0" applyProtection="0"/>
    <xf numFmtId="0" fontId="7" fillId="0" borderId="0"/>
    <xf numFmtId="166" fontId="6" fillId="0" borderId="0" applyFont="0" applyFill="0" applyBorder="0" applyProtection="0">
      <alignment vertical="top"/>
    </xf>
    <xf numFmtId="0" fontId="12" fillId="0" borderId="0"/>
    <xf numFmtId="164" fontId="12" fillId="0" borderId="0" applyFont="0" applyFill="0" applyBorder="0" applyAlignment="0" applyProtection="0"/>
    <xf numFmtId="0" fontId="5" fillId="0" borderId="0"/>
    <xf numFmtId="0" fontId="4" fillId="0" borderId="0"/>
    <xf numFmtId="0" fontId="4" fillId="0" borderId="0"/>
    <xf numFmtId="164" fontId="12" fillId="0" borderId="0" applyFont="0" applyFill="0" applyBorder="0" applyAlignment="0" applyProtection="0"/>
    <xf numFmtId="0" fontId="12" fillId="0" borderId="0"/>
    <xf numFmtId="0" fontId="17" fillId="0" borderId="0" applyNumberForma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3" fillId="0" borderId="0"/>
    <xf numFmtId="164" fontId="2" fillId="0" borderId="0" applyFont="0" applyFill="0" applyBorder="0" applyAlignment="0" applyProtection="0"/>
    <xf numFmtId="0" fontId="1" fillId="0" borderId="0"/>
  </cellStyleXfs>
  <cellXfs count="62">
    <xf numFmtId="0" fontId="0" fillId="0" borderId="0" xfId="0"/>
    <xf numFmtId="0" fontId="14" fillId="0" borderId="0" xfId="0" applyFont="1" applyAlignment="1">
      <alignment vertical="center"/>
    </xf>
    <xf numFmtId="0" fontId="14" fillId="0" borderId="0" xfId="0" applyFont="1"/>
    <xf numFmtId="0" fontId="14" fillId="0" borderId="0" xfId="0" applyFont="1" applyAlignment="1">
      <alignment vertical="top" wrapText="1"/>
    </xf>
    <xf numFmtId="165" fontId="14" fillId="0" borderId="0" xfId="0" applyNumberFormat="1" applyFont="1"/>
    <xf numFmtId="0" fontId="16" fillId="0" borderId="0" xfId="0" applyFont="1"/>
    <xf numFmtId="2" fontId="14" fillId="0" borderId="1" xfId="0" applyNumberFormat="1" applyFont="1" applyFill="1" applyBorder="1" applyAlignment="1">
      <alignment vertical="center"/>
    </xf>
    <xf numFmtId="2" fontId="14" fillId="0" borderId="1" xfId="16" applyNumberFormat="1" applyFont="1" applyFill="1" applyBorder="1" applyAlignment="1">
      <alignment vertical="center"/>
    </xf>
    <xf numFmtId="0" fontId="14" fillId="0" borderId="1" xfId="0" applyFont="1" applyFill="1" applyBorder="1" applyAlignment="1">
      <alignment vertical="center"/>
    </xf>
    <xf numFmtId="2" fontId="14" fillId="0" borderId="1" xfId="0" applyNumberFormat="1" applyFont="1" applyBorder="1" applyAlignment="1">
      <alignment vertical="center"/>
    </xf>
    <xf numFmtId="0" fontId="15" fillId="3" borderId="0" xfId="0" applyFont="1" applyFill="1"/>
    <xf numFmtId="0" fontId="18" fillId="0" borderId="0" xfId="0" applyFont="1"/>
    <xf numFmtId="0" fontId="18" fillId="2" borderId="1" xfId="0" applyFont="1" applyFill="1" applyBorder="1" applyAlignment="1">
      <alignment horizontal="left" wrapText="1"/>
    </xf>
    <xf numFmtId="0" fontId="18" fillId="2" borderId="1" xfId="0" quotePrefix="1" applyFont="1" applyFill="1" applyBorder="1" applyAlignment="1">
      <alignment horizontal="left" wrapText="1"/>
    </xf>
    <xf numFmtId="0" fontId="18" fillId="6" borderId="1" xfId="0" applyFont="1" applyFill="1" applyBorder="1" applyAlignment="1">
      <alignment horizontal="left" wrapText="1"/>
    </xf>
    <xf numFmtId="0" fontId="16" fillId="5" borderId="1" xfId="0" applyFont="1" applyFill="1" applyBorder="1" applyAlignment="1">
      <alignment horizontal="left"/>
    </xf>
    <xf numFmtId="0" fontId="16" fillId="0" borderId="1" xfId="0" applyFont="1" applyBorder="1" applyAlignment="1"/>
    <xf numFmtId="0" fontId="16" fillId="0" borderId="0" xfId="0" applyFont="1" applyBorder="1" applyAlignment="1"/>
    <xf numFmtId="14" fontId="16" fillId="0" borderId="1" xfId="0" applyNumberFormat="1" applyFont="1" applyBorder="1"/>
    <xf numFmtId="0" fontId="16" fillId="0" borderId="0" xfId="0" applyFont="1" applyBorder="1" applyAlignment="1" applyProtection="1">
      <alignment horizontal="left"/>
      <protection locked="0"/>
    </xf>
    <xf numFmtId="0" fontId="19" fillId="0" borderId="0" xfId="17" applyFont="1"/>
    <xf numFmtId="14" fontId="16" fillId="0" borderId="0" xfId="0" applyNumberFormat="1" applyFont="1" applyBorder="1" applyAlignment="1" applyProtection="1">
      <alignment horizontal="left"/>
      <protection locked="0"/>
    </xf>
    <xf numFmtId="0" fontId="16" fillId="0" borderId="4" xfId="0" applyFont="1" applyBorder="1" applyAlignment="1">
      <alignment vertical="top"/>
    </xf>
    <xf numFmtId="0" fontId="16" fillId="0" borderId="4" xfId="0" applyFont="1" applyBorder="1" applyAlignment="1"/>
    <xf numFmtId="0" fontId="16" fillId="0" borderId="0" xfId="0" applyFont="1" applyFill="1"/>
    <xf numFmtId="169" fontId="16" fillId="0" borderId="0" xfId="0" applyNumberFormat="1" applyFont="1"/>
    <xf numFmtId="0" fontId="16" fillId="0" borderId="1" xfId="20" applyFont="1" applyBorder="1" applyAlignment="1">
      <alignment horizontal="center"/>
    </xf>
    <xf numFmtId="0" fontId="16" fillId="0" borderId="1" xfId="20" applyFont="1" applyBorder="1"/>
    <xf numFmtId="170" fontId="16" fillId="0" borderId="1" xfId="6" applyNumberFormat="1" applyFont="1" applyBorder="1"/>
    <xf numFmtId="170" fontId="16" fillId="6" borderId="1" xfId="6" applyNumberFormat="1" applyFont="1" applyFill="1" applyBorder="1"/>
    <xf numFmtId="0" fontId="18" fillId="0" borderId="1" xfId="20" applyFont="1" applyBorder="1"/>
    <xf numFmtId="170" fontId="18" fillId="0" borderId="1" xfId="6" applyNumberFormat="1" applyFont="1" applyBorder="1"/>
    <xf numFmtId="170" fontId="20" fillId="0" borderId="1" xfId="6" applyNumberFormat="1" applyFont="1" applyBorder="1"/>
    <xf numFmtId="168" fontId="20" fillId="0" borderId="1" xfId="6" applyNumberFormat="1" applyFont="1" applyBorder="1"/>
    <xf numFmtId="0" fontId="21" fillId="0" borderId="0" xfId="0" applyFont="1"/>
    <xf numFmtId="0" fontId="22" fillId="0" borderId="0" xfId="0" applyFont="1" applyAlignment="1">
      <alignment vertical="center"/>
    </xf>
    <xf numFmtId="0" fontId="23" fillId="0" borderId="0" xfId="0" applyFont="1"/>
    <xf numFmtId="0" fontId="18" fillId="4" borderId="1" xfId="0" applyFont="1" applyFill="1" applyBorder="1" applyAlignment="1">
      <alignment horizontal="center"/>
    </xf>
    <xf numFmtId="0" fontId="18" fillId="4" borderId="1" xfId="0" applyFont="1" applyFill="1" applyBorder="1" applyAlignment="1">
      <alignment horizontal="center" wrapText="1"/>
    </xf>
    <xf numFmtId="0" fontId="16" fillId="0" borderId="1" xfId="22" applyFont="1" applyBorder="1"/>
    <xf numFmtId="164" fontId="16" fillId="0" borderId="1" xfId="6" applyFont="1" applyBorder="1"/>
    <xf numFmtId="171" fontId="18" fillId="0" borderId="1" xfId="6" applyNumberFormat="1" applyFont="1" applyBorder="1"/>
    <xf numFmtId="172" fontId="16" fillId="0" borderId="1" xfId="6" applyNumberFormat="1" applyFont="1" applyBorder="1"/>
    <xf numFmtId="167" fontId="16" fillId="0" borderId="1" xfId="7" applyNumberFormat="1" applyFont="1" applyBorder="1" applyAlignment="1">
      <alignment wrapText="1"/>
    </xf>
    <xf numFmtId="164" fontId="16" fillId="0" borderId="0" xfId="0" applyNumberFormat="1" applyFont="1"/>
    <xf numFmtId="0" fontId="18" fillId="0" borderId="1" xfId="22" applyFont="1" applyBorder="1"/>
    <xf numFmtId="172" fontId="18" fillId="0" borderId="1" xfId="6" applyNumberFormat="1" applyFont="1" applyBorder="1"/>
    <xf numFmtId="167" fontId="18" fillId="0" borderId="1" xfId="7" applyNumberFormat="1" applyFont="1" applyBorder="1" applyAlignment="1">
      <alignment wrapText="1"/>
    </xf>
    <xf numFmtId="0" fontId="21" fillId="0" borderId="0" xfId="0" applyFont="1" applyAlignment="1">
      <alignment vertical="center"/>
    </xf>
    <xf numFmtId="0" fontId="16" fillId="0" borderId="0" xfId="0" applyFont="1" applyAlignment="1">
      <alignment vertical="center"/>
    </xf>
    <xf numFmtId="0" fontId="18" fillId="4" borderId="1" xfId="0" applyFont="1" applyFill="1" applyBorder="1" applyAlignment="1">
      <alignment vertical="top" wrapText="1"/>
    </xf>
    <xf numFmtId="0" fontId="0" fillId="0" borderId="0" xfId="0" applyFont="1"/>
    <xf numFmtId="0" fontId="0" fillId="0" borderId="1" xfId="20" applyFont="1" applyBorder="1"/>
    <xf numFmtId="0" fontId="0" fillId="0" borderId="1" xfId="0" applyFont="1" applyFill="1" applyBorder="1" applyAlignment="1">
      <alignment vertical="center"/>
    </xf>
    <xf numFmtId="0" fontId="15" fillId="3" borderId="2" xfId="10" applyFont="1" applyFill="1" applyBorder="1"/>
    <xf numFmtId="0" fontId="24" fillId="3" borderId="3" xfId="1" applyFont="1" applyFill="1" applyBorder="1"/>
    <xf numFmtId="0" fontId="0" fillId="0" borderId="0" xfId="0" applyFont="1" applyAlignment="1">
      <alignment horizontal="center" vertical="center"/>
    </xf>
    <xf numFmtId="0" fontId="0" fillId="0" borderId="0" xfId="4" applyFont="1"/>
    <xf numFmtId="0" fontId="13" fillId="0" borderId="0" xfId="4" applyFont="1" applyAlignment="1">
      <alignment horizontal="left" vertical="top" wrapText="1"/>
    </xf>
    <xf numFmtId="173" fontId="16" fillId="0" borderId="1" xfId="6" applyNumberFormat="1" applyFont="1" applyBorder="1"/>
    <xf numFmtId="173" fontId="18" fillId="0" borderId="1" xfId="6" applyNumberFormat="1" applyFont="1" applyBorder="1"/>
    <xf numFmtId="0" fontId="13" fillId="0" borderId="0" xfId="4" applyFont="1" applyAlignment="1">
      <alignment horizontal="left" vertical="top" wrapText="1"/>
    </xf>
  </cellXfs>
  <cellStyles count="23">
    <cellStyle name="Comma" xfId="6" builtinId="3"/>
    <cellStyle name="Comma 2" xfId="11"/>
    <cellStyle name="Comma 3" xfId="15"/>
    <cellStyle name="Comma 4" xfId="18"/>
    <cellStyle name="Comma 4 2" xfId="21"/>
    <cellStyle name="Explanatory Text" xfId="17"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20"/>
    <cellStyle name="Normal 5 2 2 2" xfId="22"/>
    <cellStyle name="Normal 9" xfId="3"/>
    <cellStyle name="Percent" xfId="7" builtinId="5"/>
    <cellStyle name="Percent 2" xfId="19"/>
  </cellStyles>
  <dxfs count="0"/>
  <tableStyles count="0" defaultTableStyle="TableStyleMedium2" defaultPivotStyle="PivotStyleMedium9"/>
  <colors>
    <mruColors>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15</xdr:row>
      <xdr:rowOff>38100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Enhancement pre-defined lines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a:t>
          </a:r>
          <a:r>
            <a:rPr lang="en-GB" sz="1100" baseline="0">
              <a:solidFill>
                <a:schemeClr val="dk1"/>
              </a:solidFill>
              <a:effectLst/>
              <a:latin typeface="+mn-lt"/>
              <a:ea typeface="+mn-ea"/>
              <a:cs typeface="+mn-cs"/>
            </a:rPr>
            <a:t> eel regulations (measures at outfalls), Table WWS2 line 5 WINEP / NEP ~ Eel regulations (measures at outfalls)</a:t>
          </a:r>
          <a:endParaRPr lang="en-GB" sz="110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Investment in this area is only incurred by one company and is of very low materiality.  As set out in the section on enhancement expenditure in such cases we do not apply any efficiency challenge and allow the costs in full. </a:t>
          </a:r>
          <a:r>
            <a:rPr lang="en-GB" sz="1100" b="0" i="0">
              <a:solidFill>
                <a:schemeClr val="dk1"/>
              </a:solidFill>
              <a:effectLst/>
              <a:latin typeface="+mn-lt"/>
              <a:ea typeface="+mn-ea"/>
              <a:cs typeface="+mn-cs"/>
            </a:rPr>
            <a:t> We also reconcile information that has been identified within the companies’ submissions with the list of schemes in the EAs’ WINEP3, March 2018.</a:t>
          </a:r>
          <a:endParaRPr lang="en-GB">
            <a:effectLst/>
          </a:endParaRPr>
        </a:p>
        <a:p>
          <a:endParaRPr lang="en-GB"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30"/>
  <sheetViews>
    <sheetView showGridLines="0" tabSelected="1" zoomScale="80" zoomScaleNormal="80" workbookViewId="0">
      <selection activeCell="G8" sqref="G8"/>
    </sheetView>
  </sheetViews>
  <sheetFormatPr defaultColWidth="8.7265625" defaultRowHeight="14.5" x14ac:dyDescent="0.35"/>
  <cols>
    <col min="1" max="1" width="1.26953125" style="51" customWidth="1"/>
    <col min="2" max="2" width="11.26953125" style="51" customWidth="1"/>
    <col min="3" max="3" width="100.26953125" style="51" customWidth="1"/>
    <col min="4" max="4" width="18" style="56" customWidth="1"/>
    <col min="5" max="16384" width="8.7265625" style="51"/>
  </cols>
  <sheetData>
    <row r="1" spans="2:4" ht="20.25" customHeight="1" x14ac:dyDescent="0.45">
      <c r="B1" s="54" t="s">
        <v>66</v>
      </c>
      <c r="C1" s="55"/>
      <c r="D1" s="55"/>
    </row>
    <row r="2" spans="2:4" ht="17.25" customHeight="1" x14ac:dyDescent="0.35"/>
    <row r="3" spans="2:4" ht="17.25" customHeight="1" x14ac:dyDescent="0.35"/>
    <row r="4" spans="2:4" ht="17.25" customHeight="1" x14ac:dyDescent="0.35"/>
    <row r="5" spans="2:4" ht="17.25" customHeight="1" x14ac:dyDescent="0.35"/>
    <row r="6" spans="2:4" ht="17.25" customHeight="1" x14ac:dyDescent="0.35"/>
    <row r="7" spans="2:4" ht="17.25" customHeight="1" x14ac:dyDescent="0.35"/>
    <row r="8" spans="2:4" ht="17.25" customHeight="1" x14ac:dyDescent="0.35"/>
    <row r="9" spans="2:4" ht="17.25" customHeight="1" x14ac:dyDescent="0.35"/>
    <row r="10" spans="2:4" ht="17.25" customHeight="1" x14ac:dyDescent="0.35"/>
    <row r="11" spans="2:4" ht="17.25" customHeight="1" x14ac:dyDescent="0.35"/>
    <row r="12" spans="2:4" ht="17.25" customHeight="1" x14ac:dyDescent="0.35"/>
    <row r="13" spans="2:4" ht="17.25" customHeight="1" x14ac:dyDescent="0.35"/>
    <row r="14" spans="2:4" ht="17.25" customHeight="1" x14ac:dyDescent="0.35"/>
    <row r="15" spans="2:4" ht="17.25" customHeight="1" x14ac:dyDescent="0.35"/>
    <row r="16" spans="2:4" ht="17.25" customHeight="1" x14ac:dyDescent="0.35"/>
    <row r="17" spans="2:7" ht="17.25" customHeight="1" x14ac:dyDescent="0.35">
      <c r="D17" s="51"/>
    </row>
    <row r="18" spans="2:7" ht="23.25" customHeight="1" x14ac:dyDescent="0.35">
      <c r="D18" s="51"/>
    </row>
    <row r="19" spans="2:7" x14ac:dyDescent="0.35">
      <c r="D19" s="51"/>
    </row>
    <row r="20" spans="2:7" x14ac:dyDescent="0.35">
      <c r="D20" s="51"/>
    </row>
    <row r="21" spans="2:7" ht="19.5" customHeight="1" x14ac:dyDescent="0.35">
      <c r="D21" s="51"/>
    </row>
    <row r="22" spans="2:7" x14ac:dyDescent="0.35">
      <c r="D22" s="51"/>
    </row>
    <row r="23" spans="2:7" ht="19.149999999999999" customHeight="1" x14ac:dyDescent="0.35">
      <c r="D23" s="51"/>
    </row>
    <row r="24" spans="2:7" x14ac:dyDescent="0.35">
      <c r="D24" s="51"/>
    </row>
    <row r="25" spans="2:7" s="57" customFormat="1" x14ac:dyDescent="0.35">
      <c r="B25" s="51"/>
      <c r="C25" s="51"/>
      <c r="D25" s="51"/>
      <c r="E25" s="61"/>
      <c r="F25" s="61"/>
      <c r="G25" s="61"/>
    </row>
    <row r="26" spans="2:7" s="57" customFormat="1" x14ac:dyDescent="0.35">
      <c r="B26" s="51"/>
      <c r="C26" s="51"/>
      <c r="D26" s="51"/>
      <c r="E26" s="58"/>
      <c r="F26" s="58"/>
      <c r="G26" s="58"/>
    </row>
    <row r="27" spans="2:7" x14ac:dyDescent="0.35">
      <c r="D27" s="51"/>
    </row>
    <row r="28" spans="2:7" x14ac:dyDescent="0.35">
      <c r="D28" s="51"/>
    </row>
    <row r="29" spans="2:7" x14ac:dyDescent="0.35">
      <c r="D29" s="51"/>
    </row>
    <row r="30" spans="2:7" x14ac:dyDescent="0.35">
      <c r="D30" s="51"/>
    </row>
  </sheetData>
  <mergeCells count="1">
    <mergeCell ref="E25:G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67"/>
  <sheetViews>
    <sheetView showGridLines="0" zoomScaleNormal="100" workbookViewId="0">
      <pane xSplit="3" ySplit="7" topLeftCell="D8" activePane="bottomRight" state="frozen"/>
      <selection activeCell="C18" sqref="C18"/>
      <selection pane="topRight" activeCell="C18" sqref="C18"/>
      <selection pane="bottomLeft" activeCell="C18" sqref="C18"/>
      <selection pane="bottomRight"/>
    </sheetView>
  </sheetViews>
  <sheetFormatPr defaultColWidth="8.6328125" defaultRowHeight="12" x14ac:dyDescent="0.3"/>
  <cols>
    <col min="1" max="1" width="10.6328125" style="1" customWidth="1"/>
    <col min="2" max="2" width="11.26953125" style="1" customWidth="1"/>
    <col min="3" max="3" width="10.26953125" style="1" customWidth="1"/>
    <col min="4" max="5" width="13.7265625" style="2" customWidth="1"/>
    <col min="6" max="6" width="6" style="2" customWidth="1"/>
    <col min="7" max="16384" width="8.6328125" style="2"/>
  </cols>
  <sheetData>
    <row r="1" spans="1:6" ht="18.5" x14ac:dyDescent="0.3">
      <c r="A1" s="48" t="s">
        <v>99</v>
      </c>
      <c r="B1" s="49"/>
      <c r="C1" s="49"/>
    </row>
    <row r="2" spans="1:6" ht="15.5" x14ac:dyDescent="0.3">
      <c r="A2" s="35" t="s">
        <v>90</v>
      </c>
      <c r="B2" s="5"/>
      <c r="C2" s="5"/>
    </row>
    <row r="3" spans="1:6" ht="13" x14ac:dyDescent="0.3">
      <c r="A3" s="49"/>
      <c r="B3" s="5"/>
      <c r="C3" s="5"/>
    </row>
    <row r="4" spans="1:6" ht="13" x14ac:dyDescent="0.3">
      <c r="A4" s="49"/>
      <c r="B4" s="5"/>
      <c r="C4" s="5"/>
    </row>
    <row r="5" spans="1:6" ht="13" x14ac:dyDescent="0.3">
      <c r="A5" s="49"/>
      <c r="B5" s="5"/>
      <c r="C5" s="5"/>
      <c r="D5" s="3"/>
      <c r="E5" s="3"/>
      <c r="F5" s="3"/>
    </row>
    <row r="6" spans="1:6" s="3" customFormat="1" ht="13" x14ac:dyDescent="0.35">
      <c r="A6" s="50"/>
      <c r="B6" s="50"/>
      <c r="C6" s="50"/>
      <c r="D6" s="50" t="s">
        <v>68</v>
      </c>
      <c r="E6" s="50" t="s">
        <v>67</v>
      </c>
    </row>
    <row r="7" spans="1:6" ht="108" customHeight="1" x14ac:dyDescent="0.3">
      <c r="A7" s="50" t="s">
        <v>100</v>
      </c>
      <c r="B7" s="50" t="s">
        <v>10</v>
      </c>
      <c r="C7" s="50" t="s">
        <v>101</v>
      </c>
      <c r="D7" s="50" t="s">
        <v>69</v>
      </c>
      <c r="E7" s="50" t="s">
        <v>70</v>
      </c>
    </row>
    <row r="8" spans="1:6" x14ac:dyDescent="0.3">
      <c r="A8" s="7" t="s">
        <v>14</v>
      </c>
      <c r="B8" s="8" t="s">
        <v>0</v>
      </c>
      <c r="C8" s="8" t="s">
        <v>94</v>
      </c>
      <c r="D8" s="6">
        <v>0</v>
      </c>
      <c r="E8" s="9">
        <v>551.50375405476098</v>
      </c>
    </row>
    <row r="9" spans="1:6" x14ac:dyDescent="0.3">
      <c r="A9" s="7" t="s">
        <v>15</v>
      </c>
      <c r="B9" s="8" t="s">
        <v>0</v>
      </c>
      <c r="C9" s="8" t="s">
        <v>95</v>
      </c>
      <c r="D9" s="6">
        <v>0</v>
      </c>
      <c r="E9" s="9">
        <v>653.12795659695598</v>
      </c>
    </row>
    <row r="10" spans="1:6" x14ac:dyDescent="0.3">
      <c r="A10" s="7" t="s">
        <v>16</v>
      </c>
      <c r="B10" s="8" t="s">
        <v>0</v>
      </c>
      <c r="C10" s="8" t="s">
        <v>96</v>
      </c>
      <c r="D10" s="6">
        <v>0</v>
      </c>
      <c r="E10" s="9">
        <v>659.79125581432402</v>
      </c>
    </row>
    <row r="11" spans="1:6" x14ac:dyDescent="0.3">
      <c r="A11" s="7" t="s">
        <v>17</v>
      </c>
      <c r="B11" s="8" t="s">
        <v>0</v>
      </c>
      <c r="C11" s="8" t="s">
        <v>97</v>
      </c>
      <c r="D11" s="6">
        <v>0</v>
      </c>
      <c r="E11" s="9">
        <v>762.56025220065897</v>
      </c>
    </row>
    <row r="12" spans="1:6" x14ac:dyDescent="0.3">
      <c r="A12" s="7" t="s">
        <v>18</v>
      </c>
      <c r="B12" s="8" t="s">
        <v>0</v>
      </c>
      <c r="C12" s="8" t="s">
        <v>98</v>
      </c>
      <c r="D12" s="6">
        <v>0</v>
      </c>
      <c r="E12" s="9">
        <v>701.76121450352298</v>
      </c>
    </row>
    <row r="13" spans="1:6" x14ac:dyDescent="0.3">
      <c r="A13" s="7" t="s">
        <v>19</v>
      </c>
      <c r="B13" s="8" t="s">
        <v>1</v>
      </c>
      <c r="C13" s="8" t="s">
        <v>94</v>
      </c>
      <c r="D13" s="6">
        <v>0</v>
      </c>
      <c r="E13" s="9">
        <v>194.71899999999999</v>
      </c>
    </row>
    <row r="14" spans="1:6" x14ac:dyDescent="0.3">
      <c r="A14" s="7" t="s">
        <v>20</v>
      </c>
      <c r="B14" s="8" t="s">
        <v>1</v>
      </c>
      <c r="C14" s="8" t="s">
        <v>95</v>
      </c>
      <c r="D14" s="6">
        <v>0</v>
      </c>
      <c r="E14" s="9">
        <v>225.87200000000001</v>
      </c>
    </row>
    <row r="15" spans="1:6" x14ac:dyDescent="0.3">
      <c r="A15" s="7" t="s">
        <v>21</v>
      </c>
      <c r="B15" s="8" t="s">
        <v>1</v>
      </c>
      <c r="C15" s="8" t="s">
        <v>96</v>
      </c>
      <c r="D15" s="6">
        <v>0</v>
      </c>
      <c r="E15" s="9">
        <v>250.01400000000001</v>
      </c>
    </row>
    <row r="16" spans="1:6" x14ac:dyDescent="0.3">
      <c r="A16" s="7" t="s">
        <v>22</v>
      </c>
      <c r="B16" s="8" t="s">
        <v>1</v>
      </c>
      <c r="C16" s="8" t="s">
        <v>97</v>
      </c>
      <c r="D16" s="6">
        <v>0</v>
      </c>
      <c r="E16" s="9">
        <v>314.52300000000002</v>
      </c>
    </row>
    <row r="17" spans="1:5" x14ac:dyDescent="0.3">
      <c r="A17" s="7" t="s">
        <v>23</v>
      </c>
      <c r="B17" s="8" t="s">
        <v>1</v>
      </c>
      <c r="C17" s="8" t="s">
        <v>98</v>
      </c>
      <c r="D17" s="6">
        <v>0</v>
      </c>
      <c r="E17" s="9">
        <v>258.24900000000002</v>
      </c>
    </row>
    <row r="18" spans="1:5" x14ac:dyDescent="0.3">
      <c r="A18" s="7" t="s">
        <v>24</v>
      </c>
      <c r="B18" s="8" t="s">
        <v>2</v>
      </c>
      <c r="C18" s="8" t="s">
        <v>94</v>
      </c>
      <c r="D18" s="6">
        <v>0</v>
      </c>
      <c r="E18" s="9">
        <v>557.40503234329799</v>
      </c>
    </row>
    <row r="19" spans="1:5" ht="14.5" x14ac:dyDescent="0.3">
      <c r="A19" s="7" t="s">
        <v>25</v>
      </c>
      <c r="B19" s="8" t="s">
        <v>2</v>
      </c>
      <c r="C19" s="53" t="s">
        <v>95</v>
      </c>
      <c r="D19" s="6">
        <v>0</v>
      </c>
      <c r="E19" s="9">
        <v>584.41680129680901</v>
      </c>
    </row>
    <row r="20" spans="1:5" x14ac:dyDescent="0.3">
      <c r="A20" s="7" t="s">
        <v>26</v>
      </c>
      <c r="B20" s="8" t="s">
        <v>2</v>
      </c>
      <c r="C20" s="8" t="s">
        <v>96</v>
      </c>
      <c r="D20" s="6">
        <v>0</v>
      </c>
      <c r="E20" s="9">
        <v>527.23793476313404</v>
      </c>
    </row>
    <row r="21" spans="1:5" x14ac:dyDescent="0.3">
      <c r="A21" s="7" t="s">
        <v>27</v>
      </c>
      <c r="B21" s="8" t="s">
        <v>2</v>
      </c>
      <c r="C21" s="8" t="s">
        <v>97</v>
      </c>
      <c r="D21" s="6">
        <v>5.5E-2</v>
      </c>
      <c r="E21" s="9">
        <v>706.99058633935101</v>
      </c>
    </row>
    <row r="22" spans="1:5" x14ac:dyDescent="0.3">
      <c r="A22" s="7" t="s">
        <v>28</v>
      </c>
      <c r="B22" s="8" t="s">
        <v>2</v>
      </c>
      <c r="C22" s="8" t="s">
        <v>98</v>
      </c>
      <c r="D22" s="6">
        <v>0.11</v>
      </c>
      <c r="E22" s="9">
        <v>637.00849885031198</v>
      </c>
    </row>
    <row r="23" spans="1:5" x14ac:dyDescent="0.3">
      <c r="A23" s="7" t="s">
        <v>29</v>
      </c>
      <c r="B23" s="8" t="s">
        <v>3</v>
      </c>
      <c r="C23" s="8" t="s">
        <v>94</v>
      </c>
      <c r="D23" s="6">
        <v>0</v>
      </c>
      <c r="E23" s="9">
        <v>462.08100000000002</v>
      </c>
    </row>
    <row r="24" spans="1:5" x14ac:dyDescent="0.3">
      <c r="A24" s="7" t="s">
        <v>30</v>
      </c>
      <c r="B24" s="8" t="s">
        <v>3</v>
      </c>
      <c r="C24" s="8" t="s">
        <v>95</v>
      </c>
      <c r="D24" s="6">
        <v>0</v>
      </c>
      <c r="E24" s="9">
        <v>610.50400000000002</v>
      </c>
    </row>
    <row r="25" spans="1:5" x14ac:dyDescent="0.3">
      <c r="A25" s="7" t="s">
        <v>31</v>
      </c>
      <c r="B25" s="8" t="s">
        <v>3</v>
      </c>
      <c r="C25" s="8" t="s">
        <v>96</v>
      </c>
      <c r="D25" s="6">
        <v>0</v>
      </c>
      <c r="E25" s="9">
        <v>633.11300000000006</v>
      </c>
    </row>
    <row r="26" spans="1:5" x14ac:dyDescent="0.3">
      <c r="A26" s="7" t="s">
        <v>32</v>
      </c>
      <c r="B26" s="8" t="s">
        <v>3</v>
      </c>
      <c r="C26" s="8" t="s">
        <v>97</v>
      </c>
      <c r="D26" s="6">
        <v>0</v>
      </c>
      <c r="E26" s="9">
        <v>495.7</v>
      </c>
    </row>
    <row r="27" spans="1:5" x14ac:dyDescent="0.3">
      <c r="A27" s="7" t="s">
        <v>33</v>
      </c>
      <c r="B27" s="8" t="s">
        <v>3</v>
      </c>
      <c r="C27" s="8" t="s">
        <v>98</v>
      </c>
      <c r="D27" s="6">
        <v>0</v>
      </c>
      <c r="E27" s="9">
        <v>408.06400000000002</v>
      </c>
    </row>
    <row r="28" spans="1:5" x14ac:dyDescent="0.3">
      <c r="A28" s="7" t="s">
        <v>34</v>
      </c>
      <c r="B28" s="8" t="s">
        <v>4</v>
      </c>
      <c r="C28" s="8" t="s">
        <v>94</v>
      </c>
      <c r="D28" s="6">
        <v>0</v>
      </c>
      <c r="E28" s="9">
        <v>0</v>
      </c>
    </row>
    <row r="29" spans="1:5" x14ac:dyDescent="0.3">
      <c r="A29" s="7" t="s">
        <v>35</v>
      </c>
      <c r="B29" s="8" t="s">
        <v>4</v>
      </c>
      <c r="C29" s="8" t="s">
        <v>95</v>
      </c>
      <c r="D29" s="6">
        <v>0</v>
      </c>
      <c r="E29" s="9">
        <v>0</v>
      </c>
    </row>
    <row r="30" spans="1:5" x14ac:dyDescent="0.3">
      <c r="A30" s="7" t="s">
        <v>36</v>
      </c>
      <c r="B30" s="8" t="s">
        <v>4</v>
      </c>
      <c r="C30" s="8" t="s">
        <v>96</v>
      </c>
      <c r="D30" s="6">
        <v>0</v>
      </c>
      <c r="E30" s="9">
        <v>0</v>
      </c>
    </row>
    <row r="31" spans="1:5" x14ac:dyDescent="0.3">
      <c r="A31" s="7" t="s">
        <v>37</v>
      </c>
      <c r="B31" s="8" t="s">
        <v>4</v>
      </c>
      <c r="C31" s="8" t="s">
        <v>97</v>
      </c>
      <c r="D31" s="6">
        <v>0</v>
      </c>
      <c r="E31" s="9">
        <v>0</v>
      </c>
    </row>
    <row r="32" spans="1:5" x14ac:dyDescent="0.3">
      <c r="A32" s="7" t="s">
        <v>38</v>
      </c>
      <c r="B32" s="8" t="s">
        <v>4</v>
      </c>
      <c r="C32" s="8" t="s">
        <v>98</v>
      </c>
      <c r="D32" s="6">
        <v>0</v>
      </c>
      <c r="E32" s="9">
        <v>0</v>
      </c>
    </row>
    <row r="33" spans="1:6" x14ac:dyDescent="0.3">
      <c r="A33" s="7" t="s">
        <v>39</v>
      </c>
      <c r="B33" s="8" t="s">
        <v>5</v>
      </c>
      <c r="C33" s="8" t="s">
        <v>94</v>
      </c>
      <c r="D33" s="6">
        <v>0</v>
      </c>
      <c r="E33" s="9">
        <v>209.88399999999999</v>
      </c>
    </row>
    <row r="34" spans="1:6" x14ac:dyDescent="0.3">
      <c r="A34" s="7" t="s">
        <v>40</v>
      </c>
      <c r="B34" s="8" t="s">
        <v>5</v>
      </c>
      <c r="C34" s="8" t="s">
        <v>95</v>
      </c>
      <c r="D34" s="6">
        <v>0</v>
      </c>
      <c r="E34" s="9">
        <v>205.41800000000001</v>
      </c>
    </row>
    <row r="35" spans="1:6" x14ac:dyDescent="0.3">
      <c r="A35" s="7" t="s">
        <v>41</v>
      </c>
      <c r="B35" s="8" t="s">
        <v>5</v>
      </c>
      <c r="C35" s="8" t="s">
        <v>96</v>
      </c>
      <c r="D35" s="6">
        <v>0</v>
      </c>
      <c r="E35" s="9">
        <v>184.16300000000001</v>
      </c>
    </row>
    <row r="36" spans="1:6" x14ac:dyDescent="0.3">
      <c r="A36" s="7" t="s">
        <v>42</v>
      </c>
      <c r="B36" s="8" t="s">
        <v>5</v>
      </c>
      <c r="C36" s="8" t="s">
        <v>97</v>
      </c>
      <c r="D36" s="6">
        <v>0</v>
      </c>
      <c r="E36" s="9">
        <v>182.45099999999999</v>
      </c>
    </row>
    <row r="37" spans="1:6" x14ac:dyDescent="0.3">
      <c r="A37" s="7" t="s">
        <v>43</v>
      </c>
      <c r="B37" s="8" t="s">
        <v>5</v>
      </c>
      <c r="C37" s="8" t="s">
        <v>98</v>
      </c>
      <c r="D37" s="6">
        <v>0</v>
      </c>
      <c r="E37" s="9">
        <v>169.172</v>
      </c>
    </row>
    <row r="38" spans="1:6" x14ac:dyDescent="0.3">
      <c r="A38" s="7" t="s">
        <v>44</v>
      </c>
      <c r="B38" s="8" t="s">
        <v>6</v>
      </c>
      <c r="C38" s="8" t="s">
        <v>94</v>
      </c>
      <c r="D38" s="6">
        <v>0</v>
      </c>
      <c r="E38" s="9">
        <v>943.20508384003995</v>
      </c>
      <c r="F38" s="4"/>
    </row>
    <row r="39" spans="1:6" x14ac:dyDescent="0.3">
      <c r="A39" s="7" t="s">
        <v>45</v>
      </c>
      <c r="B39" s="8" t="s">
        <v>6</v>
      </c>
      <c r="C39" s="8" t="s">
        <v>95</v>
      </c>
      <c r="D39" s="6">
        <v>0</v>
      </c>
      <c r="E39" s="9">
        <v>1059.5585860040801</v>
      </c>
      <c r="F39" s="4"/>
    </row>
    <row r="40" spans="1:6" x14ac:dyDescent="0.3">
      <c r="A40" s="7" t="s">
        <v>46</v>
      </c>
      <c r="B40" s="8" t="s">
        <v>6</v>
      </c>
      <c r="C40" s="8" t="s">
        <v>96</v>
      </c>
      <c r="D40" s="6">
        <v>0</v>
      </c>
      <c r="E40" s="9">
        <v>1043.6785429854101</v>
      </c>
      <c r="F40" s="4"/>
    </row>
    <row r="41" spans="1:6" x14ac:dyDescent="0.3">
      <c r="A41" s="7" t="s">
        <v>47</v>
      </c>
      <c r="B41" s="8" t="s">
        <v>6</v>
      </c>
      <c r="C41" s="8" t="s">
        <v>97</v>
      </c>
      <c r="D41" s="6">
        <v>0</v>
      </c>
      <c r="E41" s="9">
        <v>989.85067441146896</v>
      </c>
      <c r="F41" s="4"/>
    </row>
    <row r="42" spans="1:6" x14ac:dyDescent="0.3">
      <c r="A42" s="7" t="s">
        <v>48</v>
      </c>
      <c r="B42" s="8" t="s">
        <v>6</v>
      </c>
      <c r="C42" s="8" t="s">
        <v>98</v>
      </c>
      <c r="D42" s="6">
        <v>0</v>
      </c>
      <c r="E42" s="9">
        <v>960.87480281767398</v>
      </c>
      <c r="F42" s="4"/>
    </row>
    <row r="43" spans="1:6" x14ac:dyDescent="0.3">
      <c r="A43" s="7" t="s">
        <v>49</v>
      </c>
      <c r="B43" s="8" t="s">
        <v>7</v>
      </c>
      <c r="C43" s="8" t="s">
        <v>94</v>
      </c>
      <c r="D43" s="6">
        <v>0</v>
      </c>
      <c r="E43" s="9">
        <v>358.459</v>
      </c>
      <c r="F43" s="4"/>
    </row>
    <row r="44" spans="1:6" x14ac:dyDescent="0.3">
      <c r="A44" s="7" t="s">
        <v>50</v>
      </c>
      <c r="B44" s="8" t="s">
        <v>7</v>
      </c>
      <c r="C44" s="8" t="s">
        <v>95</v>
      </c>
      <c r="D44" s="6">
        <v>0</v>
      </c>
      <c r="E44" s="9">
        <v>291.94099999999997</v>
      </c>
      <c r="F44" s="4"/>
    </row>
    <row r="45" spans="1:6" x14ac:dyDescent="0.3">
      <c r="A45" s="7" t="s">
        <v>51</v>
      </c>
      <c r="B45" s="8" t="s">
        <v>7</v>
      </c>
      <c r="C45" s="8" t="s">
        <v>96</v>
      </c>
      <c r="D45" s="6">
        <v>0</v>
      </c>
      <c r="E45" s="9">
        <v>301.45100000000002</v>
      </c>
      <c r="F45" s="4"/>
    </row>
    <row r="46" spans="1:6" x14ac:dyDescent="0.3">
      <c r="A46" s="7" t="s">
        <v>52</v>
      </c>
      <c r="B46" s="8" t="s">
        <v>7</v>
      </c>
      <c r="C46" s="8" t="s">
        <v>97</v>
      </c>
      <c r="D46" s="6">
        <v>0</v>
      </c>
      <c r="E46" s="9">
        <v>290.19</v>
      </c>
      <c r="F46" s="4"/>
    </row>
    <row r="47" spans="1:6" x14ac:dyDescent="0.3">
      <c r="A47" s="7" t="s">
        <v>53</v>
      </c>
      <c r="B47" s="8" t="s">
        <v>7</v>
      </c>
      <c r="C47" s="8" t="s">
        <v>98</v>
      </c>
      <c r="D47" s="6">
        <v>0</v>
      </c>
      <c r="E47" s="9">
        <v>287.05399999999997</v>
      </c>
      <c r="F47" s="4"/>
    </row>
    <row r="48" spans="1:6" x14ac:dyDescent="0.3">
      <c r="A48" s="7" t="s">
        <v>54</v>
      </c>
      <c r="B48" s="8" t="s">
        <v>8</v>
      </c>
      <c r="C48" s="8" t="s">
        <v>94</v>
      </c>
      <c r="D48" s="6">
        <v>0</v>
      </c>
      <c r="E48" s="9">
        <v>334.40990139956699</v>
      </c>
      <c r="F48" s="4"/>
    </row>
    <row r="49" spans="1:6" x14ac:dyDescent="0.3">
      <c r="A49" s="7" t="s">
        <v>55</v>
      </c>
      <c r="B49" s="8" t="s">
        <v>8</v>
      </c>
      <c r="C49" s="8" t="s">
        <v>95</v>
      </c>
      <c r="D49" s="6">
        <v>0</v>
      </c>
      <c r="E49" s="9">
        <v>310.35824991875199</v>
      </c>
      <c r="F49" s="4"/>
    </row>
    <row r="50" spans="1:6" x14ac:dyDescent="0.3">
      <c r="A50" s="7" t="s">
        <v>56</v>
      </c>
      <c r="B50" s="8" t="s">
        <v>8</v>
      </c>
      <c r="C50" s="8" t="s">
        <v>96</v>
      </c>
      <c r="D50" s="6">
        <v>0</v>
      </c>
      <c r="E50" s="9">
        <v>316.21891660017798</v>
      </c>
      <c r="F50" s="4"/>
    </row>
    <row r="51" spans="1:6" x14ac:dyDescent="0.3">
      <c r="A51" s="7" t="s">
        <v>57</v>
      </c>
      <c r="B51" s="8" t="s">
        <v>8</v>
      </c>
      <c r="C51" s="8" t="s">
        <v>97</v>
      </c>
      <c r="D51" s="6">
        <v>0</v>
      </c>
      <c r="E51" s="9">
        <v>314.555053101689</v>
      </c>
      <c r="F51" s="4"/>
    </row>
    <row r="52" spans="1:6" x14ac:dyDescent="0.3">
      <c r="A52" s="7" t="s">
        <v>58</v>
      </c>
      <c r="B52" s="8" t="s">
        <v>8</v>
      </c>
      <c r="C52" s="8" t="s">
        <v>98</v>
      </c>
      <c r="D52" s="6">
        <v>0</v>
      </c>
      <c r="E52" s="9">
        <v>297.66581065083898</v>
      </c>
      <c r="F52" s="4"/>
    </row>
    <row r="53" spans="1:6" x14ac:dyDescent="0.3">
      <c r="A53" s="7" t="s">
        <v>59</v>
      </c>
      <c r="B53" s="8" t="s">
        <v>9</v>
      </c>
      <c r="C53" s="8" t="s">
        <v>94</v>
      </c>
      <c r="D53" s="6">
        <v>0</v>
      </c>
      <c r="E53" s="9">
        <v>707.06500000000005</v>
      </c>
      <c r="F53" s="4"/>
    </row>
    <row r="54" spans="1:6" x14ac:dyDescent="0.3">
      <c r="A54" s="7" t="s">
        <v>60</v>
      </c>
      <c r="B54" s="8" t="s">
        <v>9</v>
      </c>
      <c r="C54" s="8" t="s">
        <v>95</v>
      </c>
      <c r="D54" s="6">
        <v>0</v>
      </c>
      <c r="E54" s="9">
        <v>713.04899999999998</v>
      </c>
      <c r="F54" s="4"/>
    </row>
    <row r="55" spans="1:6" x14ac:dyDescent="0.3">
      <c r="A55" s="7" t="s">
        <v>61</v>
      </c>
      <c r="B55" s="8" t="s">
        <v>9</v>
      </c>
      <c r="C55" s="8" t="s">
        <v>96</v>
      </c>
      <c r="D55" s="6">
        <v>0</v>
      </c>
      <c r="E55" s="9">
        <v>603.85599999999999</v>
      </c>
      <c r="F55" s="4"/>
    </row>
    <row r="56" spans="1:6" x14ac:dyDescent="0.3">
      <c r="A56" s="7" t="s">
        <v>62</v>
      </c>
      <c r="B56" s="8" t="s">
        <v>9</v>
      </c>
      <c r="C56" s="8" t="s">
        <v>97</v>
      </c>
      <c r="D56" s="6">
        <v>0</v>
      </c>
      <c r="E56" s="9">
        <v>488.68900000000002</v>
      </c>
      <c r="F56" s="4"/>
    </row>
    <row r="57" spans="1:6" x14ac:dyDescent="0.3">
      <c r="A57" s="7" t="s">
        <v>63</v>
      </c>
      <c r="B57" s="8" t="s">
        <v>9</v>
      </c>
      <c r="C57" s="8" t="s">
        <v>98</v>
      </c>
      <c r="D57" s="6">
        <v>0</v>
      </c>
      <c r="E57" s="9">
        <v>381.36700000000002</v>
      </c>
      <c r="F57" s="4"/>
    </row>
    <row r="58" spans="1:6" x14ac:dyDescent="0.3">
      <c r="A58" s="7" t="s">
        <v>102</v>
      </c>
      <c r="B58" s="8" t="s">
        <v>64</v>
      </c>
      <c r="C58" s="8" t="s">
        <v>94</v>
      </c>
      <c r="D58" s="6">
        <v>0</v>
      </c>
      <c r="E58" s="9">
        <v>560.93585269017797</v>
      </c>
      <c r="F58" s="4"/>
    </row>
    <row r="59" spans="1:6" x14ac:dyDescent="0.3">
      <c r="A59" s="7" t="s">
        <v>103</v>
      </c>
      <c r="B59" s="8" t="s">
        <v>64</v>
      </c>
      <c r="C59" s="8" t="s">
        <v>95</v>
      </c>
      <c r="D59" s="6">
        <v>0</v>
      </c>
      <c r="E59" s="9">
        <v>614.47872550832301</v>
      </c>
      <c r="F59" s="4"/>
    </row>
    <row r="60" spans="1:6" x14ac:dyDescent="0.3">
      <c r="A60" s="7" t="s">
        <v>104</v>
      </c>
      <c r="B60" s="8" t="s">
        <v>64</v>
      </c>
      <c r="C60" s="8" t="s">
        <v>96</v>
      </c>
      <c r="D60" s="6">
        <v>0</v>
      </c>
      <c r="E60" s="9">
        <v>621.22299129652799</v>
      </c>
      <c r="F60" s="4"/>
    </row>
    <row r="61" spans="1:6" x14ac:dyDescent="0.3">
      <c r="A61" s="7" t="s">
        <v>105</v>
      </c>
      <c r="B61" s="8" t="s">
        <v>64</v>
      </c>
      <c r="C61" s="8" t="s">
        <v>97</v>
      </c>
      <c r="D61" s="6">
        <v>0</v>
      </c>
      <c r="E61" s="9">
        <v>610.59658027129899</v>
      </c>
      <c r="F61" s="4"/>
    </row>
    <row r="62" spans="1:6" x14ac:dyDescent="0.3">
      <c r="A62" s="7" t="s">
        <v>106</v>
      </c>
      <c r="B62" s="8" t="s">
        <v>64</v>
      </c>
      <c r="C62" s="8" t="s">
        <v>98</v>
      </c>
      <c r="D62" s="6">
        <v>0</v>
      </c>
      <c r="E62" s="9">
        <v>545.43688543661597</v>
      </c>
      <c r="F62" s="4"/>
    </row>
    <row r="63" spans="1:6" x14ac:dyDescent="0.3">
      <c r="A63" s="7" t="s">
        <v>107</v>
      </c>
      <c r="B63" s="8" t="s">
        <v>65</v>
      </c>
      <c r="C63" s="8" t="s">
        <v>94</v>
      </c>
      <c r="D63" s="6">
        <v>0</v>
      </c>
      <c r="E63" s="9">
        <v>4.3490774731552699</v>
      </c>
      <c r="F63" s="4"/>
    </row>
    <row r="64" spans="1:6" x14ac:dyDescent="0.3">
      <c r="A64" s="7" t="s">
        <v>108</v>
      </c>
      <c r="B64" s="8" t="s">
        <v>65</v>
      </c>
      <c r="C64" s="8" t="s">
        <v>95</v>
      </c>
      <c r="D64" s="6">
        <v>0</v>
      </c>
      <c r="E64" s="9">
        <v>4.8159413760622201</v>
      </c>
      <c r="F64" s="4"/>
    </row>
    <row r="65" spans="1:6" x14ac:dyDescent="0.3">
      <c r="A65" s="7" t="s">
        <v>109</v>
      </c>
      <c r="B65" s="8" t="s">
        <v>65</v>
      </c>
      <c r="C65" s="8" t="s">
        <v>96</v>
      </c>
      <c r="D65" s="6">
        <v>0</v>
      </c>
      <c r="E65" s="9">
        <v>5.0266953078384402</v>
      </c>
      <c r="F65" s="4"/>
    </row>
    <row r="66" spans="1:6" x14ac:dyDescent="0.3">
      <c r="A66" s="7" t="s">
        <v>110</v>
      </c>
      <c r="B66" s="8" t="s">
        <v>65</v>
      </c>
      <c r="C66" s="8" t="s">
        <v>97</v>
      </c>
      <c r="D66" s="6">
        <v>0</v>
      </c>
      <c r="E66" s="9">
        <v>6.13945027329786</v>
      </c>
      <c r="F66" s="4"/>
    </row>
    <row r="67" spans="1:6" x14ac:dyDescent="0.3">
      <c r="A67" s="7" t="s">
        <v>111</v>
      </c>
      <c r="B67" s="8" t="s">
        <v>65</v>
      </c>
      <c r="C67" s="8" t="s">
        <v>98</v>
      </c>
      <c r="D67" s="6">
        <v>0</v>
      </c>
      <c r="E67" s="9">
        <v>4.5652000305771701</v>
      </c>
      <c r="F67"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9"/>
  <sheetViews>
    <sheetView showGridLines="0" workbookViewId="0">
      <selection activeCell="K5" sqref="K5"/>
    </sheetView>
  </sheetViews>
  <sheetFormatPr defaultColWidth="9.26953125" defaultRowHeight="13" x14ac:dyDescent="0.3"/>
  <cols>
    <col min="1" max="1" width="2.7265625" style="5" customWidth="1"/>
    <col min="2" max="16384" width="9.26953125" style="5"/>
  </cols>
  <sheetData>
    <row r="1" spans="1:15" ht="18.5" x14ac:dyDescent="0.45">
      <c r="A1" s="34" t="s">
        <v>89</v>
      </c>
    </row>
    <row r="2" spans="1:15" ht="15.5" x14ac:dyDescent="0.3">
      <c r="B2" s="35" t="s">
        <v>90</v>
      </c>
    </row>
    <row r="4" spans="1:15" x14ac:dyDescent="0.3">
      <c r="B4" s="36" t="str">
        <f>Data!D7</f>
        <v>£m, Enhancement capex wastewater, WINEP / NEP ~ Eels Regulations (measures at outfalls)</v>
      </c>
    </row>
    <row r="5" spans="1:15" ht="78" x14ac:dyDescent="0.3">
      <c r="C5" s="37">
        <v>2021</v>
      </c>
      <c r="D5" s="37">
        <v>2022</v>
      </c>
      <c r="E5" s="37">
        <v>2023</v>
      </c>
      <c r="F5" s="37">
        <v>2024</v>
      </c>
      <c r="G5" s="37">
        <v>2025</v>
      </c>
      <c r="H5" s="38" t="s">
        <v>91</v>
      </c>
      <c r="I5" s="38" t="s">
        <v>13</v>
      </c>
      <c r="K5" s="38" t="s">
        <v>92</v>
      </c>
      <c r="L5" s="38" t="s">
        <v>72</v>
      </c>
      <c r="M5" s="38" t="s">
        <v>93</v>
      </c>
    </row>
    <row r="6" spans="1:15" x14ac:dyDescent="0.3">
      <c r="B6" s="39" t="s">
        <v>0</v>
      </c>
      <c r="C6" s="40">
        <f>SUMIFS(Data!$D$8:$D$67,Data!$B$8:$B$67,$B6,Data!$C$8:$C$67,C$5)</f>
        <v>0</v>
      </c>
      <c r="D6" s="40">
        <f>SUMIFS(Data!$D$8:$D$67,Data!$B$8:$B$67,$B6,Data!$C$8:$C$67,D$5)</f>
        <v>0</v>
      </c>
      <c r="E6" s="40">
        <f>SUMIFS(Data!$D$8:$D$67,Data!$B$8:$B$67,$B6,Data!$C$8:$C$67,E$5)</f>
        <v>0</v>
      </c>
      <c r="F6" s="40">
        <f>SUMIFS(Data!$D$8:$D$67,Data!$B$8:$B$67,$B6,Data!$C$8:$C$67,F$5)</f>
        <v>0</v>
      </c>
      <c r="G6" s="40">
        <f>SUMIFS(Data!$D$8:$D$67,Data!$B$8:$B$67,$B6,Data!$C$8:$C$67,G$5)</f>
        <v>0</v>
      </c>
      <c r="H6" s="41">
        <f t="shared" ref="H6:H17" si="0">SUM(C6:G6)</f>
        <v>0</v>
      </c>
      <c r="I6" s="41">
        <v>0</v>
      </c>
      <c r="K6" s="42">
        <f>SUMIFS(Data!$E$8:$E$67,Data!$B$8:$B$67,$B6)</f>
        <v>3328.7444331702227</v>
      </c>
      <c r="L6" s="43">
        <f t="shared" ref="L6:L17" si="1">H6/K6</f>
        <v>0</v>
      </c>
      <c r="M6" s="41"/>
      <c r="O6" s="44"/>
    </row>
    <row r="7" spans="1:15" x14ac:dyDescent="0.3">
      <c r="B7" s="39" t="s">
        <v>65</v>
      </c>
      <c r="C7" s="40">
        <f>SUMIFS(Data!$D$8:$D$67,Data!$B$8:$B$67,$B7,Data!$C$8:$C$67,C$5)</f>
        <v>0</v>
      </c>
      <c r="D7" s="40">
        <f>SUMIFS(Data!$D$8:$D$67,Data!$B$8:$B$67,$B7,Data!$C$8:$C$67,D$5)</f>
        <v>0</v>
      </c>
      <c r="E7" s="40">
        <f>SUMIFS(Data!$D$8:$D$67,Data!$B$8:$B$67,$B7,Data!$C$8:$C$67,E$5)</f>
        <v>0</v>
      </c>
      <c r="F7" s="40">
        <f>SUMIFS(Data!$D$8:$D$67,Data!$B$8:$B$67,$B7,Data!$C$8:$C$67,F$5)</f>
        <v>0</v>
      </c>
      <c r="G7" s="40">
        <f>SUMIFS(Data!$D$8:$D$67,Data!$B$8:$B$67,$B7,Data!$C$8:$C$67,G$5)</f>
        <v>0</v>
      </c>
      <c r="H7" s="41">
        <f t="shared" si="0"/>
        <v>0</v>
      </c>
      <c r="I7" s="41">
        <v>0</v>
      </c>
      <c r="K7" s="42">
        <f>SUMIFS(Data!$E$8:$E$67,Data!$B$8:$B$67,$B7)</f>
        <v>24.896364460930961</v>
      </c>
      <c r="L7" s="43">
        <f t="shared" si="1"/>
        <v>0</v>
      </c>
      <c r="M7" s="41"/>
      <c r="O7" s="44"/>
    </row>
    <row r="8" spans="1:15" x14ac:dyDescent="0.3">
      <c r="B8" s="39" t="s">
        <v>1</v>
      </c>
      <c r="C8" s="40">
        <f>SUMIFS(Data!$D$8:$D$67,Data!$B$8:$B$67,$B8,Data!$C$8:$C$67,C$5)</f>
        <v>0</v>
      </c>
      <c r="D8" s="40">
        <f>SUMIFS(Data!$D$8:$D$67,Data!$B$8:$B$67,$B8,Data!$C$8:$C$67,D$5)</f>
        <v>0</v>
      </c>
      <c r="E8" s="40">
        <f>SUMIFS(Data!$D$8:$D$67,Data!$B$8:$B$67,$B8,Data!$C$8:$C$67,E$5)</f>
        <v>0</v>
      </c>
      <c r="F8" s="40">
        <f>SUMIFS(Data!$D$8:$D$67,Data!$B$8:$B$67,$B8,Data!$C$8:$C$67,F$5)</f>
        <v>0</v>
      </c>
      <c r="G8" s="40">
        <f>SUMIFS(Data!$D$8:$D$67,Data!$B$8:$B$67,$B8,Data!$C$8:$C$67,G$5)</f>
        <v>0</v>
      </c>
      <c r="H8" s="41">
        <f t="shared" si="0"/>
        <v>0</v>
      </c>
      <c r="I8" s="41">
        <v>0</v>
      </c>
      <c r="K8" s="42">
        <f>SUMIFS(Data!$E$8:$E$67,Data!$B$8:$B$67,$B8)</f>
        <v>1243.377</v>
      </c>
      <c r="L8" s="43">
        <f t="shared" si="1"/>
        <v>0</v>
      </c>
      <c r="M8" s="41"/>
      <c r="O8" s="44"/>
    </row>
    <row r="9" spans="1:15" x14ac:dyDescent="0.3">
      <c r="B9" s="39" t="s">
        <v>2</v>
      </c>
      <c r="C9" s="40">
        <f>SUMIFS(Data!$D$8:$D$67,Data!$B$8:$B$67,$B9,Data!$C$8:$C$67,C$5)</f>
        <v>0</v>
      </c>
      <c r="D9" s="40">
        <f>SUMIFS(Data!$D$8:$D$67,Data!$B$8:$B$67,$B9,Data!$C$8:$C$67,D$5)</f>
        <v>0</v>
      </c>
      <c r="E9" s="40">
        <f>SUMIFS(Data!$D$8:$D$67,Data!$B$8:$B$67,$B9,Data!$C$8:$C$67,E$5)</f>
        <v>0</v>
      </c>
      <c r="F9" s="59">
        <f>SUMIFS(Data!$D$8:$D$67,Data!$B$8:$B$67,$B9,Data!$C$8:$C$67,F$5)</f>
        <v>5.5E-2</v>
      </c>
      <c r="G9" s="59">
        <f>SUMIFS(Data!$D$8:$D$67,Data!$B$8:$B$67,$B9,Data!$C$8:$C$67,G$5)</f>
        <v>0.11</v>
      </c>
      <c r="H9" s="60">
        <f t="shared" si="0"/>
        <v>0.16500000000000001</v>
      </c>
      <c r="I9" s="41">
        <v>0</v>
      </c>
      <c r="K9" s="42">
        <f>SUMIFS(Data!$E$8:$E$67,Data!$B$8:$B$67,$B9)</f>
        <v>3013.0588535929037</v>
      </c>
      <c r="L9" s="43">
        <f t="shared" si="1"/>
        <v>5.4761625317489818E-5</v>
      </c>
      <c r="M9" s="60">
        <f>H9</f>
        <v>0.16500000000000001</v>
      </c>
      <c r="O9" s="44"/>
    </row>
    <row r="10" spans="1:15" x14ac:dyDescent="0.3">
      <c r="B10" s="39" t="s">
        <v>3</v>
      </c>
      <c r="C10" s="40">
        <f>SUMIFS(Data!$D$8:$D$67,Data!$B$8:$B$67,$B10,Data!$C$8:$C$67,C$5)</f>
        <v>0</v>
      </c>
      <c r="D10" s="40">
        <f>SUMIFS(Data!$D$8:$D$67,Data!$B$8:$B$67,$B10,Data!$C$8:$C$67,D$5)</f>
        <v>0</v>
      </c>
      <c r="E10" s="40">
        <f>SUMIFS(Data!$D$8:$D$67,Data!$B$8:$B$67,$B10,Data!$C$8:$C$67,E$5)</f>
        <v>0</v>
      </c>
      <c r="F10" s="59">
        <f>SUMIFS(Data!$D$8:$D$67,Data!$B$8:$B$67,$B10,Data!$C$8:$C$67,F$5)</f>
        <v>0</v>
      </c>
      <c r="G10" s="59">
        <f>SUMIFS(Data!$D$8:$D$67,Data!$B$8:$B$67,$B10,Data!$C$8:$C$67,G$5)</f>
        <v>0</v>
      </c>
      <c r="H10" s="60">
        <f t="shared" si="0"/>
        <v>0</v>
      </c>
      <c r="I10" s="41">
        <v>0</v>
      </c>
      <c r="K10" s="42">
        <f>SUMIFS(Data!$E$8:$E$67,Data!$B$8:$B$67,$B10)</f>
        <v>2609.462</v>
      </c>
      <c r="L10" s="43">
        <f t="shared" si="1"/>
        <v>0</v>
      </c>
      <c r="M10" s="41"/>
      <c r="O10" s="44"/>
    </row>
    <row r="11" spans="1:15" x14ac:dyDescent="0.3">
      <c r="B11" s="39" t="s">
        <v>64</v>
      </c>
      <c r="C11" s="40">
        <f>SUMIFS(Data!$D$8:$D$67,Data!$B$8:$B$67,$B11,Data!$C$8:$C$67,C$5)</f>
        <v>0</v>
      </c>
      <c r="D11" s="40">
        <f>SUMIFS(Data!$D$8:$D$67,Data!$B$8:$B$67,$B11,Data!$C$8:$C$67,D$5)</f>
        <v>0</v>
      </c>
      <c r="E11" s="40">
        <f>SUMIFS(Data!$D$8:$D$67,Data!$B$8:$B$67,$B11,Data!$C$8:$C$67,E$5)</f>
        <v>0</v>
      </c>
      <c r="F11" s="59">
        <f>SUMIFS(Data!$D$8:$D$67,Data!$B$8:$B$67,$B11,Data!$C$8:$C$67,F$5)</f>
        <v>0</v>
      </c>
      <c r="G11" s="59">
        <f>SUMIFS(Data!$D$8:$D$67,Data!$B$8:$B$67,$B11,Data!$C$8:$C$67,G$5)</f>
        <v>0</v>
      </c>
      <c r="H11" s="60">
        <f t="shared" si="0"/>
        <v>0</v>
      </c>
      <c r="I11" s="41">
        <v>0</v>
      </c>
      <c r="K11" s="42">
        <f>SUMIFS(Data!$E$8:$E$67,Data!$B$8:$B$67,$B11)</f>
        <v>2952.671035202944</v>
      </c>
      <c r="L11" s="43">
        <f t="shared" si="1"/>
        <v>0</v>
      </c>
      <c r="M11" s="41"/>
      <c r="O11" s="44"/>
    </row>
    <row r="12" spans="1:15" x14ac:dyDescent="0.3">
      <c r="B12" s="39" t="s">
        <v>5</v>
      </c>
      <c r="C12" s="40">
        <f>SUMIFS(Data!$D$8:$D$67,Data!$B$8:$B$67,$B12,Data!$C$8:$C$67,C$5)</f>
        <v>0</v>
      </c>
      <c r="D12" s="40">
        <f>SUMIFS(Data!$D$8:$D$67,Data!$B$8:$B$67,$B12,Data!$C$8:$C$67,D$5)</f>
        <v>0</v>
      </c>
      <c r="E12" s="40">
        <f>SUMIFS(Data!$D$8:$D$67,Data!$B$8:$B$67,$B12,Data!$C$8:$C$67,E$5)</f>
        <v>0</v>
      </c>
      <c r="F12" s="59">
        <f>SUMIFS(Data!$D$8:$D$67,Data!$B$8:$B$67,$B12,Data!$C$8:$C$67,F$5)</f>
        <v>0</v>
      </c>
      <c r="G12" s="59">
        <f>SUMIFS(Data!$D$8:$D$67,Data!$B$8:$B$67,$B12,Data!$C$8:$C$67,G$5)</f>
        <v>0</v>
      </c>
      <c r="H12" s="60">
        <f t="shared" si="0"/>
        <v>0</v>
      </c>
      <c r="I12" s="41">
        <v>0</v>
      </c>
      <c r="K12" s="42">
        <f>SUMIFS(Data!$E$8:$E$67,Data!$B$8:$B$67,$B12)</f>
        <v>951.08800000000008</v>
      </c>
      <c r="L12" s="43">
        <f t="shared" si="1"/>
        <v>0</v>
      </c>
      <c r="M12" s="41"/>
      <c r="O12" s="44"/>
    </row>
    <row r="13" spans="1:15" x14ac:dyDescent="0.3">
      <c r="B13" s="39" t="s">
        <v>6</v>
      </c>
      <c r="C13" s="40">
        <f>SUMIFS(Data!$D$8:$D$67,Data!$B$8:$B$67,$B13,Data!$C$8:$C$67,C$5)</f>
        <v>0</v>
      </c>
      <c r="D13" s="40">
        <f>SUMIFS(Data!$D$8:$D$67,Data!$B$8:$B$67,$B13,Data!$C$8:$C$67,D$5)</f>
        <v>0</v>
      </c>
      <c r="E13" s="40">
        <f>SUMIFS(Data!$D$8:$D$67,Data!$B$8:$B$67,$B13,Data!$C$8:$C$67,E$5)</f>
        <v>0</v>
      </c>
      <c r="F13" s="59">
        <f>SUMIFS(Data!$D$8:$D$67,Data!$B$8:$B$67,$B13,Data!$C$8:$C$67,F$5)</f>
        <v>0</v>
      </c>
      <c r="G13" s="59">
        <f>SUMIFS(Data!$D$8:$D$67,Data!$B$8:$B$67,$B13,Data!$C$8:$C$67,G$5)</f>
        <v>0</v>
      </c>
      <c r="H13" s="60">
        <f t="shared" si="0"/>
        <v>0</v>
      </c>
      <c r="I13" s="41">
        <v>0</v>
      </c>
      <c r="K13" s="42">
        <f>SUMIFS(Data!$E$8:$E$67,Data!$B$8:$B$67,$B13)</f>
        <v>4997.1676900586726</v>
      </c>
      <c r="L13" s="43">
        <f t="shared" si="1"/>
        <v>0</v>
      </c>
      <c r="M13" s="41"/>
      <c r="O13" s="44"/>
    </row>
    <row r="14" spans="1:15" x14ac:dyDescent="0.3">
      <c r="B14" s="39" t="s">
        <v>7</v>
      </c>
      <c r="C14" s="40">
        <f>SUMIFS(Data!$D$8:$D$67,Data!$B$8:$B$67,$B14,Data!$C$8:$C$67,C$5)</f>
        <v>0</v>
      </c>
      <c r="D14" s="40">
        <f>SUMIFS(Data!$D$8:$D$67,Data!$B$8:$B$67,$B14,Data!$C$8:$C$67,D$5)</f>
        <v>0</v>
      </c>
      <c r="E14" s="40">
        <f>SUMIFS(Data!$D$8:$D$67,Data!$B$8:$B$67,$B14,Data!$C$8:$C$67,E$5)</f>
        <v>0</v>
      </c>
      <c r="F14" s="59">
        <f>SUMIFS(Data!$D$8:$D$67,Data!$B$8:$B$67,$B14,Data!$C$8:$C$67,F$5)</f>
        <v>0</v>
      </c>
      <c r="G14" s="59">
        <f>SUMIFS(Data!$D$8:$D$67,Data!$B$8:$B$67,$B14,Data!$C$8:$C$67,G$5)</f>
        <v>0</v>
      </c>
      <c r="H14" s="60">
        <f t="shared" si="0"/>
        <v>0</v>
      </c>
      <c r="I14" s="41">
        <v>0</v>
      </c>
      <c r="K14" s="42">
        <f>SUMIFS(Data!$E$8:$E$67,Data!$B$8:$B$67,$B14)</f>
        <v>1529.0949999999998</v>
      </c>
      <c r="L14" s="43">
        <f t="shared" si="1"/>
        <v>0</v>
      </c>
      <c r="M14" s="41"/>
      <c r="O14" s="44"/>
    </row>
    <row r="15" spans="1:15" x14ac:dyDescent="0.3">
      <c r="B15" s="39" t="s">
        <v>8</v>
      </c>
      <c r="C15" s="40">
        <f>SUMIFS(Data!$D$8:$D$67,Data!$B$8:$B$67,$B15,Data!$C$8:$C$67,C$5)</f>
        <v>0</v>
      </c>
      <c r="D15" s="40">
        <f>SUMIFS(Data!$D$8:$D$67,Data!$B$8:$B$67,$B15,Data!$C$8:$C$67,D$5)</f>
        <v>0</v>
      </c>
      <c r="E15" s="40">
        <f>SUMIFS(Data!$D$8:$D$67,Data!$B$8:$B$67,$B15,Data!$C$8:$C$67,E$5)</f>
        <v>0</v>
      </c>
      <c r="F15" s="59">
        <f>SUMIFS(Data!$D$8:$D$67,Data!$B$8:$B$67,$B15,Data!$C$8:$C$67,F$5)</f>
        <v>0</v>
      </c>
      <c r="G15" s="59">
        <f>SUMIFS(Data!$D$8:$D$67,Data!$B$8:$B$67,$B15,Data!$C$8:$C$67,G$5)</f>
        <v>0</v>
      </c>
      <c r="H15" s="60">
        <f t="shared" si="0"/>
        <v>0</v>
      </c>
      <c r="I15" s="41">
        <v>0</v>
      </c>
      <c r="K15" s="42">
        <f>SUMIFS(Data!$E$8:$E$67,Data!$B$8:$B$67,$B15)</f>
        <v>1573.2079316710249</v>
      </c>
      <c r="L15" s="43">
        <f t="shared" si="1"/>
        <v>0</v>
      </c>
      <c r="M15" s="41"/>
      <c r="O15" s="44"/>
    </row>
    <row r="16" spans="1:15" x14ac:dyDescent="0.3">
      <c r="B16" s="39" t="s">
        <v>9</v>
      </c>
      <c r="C16" s="40">
        <f>SUMIFS(Data!$D$8:$D$67,Data!$B$8:$B$67,$B16,Data!$C$8:$C$67,C$5)</f>
        <v>0</v>
      </c>
      <c r="D16" s="40">
        <f>SUMIFS(Data!$D$8:$D$67,Data!$B$8:$B$67,$B16,Data!$C$8:$C$67,D$5)</f>
        <v>0</v>
      </c>
      <c r="E16" s="40">
        <f>SUMIFS(Data!$D$8:$D$67,Data!$B$8:$B$67,$B16,Data!$C$8:$C$67,E$5)</f>
        <v>0</v>
      </c>
      <c r="F16" s="59">
        <f>SUMIFS(Data!$D$8:$D$67,Data!$B$8:$B$67,$B16,Data!$C$8:$C$67,F$5)</f>
        <v>0</v>
      </c>
      <c r="G16" s="59">
        <f>SUMIFS(Data!$D$8:$D$67,Data!$B$8:$B$67,$B16,Data!$C$8:$C$67,G$5)</f>
        <v>0</v>
      </c>
      <c r="H16" s="60">
        <f t="shared" si="0"/>
        <v>0</v>
      </c>
      <c r="I16" s="41">
        <v>0</v>
      </c>
      <c r="K16" s="42">
        <f>SUMIFS(Data!$E$8:$E$67,Data!$B$8:$B$67,$B16)</f>
        <v>2894.0260000000003</v>
      </c>
      <c r="L16" s="43">
        <f t="shared" si="1"/>
        <v>0</v>
      </c>
      <c r="M16" s="41"/>
      <c r="O16" s="44"/>
    </row>
    <row r="17" spans="2:12" x14ac:dyDescent="0.3">
      <c r="B17" s="45" t="s">
        <v>79</v>
      </c>
      <c r="C17" s="41">
        <f>SUM(C6:C16)</f>
        <v>0</v>
      </c>
      <c r="D17" s="41">
        <f>SUM(D6:D16)</f>
        <v>0</v>
      </c>
      <c r="E17" s="41">
        <f>SUM(E6:E16)</f>
        <v>0</v>
      </c>
      <c r="F17" s="60">
        <f>SUM(F6:F16)</f>
        <v>5.5E-2</v>
      </c>
      <c r="G17" s="60">
        <f>SUM(G6:G16)</f>
        <v>0.11</v>
      </c>
      <c r="H17" s="60">
        <f t="shared" si="0"/>
        <v>0.16500000000000001</v>
      </c>
      <c r="I17" s="41">
        <f>SUM(I6:I16)</f>
        <v>0</v>
      </c>
      <c r="K17" s="46">
        <f>SUM(K6:K16)</f>
        <v>25116.794308156703</v>
      </c>
      <c r="L17" s="47">
        <f t="shared" si="1"/>
        <v>6.5693096808304119E-6</v>
      </c>
    </row>
    <row r="19" spans="2:12" ht="14.5" x14ac:dyDescent="0.35">
      <c r="C19" s="5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M25"/>
  <sheetViews>
    <sheetView showGridLines="0" zoomScaleNormal="100" workbookViewId="0">
      <selection activeCell="K12" sqref="K12"/>
    </sheetView>
  </sheetViews>
  <sheetFormatPr defaultColWidth="9.26953125" defaultRowHeight="13" x14ac:dyDescent="0.3"/>
  <cols>
    <col min="1" max="1" width="2.6328125" style="5" customWidth="1"/>
    <col min="2" max="2" width="2.7265625" style="5" customWidth="1"/>
    <col min="3" max="3" width="14.26953125" style="5" customWidth="1"/>
    <col min="4" max="5" width="19.26953125" style="5" customWidth="1"/>
    <col min="6" max="6" width="11.6328125" style="5" bestFit="1" customWidth="1"/>
    <col min="7" max="7" width="11.6328125" style="5" customWidth="1"/>
    <col min="8" max="8" width="11.26953125" style="5" bestFit="1" customWidth="1"/>
    <col min="9" max="9" width="9.26953125" style="5"/>
    <col min="10" max="10" width="10.26953125" style="5" customWidth="1"/>
    <col min="11" max="12" width="10.7265625" style="5" customWidth="1"/>
    <col min="13" max="13" width="14.26953125" style="5" customWidth="1"/>
    <col min="14" max="16384" width="9.26953125" style="5"/>
  </cols>
  <sheetData>
    <row r="1" spans="2:13" ht="18.5" x14ac:dyDescent="0.45">
      <c r="B1" s="10" t="s">
        <v>73</v>
      </c>
      <c r="C1" s="10"/>
      <c r="D1" s="10"/>
      <c r="E1" s="10"/>
      <c r="F1" s="10"/>
      <c r="G1" s="10"/>
      <c r="H1" s="10"/>
    </row>
    <row r="3" spans="2:13" x14ac:dyDescent="0.3">
      <c r="C3" s="15" t="s">
        <v>11</v>
      </c>
      <c r="D3" s="16" t="s">
        <v>112</v>
      </c>
      <c r="E3" s="17"/>
    </row>
    <row r="4" spans="2:13" x14ac:dyDescent="0.3">
      <c r="C4" s="15" t="s">
        <v>74</v>
      </c>
      <c r="D4" s="16" t="s">
        <v>113</v>
      </c>
      <c r="E4" s="17"/>
    </row>
    <row r="5" spans="2:13" x14ac:dyDescent="0.3">
      <c r="C5" s="15" t="s">
        <v>75</v>
      </c>
      <c r="D5" s="18" t="s">
        <v>68</v>
      </c>
      <c r="E5" s="19"/>
      <c r="F5" s="20"/>
      <c r="G5" s="20"/>
    </row>
    <row r="6" spans="2:13" x14ac:dyDescent="0.3">
      <c r="C6" s="15" t="s">
        <v>76</v>
      </c>
      <c r="D6" s="18" t="s">
        <v>69</v>
      </c>
      <c r="E6" s="21"/>
    </row>
    <row r="7" spans="2:13" x14ac:dyDescent="0.3">
      <c r="C7" s="22" t="s">
        <v>12</v>
      </c>
      <c r="D7" s="23" t="s">
        <v>71</v>
      </c>
      <c r="E7" s="17"/>
    </row>
    <row r="10" spans="2:13" ht="12.75" customHeight="1" x14ac:dyDescent="0.3">
      <c r="B10" s="11" t="s">
        <v>77</v>
      </c>
    </row>
    <row r="11" spans="2:13" ht="12.75" customHeight="1" x14ac:dyDescent="0.3">
      <c r="B11" s="20"/>
      <c r="C11" s="20"/>
      <c r="D11" s="20"/>
      <c r="E11" s="20"/>
      <c r="F11" s="20"/>
      <c r="G11" s="20"/>
      <c r="H11" s="20"/>
      <c r="I11" s="20"/>
      <c r="J11" s="24"/>
      <c r="K11" s="20"/>
    </row>
    <row r="12" spans="2:13" ht="52" x14ac:dyDescent="0.3">
      <c r="C12" s="12" t="s">
        <v>10</v>
      </c>
      <c r="D12" s="12" t="s">
        <v>80</v>
      </c>
      <c r="E12" s="12" t="s">
        <v>81</v>
      </c>
      <c r="F12" s="12" t="s">
        <v>82</v>
      </c>
      <c r="G12" s="12" t="s">
        <v>83</v>
      </c>
      <c r="H12" s="12" t="s">
        <v>87</v>
      </c>
      <c r="I12" s="13" t="s">
        <v>88</v>
      </c>
      <c r="J12" s="14" t="s">
        <v>84</v>
      </c>
      <c r="K12" s="12" t="s">
        <v>85</v>
      </c>
      <c r="L12" s="12" t="s">
        <v>86</v>
      </c>
      <c r="M12" s="12" t="s">
        <v>78</v>
      </c>
    </row>
    <row r="13" spans="2:13" x14ac:dyDescent="0.3">
      <c r="B13" s="26">
        <v>1</v>
      </c>
      <c r="C13" s="27" t="s">
        <v>0</v>
      </c>
      <c r="D13" s="28">
        <f>SUMIF(Data!$B$8:$B$67,Allowance!$C13,Data!$D$8:$D$67)</f>
        <v>0</v>
      </c>
      <c r="E13" s="28">
        <v>0</v>
      </c>
      <c r="F13" s="28">
        <f>SUM(E13,G13)</f>
        <v>0</v>
      </c>
      <c r="G13" s="28">
        <v>0</v>
      </c>
      <c r="H13" s="28">
        <f>D13+G13</f>
        <v>0</v>
      </c>
      <c r="I13" s="28">
        <f>Analysis!M6</f>
        <v>0</v>
      </c>
      <c r="J13" s="29">
        <f>MIN(H13,I13)</f>
        <v>0</v>
      </c>
      <c r="K13" s="28">
        <v>0</v>
      </c>
      <c r="L13" s="28">
        <f>$J13*$K13</f>
        <v>0</v>
      </c>
      <c r="M13" s="28">
        <f>$J13*(1-$K13)</f>
        <v>0</v>
      </c>
    </row>
    <row r="14" spans="2:13" x14ac:dyDescent="0.3">
      <c r="B14" s="26">
        <v>2</v>
      </c>
      <c r="C14" s="27" t="s">
        <v>65</v>
      </c>
      <c r="D14" s="28">
        <f>SUMIF(Data!$B$8:$B$67,Allowance!$C14,Data!$D$8:$D$67)</f>
        <v>0</v>
      </c>
      <c r="E14" s="28">
        <v>0</v>
      </c>
      <c r="F14" s="28">
        <f t="shared" ref="F14" si="0">SUM(E14,G14)</f>
        <v>0</v>
      </c>
      <c r="G14" s="28">
        <v>0</v>
      </c>
      <c r="H14" s="28">
        <f t="shared" ref="H14" si="1">D14+G14</f>
        <v>0</v>
      </c>
      <c r="I14" s="28">
        <f>Analysis!M7</f>
        <v>0</v>
      </c>
      <c r="J14" s="29">
        <f t="shared" ref="J14" si="2">MIN(H14,I14)</f>
        <v>0</v>
      </c>
      <c r="K14" s="28">
        <v>0</v>
      </c>
      <c r="L14" s="28">
        <f t="shared" ref="L14:L23" si="3">$J14*$K14</f>
        <v>0</v>
      </c>
      <c r="M14" s="28">
        <f t="shared" ref="M14:M23" si="4">$J14*(1-$K14)</f>
        <v>0</v>
      </c>
    </row>
    <row r="15" spans="2:13" x14ac:dyDescent="0.3">
      <c r="B15" s="26">
        <v>3</v>
      </c>
      <c r="C15" s="27" t="s">
        <v>1</v>
      </c>
      <c r="D15" s="28">
        <f>SUMIF(Data!$B$8:$B$67,Allowance!$C15,Data!$D$8:$D$67)</f>
        <v>0</v>
      </c>
      <c r="E15" s="28">
        <v>0</v>
      </c>
      <c r="F15" s="28">
        <f t="shared" ref="F15:F23" si="5">SUM(E15,G15)</f>
        <v>0</v>
      </c>
      <c r="G15" s="28">
        <v>0</v>
      </c>
      <c r="H15" s="28">
        <f t="shared" ref="H15:H23" si="6">D15+G15</f>
        <v>0</v>
      </c>
      <c r="I15" s="28">
        <f>Analysis!M8</f>
        <v>0</v>
      </c>
      <c r="J15" s="29">
        <f t="shared" ref="J15:J23" si="7">MIN(H15,I15)</f>
        <v>0</v>
      </c>
      <c r="K15" s="28">
        <v>0</v>
      </c>
      <c r="L15" s="28">
        <f t="shared" si="3"/>
        <v>0</v>
      </c>
      <c r="M15" s="28">
        <f t="shared" si="4"/>
        <v>0</v>
      </c>
    </row>
    <row r="16" spans="2:13" x14ac:dyDescent="0.3">
      <c r="B16" s="26">
        <v>4</v>
      </c>
      <c r="C16" s="27" t="s">
        <v>2</v>
      </c>
      <c r="D16" s="28">
        <f>SUMIF(Data!$B$8:$B$67,Allowance!$C16,Data!$D$8:$D$67)</f>
        <v>0.16500000000000001</v>
      </c>
      <c r="E16" s="28">
        <v>0</v>
      </c>
      <c r="F16" s="28">
        <f t="shared" si="5"/>
        <v>0</v>
      </c>
      <c r="G16" s="28">
        <v>0</v>
      </c>
      <c r="H16" s="28">
        <f t="shared" si="6"/>
        <v>0.16500000000000001</v>
      </c>
      <c r="I16" s="28">
        <f>Analysis!M9</f>
        <v>0.16500000000000001</v>
      </c>
      <c r="J16" s="29">
        <f t="shared" si="7"/>
        <v>0.16500000000000001</v>
      </c>
      <c r="K16" s="28">
        <v>0</v>
      </c>
      <c r="L16" s="28">
        <f t="shared" si="3"/>
        <v>0</v>
      </c>
      <c r="M16" s="28">
        <f t="shared" si="4"/>
        <v>0.16500000000000001</v>
      </c>
    </row>
    <row r="17" spans="2:13" x14ac:dyDescent="0.3">
      <c r="B17" s="26">
        <v>5</v>
      </c>
      <c r="C17" s="27" t="s">
        <v>3</v>
      </c>
      <c r="D17" s="28">
        <f>SUMIF(Data!$B$8:$B$67,Allowance!$C17,Data!$D$8:$D$67)</f>
        <v>0</v>
      </c>
      <c r="E17" s="28">
        <v>0</v>
      </c>
      <c r="F17" s="28">
        <f t="shared" si="5"/>
        <v>0</v>
      </c>
      <c r="G17" s="28">
        <v>0</v>
      </c>
      <c r="H17" s="28">
        <f t="shared" si="6"/>
        <v>0</v>
      </c>
      <c r="I17" s="28">
        <f>Analysis!M10</f>
        <v>0</v>
      </c>
      <c r="J17" s="29">
        <f t="shared" si="7"/>
        <v>0</v>
      </c>
      <c r="K17" s="28">
        <v>0</v>
      </c>
      <c r="L17" s="28">
        <f t="shared" si="3"/>
        <v>0</v>
      </c>
      <c r="M17" s="28">
        <f t="shared" si="4"/>
        <v>0</v>
      </c>
    </row>
    <row r="18" spans="2:13" x14ac:dyDescent="0.3">
      <c r="B18" s="26">
        <v>6</v>
      </c>
      <c r="C18" s="27" t="s">
        <v>64</v>
      </c>
      <c r="D18" s="28">
        <f>SUMIF(Data!$B$8:$B$67,Allowance!$C18,Data!$D$8:$D$67)</f>
        <v>0</v>
      </c>
      <c r="E18" s="28">
        <v>0</v>
      </c>
      <c r="F18" s="28">
        <f t="shared" ref="F18" si="8">SUM(E18,G18)</f>
        <v>0</v>
      </c>
      <c r="G18" s="28">
        <v>0</v>
      </c>
      <c r="H18" s="28">
        <f t="shared" ref="H18" si="9">D18+G18</f>
        <v>0</v>
      </c>
      <c r="I18" s="28">
        <f>Analysis!M11</f>
        <v>0</v>
      </c>
      <c r="J18" s="29">
        <f t="shared" ref="J18" si="10">MIN(H18,I18)</f>
        <v>0</v>
      </c>
      <c r="K18" s="28">
        <v>0</v>
      </c>
      <c r="L18" s="28">
        <f t="shared" si="3"/>
        <v>0</v>
      </c>
      <c r="M18" s="28">
        <f t="shared" si="4"/>
        <v>0</v>
      </c>
    </row>
    <row r="19" spans="2:13" ht="14.5" x14ac:dyDescent="0.35">
      <c r="B19" s="26">
        <v>7</v>
      </c>
      <c r="C19" s="52" t="s">
        <v>5</v>
      </c>
      <c r="D19" s="28">
        <f>SUMIF(Data!$B$8:$B$67,Allowance!$C19,Data!$D$8:$D$67)</f>
        <v>0</v>
      </c>
      <c r="E19" s="28">
        <v>0</v>
      </c>
      <c r="F19" s="28">
        <f t="shared" si="5"/>
        <v>0</v>
      </c>
      <c r="G19" s="28">
        <v>0</v>
      </c>
      <c r="H19" s="28">
        <f t="shared" si="6"/>
        <v>0</v>
      </c>
      <c r="I19" s="28">
        <f>Analysis!M12</f>
        <v>0</v>
      </c>
      <c r="J19" s="29">
        <f t="shared" si="7"/>
        <v>0</v>
      </c>
      <c r="K19" s="28">
        <v>0</v>
      </c>
      <c r="L19" s="28">
        <f t="shared" si="3"/>
        <v>0</v>
      </c>
      <c r="M19" s="28">
        <f t="shared" si="4"/>
        <v>0</v>
      </c>
    </row>
    <row r="20" spans="2:13" x14ac:dyDescent="0.3">
      <c r="B20" s="26">
        <v>8</v>
      </c>
      <c r="C20" s="27" t="s">
        <v>6</v>
      </c>
      <c r="D20" s="28">
        <f>SUMIF(Data!$B$8:$B$67,Allowance!$C20,Data!$D$8:$D$67)</f>
        <v>0</v>
      </c>
      <c r="E20" s="28">
        <v>0</v>
      </c>
      <c r="F20" s="28">
        <f t="shared" si="5"/>
        <v>0</v>
      </c>
      <c r="G20" s="28">
        <v>0</v>
      </c>
      <c r="H20" s="28">
        <f t="shared" si="6"/>
        <v>0</v>
      </c>
      <c r="I20" s="28">
        <f>Analysis!M13</f>
        <v>0</v>
      </c>
      <c r="J20" s="29">
        <f t="shared" si="7"/>
        <v>0</v>
      </c>
      <c r="K20" s="28">
        <v>0</v>
      </c>
      <c r="L20" s="28">
        <f t="shared" si="3"/>
        <v>0</v>
      </c>
      <c r="M20" s="28">
        <f t="shared" si="4"/>
        <v>0</v>
      </c>
    </row>
    <row r="21" spans="2:13" x14ac:dyDescent="0.3">
      <c r="B21" s="26">
        <v>9</v>
      </c>
      <c r="C21" s="27" t="s">
        <v>7</v>
      </c>
      <c r="D21" s="28">
        <f>SUMIF(Data!$B$8:$B$67,Allowance!$C21,Data!$D$8:$D$67)</f>
        <v>0</v>
      </c>
      <c r="E21" s="28">
        <v>0</v>
      </c>
      <c r="F21" s="28">
        <f t="shared" si="5"/>
        <v>0</v>
      </c>
      <c r="G21" s="28">
        <v>0</v>
      </c>
      <c r="H21" s="28">
        <f t="shared" si="6"/>
        <v>0</v>
      </c>
      <c r="I21" s="28">
        <f>Analysis!M14</f>
        <v>0</v>
      </c>
      <c r="J21" s="29">
        <f t="shared" si="7"/>
        <v>0</v>
      </c>
      <c r="K21" s="28">
        <v>0</v>
      </c>
      <c r="L21" s="28">
        <f t="shared" si="3"/>
        <v>0</v>
      </c>
      <c r="M21" s="28">
        <f t="shared" si="4"/>
        <v>0</v>
      </c>
    </row>
    <row r="22" spans="2:13" x14ac:dyDescent="0.3">
      <c r="B22" s="26">
        <v>10</v>
      </c>
      <c r="C22" s="27" t="s">
        <v>8</v>
      </c>
      <c r="D22" s="28">
        <f>SUMIF(Data!$B$8:$B$67,Allowance!$C22,Data!$D$8:$D$67)</f>
        <v>0</v>
      </c>
      <c r="E22" s="28">
        <v>0</v>
      </c>
      <c r="F22" s="28">
        <f t="shared" si="5"/>
        <v>0</v>
      </c>
      <c r="G22" s="28">
        <v>0</v>
      </c>
      <c r="H22" s="28">
        <f t="shared" si="6"/>
        <v>0</v>
      </c>
      <c r="I22" s="28">
        <f>Analysis!M15</f>
        <v>0</v>
      </c>
      <c r="J22" s="29">
        <f t="shared" si="7"/>
        <v>0</v>
      </c>
      <c r="K22" s="28">
        <v>0</v>
      </c>
      <c r="L22" s="28">
        <f t="shared" si="3"/>
        <v>0</v>
      </c>
      <c r="M22" s="28">
        <f t="shared" si="4"/>
        <v>0</v>
      </c>
    </row>
    <row r="23" spans="2:13" x14ac:dyDescent="0.3">
      <c r="B23" s="26">
        <v>11</v>
      </c>
      <c r="C23" s="27" t="s">
        <v>9</v>
      </c>
      <c r="D23" s="28">
        <f>SUMIF(Data!$B$8:$B$67,Allowance!$C23,Data!$D$8:$D$67)</f>
        <v>0</v>
      </c>
      <c r="E23" s="28">
        <v>0</v>
      </c>
      <c r="F23" s="28">
        <f t="shared" si="5"/>
        <v>0</v>
      </c>
      <c r="G23" s="28">
        <v>0</v>
      </c>
      <c r="H23" s="28">
        <f t="shared" si="6"/>
        <v>0</v>
      </c>
      <c r="I23" s="28">
        <f>Analysis!M16</f>
        <v>0</v>
      </c>
      <c r="J23" s="29">
        <f t="shared" si="7"/>
        <v>0</v>
      </c>
      <c r="K23" s="28">
        <v>0</v>
      </c>
      <c r="L23" s="28">
        <f t="shared" si="3"/>
        <v>0</v>
      </c>
      <c r="M23" s="28">
        <f t="shared" si="4"/>
        <v>0</v>
      </c>
    </row>
    <row r="24" spans="2:13" x14ac:dyDescent="0.3">
      <c r="C24" s="30" t="s">
        <v>79</v>
      </c>
      <c r="D24" s="31">
        <f>SUM(D13:D23)</f>
        <v>0.16500000000000001</v>
      </c>
      <c r="E24" s="31">
        <f>SUM(E13:E23)</f>
        <v>0</v>
      </c>
      <c r="F24" s="32">
        <f>SUM(E13:E23)</f>
        <v>0</v>
      </c>
      <c r="G24" s="28"/>
      <c r="H24" s="32">
        <f t="shared" ref="H24:M24" si="11">SUM(H13:H23)</f>
        <v>0.16500000000000001</v>
      </c>
      <c r="I24" s="33">
        <f t="shared" si="11"/>
        <v>0.16500000000000001</v>
      </c>
      <c r="J24" s="33">
        <f t="shared" si="11"/>
        <v>0.16500000000000001</v>
      </c>
      <c r="K24" s="33">
        <f t="shared" si="11"/>
        <v>0</v>
      </c>
      <c r="L24" s="33">
        <f t="shared" si="11"/>
        <v>0</v>
      </c>
      <c r="M24" s="33">
        <f t="shared" si="11"/>
        <v>0.16500000000000001</v>
      </c>
    </row>
    <row r="25" spans="2:13" x14ac:dyDescent="0.3">
      <c r="F25" s="25"/>
    </row>
  </sheetData>
  <dataValidations count="1">
    <dataValidation type="list" allowBlank="1" showInputMessage="1" showErrorMessage="1" sqref="D7:E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Data</vt:lpstr>
      <vt:lpstr>Analysis</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2019-01-24T10:08:00Z</dcterms:created>
  <dcterms:modified xsi:type="dcterms:W3CDTF">2019-01-25T15:41:49Z</dcterms:modified>
  <cp:category/>
  <cp:contentStatus/>
</cp:coreProperties>
</file>