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3040" windowHeight="8360" tabRatio="426"/>
  </bookViews>
  <sheets>
    <sheet name="Cover" sheetId="87" r:id="rId1"/>
    <sheet name="Data" sheetId="41" r:id="rId2"/>
    <sheet name="Analysis" sheetId="66" r:id="rId3"/>
    <sheet name="Allowance" sheetId="85" r:id="rId4"/>
  </sheets>
  <calcPr calcId="152511"/>
  <fileRecoveryPr autoRecover="0"/>
</workbook>
</file>

<file path=xl/calcChain.xml><?xml version="1.0" encoding="utf-8"?>
<calcChain xmlns="http://schemas.openxmlformats.org/spreadsheetml/2006/main">
  <c r="C16" i="66" l="1"/>
  <c r="C7" i="66"/>
  <c r="C8" i="66"/>
  <c r="C9" i="66"/>
  <c r="C10" i="66"/>
  <c r="C11" i="66"/>
  <c r="C12" i="66"/>
  <c r="C13" i="66"/>
  <c r="C14" i="66"/>
  <c r="C15" i="66"/>
  <c r="C6" i="66"/>
  <c r="C17" i="66" l="1"/>
  <c r="I18" i="85" l="1"/>
  <c r="K24" i="85" l="1"/>
  <c r="F20" i="85" l="1"/>
  <c r="F14" i="85"/>
  <c r="F17" i="85"/>
  <c r="F22" i="85"/>
  <c r="F15" i="85"/>
  <c r="F21" i="85"/>
  <c r="F16" i="85"/>
  <c r="E24" i="85"/>
  <c r="E14" i="66" l="1"/>
  <c r="D22" i="85"/>
  <c r="E9" i="66"/>
  <c r="D17" i="85"/>
  <c r="D21" i="85"/>
  <c r="E13" i="66"/>
  <c r="D14" i="85"/>
  <c r="E16" i="66"/>
  <c r="E8" i="66"/>
  <c r="D16" i="85"/>
  <c r="E7" i="66"/>
  <c r="D15" i="85"/>
  <c r="E12" i="66"/>
  <c r="D20" i="85"/>
  <c r="F23" i="85"/>
  <c r="F19" i="85"/>
  <c r="E11" i="66" l="1"/>
  <c r="D19" i="85"/>
  <c r="E15" i="66"/>
  <c r="D23" i="85"/>
  <c r="F18" i="85"/>
  <c r="E10" i="66" l="1"/>
  <c r="D18" i="85"/>
  <c r="F9" i="66"/>
  <c r="F15" i="66"/>
  <c r="H22" i="85" l="1"/>
  <c r="H23" i="85"/>
  <c r="H17" i="85"/>
  <c r="H18" i="85"/>
  <c r="J18" i="85" s="1"/>
  <c r="H15" i="85"/>
  <c r="F7" i="66"/>
  <c r="F11" i="66" l="1"/>
  <c r="M18" i="85"/>
  <c r="L18" i="85"/>
  <c r="H14" i="85"/>
  <c r="F14" i="66"/>
  <c r="F12" i="66"/>
  <c r="F13" i="66"/>
  <c r="F8" i="66"/>
  <c r="H20" i="85"/>
  <c r="H16" i="85"/>
  <c r="H21" i="85"/>
  <c r="H19" i="85"/>
  <c r="F16" i="66" l="1"/>
  <c r="G24" i="85" l="1"/>
  <c r="F13" i="85"/>
  <c r="E6" i="66" l="1"/>
  <c r="E17" i="66" s="1"/>
  <c r="K6" i="66" s="1"/>
  <c r="D13" i="85"/>
  <c r="F24" i="85"/>
  <c r="F6" i="66" l="1"/>
  <c r="L6" i="66" s="1"/>
  <c r="G6" i="66" l="1"/>
  <c r="F17" i="66"/>
  <c r="H13" i="85"/>
  <c r="D24" i="85"/>
  <c r="H9" i="66" l="1"/>
  <c r="I17" i="85" s="1"/>
  <c r="J17" i="85" s="1"/>
  <c r="H11" i="66"/>
  <c r="I19" i="85" s="1"/>
  <c r="J19" i="85" s="1"/>
  <c r="H13" i="66"/>
  <c r="I21" i="85" s="1"/>
  <c r="J21" i="85" s="1"/>
  <c r="G14" i="66"/>
  <c r="G12" i="66"/>
  <c r="H14" i="66"/>
  <c r="I22" i="85" s="1"/>
  <c r="J22" i="85" s="1"/>
  <c r="G7" i="66"/>
  <c r="H6" i="66"/>
  <c r="G11" i="66"/>
  <c r="H15" i="66"/>
  <c r="I23" i="85" s="1"/>
  <c r="J23" i="85" s="1"/>
  <c r="H16" i="66"/>
  <c r="I14" i="85" s="1"/>
  <c r="J14" i="85" s="1"/>
  <c r="H7" i="66"/>
  <c r="I15" i="85" s="1"/>
  <c r="J15" i="85" s="1"/>
  <c r="G13" i="66"/>
  <c r="G8" i="66"/>
  <c r="H8" i="66"/>
  <c r="I16" i="85" s="1"/>
  <c r="J16" i="85" s="1"/>
  <c r="H12" i="66"/>
  <c r="I20" i="85" s="1"/>
  <c r="J20" i="85" s="1"/>
  <c r="G15" i="66"/>
  <c r="G9" i="66"/>
  <c r="H24" i="85"/>
  <c r="L15" i="85" l="1"/>
  <c r="M15" i="85"/>
  <c r="M14" i="85"/>
  <c r="L14" i="85"/>
  <c r="M21" i="85"/>
  <c r="L21" i="85"/>
  <c r="M16" i="85"/>
  <c r="L16" i="85"/>
  <c r="M22" i="85"/>
  <c r="L22" i="85"/>
  <c r="L19" i="85"/>
  <c r="M19" i="85"/>
  <c r="L20" i="85"/>
  <c r="M20" i="85"/>
  <c r="I13" i="85"/>
  <c r="H17" i="66"/>
  <c r="L23" i="85"/>
  <c r="M23" i="85"/>
  <c r="M17" i="85"/>
  <c r="L17" i="85"/>
  <c r="I24" i="85" l="1"/>
  <c r="J13" i="85"/>
  <c r="L13" i="85" l="1"/>
  <c r="L24" i="85" s="1"/>
  <c r="J24" i="85"/>
  <c r="M13" i="85"/>
  <c r="M24" i="85" s="1"/>
</calcChain>
</file>

<file path=xl/sharedStrings.xml><?xml version="1.0" encoding="utf-8"?>
<sst xmlns="http://schemas.openxmlformats.org/spreadsheetml/2006/main" count="256" uniqueCount="129">
  <si>
    <t>ANH</t>
  </si>
  <si>
    <t>NES</t>
  </si>
  <si>
    <t>NWT</t>
  </si>
  <si>
    <t>SRN</t>
  </si>
  <si>
    <t>SVT</t>
  </si>
  <si>
    <t>SWB</t>
  </si>
  <si>
    <t>TMS</t>
  </si>
  <si>
    <t>WSH</t>
  </si>
  <si>
    <t>WSX</t>
  </si>
  <si>
    <t>YKY</t>
  </si>
  <si>
    <t>Company</t>
  </si>
  <si>
    <t>Assessor's name</t>
  </si>
  <si>
    <t>Control</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</si>
  <si>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</si>
  <si>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</si>
  <si>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</si>
  <si>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</si>
  <si>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</si>
  <si>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</si>
  <si>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</si>
  <si>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</si>
  <si>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</si>
  <si>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</si>
  <si>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</si>
  <si>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</si>
  <si>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</si>
  <si>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</si>
  <si>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</si>
  <si>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</si>
  <si>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</si>
  <si>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</si>
  <si>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</si>
  <si>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</si>
  <si>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</si>
  <si>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</si>
  <si>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</si>
  <si>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</si>
  <si>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</si>
  <si>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</si>
  <si>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</si>
  <si>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</si>
  <si>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</si>
  <si>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</si>
  <si>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</si>
  <si>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</si>
  <si>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</si>
  <si>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</si>
  <si>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</si>
  <si>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</si>
  <si>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</si>
  <si>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</si>
  <si>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</si>
  <si>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</si>
  <si>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</si>
  <si>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</si>
  <si>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</si>
  <si>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</si>
  <si>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</si>
  <si>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</si>
  <si>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</si>
  <si>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</si>
  <si>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</si>
  <si>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</si>
  <si>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</si>
  <si>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</si>
  <si>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S3040TCAS</t>
  </si>
  <si>
    <t>S3005CAS</t>
  </si>
  <si>
    <t>nr, Number of intermittent discharge sites with event duration monitoring</t>
  </si>
  <si>
    <t>£m, Enhancement capex wastewater, WINEP / NEP ~ Event Duration Monitoring at intermittent discharges</t>
  </si>
  <si>
    <t>£m prices 2017-18, Enhancement capex wastewater prices 2017-18, WINEP / NEP ~ Event Duration Monitoring at intermittent discharges</t>
  </si>
  <si>
    <t>£m, Totex wholesale wastewater (including cash items and atypical expenditure)</t>
  </si>
  <si>
    <t>realS3005CAS</t>
  </si>
  <si>
    <t>Wholesale wastewater</t>
  </si>
  <si>
    <t>comments</t>
  </si>
  <si>
    <t>s4016</t>
  </si>
  <si>
    <t>Co. view from WWS4 line 6</t>
  </si>
  <si>
    <t>our view from WINEP</t>
  </si>
  <si>
    <t>cost per scheme 2020-2025</t>
  </si>
  <si>
    <t>variance from median forecast unit cost</t>
  </si>
  <si>
    <t>YKY had originally lumped all flow schemes under line 7, but this has been corrected following a query.  They have itemised the 240 sites for U_Mon3, which matches WINEP.</t>
  </si>
  <si>
    <t>Data</t>
  </si>
  <si>
    <t xml:space="preserve">Allowed costs </t>
  </si>
  <si>
    <t>Peer review (initials, date)</t>
  </si>
  <si>
    <t>BoN code</t>
  </si>
  <si>
    <t>Enhancement line</t>
  </si>
  <si>
    <t>Cost allowance for AMP7 (£m)</t>
  </si>
  <si>
    <t>Capex allowed - network plus</t>
  </si>
  <si>
    <t>Total</t>
  </si>
  <si>
    <t>Capex reallocated out to other lines</t>
  </si>
  <si>
    <t>Capex reallocated in to this line</t>
  </si>
  <si>
    <t>Net Capex reallocated in</t>
  </si>
  <si>
    <t>Capex allowed - wholesale wastewater</t>
  </si>
  <si>
    <t>Proportion of Bioresources</t>
  </si>
  <si>
    <t>Capex allowed - Bioresources</t>
  </si>
  <si>
    <t>Capex in business plan - wholesale wastewater</t>
  </si>
  <si>
    <t>No. of schemes</t>
  </si>
  <si>
    <t>Co. Capex requested £m</t>
  </si>
  <si>
    <t>SVE's BP states that they only need 179 EDMs, compared with WINEP's 450, but they have not requested capex for any EDM schemes. Unclear why.</t>
  </si>
  <si>
    <t>Revised modelled Capex allowance, £m (before 'min of')</t>
  </si>
  <si>
    <t>RP, 19/12/18 &amp; DW, 04/01/19</t>
  </si>
  <si>
    <t>WINEP does not show any schemes for HDD, but table WWS4 states 270 schemes for a very low capex, generating a low outlier unit cost. Despite this we have retained the HDD values within the industry median unit cost analysis.</t>
  </si>
  <si>
    <t>Cover sheet</t>
  </si>
  <si>
    <t>2021</t>
  </si>
  <si>
    <t>2022</t>
  </si>
  <si>
    <t>2023</t>
  </si>
  <si>
    <t>2024</t>
  </si>
  <si>
    <t>2025</t>
  </si>
  <si>
    <t>£m 2017-18 prices</t>
  </si>
  <si>
    <t>Code</t>
  </si>
  <si>
    <t>Year</t>
  </si>
  <si>
    <t>Capex after reallocations</t>
  </si>
  <si>
    <t>Modelled allowance</t>
  </si>
  <si>
    <t>SVE21</t>
  </si>
  <si>
    <t>SVE22</t>
  </si>
  <si>
    <t>SVE23</t>
  </si>
  <si>
    <t>SVE24</t>
  </si>
  <si>
    <t>SVE25</t>
  </si>
  <si>
    <t>HDD21</t>
  </si>
  <si>
    <t>HDD22</t>
  </si>
  <si>
    <t>HDD23</t>
  </si>
  <si>
    <t>HDD24</t>
  </si>
  <si>
    <t>HDD25</t>
  </si>
  <si>
    <t>WINEP lists 328 'green' schemes for EDM and one 'pan area' line for SRN, but the company stated 55 schemes in their table WWS4 line 6 entry (this was corrected to 52 schemes in their BPDT resubmission).  The resulting unit cost for SRN is therefore a significant industry outlier but does not impact the median.   We have given SRN the median unit cost for 52 schemes, in line with all other companies, but as this allowance is significantly lower than their requested capex.</t>
  </si>
  <si>
    <t>JS</t>
  </si>
  <si>
    <t>WINEP / NEP ~ Event Duration Monitoring at intermittent discharges</t>
  </si>
  <si>
    <t>Average industry unit cost</t>
  </si>
  <si>
    <t>Median industry unit cost</t>
  </si>
  <si>
    <t>Unit cost assessment</t>
  </si>
  <si>
    <t>UNIT COST &amp; WINEP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</si>
</sst>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0.000"/>
    <numFmt numFmtId="166" formatCode="#,##0_);\(#,##0\);&quot;-  &quot;;&quot; &quot;@&quot; &quot;"/>
    <numFmt numFmtId="167" formatCode="_-* #,##0.0_-;\-* #,##0.0_-;_-* &quot;-&quot;??_-;_-@_-"/>
    <numFmt numFmtId="168" formatCode="0.00000"/>
    <numFmt numFmtId="169" formatCode="&quot;£&quot;#,##0.00"/>
    <numFmt numFmtId="170" formatCode="&quot;£&quot;#,##0.000"/>
    <numFmt numFmtId="171" formatCode="_-* #,##0.000_-;\-* #,##0.000_-;_-* &quot;-&quot;??_-;_-@_-"/>
    <numFmt numFmtId="172" formatCode="_-* #,##0.000_-;\-* #,##0.000_-;_-* &quot;-&quot;???_-;_-@_-"/>
    <numFmt numFmtId="173" formatCode="_(* #,##0.0_);_(* \(#,##0.0\);_(* &quot;-&quot;??_);_(@_)"/>
    <numFmt numFmtId="174" formatCode="_(* #,##0_);_(* \(#,##0\);_(* &quot;-&quot;??_);_(@_)"/>
    <numFmt numFmtId="175" formatCode="_-* #,##0.00000_-;\-* #,##0.00000_-;_-* &quot;-&quot;??_-;_-@_-"/>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9"/>
      <color theme="1"/>
      <name val="Calibri"/>
      <family val="2"/>
      <scheme val="minor"/>
    </font>
    <font>
      <sz val="9"/>
      <name val="Calibri"/>
      <family val="2"/>
      <scheme val="minor"/>
    </font>
    <font>
      <b/>
      <sz val="14"/>
      <color theme="1"/>
      <name val="Calibri"/>
      <family val="2"/>
      <scheme val="minor"/>
    </font>
    <font>
      <sz val="10"/>
      <color theme="1"/>
      <name val="Calibri"/>
      <family val="2"/>
      <scheme val="minor"/>
    </font>
    <font>
      <sz val="11"/>
      <color theme="1"/>
      <name val="Gill Sans MT"/>
      <family val="2"/>
    </font>
    <font>
      <b/>
      <sz val="11"/>
      <color theme="1"/>
      <name val="Calibri"/>
      <family val="2"/>
      <scheme val="minor"/>
    </font>
    <font>
      <sz val="9"/>
      <color rgb="FFFF0000"/>
      <name val="Calibri"/>
      <family val="2"/>
      <scheme val="minor"/>
    </font>
    <font>
      <sz val="11"/>
      <color theme="0" tint="-0.249977111117893"/>
      <name val="Calibri"/>
      <family val="2"/>
      <scheme val="minor"/>
    </font>
    <font>
      <i/>
      <sz val="11"/>
      <color rgb="FF7F7F7F"/>
      <name val="Arial"/>
      <family val="2"/>
    </font>
    <font>
      <b/>
      <sz val="10"/>
      <color theme="1"/>
      <name val="Calibri"/>
      <family val="2"/>
      <scheme val="minor"/>
    </font>
    <font>
      <i/>
      <sz val="10"/>
      <color rgb="FF7F7F7F"/>
      <name val="Calibri"/>
      <family val="2"/>
      <scheme val="minor"/>
    </font>
    <font>
      <b/>
      <sz val="10"/>
      <name val="Calibri"/>
      <family val="2"/>
      <scheme val="minor"/>
    </font>
    <font>
      <b/>
      <sz val="12"/>
      <color theme="1"/>
      <name val="Calibri"/>
      <family val="2"/>
      <scheme val="minor"/>
    </font>
    <font>
      <sz val="10"/>
      <name val="Calibri"/>
      <family val="2"/>
      <scheme val="minor"/>
    </font>
    <font>
      <sz val="14"/>
      <color theme="3"/>
      <name val="Calibri"/>
      <family val="2"/>
      <scheme val="minor"/>
    </font>
    <font>
      <sz val="12"/>
      <color theme="3"/>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2">
    <xf numFmtId="0" fontId="0" fillId="0" borderId="0"/>
    <xf numFmtId="0" fontId="10" fillId="0" borderId="0"/>
    <xf numFmtId="0" fontId="9" fillId="0" borderId="0"/>
    <xf numFmtId="0" fontId="11" fillId="0" borderId="0"/>
    <xf numFmtId="0" fontId="12" fillId="0" borderId="0"/>
    <xf numFmtId="0" fontId="8" fillId="0" borderId="0"/>
    <xf numFmtId="164" fontId="12" fillId="0" borderId="0" applyFont="0" applyFill="0" applyBorder="0" applyAlignment="0" applyProtection="0"/>
    <xf numFmtId="0" fontId="7" fillId="0" borderId="0"/>
    <xf numFmtId="166" fontId="6" fillId="0" borderId="0" applyFont="0" applyFill="0" applyBorder="0" applyProtection="0">
      <alignment vertical="top"/>
    </xf>
    <xf numFmtId="0" fontId="12" fillId="0" borderId="0"/>
    <xf numFmtId="164" fontId="12" fillId="0" borderId="0" applyFont="0" applyFill="0" applyBorder="0" applyAlignment="0" applyProtection="0"/>
    <xf numFmtId="0" fontId="5" fillId="0" borderId="0"/>
    <xf numFmtId="0" fontId="4" fillId="0" borderId="0"/>
    <xf numFmtId="0" fontId="4" fillId="0" borderId="0"/>
    <xf numFmtId="164" fontId="12" fillId="0" borderId="0" applyFont="0" applyFill="0" applyBorder="0" applyAlignment="0" applyProtection="0"/>
    <xf numFmtId="0" fontId="12" fillId="0" borderId="0"/>
    <xf numFmtId="0" fontId="3" fillId="0" borderId="0"/>
    <xf numFmtId="0" fontId="21"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2" fillId="0" borderId="0"/>
    <xf numFmtId="164" fontId="1" fillId="0" borderId="0" applyFont="0" applyFill="0" applyBorder="0" applyAlignment="0" applyProtection="0"/>
  </cellStyleXfs>
  <cellXfs count="101">
    <xf numFmtId="0" fontId="0" fillId="0" borderId="0" xfId="0"/>
    <xf numFmtId="0" fontId="13" fillId="0" borderId="0" xfId="0" applyFont="1" applyAlignment="1">
      <alignment vertical="center"/>
    </xf>
    <xf numFmtId="0" fontId="13" fillId="0" borderId="0" xfId="0" applyFont="1"/>
    <xf numFmtId="0" fontId="13" fillId="0" borderId="0" xfId="0" applyFont="1" applyAlignment="1">
      <alignment vertical="top" wrapText="1"/>
    </xf>
    <xf numFmtId="0" fontId="0" fillId="0" borderId="0" xfId="0" applyAlignment="1">
      <alignment horizontal="center"/>
    </xf>
    <xf numFmtId="0" fontId="16" fillId="0" borderId="0" xfId="0" applyFont="1"/>
    <xf numFmtId="2" fontId="13" fillId="0" borderId="1" xfId="0" applyNumberFormat="1" applyFont="1" applyFill="1" applyBorder="1" applyAlignment="1">
      <alignment vertical="center"/>
    </xf>
    <xf numFmtId="2" fontId="13" fillId="0" borderId="1" xfId="15" applyNumberFormat="1" applyFont="1" applyFill="1" applyBorder="1" applyAlignment="1">
      <alignment vertical="center"/>
    </xf>
    <xf numFmtId="0" fontId="13" fillId="0" borderId="1" xfId="0" applyFont="1" applyFill="1" applyBorder="1" applyAlignment="1">
      <alignment vertical="center"/>
    </xf>
    <xf numFmtId="2" fontId="13" fillId="0" borderId="1" xfId="0" applyNumberFormat="1" applyFont="1" applyBorder="1" applyAlignment="1">
      <alignment vertical="center"/>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0" xfId="0" applyBorder="1"/>
    <xf numFmtId="1" fontId="0" fillId="0" borderId="1" xfId="0" applyNumberFormat="1" applyFill="1" applyBorder="1" applyAlignment="1">
      <alignment horizontal="center" vertical="center"/>
    </xf>
    <xf numFmtId="0" fontId="18" fillId="0" borderId="0" xfId="0" applyFont="1"/>
    <xf numFmtId="2" fontId="0" fillId="6" borderId="0" xfId="0" applyNumberFormat="1" applyFill="1" applyAlignment="1"/>
    <xf numFmtId="2" fontId="0" fillId="6" borderId="0" xfId="0" applyNumberFormat="1" applyFill="1" applyAlignment="1">
      <alignment wrapText="1"/>
    </xf>
    <xf numFmtId="2" fontId="0" fillId="6" borderId="1" xfId="0" applyNumberFormat="1" applyFill="1" applyBorder="1" applyAlignment="1">
      <alignment horizontal="center" wrapText="1"/>
    </xf>
    <xf numFmtId="2" fontId="0" fillId="0" borderId="1" xfId="0" applyNumberFormat="1" applyBorder="1" applyAlignment="1">
      <alignment horizontal="center" wrapText="1"/>
    </xf>
    <xf numFmtId="168" fontId="0" fillId="0" borderId="0" xfId="0" applyNumberFormat="1" applyAlignment="1">
      <alignment horizontal="center"/>
    </xf>
    <xf numFmtId="0" fontId="0" fillId="0" borderId="0" xfId="0" applyFill="1" applyAlignment="1">
      <alignment horizontal="center"/>
    </xf>
    <xf numFmtId="170" fontId="0" fillId="0" borderId="0" xfId="0" applyNumberFormat="1" applyAlignment="1">
      <alignment horizontal="center"/>
    </xf>
    <xf numFmtId="0" fontId="18" fillId="4" borderId="1" xfId="0" applyFont="1" applyFill="1" applyBorder="1" applyAlignment="1">
      <alignment horizontal="center" wrapText="1"/>
    </xf>
    <xf numFmtId="169" fontId="0" fillId="0" borderId="0" xfId="0" applyNumberFormat="1"/>
    <xf numFmtId="0" fontId="0" fillId="0" borderId="0" xfId="0" applyAlignment="1">
      <alignment horizontal="center" vertical="center"/>
    </xf>
    <xf numFmtId="2" fontId="19" fillId="0" borderId="1" xfId="0" applyNumberFormat="1" applyFont="1" applyFill="1" applyBorder="1" applyAlignment="1">
      <alignment vertical="center"/>
    </xf>
    <xf numFmtId="2" fontId="19" fillId="0" borderId="1" xfId="0" applyNumberFormat="1" applyFont="1" applyBorder="1" applyAlignment="1">
      <alignment vertical="center"/>
    </xf>
    <xf numFmtId="0" fontId="20" fillId="0" borderId="0" xfId="0" applyFont="1" applyFill="1" applyAlignment="1">
      <alignment horizontal="center"/>
    </xf>
    <xf numFmtId="0" fontId="20" fillId="0" borderId="0" xfId="0" applyFont="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5" fontId="0" fillId="0" borderId="0" xfId="0" applyNumberFormat="1" applyBorder="1" applyAlignment="1">
      <alignment horizontal="center"/>
    </xf>
    <xf numFmtId="0" fontId="0" fillId="0" borderId="0" xfId="0" applyBorder="1" applyAlignment="1">
      <alignment horizontal="left"/>
    </xf>
    <xf numFmtId="168" fontId="0" fillId="0" borderId="0" xfId="0" applyNumberFormat="1" applyBorder="1" applyAlignment="1">
      <alignment horizontal="center"/>
    </xf>
    <xf numFmtId="0" fontId="22" fillId="0" borderId="0" xfId="0" applyFont="1"/>
    <xf numFmtId="0" fontId="22" fillId="2" borderId="1" xfId="0" applyFont="1" applyFill="1" applyBorder="1" applyAlignment="1">
      <alignment horizontal="left" wrapText="1"/>
    </xf>
    <xf numFmtId="0" fontId="22" fillId="2" borderId="1" xfId="0" quotePrefix="1" applyFont="1" applyFill="1" applyBorder="1" applyAlignment="1">
      <alignment horizontal="left" wrapText="1"/>
    </xf>
    <xf numFmtId="0" fontId="22" fillId="7" borderId="1" xfId="0" applyFont="1" applyFill="1" applyBorder="1" applyAlignment="1">
      <alignment horizontal="left" wrapText="1"/>
    </xf>
    <xf numFmtId="0" fontId="16" fillId="5" borderId="1" xfId="0" applyFont="1" applyFill="1" applyBorder="1" applyAlignment="1">
      <alignment horizontal="left"/>
    </xf>
    <xf numFmtId="0" fontId="16" fillId="0" borderId="1" xfId="0" applyFont="1" applyBorder="1" applyAlignment="1"/>
    <xf numFmtId="0" fontId="16" fillId="0" borderId="0" xfId="0" applyFont="1" applyBorder="1" applyAlignment="1"/>
    <xf numFmtId="0" fontId="16" fillId="0" borderId="0" xfId="0" applyFont="1" applyBorder="1"/>
    <xf numFmtId="0" fontId="16" fillId="0" borderId="0" xfId="0" applyFont="1" applyBorder="1" applyAlignment="1" applyProtection="1">
      <alignment horizontal="left"/>
      <protection locked="0"/>
    </xf>
    <xf numFmtId="0" fontId="23" fillId="0" borderId="0" xfId="17" applyFont="1"/>
    <xf numFmtId="14" fontId="16" fillId="0" borderId="0" xfId="0" applyNumberFormat="1" applyFont="1" applyBorder="1" applyAlignment="1" applyProtection="1">
      <alignment horizontal="left"/>
      <protection locked="0"/>
    </xf>
    <xf numFmtId="0" fontId="16" fillId="0" borderId="5" xfId="0" applyFont="1" applyBorder="1" applyAlignment="1">
      <alignment vertical="top"/>
    </xf>
    <xf numFmtId="0" fontId="16" fillId="0" borderId="5" xfId="0" applyFont="1" applyBorder="1" applyAlignment="1"/>
    <xf numFmtId="0" fontId="16" fillId="0" borderId="0" xfId="0" applyFont="1" applyFill="1"/>
    <xf numFmtId="172" fontId="16" fillId="0" borderId="0" xfId="0" applyNumberFormat="1" applyFont="1"/>
    <xf numFmtId="0" fontId="22" fillId="3" borderId="0" xfId="0" applyFont="1" applyFill="1"/>
    <xf numFmtId="0" fontId="16" fillId="0" borderId="1" xfId="20" applyFont="1" applyBorder="1" applyAlignment="1">
      <alignment horizontal="center"/>
    </xf>
    <xf numFmtId="0" fontId="16" fillId="0" borderId="1" xfId="20" applyFont="1" applyBorder="1"/>
    <xf numFmtId="167" fontId="16" fillId="0" borderId="1" xfId="6" applyNumberFormat="1" applyFont="1" applyBorder="1"/>
    <xf numFmtId="167" fontId="16" fillId="7" borderId="1" xfId="6" applyNumberFormat="1" applyFont="1" applyFill="1" applyBorder="1"/>
    <xf numFmtId="0" fontId="22" fillId="0" borderId="1" xfId="20" applyFont="1" applyBorder="1"/>
    <xf numFmtId="171" fontId="24" fillId="0" borderId="1" xfId="6" applyNumberFormat="1" applyFont="1" applyBorder="1"/>
    <xf numFmtId="167" fontId="24" fillId="0" borderId="1" xfId="6" applyNumberFormat="1" applyFont="1" applyBorder="1"/>
    <xf numFmtId="171" fontId="16" fillId="0" borderId="1" xfId="6" applyNumberFormat="1" applyFont="1" applyBorder="1"/>
    <xf numFmtId="165" fontId="14" fillId="0" borderId="1" xfId="0" applyNumberFormat="1" applyFont="1" applyFill="1" applyBorder="1" applyAlignment="1">
      <alignment vertical="center"/>
    </xf>
    <xf numFmtId="165" fontId="13" fillId="0" borderId="1" xfId="0" applyNumberFormat="1" applyFont="1" applyFill="1" applyBorder="1" applyAlignment="1">
      <alignment vertical="center"/>
    </xf>
    <xf numFmtId="0" fontId="18" fillId="4" borderId="1" xfId="0" applyFont="1" applyFill="1" applyBorder="1" applyAlignment="1">
      <alignment wrapText="1"/>
    </xf>
    <xf numFmtId="0" fontId="17" fillId="0" borderId="1" xfId="0" applyFont="1" applyFill="1" applyBorder="1" applyAlignment="1">
      <alignment horizontal="center" vertical="center"/>
    </xf>
    <xf numFmtId="0" fontId="0" fillId="0" borderId="1" xfId="0" applyFont="1" applyBorder="1" applyAlignment="1">
      <alignment horizontal="center" vertical="center"/>
    </xf>
    <xf numFmtId="164" fontId="16" fillId="0" borderId="1" xfId="6" applyNumberFormat="1" applyFont="1" applyBorder="1"/>
    <xf numFmtId="164" fontId="24" fillId="0" borderId="1" xfId="6" applyNumberFormat="1" applyFont="1" applyBorder="1"/>
    <xf numFmtId="169" fontId="0" fillId="0" borderId="1" xfId="0" applyNumberFormat="1" applyBorder="1" applyAlignment="1">
      <alignment horizontal="center" vertical="center"/>
    </xf>
    <xf numFmtId="1" fontId="0" fillId="0" borderId="0" xfId="0" applyNumberFormat="1" applyBorder="1" applyAlignment="1">
      <alignment horizontal="center"/>
    </xf>
    <xf numFmtId="174" fontId="0" fillId="0" borderId="0" xfId="0" applyNumberFormat="1" applyAlignment="1">
      <alignment horizontal="center"/>
    </xf>
    <xf numFmtId="173" fontId="16" fillId="0" borderId="1" xfId="6" applyNumberFormat="1" applyFont="1" applyBorder="1"/>
    <xf numFmtId="173" fontId="24" fillId="0" borderId="1" xfId="6" applyNumberFormat="1" applyFont="1" applyBorder="1"/>
    <xf numFmtId="164" fontId="16" fillId="7" borderId="1" xfId="6" applyNumberFormat="1" applyFont="1" applyFill="1" applyBorder="1"/>
    <xf numFmtId="0" fontId="15" fillId="3" borderId="0" xfId="0" applyFont="1" applyFill="1"/>
    <xf numFmtId="170" fontId="0" fillId="0" borderId="0" xfId="0" applyNumberFormat="1"/>
    <xf numFmtId="164" fontId="0" fillId="0" borderId="0" xfId="0" applyNumberFormat="1" applyBorder="1"/>
    <xf numFmtId="164" fontId="0" fillId="0" borderId="0" xfId="0" applyNumberFormat="1" applyFill="1" applyAlignment="1">
      <alignment horizontal="center"/>
    </xf>
    <xf numFmtId="0" fontId="0" fillId="0" borderId="0" xfId="0" applyFont="1" applyBorder="1"/>
    <xf numFmtId="0" fontId="0" fillId="0" borderId="0" xfId="0" applyFont="1" applyFill="1" applyBorder="1"/>
    <xf numFmtId="0" fontId="0" fillId="0" borderId="0" xfId="0" applyFont="1" applyBorder="1" applyAlignment="1">
      <alignment wrapText="1"/>
    </xf>
    <xf numFmtId="164" fontId="0" fillId="0" borderId="1" xfId="0" applyNumberFormat="1" applyBorder="1"/>
    <xf numFmtId="175" fontId="0" fillId="0" borderId="0" xfId="0" applyNumberFormat="1" applyAlignment="1">
      <alignment horizontal="center"/>
    </xf>
    <xf numFmtId="169" fontId="0" fillId="0" borderId="0" xfId="0" applyNumberFormat="1" applyAlignment="1">
      <alignment horizontal="center"/>
    </xf>
    <xf numFmtId="174" fontId="0" fillId="0" borderId="0" xfId="0" applyNumberFormat="1" applyAlignment="1">
      <alignment horizontal="center" vertical="center"/>
    </xf>
    <xf numFmtId="2" fontId="0" fillId="0" borderId="0" xfId="0" applyNumberFormat="1" applyAlignment="1">
      <alignment horizontal="center" vertical="center"/>
    </xf>
    <xf numFmtId="174" fontId="12" fillId="0" borderId="1" xfId="6" applyNumberFormat="1" applyFont="1" applyFill="1" applyBorder="1" applyAlignment="1">
      <alignment horizontal="center" vertical="center"/>
    </xf>
    <xf numFmtId="0" fontId="25" fillId="3" borderId="2" xfId="9" applyFont="1" applyFill="1" applyBorder="1"/>
    <xf numFmtId="0" fontId="26" fillId="3" borderId="4" xfId="1" applyFont="1" applyFill="1" applyBorder="1"/>
    <xf numFmtId="0" fontId="16" fillId="0" borderId="0" xfId="0" applyFont="1" applyAlignment="1">
      <alignment horizontal="center" vertical="center"/>
    </xf>
    <xf numFmtId="1" fontId="16" fillId="0" borderId="0" xfId="0" applyNumberFormat="1" applyFont="1" applyBorder="1" applyAlignment="1">
      <alignment horizontal="center"/>
    </xf>
    <xf numFmtId="0" fontId="27"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16" fillId="4" borderId="1" xfId="0" applyFont="1" applyFill="1" applyBorder="1" applyAlignment="1">
      <alignment vertical="top" wrapText="1"/>
    </xf>
    <xf numFmtId="0" fontId="22" fillId="4" borderId="1" xfId="0" applyFont="1" applyFill="1" applyBorder="1" applyAlignment="1">
      <alignment vertical="top" wrapText="1"/>
    </xf>
    <xf numFmtId="0" fontId="16" fillId="0" borderId="1" xfId="0" applyFont="1" applyBorder="1" applyAlignment="1">
      <alignment wrapText="1"/>
    </xf>
    <xf numFmtId="14" fontId="16" fillId="0" borderId="1" xfId="0" applyNumberFormat="1" applyFont="1" applyBorder="1" applyAlignment="1">
      <alignment wrapText="1"/>
    </xf>
    <xf numFmtId="1" fontId="12" fillId="0" borderId="3" xfId="6"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175" fontId="0" fillId="0" borderId="0" xfId="0" applyNumberFormat="1"/>
    <xf numFmtId="1" fontId="0" fillId="0" borderId="0" xfId="0" applyNumberFormat="1" applyFill="1" applyBorder="1" applyAlignment="1">
      <alignment horizontal="center"/>
    </xf>
    <xf numFmtId="0" fontId="18" fillId="4" borderId="1" xfId="0" applyFont="1" applyFill="1" applyBorder="1" applyAlignment="1">
      <alignment horizontal="center"/>
    </xf>
  </cellXfs>
  <cellStyles count="22">
    <cellStyle name="Comma" xfId="6" builtinId="3"/>
    <cellStyle name="Comma 2" xfId="10"/>
    <cellStyle name="Comma 3" xfId="14"/>
    <cellStyle name="Comma 4" xfId="18"/>
    <cellStyle name="Comma 4 2" xfId="21"/>
    <cellStyle name="Explanatory Text" xfId="17" builtinId="53"/>
    <cellStyle name="Normal" xfId="0" builtinId="0"/>
    <cellStyle name="Normal 2" xfId="4"/>
    <cellStyle name="Normal 2 2" xfId="1"/>
    <cellStyle name="Normal 2 2 2" xfId="9"/>
    <cellStyle name="Normal 2 6" xfId="15"/>
    <cellStyle name="Normal 20" xfId="8"/>
    <cellStyle name="Normal 3" xfId="2"/>
    <cellStyle name="Normal 3 2" xfId="12"/>
    <cellStyle name="Normal 4" xfId="5"/>
    <cellStyle name="Normal 4 2" xfId="13"/>
    <cellStyle name="Normal 5" xfId="7"/>
    <cellStyle name="Normal 5 2" xfId="11"/>
    <cellStyle name="Normal 5 2 2" xfId="20"/>
    <cellStyle name="Normal 6" xfId="16"/>
    <cellStyle name="Normal 9" xfId="3"/>
    <cellStyle name="Percent 2" xfId="19"/>
  </cellStyles>
  <dxfs count="0"/>
  <tableStyles count="0" defaultTableStyle="TableStyleMedium2" defaultPivotStyle="PivotStyleMedium9"/>
  <colors>
    <mruColors>
      <color rgb="FFD2ECB6"/>
      <color rgb="FFFFD9D9"/>
      <color rgb="FFE23114"/>
      <color rgb="FFFFF1C5"/>
      <color rgb="FFFFABAB"/>
      <color rgb="FFFF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Modelled EDM costs by company (before</a:t>
            </a:r>
            <a:r>
              <a:rPr lang="en-US" baseline="0"/>
              <a:t> final allowance 'min of' adjustment)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0"/>
          <c:tx>
            <c:strRef>
              <c:f>Analysis!$E$5</c:f>
              <c:strCache>
                <c:ptCount val="1"/>
                <c:pt idx="0">
                  <c:v>Co. Capex requested £m</c:v>
                </c:pt>
              </c:strCache>
            </c:strRef>
          </c:tx>
          <c:spPr>
            <a:solidFill>
              <a:schemeClr val="accent3"/>
            </a:solidFill>
            <a:ln>
              <a:noFill/>
            </a:ln>
            <a:effectLst/>
          </c:spPr>
          <c:invertIfNegative val="0"/>
          <c:cat>
            <c:strRef>
              <c:f>Analysis!$B$6:$B$16</c:f>
              <c:strCache>
                <c:ptCount val="11"/>
                <c:pt idx="0">
                  <c:v>ANH</c:v>
                </c:pt>
                <c:pt idx="1">
                  <c:v>NES</c:v>
                </c:pt>
                <c:pt idx="2">
                  <c:v>NWT</c:v>
                </c:pt>
                <c:pt idx="3">
                  <c:v>SRN</c:v>
                </c:pt>
                <c:pt idx="4">
                  <c:v>SVE</c:v>
                </c:pt>
                <c:pt idx="5">
                  <c:v>SWB</c:v>
                </c:pt>
                <c:pt idx="6">
                  <c:v>TMS</c:v>
                </c:pt>
                <c:pt idx="7">
                  <c:v>WSH</c:v>
                </c:pt>
                <c:pt idx="8">
                  <c:v>WSX</c:v>
                </c:pt>
                <c:pt idx="9">
                  <c:v>YKY</c:v>
                </c:pt>
                <c:pt idx="10">
                  <c:v>HDD</c:v>
                </c:pt>
              </c:strCache>
            </c:strRef>
          </c:cat>
          <c:val>
            <c:numRef>
              <c:f>Analysis!$E$6:$E$16</c:f>
              <c:numCache>
                <c:formatCode>"£"#,##0.00</c:formatCode>
                <c:ptCount val="11"/>
                <c:pt idx="0">
                  <c:v>17.240581733898146</c:v>
                </c:pt>
                <c:pt idx="1">
                  <c:v>1.2190000000000001</c:v>
                </c:pt>
                <c:pt idx="2">
                  <c:v>3.12841082897044</c:v>
                </c:pt>
                <c:pt idx="3">
                  <c:v>4.4190000000000005</c:v>
                </c:pt>
                <c:pt idx="4">
                  <c:v>0</c:v>
                </c:pt>
                <c:pt idx="5">
                  <c:v>4.6509999999999998</c:v>
                </c:pt>
                <c:pt idx="6">
                  <c:v>2.5334264622</c:v>
                </c:pt>
                <c:pt idx="7">
                  <c:v>1.716</c:v>
                </c:pt>
                <c:pt idx="8">
                  <c:v>12.4020715326923</c:v>
                </c:pt>
                <c:pt idx="9">
                  <c:v>3.867</c:v>
                </c:pt>
                <c:pt idx="10">
                  <c:v>3.8010000000000002E-2</c:v>
                </c:pt>
              </c:numCache>
            </c:numRef>
          </c:val>
        </c:ser>
        <c:ser>
          <c:idx val="10"/>
          <c:order val="1"/>
          <c:tx>
            <c:strRef>
              <c:f>Analysis!$H$5</c:f>
              <c:strCache>
                <c:ptCount val="1"/>
                <c:pt idx="0">
                  <c:v>Revised modelled Capex allowance, £m (before 'min of')</c:v>
                </c:pt>
              </c:strCache>
            </c:strRef>
          </c:tx>
          <c:spPr>
            <a:solidFill>
              <a:schemeClr val="accent5">
                <a:lumMod val="60000"/>
              </a:schemeClr>
            </a:solidFill>
            <a:ln>
              <a:noFill/>
            </a:ln>
            <a:effectLst/>
          </c:spPr>
          <c:invertIfNegative val="0"/>
          <c:cat>
            <c:strRef>
              <c:f>Analysis!$B$6:$B$16</c:f>
              <c:strCache>
                <c:ptCount val="11"/>
                <c:pt idx="0">
                  <c:v>ANH</c:v>
                </c:pt>
                <c:pt idx="1">
                  <c:v>NES</c:v>
                </c:pt>
                <c:pt idx="2">
                  <c:v>NWT</c:v>
                </c:pt>
                <c:pt idx="3">
                  <c:v>SRN</c:v>
                </c:pt>
                <c:pt idx="4">
                  <c:v>SVE</c:v>
                </c:pt>
                <c:pt idx="5">
                  <c:v>SWB</c:v>
                </c:pt>
                <c:pt idx="6">
                  <c:v>TMS</c:v>
                </c:pt>
                <c:pt idx="7">
                  <c:v>WSH</c:v>
                </c:pt>
                <c:pt idx="8">
                  <c:v>WSX</c:v>
                </c:pt>
                <c:pt idx="9">
                  <c:v>YKY</c:v>
                </c:pt>
                <c:pt idx="10">
                  <c:v>HDD</c:v>
                </c:pt>
              </c:strCache>
            </c:strRef>
          </c:cat>
          <c:val>
            <c:numRef>
              <c:f>Analysis!$H$6:$H$16</c:f>
              <c:numCache>
                <c:formatCode>0.00</c:formatCode>
                <c:ptCount val="11"/>
                <c:pt idx="0">
                  <c:v>9.5363908520800589</c:v>
                </c:pt>
                <c:pt idx="1">
                  <c:v>2.7228905459228585</c:v>
                </c:pt>
                <c:pt idx="2">
                  <c:v>2.9487524345247551</c:v>
                </c:pt>
                <c:pt idx="3">
                  <c:v>0.65248990040547761</c:v>
                </c:pt>
                <c:pt idx="5">
                  <c:v>5.3077543821445579</c:v>
                </c:pt>
                <c:pt idx="6">
                  <c:v>2.6977947805226483</c:v>
                </c:pt>
                <c:pt idx="7">
                  <c:v>4.868578487640872</c:v>
                </c:pt>
                <c:pt idx="8">
                  <c:v>6.7131172445563569</c:v>
                </c:pt>
                <c:pt idx="9">
                  <c:v>3.0114918480252815</c:v>
                </c:pt>
                <c:pt idx="10">
                  <c:v>3.3879283290284414</c:v>
                </c:pt>
              </c:numCache>
            </c:numRef>
          </c:val>
        </c:ser>
        <c:dLbls>
          <c:showLegendKey val="0"/>
          <c:showVal val="0"/>
          <c:showCatName val="0"/>
          <c:showSerName val="0"/>
          <c:showPercent val="0"/>
          <c:showBubbleSize val="0"/>
        </c:dLbls>
        <c:gapWidth val="219"/>
        <c:overlap val="-27"/>
        <c:axId val="683347392"/>
        <c:axId val="683351704"/>
        <c:extLst/>
      </c:barChart>
      <c:catAx>
        <c:axId val="68334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351704"/>
        <c:crosses val="autoZero"/>
        <c:auto val="1"/>
        <c:lblAlgn val="ctr"/>
        <c:lblOffset val="100"/>
        <c:noMultiLvlLbl val="0"/>
      </c:catAx>
      <c:valAx>
        <c:axId val="68335170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347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57150</xdr:rowOff>
    </xdr:from>
    <xdr:to>
      <xdr:col>4</xdr:col>
      <xdr:colOff>44450</xdr:colOff>
      <xdr:row>15</xdr:row>
      <xdr:rowOff>95250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23825" y="419100"/>
          <a:ext cx="8645525" cy="2143125"/>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Event duration</a:t>
          </a:r>
          <a:r>
            <a:rPr lang="en-GB" sz="1100" b="1" i="0" u="sng" baseline="0">
              <a:solidFill>
                <a:schemeClr val="dk1"/>
              </a:solidFill>
              <a:effectLst/>
              <a:latin typeface="+mn-lt"/>
              <a:ea typeface="+mn-ea"/>
              <a:cs typeface="+mn-cs"/>
            </a:rPr>
            <a:t> monitoring </a:t>
          </a:r>
          <a:r>
            <a:rPr lang="en-GB" sz="1100" b="1" i="0" u="sng">
              <a:solidFill>
                <a:schemeClr val="dk1"/>
              </a:solidFill>
              <a:effectLst/>
              <a:latin typeface="+mn-lt"/>
              <a:ea typeface="+mn-ea"/>
              <a:cs typeface="+mn-cs"/>
            </a:rPr>
            <a:t>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r>
            <a:rPr lang="en-GB" sz="1100" b="0" i="0">
              <a:solidFill>
                <a:schemeClr val="dk1"/>
              </a:solidFill>
              <a:effectLst/>
              <a:latin typeface="+mn-lt"/>
              <a:ea typeface="+mn-ea"/>
              <a:cs typeface="+mn-cs"/>
            </a:rPr>
            <a:t>We assess investment for this line using the median unit capex value calculated from the capex requested for the reported number of intermittent discharge sites with event duration monitoring. Where a company’s requested investment level is less than the median unit cost we use the company’s business plan costs.</a:t>
          </a:r>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1262855</xdr:colOff>
      <xdr:row>17</xdr:row>
      <xdr:rowOff>95248</xdr:rowOff>
    </xdr:from>
    <xdr:to>
      <xdr:col>8</xdr:col>
      <xdr:colOff>857250</xdr:colOff>
      <xdr:row>36</xdr:row>
      <xdr:rowOff>102392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1"/>
  <sheetViews>
    <sheetView showGridLines="0" tabSelected="1" workbookViewId="0"/>
  </sheetViews>
  <sheetFormatPr defaultColWidth="8.54296875" defaultRowHeight="13" x14ac:dyDescent="0.3"/>
  <cols>
    <col min="1" max="1" width="1.26953125" style="5" customWidth="1"/>
    <col min="2" max="2" width="11.26953125" style="5" customWidth="1"/>
    <col min="3" max="3" width="100.26953125" style="5" customWidth="1"/>
    <col min="4" max="4" width="18" style="87" customWidth="1"/>
    <col min="5" max="16384" width="8.54296875" style="5"/>
  </cols>
  <sheetData>
    <row r="1" spans="2:4" ht="15.5" x14ac:dyDescent="0.35">
      <c r="B1" s="85" t="s">
        <v>101</v>
      </c>
      <c r="C1" s="86"/>
      <c r="D1" s="8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65"/>
  <sheetViews>
    <sheetView showGridLines="0" zoomScale="98" zoomScaleNormal="98" workbookViewId="0">
      <selection activeCell="G5" sqref="G5"/>
    </sheetView>
  </sheetViews>
  <sheetFormatPr defaultColWidth="8.54296875" defaultRowHeight="12" x14ac:dyDescent="0.3"/>
  <cols>
    <col min="1" max="1" width="10.54296875" style="1" customWidth="1"/>
    <col min="2" max="2" width="11.26953125" style="1" customWidth="1"/>
    <col min="3" max="3" width="10.26953125" style="1" customWidth="1"/>
    <col min="4" max="7" width="13.54296875" style="2" customWidth="1"/>
    <col min="8" max="16384" width="8.54296875" style="2"/>
  </cols>
  <sheetData>
    <row r="1" spans="1:9" ht="18.5" x14ac:dyDescent="0.3">
      <c r="A1" s="89" t="s">
        <v>80</v>
      </c>
      <c r="B1" s="90"/>
      <c r="C1" s="90"/>
      <c r="D1" s="1"/>
      <c r="E1" s="1"/>
      <c r="F1" s="1"/>
      <c r="G1" s="1"/>
      <c r="H1" s="1"/>
      <c r="I1" s="1"/>
    </row>
    <row r="2" spans="1:9" ht="15.5" x14ac:dyDescent="0.3">
      <c r="A2" s="91" t="s">
        <v>107</v>
      </c>
      <c r="B2" s="5"/>
      <c r="C2" s="5"/>
      <c r="D2" s="1"/>
      <c r="E2" s="1"/>
      <c r="F2" s="1"/>
      <c r="G2" s="1"/>
      <c r="I2" s="1"/>
    </row>
    <row r="3" spans="1:9" ht="13" x14ac:dyDescent="0.3">
      <c r="A3" s="90"/>
      <c r="B3" s="5"/>
      <c r="C3" s="5"/>
      <c r="D3" s="1"/>
      <c r="E3" s="1"/>
      <c r="F3" s="1"/>
      <c r="G3" s="1"/>
      <c r="I3" s="1"/>
    </row>
    <row r="4" spans="1:9" s="3" customFormat="1" ht="13" x14ac:dyDescent="0.3">
      <c r="A4" s="92"/>
      <c r="B4" s="92"/>
      <c r="C4" s="92"/>
      <c r="D4" s="93" t="s">
        <v>66</v>
      </c>
      <c r="E4" s="93" t="s">
        <v>71</v>
      </c>
      <c r="F4" s="93" t="s">
        <v>65</v>
      </c>
      <c r="G4" s="93" t="s">
        <v>74</v>
      </c>
      <c r="H4" s="2"/>
    </row>
    <row r="5" spans="1:9" ht="116.25" customHeight="1" x14ac:dyDescent="0.3">
      <c r="A5" s="93" t="s">
        <v>108</v>
      </c>
      <c r="B5" s="93" t="s">
        <v>10</v>
      </c>
      <c r="C5" s="93" t="s">
        <v>109</v>
      </c>
      <c r="D5" s="93" t="s">
        <v>68</v>
      </c>
      <c r="E5" s="93" t="s">
        <v>69</v>
      </c>
      <c r="F5" s="93" t="s">
        <v>70</v>
      </c>
      <c r="G5" s="93" t="s">
        <v>67</v>
      </c>
    </row>
    <row r="6" spans="1:9" x14ac:dyDescent="0.3">
      <c r="A6" s="7" t="s">
        <v>13</v>
      </c>
      <c r="B6" s="8" t="s">
        <v>0</v>
      </c>
      <c r="C6" s="8" t="s">
        <v>102</v>
      </c>
      <c r="D6" s="60">
        <v>6.6776734334706997</v>
      </c>
      <c r="E6" s="6">
        <v>6.6776734334706997</v>
      </c>
      <c r="F6" s="9">
        <v>551.50375405476098</v>
      </c>
      <c r="G6" s="9">
        <v>262</v>
      </c>
    </row>
    <row r="7" spans="1:9" x14ac:dyDescent="0.3">
      <c r="A7" s="7" t="s">
        <v>14</v>
      </c>
      <c r="B7" s="8" t="s">
        <v>0</v>
      </c>
      <c r="C7" s="8" t="s">
        <v>103</v>
      </c>
      <c r="D7" s="59">
        <v>7.5231082031220096</v>
      </c>
      <c r="E7" s="59">
        <v>7.5231082031220096</v>
      </c>
      <c r="F7" s="9">
        <v>653.12795659695598</v>
      </c>
      <c r="G7" s="9">
        <v>292</v>
      </c>
    </row>
    <row r="8" spans="1:9" x14ac:dyDescent="0.3">
      <c r="A8" s="7" t="s">
        <v>15</v>
      </c>
      <c r="B8" s="8" t="s">
        <v>0</v>
      </c>
      <c r="C8" s="8" t="s">
        <v>104</v>
      </c>
      <c r="D8" s="60">
        <v>1.0507295396559599</v>
      </c>
      <c r="E8" s="6">
        <v>1.0507295396559599</v>
      </c>
      <c r="F8" s="9">
        <v>659.79125581432402</v>
      </c>
      <c r="G8" s="9">
        <v>70</v>
      </c>
    </row>
    <row r="9" spans="1:9" x14ac:dyDescent="0.3">
      <c r="A9" s="7" t="s">
        <v>16</v>
      </c>
      <c r="B9" s="8" t="s">
        <v>0</v>
      </c>
      <c r="C9" s="8" t="s">
        <v>105</v>
      </c>
      <c r="D9" s="60">
        <v>0.99711949584089998</v>
      </c>
      <c r="E9" s="6">
        <v>0.99711949584089998</v>
      </c>
      <c r="F9" s="9">
        <v>762.56025220065897</v>
      </c>
      <c r="G9" s="9">
        <v>68</v>
      </c>
    </row>
    <row r="10" spans="1:9" x14ac:dyDescent="0.3">
      <c r="A10" s="7" t="s">
        <v>17</v>
      </c>
      <c r="B10" s="8" t="s">
        <v>0</v>
      </c>
      <c r="C10" s="8" t="s">
        <v>106</v>
      </c>
      <c r="D10" s="60">
        <v>0.99795106180857696</v>
      </c>
      <c r="E10" s="6">
        <v>0.99795106180857696</v>
      </c>
      <c r="F10" s="9">
        <v>701.76121450352298</v>
      </c>
      <c r="G10" s="9">
        <v>68</v>
      </c>
    </row>
    <row r="11" spans="1:9" x14ac:dyDescent="0.3">
      <c r="A11" s="7" t="s">
        <v>18</v>
      </c>
      <c r="B11" s="8" t="s">
        <v>1</v>
      </c>
      <c r="C11" s="8" t="s">
        <v>102</v>
      </c>
      <c r="D11" s="6">
        <v>0.32300000000000001</v>
      </c>
      <c r="E11" s="6">
        <v>0.32300000000000001</v>
      </c>
      <c r="F11" s="9">
        <v>194.71899999999999</v>
      </c>
      <c r="G11" s="9">
        <v>146</v>
      </c>
    </row>
    <row r="12" spans="1:9" x14ac:dyDescent="0.3">
      <c r="A12" s="7" t="s">
        <v>19</v>
      </c>
      <c r="B12" s="8" t="s">
        <v>1</v>
      </c>
      <c r="C12" s="8" t="s">
        <v>103</v>
      </c>
      <c r="D12" s="6">
        <v>0.224</v>
      </c>
      <c r="E12" s="6">
        <v>0.224</v>
      </c>
      <c r="F12" s="9">
        <v>225.87200000000001</v>
      </c>
      <c r="G12" s="9">
        <v>18</v>
      </c>
    </row>
    <row r="13" spans="1:9" x14ac:dyDescent="0.3">
      <c r="A13" s="7" t="s">
        <v>20</v>
      </c>
      <c r="B13" s="8" t="s">
        <v>1</v>
      </c>
      <c r="C13" s="8" t="s">
        <v>104</v>
      </c>
      <c r="D13" s="6">
        <v>0.224</v>
      </c>
      <c r="E13" s="6">
        <v>0.224</v>
      </c>
      <c r="F13" s="9">
        <v>250.01400000000001</v>
      </c>
      <c r="G13" s="9">
        <v>22</v>
      </c>
    </row>
    <row r="14" spans="1:9" x14ac:dyDescent="0.3">
      <c r="A14" s="7" t="s">
        <v>21</v>
      </c>
      <c r="B14" s="8" t="s">
        <v>1</v>
      </c>
      <c r="C14" s="8" t="s">
        <v>105</v>
      </c>
      <c r="D14" s="6">
        <v>0.224</v>
      </c>
      <c r="E14" s="6">
        <v>0.224</v>
      </c>
      <c r="F14" s="9">
        <v>314.52300000000002</v>
      </c>
      <c r="G14" s="9">
        <v>19</v>
      </c>
    </row>
    <row r="15" spans="1:9" x14ac:dyDescent="0.3">
      <c r="A15" s="7" t="s">
        <v>22</v>
      </c>
      <c r="B15" s="8" t="s">
        <v>1</v>
      </c>
      <c r="C15" s="8" t="s">
        <v>106</v>
      </c>
      <c r="D15" s="6">
        <v>0.224</v>
      </c>
      <c r="E15" s="6">
        <v>0.224</v>
      </c>
      <c r="F15" s="9">
        <v>258.24900000000002</v>
      </c>
      <c r="G15" s="9">
        <v>12</v>
      </c>
    </row>
    <row r="16" spans="1:9" x14ac:dyDescent="0.3">
      <c r="A16" s="7" t="s">
        <v>23</v>
      </c>
      <c r="B16" s="8" t="s">
        <v>2</v>
      </c>
      <c r="C16" s="8" t="s">
        <v>102</v>
      </c>
      <c r="D16" s="6">
        <v>1.5437302751260999</v>
      </c>
      <c r="E16" s="6">
        <v>1.5437302751260999</v>
      </c>
      <c r="F16" s="9">
        <v>557.40503234329799</v>
      </c>
      <c r="G16" s="9">
        <v>89</v>
      </c>
    </row>
    <row r="17" spans="1:7" x14ac:dyDescent="0.3">
      <c r="A17" s="7" t="s">
        <v>24</v>
      </c>
      <c r="B17" s="8" t="s">
        <v>2</v>
      </c>
      <c r="C17" s="8" t="s">
        <v>103</v>
      </c>
      <c r="D17" s="6">
        <v>0.39617013846108501</v>
      </c>
      <c r="E17" s="6">
        <v>0.39617013846108501</v>
      </c>
      <c r="F17" s="9">
        <v>584.41680129680901</v>
      </c>
      <c r="G17" s="9">
        <v>36</v>
      </c>
    </row>
    <row r="18" spans="1:7" x14ac:dyDescent="0.3">
      <c r="A18" s="7" t="s">
        <v>25</v>
      </c>
      <c r="B18" s="8" t="s">
        <v>2</v>
      </c>
      <c r="C18" s="8" t="s">
        <v>104</v>
      </c>
      <c r="D18" s="6">
        <v>0.39617013846108501</v>
      </c>
      <c r="E18" s="6">
        <v>0.39617013846108501</v>
      </c>
      <c r="F18" s="9">
        <v>527.23793476313404</v>
      </c>
      <c r="G18" s="9">
        <v>34</v>
      </c>
    </row>
    <row r="19" spans="1:7" x14ac:dyDescent="0.3">
      <c r="A19" s="7" t="s">
        <v>26</v>
      </c>
      <c r="B19" s="8" t="s">
        <v>2</v>
      </c>
      <c r="C19" s="8" t="s">
        <v>105</v>
      </c>
      <c r="D19" s="6">
        <v>0.39617013846108501</v>
      </c>
      <c r="E19" s="6">
        <v>0.39617013846108501</v>
      </c>
      <c r="F19" s="9">
        <v>706.99058633935101</v>
      </c>
      <c r="G19" s="9">
        <v>33</v>
      </c>
    </row>
    <row r="20" spans="1:7" x14ac:dyDescent="0.3">
      <c r="A20" s="7" t="s">
        <v>27</v>
      </c>
      <c r="B20" s="8" t="s">
        <v>2</v>
      </c>
      <c r="C20" s="8" t="s">
        <v>106</v>
      </c>
      <c r="D20" s="6">
        <v>0.39617013846108501</v>
      </c>
      <c r="E20" s="6">
        <v>0.39617013846108501</v>
      </c>
      <c r="F20" s="9">
        <v>637.00849885031198</v>
      </c>
      <c r="G20" s="9">
        <v>43</v>
      </c>
    </row>
    <row r="21" spans="1:7" x14ac:dyDescent="0.3">
      <c r="A21" s="7" t="s">
        <v>28</v>
      </c>
      <c r="B21" s="8" t="s">
        <v>3</v>
      </c>
      <c r="C21" s="8" t="s">
        <v>102</v>
      </c>
      <c r="D21" s="6">
        <v>2.7989999999999999</v>
      </c>
      <c r="E21" s="6">
        <v>2.7989999999999999</v>
      </c>
      <c r="F21" s="9">
        <v>462.08100000000002</v>
      </c>
      <c r="G21" s="9">
        <v>11</v>
      </c>
    </row>
    <row r="22" spans="1:7" x14ac:dyDescent="0.3">
      <c r="A22" s="7" t="s">
        <v>29</v>
      </c>
      <c r="B22" s="8" t="s">
        <v>3</v>
      </c>
      <c r="C22" s="8" t="s">
        <v>103</v>
      </c>
      <c r="D22" s="6">
        <v>0.40500000000000003</v>
      </c>
      <c r="E22" s="6">
        <v>0.40500000000000003</v>
      </c>
      <c r="F22" s="9">
        <v>610.50400000000002</v>
      </c>
      <c r="G22" s="9">
        <v>11</v>
      </c>
    </row>
    <row r="23" spans="1:7" x14ac:dyDescent="0.3">
      <c r="A23" s="7" t="s">
        <v>30</v>
      </c>
      <c r="B23" s="8" t="s">
        <v>3</v>
      </c>
      <c r="C23" s="8" t="s">
        <v>104</v>
      </c>
      <c r="D23" s="6">
        <v>0.40500000000000003</v>
      </c>
      <c r="E23" s="6">
        <v>0.40500000000000003</v>
      </c>
      <c r="F23" s="9">
        <v>633.11300000000006</v>
      </c>
      <c r="G23" s="9">
        <v>11</v>
      </c>
    </row>
    <row r="24" spans="1:7" x14ac:dyDescent="0.3">
      <c r="A24" s="7" t="s">
        <v>31</v>
      </c>
      <c r="B24" s="8" t="s">
        <v>3</v>
      </c>
      <c r="C24" s="8" t="s">
        <v>105</v>
      </c>
      <c r="D24" s="6">
        <v>0.40500000000000003</v>
      </c>
      <c r="E24" s="6">
        <v>0.40500000000000003</v>
      </c>
      <c r="F24" s="9">
        <v>495.7</v>
      </c>
      <c r="G24" s="9">
        <v>11</v>
      </c>
    </row>
    <row r="25" spans="1:7" x14ac:dyDescent="0.3">
      <c r="A25" s="7" t="s">
        <v>32</v>
      </c>
      <c r="B25" s="8" t="s">
        <v>3</v>
      </c>
      <c r="C25" s="8" t="s">
        <v>106</v>
      </c>
      <c r="D25" s="6">
        <v>0.40500000000000003</v>
      </c>
      <c r="E25" s="6">
        <v>0.40500000000000003</v>
      </c>
      <c r="F25" s="9">
        <v>408.06400000000002</v>
      </c>
      <c r="G25" s="9">
        <v>8</v>
      </c>
    </row>
    <row r="26" spans="1:7" x14ac:dyDescent="0.3">
      <c r="A26" s="7" t="s">
        <v>33</v>
      </c>
      <c r="B26" s="8" t="s">
        <v>4</v>
      </c>
      <c r="C26" s="8" t="s">
        <v>102</v>
      </c>
      <c r="D26" s="6">
        <v>0</v>
      </c>
      <c r="E26" s="6">
        <v>0</v>
      </c>
      <c r="F26" s="9">
        <v>0</v>
      </c>
      <c r="G26" s="9">
        <v>0</v>
      </c>
    </row>
    <row r="27" spans="1:7" x14ac:dyDescent="0.3">
      <c r="A27" s="7" t="s">
        <v>34</v>
      </c>
      <c r="B27" s="8" t="s">
        <v>4</v>
      </c>
      <c r="C27" s="8" t="s">
        <v>103</v>
      </c>
      <c r="D27" s="6">
        <v>0</v>
      </c>
      <c r="E27" s="6">
        <v>0</v>
      </c>
      <c r="F27" s="9">
        <v>0</v>
      </c>
      <c r="G27" s="9">
        <v>0</v>
      </c>
    </row>
    <row r="28" spans="1:7" x14ac:dyDescent="0.3">
      <c r="A28" s="7" t="s">
        <v>35</v>
      </c>
      <c r="B28" s="8" t="s">
        <v>4</v>
      </c>
      <c r="C28" s="8" t="s">
        <v>104</v>
      </c>
      <c r="D28" s="6">
        <v>0</v>
      </c>
      <c r="E28" s="6">
        <v>0</v>
      </c>
      <c r="F28" s="9">
        <v>0</v>
      </c>
      <c r="G28" s="9">
        <v>0</v>
      </c>
    </row>
    <row r="29" spans="1:7" x14ac:dyDescent="0.3">
      <c r="A29" s="7" t="s">
        <v>36</v>
      </c>
      <c r="B29" s="8" t="s">
        <v>4</v>
      </c>
      <c r="C29" s="8" t="s">
        <v>105</v>
      </c>
      <c r="D29" s="6">
        <v>0</v>
      </c>
      <c r="E29" s="6">
        <v>0</v>
      </c>
      <c r="F29" s="9">
        <v>0</v>
      </c>
      <c r="G29" s="9">
        <v>0</v>
      </c>
    </row>
    <row r="30" spans="1:7" x14ac:dyDescent="0.3">
      <c r="A30" s="7" t="s">
        <v>37</v>
      </c>
      <c r="B30" s="8" t="s">
        <v>4</v>
      </c>
      <c r="C30" s="8" t="s">
        <v>106</v>
      </c>
      <c r="D30" s="6">
        <v>0</v>
      </c>
      <c r="E30" s="6">
        <v>0</v>
      </c>
      <c r="F30" s="9">
        <v>0</v>
      </c>
      <c r="G30" s="9">
        <v>0</v>
      </c>
    </row>
    <row r="31" spans="1:7" x14ac:dyDescent="0.3">
      <c r="A31" s="7" t="s">
        <v>38</v>
      </c>
      <c r="B31" s="8" t="s">
        <v>5</v>
      </c>
      <c r="C31" s="8" t="s">
        <v>102</v>
      </c>
      <c r="D31" s="6">
        <v>1.9139999999999999</v>
      </c>
      <c r="E31" s="6">
        <v>1.9139999999999999</v>
      </c>
      <c r="F31" s="9">
        <v>209.88399999999999</v>
      </c>
      <c r="G31" s="9">
        <v>214</v>
      </c>
    </row>
    <row r="32" spans="1:7" x14ac:dyDescent="0.3">
      <c r="A32" s="7" t="s">
        <v>39</v>
      </c>
      <c r="B32" s="8" t="s">
        <v>5</v>
      </c>
      <c r="C32" s="8" t="s">
        <v>103</v>
      </c>
      <c r="D32" s="6">
        <v>0.874</v>
      </c>
      <c r="E32" s="6">
        <v>0.874</v>
      </c>
      <c r="F32" s="9">
        <v>205.41800000000001</v>
      </c>
      <c r="G32" s="9">
        <v>72</v>
      </c>
    </row>
    <row r="33" spans="1:7" x14ac:dyDescent="0.3">
      <c r="A33" s="7" t="s">
        <v>40</v>
      </c>
      <c r="B33" s="8" t="s">
        <v>5</v>
      </c>
      <c r="C33" s="8" t="s">
        <v>104</v>
      </c>
      <c r="D33" s="6">
        <v>1.0129999999999999</v>
      </c>
      <c r="E33" s="6">
        <v>1.0129999999999999</v>
      </c>
      <c r="F33" s="9">
        <v>184.16300000000001</v>
      </c>
      <c r="G33" s="9">
        <v>73</v>
      </c>
    </row>
    <row r="34" spans="1:7" x14ac:dyDescent="0.3">
      <c r="A34" s="7" t="s">
        <v>41</v>
      </c>
      <c r="B34" s="8" t="s">
        <v>5</v>
      </c>
      <c r="C34" s="8" t="s">
        <v>105</v>
      </c>
      <c r="D34" s="6">
        <v>0.66</v>
      </c>
      <c r="E34" s="6">
        <v>0.66</v>
      </c>
      <c r="F34" s="9">
        <v>182.45099999999999</v>
      </c>
      <c r="G34" s="9">
        <v>30</v>
      </c>
    </row>
    <row r="35" spans="1:7" x14ac:dyDescent="0.3">
      <c r="A35" s="7" t="s">
        <v>42</v>
      </c>
      <c r="B35" s="8" t="s">
        <v>5</v>
      </c>
      <c r="C35" s="8" t="s">
        <v>106</v>
      </c>
      <c r="D35" s="6">
        <v>0.19</v>
      </c>
      <c r="E35" s="6">
        <v>0.19</v>
      </c>
      <c r="F35" s="9">
        <v>169.172</v>
      </c>
      <c r="G35" s="9">
        <v>34</v>
      </c>
    </row>
    <row r="36" spans="1:7" x14ac:dyDescent="0.3">
      <c r="A36" s="7" t="s">
        <v>43</v>
      </c>
      <c r="B36" s="8" t="s">
        <v>6</v>
      </c>
      <c r="C36" s="8" t="s">
        <v>102</v>
      </c>
      <c r="D36" s="6">
        <v>0.49655729300000001</v>
      </c>
      <c r="E36" s="6">
        <v>0.49655729300000001</v>
      </c>
      <c r="F36" s="9">
        <v>943.20508384003995</v>
      </c>
      <c r="G36" s="9">
        <v>113</v>
      </c>
    </row>
    <row r="37" spans="1:7" x14ac:dyDescent="0.3">
      <c r="A37" s="7" t="s">
        <v>44</v>
      </c>
      <c r="B37" s="8" t="s">
        <v>6</v>
      </c>
      <c r="C37" s="8" t="s">
        <v>103</v>
      </c>
      <c r="D37" s="6">
        <v>0.50178969419999997</v>
      </c>
      <c r="E37" s="6">
        <v>0.50178969419999997</v>
      </c>
      <c r="F37" s="9">
        <v>1059.5585860040801</v>
      </c>
      <c r="G37" s="9">
        <v>28</v>
      </c>
    </row>
    <row r="38" spans="1:7" x14ac:dyDescent="0.3">
      <c r="A38" s="7" t="s">
        <v>45</v>
      </c>
      <c r="B38" s="8" t="s">
        <v>6</v>
      </c>
      <c r="C38" s="8" t="s">
        <v>104</v>
      </c>
      <c r="D38" s="6">
        <v>0.50670918200000004</v>
      </c>
      <c r="E38" s="6">
        <v>0.50670918200000004</v>
      </c>
      <c r="F38" s="9">
        <v>1043.6785429854101</v>
      </c>
      <c r="G38" s="9">
        <v>26</v>
      </c>
    </row>
    <row r="39" spans="1:7" x14ac:dyDescent="0.3">
      <c r="A39" s="7" t="s">
        <v>46</v>
      </c>
      <c r="B39" s="8" t="s">
        <v>6</v>
      </c>
      <c r="C39" s="8" t="s">
        <v>105</v>
      </c>
      <c r="D39" s="6">
        <v>0.51167693339999998</v>
      </c>
      <c r="E39" s="6">
        <v>0.51167693339999998</v>
      </c>
      <c r="F39" s="9">
        <v>989.85067441146896</v>
      </c>
      <c r="G39" s="9">
        <v>24</v>
      </c>
    </row>
    <row r="40" spans="1:7" x14ac:dyDescent="0.3">
      <c r="A40" s="7" t="s">
        <v>47</v>
      </c>
      <c r="B40" s="8" t="s">
        <v>6</v>
      </c>
      <c r="C40" s="8" t="s">
        <v>106</v>
      </c>
      <c r="D40" s="6">
        <v>0.51669335959999996</v>
      </c>
      <c r="E40" s="6">
        <v>0.51669335959999996</v>
      </c>
      <c r="F40" s="9">
        <v>960.87480281767398</v>
      </c>
      <c r="G40" s="9">
        <v>24</v>
      </c>
    </row>
    <row r="41" spans="1:7" x14ac:dyDescent="0.3">
      <c r="A41" s="7" t="s">
        <v>48</v>
      </c>
      <c r="B41" s="8" t="s">
        <v>7</v>
      </c>
      <c r="C41" s="8" t="s">
        <v>102</v>
      </c>
      <c r="D41" s="6">
        <v>0.35199999999999998</v>
      </c>
      <c r="E41" s="6">
        <v>0.35199999999999998</v>
      </c>
      <c r="F41" s="9">
        <v>358.459</v>
      </c>
      <c r="G41" s="9">
        <v>77</v>
      </c>
    </row>
    <row r="42" spans="1:7" x14ac:dyDescent="0.3">
      <c r="A42" s="7" t="s">
        <v>49</v>
      </c>
      <c r="B42" s="8" t="s">
        <v>7</v>
      </c>
      <c r="C42" s="8" t="s">
        <v>103</v>
      </c>
      <c r="D42" s="6">
        <v>0.34699999999999998</v>
      </c>
      <c r="E42" s="6">
        <v>0.34699999999999998</v>
      </c>
      <c r="F42" s="9">
        <v>291.94099999999997</v>
      </c>
      <c r="G42" s="9">
        <v>77</v>
      </c>
    </row>
    <row r="43" spans="1:7" x14ac:dyDescent="0.3">
      <c r="A43" s="7" t="s">
        <v>50</v>
      </c>
      <c r="B43" s="8" t="s">
        <v>7</v>
      </c>
      <c r="C43" s="8" t="s">
        <v>104</v>
      </c>
      <c r="D43" s="6">
        <v>0.34300000000000003</v>
      </c>
      <c r="E43" s="6">
        <v>0.34300000000000003</v>
      </c>
      <c r="F43" s="9">
        <v>301.45100000000002</v>
      </c>
      <c r="G43" s="9">
        <v>78</v>
      </c>
    </row>
    <row r="44" spans="1:7" x14ac:dyDescent="0.3">
      <c r="A44" s="7" t="s">
        <v>51</v>
      </c>
      <c r="B44" s="8" t="s">
        <v>7</v>
      </c>
      <c r="C44" s="8" t="s">
        <v>105</v>
      </c>
      <c r="D44" s="6">
        <v>0.33900000000000002</v>
      </c>
      <c r="E44" s="6">
        <v>0.33900000000000002</v>
      </c>
      <c r="F44" s="9">
        <v>290.19</v>
      </c>
      <c r="G44" s="9">
        <v>78</v>
      </c>
    </row>
    <row r="45" spans="1:7" x14ac:dyDescent="0.3">
      <c r="A45" s="7" t="s">
        <v>52</v>
      </c>
      <c r="B45" s="8" t="s">
        <v>7</v>
      </c>
      <c r="C45" s="8" t="s">
        <v>106</v>
      </c>
      <c r="D45" s="6">
        <v>0.33500000000000002</v>
      </c>
      <c r="E45" s="6">
        <v>0.33500000000000002</v>
      </c>
      <c r="F45" s="9">
        <v>287.05399999999997</v>
      </c>
      <c r="G45" s="9">
        <v>78</v>
      </c>
    </row>
    <row r="46" spans="1:7" x14ac:dyDescent="0.3">
      <c r="A46" s="7" t="s">
        <v>53</v>
      </c>
      <c r="B46" s="8" t="s">
        <v>8</v>
      </c>
      <c r="C46" s="8" t="s">
        <v>102</v>
      </c>
      <c r="D46" s="6">
        <v>5.0773557634615401</v>
      </c>
      <c r="E46" s="6">
        <v>5.0773557634615401</v>
      </c>
      <c r="F46" s="9">
        <v>334.40990139956699</v>
      </c>
      <c r="G46" s="9">
        <v>133</v>
      </c>
    </row>
    <row r="47" spans="1:7" x14ac:dyDescent="0.3">
      <c r="A47" s="7" t="s">
        <v>54</v>
      </c>
      <c r="B47" s="8" t="s">
        <v>8</v>
      </c>
      <c r="C47" s="8" t="s">
        <v>103</v>
      </c>
      <c r="D47" s="6">
        <v>2.5010117307692301</v>
      </c>
      <c r="E47" s="6">
        <v>2.5010117307692301</v>
      </c>
      <c r="F47" s="9">
        <v>310.35824991875199</v>
      </c>
      <c r="G47" s="9">
        <v>100</v>
      </c>
    </row>
    <row r="48" spans="1:7" x14ac:dyDescent="0.3">
      <c r="A48" s="7" t="s">
        <v>55</v>
      </c>
      <c r="B48" s="8" t="s">
        <v>8</v>
      </c>
      <c r="C48" s="8" t="s">
        <v>104</v>
      </c>
      <c r="D48" s="6">
        <v>1.41663115384615</v>
      </c>
      <c r="E48" s="6">
        <v>1.41663115384615</v>
      </c>
      <c r="F48" s="9">
        <v>316.21891660017798</v>
      </c>
      <c r="G48" s="9">
        <v>95</v>
      </c>
    </row>
    <row r="49" spans="1:7" x14ac:dyDescent="0.3">
      <c r="A49" s="7" t="s">
        <v>56</v>
      </c>
      <c r="B49" s="8" t="s">
        <v>8</v>
      </c>
      <c r="C49" s="8" t="s">
        <v>105</v>
      </c>
      <c r="D49" s="6">
        <v>2.2017011538461499</v>
      </c>
      <c r="E49" s="6">
        <v>2.2017011538461499</v>
      </c>
      <c r="F49" s="9">
        <v>314.555053101689</v>
      </c>
      <c r="G49" s="9">
        <v>104</v>
      </c>
    </row>
    <row r="50" spans="1:7" x14ac:dyDescent="0.3">
      <c r="A50" s="7" t="s">
        <v>57</v>
      </c>
      <c r="B50" s="8" t="s">
        <v>8</v>
      </c>
      <c r="C50" s="8" t="s">
        <v>106</v>
      </c>
      <c r="D50" s="6">
        <v>1.20537173076923</v>
      </c>
      <c r="E50" s="6">
        <v>1.20537173076923</v>
      </c>
      <c r="F50" s="9">
        <v>297.66581065083898</v>
      </c>
      <c r="G50" s="9">
        <v>103</v>
      </c>
    </row>
    <row r="51" spans="1:7" x14ac:dyDescent="0.3">
      <c r="A51" s="7" t="s">
        <v>58</v>
      </c>
      <c r="B51" s="8" t="s">
        <v>9</v>
      </c>
      <c r="C51" s="8" t="s">
        <v>102</v>
      </c>
      <c r="D51" s="26">
        <v>1</v>
      </c>
      <c r="E51" s="26">
        <v>1</v>
      </c>
      <c r="F51" s="9">
        <v>707.06500000000005</v>
      </c>
      <c r="G51" s="9">
        <v>0</v>
      </c>
    </row>
    <row r="52" spans="1:7" x14ac:dyDescent="0.3">
      <c r="A52" s="7" t="s">
        <v>59</v>
      </c>
      <c r="B52" s="8" t="s">
        <v>9</v>
      </c>
      <c r="C52" s="8" t="s">
        <v>103</v>
      </c>
      <c r="D52" s="26">
        <v>1.081</v>
      </c>
      <c r="E52" s="26">
        <v>1.081</v>
      </c>
      <c r="F52" s="9">
        <v>713.04899999999998</v>
      </c>
      <c r="G52" s="27">
        <v>60</v>
      </c>
    </row>
    <row r="53" spans="1:7" x14ac:dyDescent="0.3">
      <c r="A53" s="7" t="s">
        <v>60</v>
      </c>
      <c r="B53" s="8" t="s">
        <v>9</v>
      </c>
      <c r="C53" s="8" t="s">
        <v>104</v>
      </c>
      <c r="D53" s="26">
        <v>0.95</v>
      </c>
      <c r="E53" s="26">
        <v>0.95</v>
      </c>
      <c r="F53" s="9">
        <v>603.85599999999999</v>
      </c>
      <c r="G53" s="27">
        <v>60</v>
      </c>
    </row>
    <row r="54" spans="1:7" x14ac:dyDescent="0.3">
      <c r="A54" s="7" t="s">
        <v>61</v>
      </c>
      <c r="B54" s="8" t="s">
        <v>9</v>
      </c>
      <c r="C54" s="8" t="s">
        <v>105</v>
      </c>
      <c r="D54" s="26">
        <v>0.64</v>
      </c>
      <c r="E54" s="26">
        <v>0.64</v>
      </c>
      <c r="F54" s="9">
        <v>488.68900000000002</v>
      </c>
      <c r="G54" s="27">
        <v>60</v>
      </c>
    </row>
    <row r="55" spans="1:7" x14ac:dyDescent="0.3">
      <c r="A55" s="7" t="s">
        <v>62</v>
      </c>
      <c r="B55" s="8" t="s">
        <v>9</v>
      </c>
      <c r="C55" s="8" t="s">
        <v>106</v>
      </c>
      <c r="D55" s="26">
        <v>0.19600000000000001</v>
      </c>
      <c r="E55" s="26">
        <v>0.19600000000000001</v>
      </c>
      <c r="F55" s="9">
        <v>381.36700000000002</v>
      </c>
      <c r="G55" s="27">
        <v>60</v>
      </c>
    </row>
    <row r="56" spans="1:7" x14ac:dyDescent="0.3">
      <c r="A56" s="7" t="s">
        <v>112</v>
      </c>
      <c r="B56" s="8" t="s">
        <v>63</v>
      </c>
      <c r="C56" s="8" t="s">
        <v>102</v>
      </c>
      <c r="D56" s="6">
        <v>0</v>
      </c>
      <c r="E56" s="6">
        <v>0</v>
      </c>
      <c r="F56" s="9">
        <v>560.93585269017797</v>
      </c>
      <c r="G56" s="9">
        <v>0</v>
      </c>
    </row>
    <row r="57" spans="1:7" x14ac:dyDescent="0.3">
      <c r="A57" s="7" t="s">
        <v>113</v>
      </c>
      <c r="B57" s="8" t="s">
        <v>63</v>
      </c>
      <c r="C57" s="8" t="s">
        <v>103</v>
      </c>
      <c r="D57" s="6">
        <v>0</v>
      </c>
      <c r="E57" s="6">
        <v>0</v>
      </c>
      <c r="F57" s="9">
        <v>614.47872550832301</v>
      </c>
      <c r="G57" s="9">
        <v>0</v>
      </c>
    </row>
    <row r="58" spans="1:7" x14ac:dyDescent="0.3">
      <c r="A58" s="7" t="s">
        <v>114</v>
      </c>
      <c r="B58" s="8" t="s">
        <v>63</v>
      </c>
      <c r="C58" s="8" t="s">
        <v>104</v>
      </c>
      <c r="D58" s="6">
        <v>0</v>
      </c>
      <c r="E58" s="6">
        <v>0</v>
      </c>
      <c r="F58" s="9">
        <v>621.22299129652799</v>
      </c>
      <c r="G58" s="9">
        <v>0</v>
      </c>
    </row>
    <row r="59" spans="1:7" x14ac:dyDescent="0.3">
      <c r="A59" s="7" t="s">
        <v>115</v>
      </c>
      <c r="B59" s="8" t="s">
        <v>63</v>
      </c>
      <c r="C59" s="8" t="s">
        <v>105</v>
      </c>
      <c r="D59" s="6">
        <v>0</v>
      </c>
      <c r="E59" s="6">
        <v>0</v>
      </c>
      <c r="F59" s="9">
        <v>610.59658027129899</v>
      </c>
      <c r="G59" s="9">
        <v>0</v>
      </c>
    </row>
    <row r="60" spans="1:7" x14ac:dyDescent="0.3">
      <c r="A60" s="7" t="s">
        <v>116</v>
      </c>
      <c r="B60" s="8" t="s">
        <v>63</v>
      </c>
      <c r="C60" s="8" t="s">
        <v>106</v>
      </c>
      <c r="D60" s="6">
        <v>0</v>
      </c>
      <c r="E60" s="6">
        <v>0</v>
      </c>
      <c r="F60" s="9">
        <v>545.43688543661597</v>
      </c>
      <c r="G60" s="9">
        <v>0</v>
      </c>
    </row>
    <row r="61" spans="1:7" x14ac:dyDescent="0.3">
      <c r="A61" s="7" t="s">
        <v>117</v>
      </c>
      <c r="B61" s="8" t="s">
        <v>64</v>
      </c>
      <c r="C61" s="8" t="s">
        <v>102</v>
      </c>
      <c r="D61" s="6">
        <v>7.6020000000000003E-3</v>
      </c>
      <c r="E61" s="6">
        <v>7.6020000000000003E-3</v>
      </c>
      <c r="F61" s="9">
        <v>4.3490774731552699</v>
      </c>
      <c r="G61" s="9">
        <v>54</v>
      </c>
    </row>
    <row r="62" spans="1:7" x14ac:dyDescent="0.3">
      <c r="A62" s="7" t="s">
        <v>118</v>
      </c>
      <c r="B62" s="8" t="s">
        <v>64</v>
      </c>
      <c r="C62" s="8" t="s">
        <v>103</v>
      </c>
      <c r="D62" s="6">
        <v>7.6020000000000003E-3</v>
      </c>
      <c r="E62" s="6">
        <v>7.6020000000000003E-3</v>
      </c>
      <c r="F62" s="9">
        <v>4.8159413760622201</v>
      </c>
      <c r="G62" s="9">
        <v>54</v>
      </c>
    </row>
    <row r="63" spans="1:7" x14ac:dyDescent="0.3">
      <c r="A63" s="7" t="s">
        <v>119</v>
      </c>
      <c r="B63" s="8" t="s">
        <v>64</v>
      </c>
      <c r="C63" s="8" t="s">
        <v>104</v>
      </c>
      <c r="D63" s="6">
        <v>7.6020000000000003E-3</v>
      </c>
      <c r="E63" s="6">
        <v>7.6020000000000003E-3</v>
      </c>
      <c r="F63" s="9">
        <v>5.0266953078384402</v>
      </c>
      <c r="G63" s="9">
        <v>54</v>
      </c>
    </row>
    <row r="64" spans="1:7" x14ac:dyDescent="0.3">
      <c r="A64" s="7" t="s">
        <v>120</v>
      </c>
      <c r="B64" s="8" t="s">
        <v>64</v>
      </c>
      <c r="C64" s="8" t="s">
        <v>105</v>
      </c>
      <c r="D64" s="6">
        <v>7.6020000000000003E-3</v>
      </c>
      <c r="E64" s="6">
        <v>7.6020000000000003E-3</v>
      </c>
      <c r="F64" s="9">
        <v>6.13945027329786</v>
      </c>
      <c r="G64" s="9">
        <v>54</v>
      </c>
    </row>
    <row r="65" spans="1:7" x14ac:dyDescent="0.3">
      <c r="A65" s="7" t="s">
        <v>121</v>
      </c>
      <c r="B65" s="8" t="s">
        <v>64</v>
      </c>
      <c r="C65" s="8" t="s">
        <v>106</v>
      </c>
      <c r="D65" s="6">
        <v>7.6020000000000003E-3</v>
      </c>
      <c r="E65" s="6">
        <v>7.6020000000000003E-3</v>
      </c>
      <c r="F65" s="9">
        <v>4.5652000305771701</v>
      </c>
      <c r="G65" s="9">
        <v>54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P49"/>
  <sheetViews>
    <sheetView showGridLines="0" zoomScale="80" zoomScaleNormal="80" workbookViewId="0"/>
  </sheetViews>
  <sheetFormatPr defaultRowHeight="14.5" x14ac:dyDescent="0.35"/>
  <cols>
    <col min="1" max="1" width="1.54296875" customWidth="1"/>
    <col min="2" max="2" width="17.7265625" customWidth="1"/>
    <col min="3" max="4" width="17.7265625" style="4" customWidth="1"/>
    <col min="5" max="5" width="19.54296875" style="4" customWidth="1"/>
    <col min="6" max="7" width="17.7265625" style="4" customWidth="1"/>
    <col min="8" max="8" width="22.453125" style="4" customWidth="1"/>
    <col min="9" max="9" width="60.54296875" style="4" customWidth="1"/>
    <col min="10" max="10" width="11.1796875" customWidth="1"/>
    <col min="11" max="11" width="14.7265625" style="4" customWidth="1"/>
    <col min="12" max="12" width="13.81640625" style="29" customWidth="1"/>
    <col min="13" max="13" width="13.81640625" style="4" customWidth="1"/>
    <col min="14" max="14" width="13.54296875" customWidth="1"/>
    <col min="15" max="18" width="17.26953125" customWidth="1"/>
  </cols>
  <sheetData>
    <row r="1" spans="2:14" x14ac:dyDescent="0.35">
      <c r="B1" s="15" t="s">
        <v>128</v>
      </c>
      <c r="F1" s="21"/>
      <c r="G1" s="21"/>
      <c r="H1" s="21"/>
      <c r="I1" s="21"/>
      <c r="K1" s="21"/>
      <c r="L1" s="28"/>
      <c r="M1" s="21"/>
    </row>
    <row r="2" spans="2:14" x14ac:dyDescent="0.35">
      <c r="B2" s="15"/>
      <c r="F2" s="21"/>
      <c r="G2" s="21"/>
      <c r="H2" s="21"/>
      <c r="I2" s="21"/>
      <c r="K2" s="21"/>
      <c r="L2" s="28"/>
      <c r="M2" s="21"/>
    </row>
    <row r="3" spans="2:14" x14ac:dyDescent="0.35">
      <c r="F3" s="21"/>
      <c r="G3" s="21"/>
      <c r="H3" s="75"/>
      <c r="I3" s="21"/>
      <c r="K3" s="21"/>
      <c r="L3" s="28"/>
      <c r="M3" s="21"/>
    </row>
    <row r="4" spans="2:14" x14ac:dyDescent="0.35">
      <c r="C4" s="100" t="s">
        <v>95</v>
      </c>
      <c r="D4" s="100"/>
      <c r="K4" s="16" t="s">
        <v>127</v>
      </c>
      <c r="L4" s="17"/>
    </row>
    <row r="5" spans="2:14" ht="43.5" x14ac:dyDescent="0.35">
      <c r="B5" s="10"/>
      <c r="C5" s="23" t="s">
        <v>75</v>
      </c>
      <c r="D5" s="23" t="s">
        <v>76</v>
      </c>
      <c r="E5" s="23" t="s">
        <v>96</v>
      </c>
      <c r="F5" s="23" t="s">
        <v>77</v>
      </c>
      <c r="G5" s="23" t="s">
        <v>78</v>
      </c>
      <c r="H5" s="23" t="s">
        <v>98</v>
      </c>
      <c r="I5" s="61" t="s">
        <v>73</v>
      </c>
      <c r="K5" s="18" t="s">
        <v>125</v>
      </c>
      <c r="L5" s="18" t="s">
        <v>126</v>
      </c>
      <c r="M5" s="13"/>
    </row>
    <row r="6" spans="2:14" ht="16.5" x14ac:dyDescent="0.35">
      <c r="B6" s="62" t="s">
        <v>0</v>
      </c>
      <c r="C6" s="14">
        <f>SUMIF(Data!$B$6:$B$65,Analysis!$B6,Data!$G$6:$G$65)</f>
        <v>760</v>
      </c>
      <c r="D6" s="12">
        <v>762</v>
      </c>
      <c r="E6" s="66">
        <f>SUMIF(Data!$B$6:$B$65,Analysis!$B6,Data!$D$6:$D$65)+VLOOKUP(B6,Allowance!$C$13:$N$23,4,FALSE)</f>
        <v>17.240581733898146</v>
      </c>
      <c r="F6" s="84">
        <f>(E6/C6)*1000000</f>
        <v>22684.975965655456</v>
      </c>
      <c r="G6" s="96">
        <f>F6-$L$6</f>
        <v>10137.093265550116</v>
      </c>
      <c r="H6" s="97">
        <f>C6*$L$6/1000000</f>
        <v>9.5363908520800589</v>
      </c>
      <c r="I6" s="11"/>
      <c r="K6" s="19">
        <f>E17*1000000/C17</f>
        <v>15356.671831412563</v>
      </c>
      <c r="L6" s="79">
        <f>_xlfn.QUARTILE.INC(F6:F16,2)</f>
        <v>12547.88270010534</v>
      </c>
      <c r="M6" s="74"/>
      <c r="N6" s="74"/>
    </row>
    <row r="7" spans="2:14" ht="16.5" x14ac:dyDescent="0.35">
      <c r="B7" s="62" t="s">
        <v>1</v>
      </c>
      <c r="C7" s="14">
        <f>SUMIF(Data!$B$6:$B$65,Analysis!$B7,Data!$G$6:$G$65)</f>
        <v>217</v>
      </c>
      <c r="D7" s="12">
        <v>217</v>
      </c>
      <c r="E7" s="66">
        <f>SUMIF(Data!$B$6:$B$65,Analysis!$B7,Data!$D$6:$D$65)+VLOOKUP(B7,Allowance!$C$13:$N$23,4,FALSE)</f>
        <v>1.2190000000000001</v>
      </c>
      <c r="F7" s="84">
        <f>(E7/C7)*1000000</f>
        <v>5617.5115207373274</v>
      </c>
      <c r="G7" s="96">
        <f>F7-$L$6</f>
        <v>-6930.3711793680122</v>
      </c>
      <c r="H7" s="97">
        <f>C7*$L$6/1000000</f>
        <v>2.7228905459228585</v>
      </c>
      <c r="I7" s="11"/>
      <c r="K7" s="20"/>
      <c r="L7" s="20"/>
      <c r="M7" s="13"/>
    </row>
    <row r="8" spans="2:14" ht="16.5" x14ac:dyDescent="0.35">
      <c r="B8" s="62" t="s">
        <v>2</v>
      </c>
      <c r="C8" s="14">
        <f>SUMIF(Data!$B$6:$B$65,Analysis!$B8,Data!$G$6:$G$65)</f>
        <v>235</v>
      </c>
      <c r="D8" s="12">
        <v>235</v>
      </c>
      <c r="E8" s="66">
        <f>SUMIF(Data!$B$6:$B$65,Analysis!$B8,Data!$D$6:$D$65)+VLOOKUP(B8,Allowance!$C$13:$N$23,4,FALSE)</f>
        <v>3.12841082897044</v>
      </c>
      <c r="F8" s="84">
        <f>(E8/C8)*1000000</f>
        <v>13312.386506257191</v>
      </c>
      <c r="G8" s="96">
        <f>F8-$L$6</f>
        <v>764.50380615185168</v>
      </c>
      <c r="H8" s="97">
        <f>C8*$L$6/1000000</f>
        <v>2.9487524345247551</v>
      </c>
      <c r="I8" s="11"/>
      <c r="K8" s="98"/>
      <c r="L8" s="13"/>
      <c r="M8" s="13"/>
    </row>
    <row r="9" spans="2:14" ht="101.5" x14ac:dyDescent="0.35">
      <c r="B9" s="62" t="s">
        <v>3</v>
      </c>
      <c r="C9" s="14">
        <f>SUMIF(Data!$B$6:$B$65,Analysis!$B9,Data!$G$6:$G$65)</f>
        <v>52</v>
      </c>
      <c r="D9" s="12">
        <v>328</v>
      </c>
      <c r="E9" s="66">
        <f>SUMIF(Data!$B$6:$B$65,Analysis!$B9,Data!$D$6:$D$65)+VLOOKUP(B9,Allowance!$C$13:$N$23,4,FALSE)</f>
        <v>4.4190000000000005</v>
      </c>
      <c r="F9" s="84">
        <f>(E9/C9)*1000000</f>
        <v>84980.769230769234</v>
      </c>
      <c r="G9" s="96">
        <f>F9-$L$6</f>
        <v>72432.886530663891</v>
      </c>
      <c r="H9" s="97">
        <f>C9*$L$6/1000000</f>
        <v>0.65248990040547761</v>
      </c>
      <c r="I9" s="11" t="s">
        <v>122</v>
      </c>
      <c r="K9"/>
      <c r="L9"/>
      <c r="M9"/>
    </row>
    <row r="10" spans="2:14" ht="43.5" x14ac:dyDescent="0.35">
      <c r="B10" s="62" t="s">
        <v>63</v>
      </c>
      <c r="C10" s="14">
        <f>SUMIF(Data!$B$6:$B$65,Analysis!$B10,Data!$G$6:$G$65)</f>
        <v>0</v>
      </c>
      <c r="D10" s="12">
        <v>450</v>
      </c>
      <c r="E10" s="66">
        <f>SUMIF(Data!$B$6:$B$65,Analysis!$B10,Data!$D$6:$D$65)+VLOOKUP(B10,Allowance!$C$13:$N$23,4,FALSE)</f>
        <v>0</v>
      </c>
      <c r="F10" s="84"/>
      <c r="G10" s="96"/>
      <c r="H10" s="97"/>
      <c r="I10" s="11" t="s">
        <v>97</v>
      </c>
      <c r="K10"/>
      <c r="L10"/>
      <c r="M10"/>
    </row>
    <row r="11" spans="2:14" ht="16.5" x14ac:dyDescent="0.35">
      <c r="B11" s="62" t="s">
        <v>5</v>
      </c>
      <c r="C11" s="14">
        <f>SUMIF(Data!$B$6:$B$65,Analysis!$B11,Data!$G$6:$G$65)</f>
        <v>423</v>
      </c>
      <c r="D11" s="12">
        <v>423</v>
      </c>
      <c r="E11" s="66">
        <f>SUMIF(Data!$B$6:$B$65,Analysis!$B11,Data!$D$6:$D$65)+VLOOKUP(B11,Allowance!$C$13:$N$23,4,FALSE)</f>
        <v>4.6509999999999998</v>
      </c>
      <c r="F11" s="84">
        <f>(E11/C11)*1000000</f>
        <v>10995.271867612291</v>
      </c>
      <c r="G11" s="96">
        <f>F11-$L$6</f>
        <v>-1552.6108324930483</v>
      </c>
      <c r="H11" s="97">
        <f t="shared" ref="H11:H16" si="0">C11*$L$6/1000000</f>
        <v>5.3077543821445579</v>
      </c>
      <c r="I11" s="11"/>
      <c r="K11" s="24"/>
      <c r="L11"/>
      <c r="M11"/>
    </row>
    <row r="12" spans="2:14" ht="16.5" x14ac:dyDescent="0.35">
      <c r="B12" s="62" t="s">
        <v>6</v>
      </c>
      <c r="C12" s="14">
        <f>SUMIF(Data!$B$6:$B$65,Analysis!$B12,Data!$G$6:$G$65)</f>
        <v>215</v>
      </c>
      <c r="D12" s="12">
        <v>238</v>
      </c>
      <c r="E12" s="66">
        <f>SUMIF(Data!$B$6:$B$65,Analysis!$B12,Data!$D$6:$D$65)+VLOOKUP(B12,Allowance!$C$13:$N$23,4,FALSE)</f>
        <v>2.5334264622</v>
      </c>
      <c r="F12" s="84">
        <f t="shared" ref="F12" si="1">(E12/C12)*1000000</f>
        <v>11783.378893953488</v>
      </c>
      <c r="G12" s="96">
        <f>F12-$L$6</f>
        <v>-764.50380615185168</v>
      </c>
      <c r="H12" s="97">
        <f t="shared" si="0"/>
        <v>2.6977947805226483</v>
      </c>
      <c r="I12" s="11"/>
      <c r="K12" s="24"/>
      <c r="L12"/>
      <c r="M12"/>
    </row>
    <row r="13" spans="2:14" ht="16.5" x14ac:dyDescent="0.35">
      <c r="B13" s="62" t="s">
        <v>7</v>
      </c>
      <c r="C13" s="14">
        <f>SUMIF(Data!$B$6:$B$65,Analysis!$B13,Data!$G$6:$G$65)</f>
        <v>388</v>
      </c>
      <c r="D13" s="12">
        <v>386</v>
      </c>
      <c r="E13" s="66">
        <f>SUMIF(Data!$B$6:$B$65,Analysis!$B13,Data!$D$6:$D$65)+VLOOKUP(B13,Allowance!$C$13:$N$23,4,FALSE)</f>
        <v>1.716</v>
      </c>
      <c r="F13" s="84">
        <f>(E13/C13)*1000000</f>
        <v>4422.6804123711336</v>
      </c>
      <c r="G13" s="96">
        <f>F13-$L$6</f>
        <v>-8125.202287734206</v>
      </c>
      <c r="H13" s="97">
        <f t="shared" si="0"/>
        <v>4.868578487640872</v>
      </c>
      <c r="I13" s="11"/>
      <c r="K13"/>
      <c r="L13"/>
      <c r="M13"/>
    </row>
    <row r="14" spans="2:14" ht="16.5" x14ac:dyDescent="0.35">
      <c r="B14" s="62" t="s">
        <v>8</v>
      </c>
      <c r="C14" s="14">
        <f>SUMIF(Data!$B$6:$B$65,Analysis!$B14,Data!$G$6:$G$65)</f>
        <v>535</v>
      </c>
      <c r="D14" s="12">
        <v>535</v>
      </c>
      <c r="E14" s="66">
        <f>SUMIF(Data!$B$6:$B$65,Analysis!$B14,Data!$D$6:$D$65)+VLOOKUP(B14,Allowance!$C$13:$N$23,4,FALSE)</f>
        <v>12.4020715326923</v>
      </c>
      <c r="F14" s="84">
        <f>(E14/C14)*1000000</f>
        <v>23181.442117181869</v>
      </c>
      <c r="G14" s="96">
        <f>F14-$L$6</f>
        <v>10633.559417076529</v>
      </c>
      <c r="H14" s="97">
        <f t="shared" si="0"/>
        <v>6.7131172445563569</v>
      </c>
      <c r="I14" s="11"/>
      <c r="M14"/>
    </row>
    <row r="15" spans="2:14" ht="43.5" x14ac:dyDescent="0.35">
      <c r="B15" s="62" t="s">
        <v>9</v>
      </c>
      <c r="C15" s="14">
        <f>SUMIF(Data!$B$6:$B$65,Analysis!$B15,Data!$G$6:$G$65)</f>
        <v>240</v>
      </c>
      <c r="D15" s="12">
        <v>240</v>
      </c>
      <c r="E15" s="66">
        <f>SUMIF(Data!$B$6:$B$65,Analysis!$B15,Data!$D$6:$D$65)+VLOOKUP(B15,Allowance!$C$13:$N$23,4,FALSE)</f>
        <v>3.867</v>
      </c>
      <c r="F15" s="84">
        <f>(E15/C15)*1000000</f>
        <v>16112.499999999998</v>
      </c>
      <c r="G15" s="96">
        <f>F15-$L$6</f>
        <v>3564.6172998946586</v>
      </c>
      <c r="H15" s="97">
        <f t="shared" si="0"/>
        <v>3.0114918480252815</v>
      </c>
      <c r="I15" s="11" t="s">
        <v>79</v>
      </c>
      <c r="M15"/>
    </row>
    <row r="16" spans="2:14" ht="63" customHeight="1" x14ac:dyDescent="0.35">
      <c r="B16" s="63" t="s">
        <v>64</v>
      </c>
      <c r="C16" s="14">
        <f>SUMIF(Data!$B$6:$B$65,Analysis!$B16,Data!$G$6:$G$65)</f>
        <v>270</v>
      </c>
      <c r="D16" s="12">
        <v>0</v>
      </c>
      <c r="E16" s="66">
        <f>SUMIF(Data!$B$6:$B$65,Analysis!$B16,Data!$D$6:$D$65)+VLOOKUP(B16,Allowance!$C$13:$N$23,4,FALSE)</f>
        <v>3.8010000000000002E-2</v>
      </c>
      <c r="F16" s="84">
        <f>(E16/C16)*1000000</f>
        <v>140.77777777777777</v>
      </c>
      <c r="G16" s="96"/>
      <c r="H16" s="97">
        <f t="shared" si="0"/>
        <v>3.3879283290284414</v>
      </c>
      <c r="I16" s="11" t="s">
        <v>100</v>
      </c>
      <c r="M16"/>
    </row>
    <row r="17" spans="2:16" x14ac:dyDescent="0.35">
      <c r="C17" s="99">
        <f>SUM(C6:C16)</f>
        <v>3335</v>
      </c>
      <c r="E17" s="22">
        <f>SUM(E6:E16)</f>
        <v>51.214500557760893</v>
      </c>
      <c r="F17" s="82">
        <f>SUM(F6:F16)</f>
        <v>193231.69429231575</v>
      </c>
      <c r="G17" s="25"/>
      <c r="H17" s="83">
        <f>SUM(H6:H16)</f>
        <v>41.847188804851307</v>
      </c>
      <c r="M17" s="22"/>
      <c r="O17" s="24"/>
      <c r="P17" s="73"/>
    </row>
    <row r="18" spans="2:16" x14ac:dyDescent="0.35">
      <c r="E18" s="81"/>
    </row>
    <row r="19" spans="2:16" x14ac:dyDescent="0.35">
      <c r="D19" s="80"/>
    </row>
    <row r="20" spans="2:16" x14ac:dyDescent="0.35">
      <c r="B20" s="13"/>
      <c r="C20" s="30"/>
    </row>
    <row r="21" spans="2:16" x14ac:dyDescent="0.35">
      <c r="B21" s="76"/>
      <c r="C21" s="67"/>
      <c r="D21" s="68"/>
    </row>
    <row r="22" spans="2:16" x14ac:dyDescent="0.35">
      <c r="B22" s="78"/>
      <c r="C22" s="67"/>
      <c r="D22" s="68"/>
    </row>
    <row r="23" spans="2:16" x14ac:dyDescent="0.35">
      <c r="B23" s="76"/>
      <c r="C23" s="67"/>
      <c r="D23" s="68"/>
    </row>
    <row r="24" spans="2:16" x14ac:dyDescent="0.35">
      <c r="B24" s="76"/>
      <c r="C24" s="67"/>
      <c r="D24" s="68"/>
    </row>
    <row r="25" spans="2:16" x14ac:dyDescent="0.35">
      <c r="B25" s="76"/>
      <c r="C25" s="67"/>
      <c r="D25" s="68"/>
    </row>
    <row r="26" spans="2:16" x14ac:dyDescent="0.35">
      <c r="B26" s="76"/>
      <c r="C26" s="88"/>
      <c r="D26" s="68"/>
    </row>
    <row r="27" spans="2:16" x14ac:dyDescent="0.35">
      <c r="B27" s="76"/>
      <c r="C27" s="67"/>
      <c r="D27" s="68"/>
    </row>
    <row r="28" spans="2:16" x14ac:dyDescent="0.35">
      <c r="B28" s="76"/>
      <c r="C28" s="67"/>
      <c r="D28" s="68"/>
    </row>
    <row r="29" spans="2:16" x14ac:dyDescent="0.35">
      <c r="B29" s="77"/>
      <c r="C29" s="67"/>
      <c r="D29" s="68"/>
    </row>
    <row r="35" spans="2:8" x14ac:dyDescent="0.35">
      <c r="B35" s="13"/>
      <c r="C35" s="30"/>
      <c r="D35" s="30"/>
      <c r="E35" s="30"/>
      <c r="F35" s="30"/>
      <c r="G35" s="30"/>
      <c r="H35" s="30"/>
    </row>
    <row r="36" spans="2:8" x14ac:dyDescent="0.35">
      <c r="B36" s="13"/>
      <c r="C36" s="30"/>
      <c r="D36" s="30"/>
      <c r="E36" s="30"/>
      <c r="F36" s="30"/>
      <c r="G36" s="30"/>
      <c r="H36" s="30"/>
    </row>
    <row r="37" spans="2:8" x14ac:dyDescent="0.35">
      <c r="B37" s="13"/>
      <c r="C37" s="30"/>
      <c r="D37" s="30"/>
      <c r="E37" s="30"/>
      <c r="F37" s="30"/>
      <c r="G37" s="30"/>
      <c r="H37" s="30"/>
    </row>
    <row r="38" spans="2:8" x14ac:dyDescent="0.35">
      <c r="B38" s="13"/>
      <c r="C38" s="30"/>
      <c r="D38" s="30"/>
      <c r="E38" s="30"/>
      <c r="F38" s="30"/>
      <c r="G38" s="30"/>
      <c r="H38" s="30"/>
    </row>
    <row r="39" spans="2:8" x14ac:dyDescent="0.35">
      <c r="B39" s="13"/>
      <c r="C39" s="30"/>
      <c r="D39" s="30"/>
      <c r="E39" s="30"/>
      <c r="F39" s="30"/>
      <c r="G39" s="30"/>
      <c r="H39" s="30"/>
    </row>
    <row r="40" spans="2:8" x14ac:dyDescent="0.35">
      <c r="B40" s="13"/>
      <c r="C40" s="30"/>
      <c r="D40" s="30"/>
      <c r="E40" s="30"/>
      <c r="F40" s="30"/>
      <c r="G40" s="30"/>
      <c r="H40" s="30"/>
    </row>
    <row r="41" spans="2:8" x14ac:dyDescent="0.35">
      <c r="B41" s="13"/>
      <c r="C41" s="30"/>
      <c r="D41" s="30"/>
      <c r="E41" s="30"/>
      <c r="F41" s="30"/>
      <c r="G41" s="30"/>
      <c r="H41" s="30"/>
    </row>
    <row r="42" spans="2:8" x14ac:dyDescent="0.35">
      <c r="B42" s="13"/>
      <c r="C42" s="31"/>
      <c r="D42" s="30"/>
      <c r="E42" s="30"/>
      <c r="F42" s="30"/>
      <c r="G42" s="30"/>
      <c r="H42" s="30"/>
    </row>
    <row r="43" spans="2:8" x14ac:dyDescent="0.35">
      <c r="B43" s="13"/>
      <c r="C43" s="31"/>
      <c r="D43" s="30"/>
      <c r="E43" s="30"/>
      <c r="F43" s="30"/>
      <c r="G43" s="30"/>
      <c r="H43" s="30"/>
    </row>
    <row r="44" spans="2:8" x14ac:dyDescent="0.35">
      <c r="B44" s="13"/>
      <c r="C44" s="32"/>
      <c r="D44" s="33"/>
      <c r="E44" s="30"/>
      <c r="F44" s="30"/>
      <c r="G44" s="30"/>
      <c r="H44" s="30"/>
    </row>
    <row r="45" spans="2:8" x14ac:dyDescent="0.35">
      <c r="B45" s="13"/>
      <c r="C45" s="32"/>
      <c r="D45" s="33"/>
      <c r="E45" s="30"/>
      <c r="F45" s="30"/>
      <c r="G45" s="30"/>
      <c r="H45" s="30"/>
    </row>
    <row r="46" spans="2:8" x14ac:dyDescent="0.35">
      <c r="B46" s="13"/>
      <c r="C46" s="34"/>
      <c r="D46" s="32"/>
      <c r="E46" s="30"/>
      <c r="F46" s="30"/>
      <c r="G46" s="30"/>
      <c r="H46" s="30"/>
    </row>
    <row r="47" spans="2:8" x14ac:dyDescent="0.35">
      <c r="B47" s="13"/>
      <c r="C47" s="34"/>
      <c r="D47" s="32"/>
      <c r="E47" s="30"/>
      <c r="F47" s="30"/>
      <c r="G47" s="30"/>
      <c r="H47" s="30"/>
    </row>
    <row r="48" spans="2:8" x14ac:dyDescent="0.35">
      <c r="B48" s="13"/>
      <c r="C48" s="30"/>
      <c r="D48" s="31"/>
      <c r="E48" s="30"/>
      <c r="F48" s="30"/>
      <c r="G48" s="30"/>
      <c r="H48" s="30"/>
    </row>
    <row r="49" spans="2:8" x14ac:dyDescent="0.35">
      <c r="B49" s="13"/>
      <c r="C49" s="30"/>
      <c r="D49" s="30"/>
      <c r="E49" s="30"/>
      <c r="F49" s="30"/>
      <c r="G49" s="30"/>
      <c r="H49" s="30"/>
    </row>
  </sheetData>
  <mergeCells count="1">
    <mergeCell ref="C4:D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M25"/>
  <sheetViews>
    <sheetView showGridLines="0" workbookViewId="0">
      <selection activeCell="K12" sqref="K12"/>
    </sheetView>
  </sheetViews>
  <sheetFormatPr defaultColWidth="9.1796875" defaultRowHeight="13" x14ac:dyDescent="0.3"/>
  <cols>
    <col min="1" max="1" width="2.54296875" style="5" customWidth="1"/>
    <col min="2" max="2" width="2.7265625" style="5" customWidth="1"/>
    <col min="3" max="3" width="14.26953125" style="5" customWidth="1"/>
    <col min="4" max="4" width="19.26953125" style="5" customWidth="1"/>
    <col min="5" max="5" width="15.54296875" style="5" customWidth="1"/>
    <col min="6" max="6" width="14.1796875" style="5" customWidth="1"/>
    <col min="7" max="8" width="12.7265625" style="5" customWidth="1"/>
    <col min="9" max="9" width="12.54296875" style="5" customWidth="1"/>
    <col min="10" max="10" width="11.54296875" style="5" bestFit="1" customWidth="1"/>
    <col min="11" max="11" width="11.54296875" style="5" customWidth="1"/>
    <col min="12" max="12" width="11.26953125" style="5" bestFit="1" customWidth="1"/>
    <col min="13" max="13" width="12.7265625" style="5" customWidth="1"/>
    <col min="14" max="15" width="9.1796875" style="5"/>
    <col min="16" max="16" width="22.7265625" style="5" customWidth="1"/>
    <col min="17" max="17" width="31.26953125" style="5" bestFit="1" customWidth="1"/>
    <col min="18" max="16384" width="9.1796875" style="5"/>
  </cols>
  <sheetData>
    <row r="1" spans="2:13" ht="18.5" x14ac:dyDescent="0.45">
      <c r="B1" s="72" t="s">
        <v>81</v>
      </c>
      <c r="C1" s="50"/>
      <c r="D1" s="50"/>
      <c r="E1" s="50"/>
      <c r="F1" s="50"/>
      <c r="G1" s="50"/>
      <c r="H1" s="50"/>
      <c r="I1" s="50"/>
      <c r="J1" s="50"/>
      <c r="K1" s="50"/>
      <c r="L1" s="50"/>
    </row>
    <row r="3" spans="2:13" x14ac:dyDescent="0.3">
      <c r="C3" s="39" t="s">
        <v>11</v>
      </c>
      <c r="D3" s="40" t="s">
        <v>123</v>
      </c>
      <c r="E3" s="41"/>
      <c r="F3" s="41"/>
      <c r="G3" s="41"/>
      <c r="H3" s="41"/>
      <c r="I3" s="41"/>
    </row>
    <row r="4" spans="2:13" ht="26" x14ac:dyDescent="0.3">
      <c r="C4" s="39" t="s">
        <v>82</v>
      </c>
      <c r="D4" s="94" t="s">
        <v>99</v>
      </c>
      <c r="E4" s="42"/>
      <c r="F4" s="41"/>
      <c r="G4" s="41"/>
      <c r="H4" s="41"/>
      <c r="I4" s="41"/>
    </row>
    <row r="5" spans="2:13" x14ac:dyDescent="0.3">
      <c r="C5" s="39" t="s">
        <v>83</v>
      </c>
      <c r="D5" s="95" t="s">
        <v>66</v>
      </c>
      <c r="E5" s="42"/>
      <c r="F5" s="42"/>
      <c r="G5" s="42"/>
      <c r="H5" s="42"/>
      <c r="I5" s="43"/>
      <c r="J5" s="44"/>
      <c r="K5" s="44"/>
    </row>
    <row r="6" spans="2:13" ht="39" x14ac:dyDescent="0.3">
      <c r="C6" s="39" t="s">
        <v>84</v>
      </c>
      <c r="D6" s="95" t="s">
        <v>124</v>
      </c>
      <c r="E6" s="42"/>
      <c r="F6" s="42"/>
      <c r="G6" s="42"/>
      <c r="H6" s="42"/>
      <c r="I6" s="45"/>
    </row>
    <row r="7" spans="2:13" x14ac:dyDescent="0.3">
      <c r="C7" s="46" t="s">
        <v>12</v>
      </c>
      <c r="D7" s="47" t="s">
        <v>72</v>
      </c>
      <c r="E7" s="41"/>
      <c r="F7" s="41"/>
      <c r="G7" s="41"/>
      <c r="H7" s="41"/>
      <c r="I7" s="41"/>
    </row>
    <row r="10" spans="2:13" ht="12.75" customHeight="1" x14ac:dyDescent="0.3">
      <c r="B10" s="35" t="s">
        <v>85</v>
      </c>
    </row>
    <row r="11" spans="2:13" ht="12.75" customHeight="1" x14ac:dyDescent="0.3">
      <c r="B11" s="44"/>
      <c r="C11" s="44"/>
      <c r="D11" s="44"/>
      <c r="E11" s="44"/>
      <c r="F11" s="44"/>
      <c r="G11" s="44"/>
      <c r="H11" s="44"/>
      <c r="I11" s="44"/>
      <c r="J11" s="48"/>
      <c r="K11" s="44"/>
    </row>
    <row r="12" spans="2:13" ht="52" x14ac:dyDescent="0.3">
      <c r="C12" s="36" t="s">
        <v>10</v>
      </c>
      <c r="D12" s="36" t="s">
        <v>94</v>
      </c>
      <c r="E12" s="36" t="s">
        <v>88</v>
      </c>
      <c r="F12" s="36" t="s">
        <v>89</v>
      </c>
      <c r="G12" s="36" t="s">
        <v>90</v>
      </c>
      <c r="H12" s="36" t="s">
        <v>110</v>
      </c>
      <c r="I12" s="37" t="s">
        <v>111</v>
      </c>
      <c r="J12" s="38" t="s">
        <v>91</v>
      </c>
      <c r="K12" s="36" t="s">
        <v>92</v>
      </c>
      <c r="L12" s="36" t="s">
        <v>93</v>
      </c>
      <c r="M12" s="36" t="s">
        <v>86</v>
      </c>
    </row>
    <row r="13" spans="2:13" x14ac:dyDescent="0.3">
      <c r="B13" s="51">
        <v>1</v>
      </c>
      <c r="C13" s="52" t="s">
        <v>0</v>
      </c>
      <c r="D13" s="69">
        <f>SUMIFS(Data!$E$6:$E$65,Data!$B$6:$B$65,Allowance!$C13,Data!$C$6:$C$65,Data!$C$6)+SUMIFS(Data!$E$6:$E$65,Data!$B$6:$B$65,Allowance!$C13,Data!$C$6:$C$65,Data!$C$7) +SUMIFS(Data!$E$6:$E$65,Data!$B$6:$B$65,Allowance!$C13,Data!$C$6:$C$65,Data!$C$8)+SUMIFS(Data!$E$6:$E$65,Data!$B$6:$B$65,Allowance!$C13,Data!$C$6:$C$65,Data!$C$9)+SUMIFS(Data!$E$6:$E$65,Data!$B$6:$B$65,Allowance!$C13,Data!$C$6:$C$65,Data!$C$10)+VLOOKUP($C13,Allowance!$C$13:$N$31,4,FALSE)</f>
        <v>17.240581733898146</v>
      </c>
      <c r="E13" s="53">
        <v>0</v>
      </c>
      <c r="F13" s="58">
        <f>SUM(E13,G13)</f>
        <v>-6.0000000000000001E-3</v>
      </c>
      <c r="G13" s="53">
        <v>-6.0000000000000001E-3</v>
      </c>
      <c r="H13" s="53">
        <f>D13+G13</f>
        <v>17.234581733898146</v>
      </c>
      <c r="I13" s="53">
        <f>INDEX(Analysis!$H$6:$H$16,MATCH($C13,Analysis!$B$6:$B$16,0))</f>
        <v>9.5363908520800589</v>
      </c>
      <c r="J13" s="54">
        <f>MIN(H13,I13)</f>
        <v>9.5363908520800589</v>
      </c>
      <c r="K13" s="53">
        <v>0</v>
      </c>
      <c r="L13" s="53">
        <f>$J13*$K13</f>
        <v>0</v>
      </c>
      <c r="M13" s="53">
        <f>$J13*(1-$K13)</f>
        <v>9.5363908520800589</v>
      </c>
    </row>
    <row r="14" spans="2:13" x14ac:dyDescent="0.3">
      <c r="B14" s="51">
        <v>2</v>
      </c>
      <c r="C14" s="52" t="s">
        <v>64</v>
      </c>
      <c r="D14" s="69">
        <f>SUMIFS(Data!$E$6:$E$65,Data!$B$6:$B$65,Allowance!$C14,Data!$C$6:$C$65,Data!$C$6)+SUMIFS(Data!$E$6:$E$65,Data!$B$6:$B$65,Allowance!$C14,Data!$C$6:$C$65,Data!$C$7) +SUMIFS(Data!$E$6:$E$65,Data!$B$6:$B$65,Allowance!$C14,Data!$C$6:$C$65,Data!$C$8)+SUMIFS(Data!$E$6:$E$65,Data!$B$6:$B$65,Allowance!$C14,Data!$C$6:$C$65,Data!$C$9)+SUMIFS(Data!$E$6:$E$65,Data!$B$6:$B$65,Allowance!$C14,Data!$C$6:$C$65,Data!$C$10)+VLOOKUP($C14,Allowance!$C$13:$N$31,4,FALSE)</f>
        <v>3.8010000000000002E-2</v>
      </c>
      <c r="E14" s="53">
        <v>0</v>
      </c>
      <c r="F14" s="53">
        <f t="shared" ref="F14" si="0">SUM(E14,G14)</f>
        <v>0</v>
      </c>
      <c r="G14" s="53">
        <v>0</v>
      </c>
      <c r="H14" s="64">
        <f t="shared" ref="H14" si="1">D14+G14</f>
        <v>3.8010000000000002E-2</v>
      </c>
      <c r="I14" s="64">
        <f>INDEX(Analysis!$H$6:$H$16,MATCH($C14,Analysis!$B$6:$B$16,0))</f>
        <v>3.3879283290284414</v>
      </c>
      <c r="J14" s="71">
        <f t="shared" ref="J14" si="2">MIN(H14,I14)</f>
        <v>3.8010000000000002E-2</v>
      </c>
      <c r="K14" s="53">
        <v>0</v>
      </c>
      <c r="L14" s="53">
        <f t="shared" ref="L14:L23" si="3">$J14*$K14</f>
        <v>0</v>
      </c>
      <c r="M14" s="64">
        <f t="shared" ref="M14:M23" si="4">$J14*(1-$K14)</f>
        <v>3.8010000000000002E-2</v>
      </c>
    </row>
    <row r="15" spans="2:13" x14ac:dyDescent="0.3">
      <c r="B15" s="51">
        <v>3</v>
      </c>
      <c r="C15" s="52" t="s">
        <v>1</v>
      </c>
      <c r="D15" s="69">
        <f>SUMIFS(Data!$E$6:$E$65,Data!$B$6:$B$65,Allowance!$C15,Data!$C$6:$C$65,Data!$C$6)+SUMIFS(Data!$E$6:$E$65,Data!$B$6:$B$65,Allowance!$C15,Data!$C$6:$C$65,Data!$C$7) +SUMIFS(Data!$E$6:$E$65,Data!$B$6:$B$65,Allowance!$C15,Data!$C$6:$C$65,Data!$C$8)+SUMIFS(Data!$E$6:$E$65,Data!$B$6:$B$65,Allowance!$C15,Data!$C$6:$C$65,Data!$C$9)+SUMIFS(Data!$E$6:$E$65,Data!$B$6:$B$65,Allowance!$C15,Data!$C$6:$C$65,Data!$C$10)+VLOOKUP($C15,Allowance!$C$13:$N$31,4,FALSE)</f>
        <v>1.2190000000000001</v>
      </c>
      <c r="E15" s="53">
        <v>0</v>
      </c>
      <c r="F15" s="53">
        <f t="shared" ref="F15:F23" si="5">SUM(E15,G15)</f>
        <v>0</v>
      </c>
      <c r="G15" s="53">
        <v>0</v>
      </c>
      <c r="H15" s="53">
        <f t="shared" ref="H15:H23" si="6">D15+G15</f>
        <v>1.2190000000000001</v>
      </c>
      <c r="I15" s="53">
        <f>INDEX(Analysis!$H$6:$H$16,MATCH($C15,Analysis!$B$6:$B$16,0))</f>
        <v>2.7228905459228585</v>
      </c>
      <c r="J15" s="54">
        <f t="shared" ref="J15:J23" si="7">MIN(H15,I15)</f>
        <v>1.2190000000000001</v>
      </c>
      <c r="K15" s="53">
        <v>0</v>
      </c>
      <c r="L15" s="53">
        <f t="shared" si="3"/>
        <v>0</v>
      </c>
      <c r="M15" s="53">
        <f t="shared" si="4"/>
        <v>1.2190000000000001</v>
      </c>
    </row>
    <row r="16" spans="2:13" x14ac:dyDescent="0.3">
      <c r="B16" s="51">
        <v>4</v>
      </c>
      <c r="C16" s="52" t="s">
        <v>2</v>
      </c>
      <c r="D16" s="69">
        <f>SUMIFS(Data!$E$6:$E$65,Data!$B$6:$B$65,Allowance!$C16,Data!$C$6:$C$65,Data!$C$6)+SUMIFS(Data!$E$6:$E$65,Data!$B$6:$B$65,Allowance!$C16,Data!$C$6:$C$65,Data!$C$7) +SUMIFS(Data!$E$6:$E$65,Data!$B$6:$B$65,Allowance!$C16,Data!$C$6:$C$65,Data!$C$8)+SUMIFS(Data!$E$6:$E$65,Data!$B$6:$B$65,Allowance!$C16,Data!$C$6:$C$65,Data!$C$9)+SUMIFS(Data!$E$6:$E$65,Data!$B$6:$B$65,Allowance!$C16,Data!$C$6:$C$65,Data!$C$10)+VLOOKUP($C16,Allowance!$C$13:$N$31,4,FALSE)</f>
        <v>3.12841082897044</v>
      </c>
      <c r="E16" s="53">
        <v>0</v>
      </c>
      <c r="F16" s="53">
        <f t="shared" si="5"/>
        <v>0</v>
      </c>
      <c r="G16" s="53">
        <v>0</v>
      </c>
      <c r="H16" s="53">
        <f t="shared" si="6"/>
        <v>3.12841082897044</v>
      </c>
      <c r="I16" s="53">
        <f>INDEX(Analysis!$H$6:$H$16,MATCH($C16,Analysis!$B$6:$B$16,0))</f>
        <v>2.9487524345247551</v>
      </c>
      <c r="J16" s="54">
        <f t="shared" si="7"/>
        <v>2.9487524345247551</v>
      </c>
      <c r="K16" s="53">
        <v>0</v>
      </c>
      <c r="L16" s="53">
        <f t="shared" si="3"/>
        <v>0</v>
      </c>
      <c r="M16" s="53">
        <f t="shared" si="4"/>
        <v>2.9487524345247551</v>
      </c>
    </row>
    <row r="17" spans="2:13" x14ac:dyDescent="0.3">
      <c r="B17" s="51">
        <v>5</v>
      </c>
      <c r="C17" s="52" t="s">
        <v>3</v>
      </c>
      <c r="D17" s="69">
        <f>SUMIFS(Data!$E$6:$E$65,Data!$B$6:$B$65,Allowance!$C17,Data!$C$6:$C$65,Data!$C$6)+SUMIFS(Data!$E$6:$E$65,Data!$B$6:$B$65,Allowance!$C17,Data!$C$6:$C$65,Data!$C$7) +SUMIFS(Data!$E$6:$E$65,Data!$B$6:$B$65,Allowance!$C17,Data!$C$6:$C$65,Data!$C$8)+SUMIFS(Data!$E$6:$E$65,Data!$B$6:$B$65,Allowance!$C17,Data!$C$6:$C$65,Data!$C$9)+SUMIFS(Data!$E$6:$E$65,Data!$B$6:$B$65,Allowance!$C17,Data!$C$6:$C$65,Data!$C$10)+VLOOKUP($C17,Allowance!$C$13:$N$31,4,FALSE)</f>
        <v>4.4190000000000005</v>
      </c>
      <c r="E17" s="53">
        <v>0</v>
      </c>
      <c r="F17" s="53">
        <f t="shared" si="5"/>
        <v>0</v>
      </c>
      <c r="G17" s="53">
        <v>0</v>
      </c>
      <c r="H17" s="53">
        <f t="shared" si="6"/>
        <v>4.4190000000000005</v>
      </c>
      <c r="I17" s="53">
        <f>INDEX(Analysis!$H$6:$H$16,MATCH($C17,Analysis!$B$6:$B$16,0))</f>
        <v>0.65248990040547761</v>
      </c>
      <c r="J17" s="54">
        <f t="shared" si="7"/>
        <v>0.65248990040547761</v>
      </c>
      <c r="K17" s="53">
        <v>0</v>
      </c>
      <c r="L17" s="53">
        <f t="shared" si="3"/>
        <v>0</v>
      </c>
      <c r="M17" s="53">
        <f t="shared" si="4"/>
        <v>0.65248990040547761</v>
      </c>
    </row>
    <row r="18" spans="2:13" x14ac:dyDescent="0.3">
      <c r="B18" s="51">
        <v>6</v>
      </c>
      <c r="C18" s="52" t="s">
        <v>63</v>
      </c>
      <c r="D18" s="69">
        <f>SUMIFS(Data!$E$6:$E$65,Data!$B$6:$B$65,Allowance!$C18,Data!$C$6:$C$65,Data!$C$6)+SUMIFS(Data!$E$6:$E$65,Data!$B$6:$B$65,Allowance!$C18,Data!$C$6:$C$65,Data!$C$7) +SUMIFS(Data!$E$6:$E$65,Data!$B$6:$B$65,Allowance!$C18,Data!$C$6:$C$65,Data!$C$8)+SUMIFS(Data!$E$6:$E$65,Data!$B$6:$B$65,Allowance!$C18,Data!$C$6:$C$65,Data!$C$9)+SUMIFS(Data!$E$6:$E$65,Data!$B$6:$B$65,Allowance!$C18,Data!$C$6:$C$65,Data!$C$10)+VLOOKUP($C18,Allowance!$C$13:$N$31,4,FALSE)</f>
        <v>0</v>
      </c>
      <c r="E18" s="53">
        <v>0</v>
      </c>
      <c r="F18" s="53">
        <f t="shared" ref="F18" si="8">SUM(E18,G18)</f>
        <v>0</v>
      </c>
      <c r="G18" s="53">
        <v>0</v>
      </c>
      <c r="H18" s="53">
        <f t="shared" ref="H18" si="9">D18+G18</f>
        <v>0</v>
      </c>
      <c r="I18" s="53">
        <f>INDEX(Analysis!$H$6:$H$16,MATCH($C18,Analysis!$B$6:$B$16,0))</f>
        <v>0</v>
      </c>
      <c r="J18" s="54">
        <f t="shared" ref="J18" si="10">MIN(H18,I18)</f>
        <v>0</v>
      </c>
      <c r="K18" s="53">
        <v>0</v>
      </c>
      <c r="L18" s="53">
        <f t="shared" si="3"/>
        <v>0</v>
      </c>
      <c r="M18" s="53">
        <f t="shared" si="4"/>
        <v>0</v>
      </c>
    </row>
    <row r="19" spans="2:13" x14ac:dyDescent="0.3">
      <c r="B19" s="51">
        <v>7</v>
      </c>
      <c r="C19" s="52" t="s">
        <v>5</v>
      </c>
      <c r="D19" s="69">
        <f>SUMIFS(Data!$E$6:$E$65,Data!$B$6:$B$65,Allowance!$C19,Data!$C$6:$C$65,Data!$C$6)+SUMIFS(Data!$E$6:$E$65,Data!$B$6:$B$65,Allowance!$C19,Data!$C$6:$C$65,Data!$C$7) +SUMIFS(Data!$E$6:$E$65,Data!$B$6:$B$65,Allowance!$C19,Data!$C$6:$C$65,Data!$C$8)+SUMIFS(Data!$E$6:$E$65,Data!$B$6:$B$65,Allowance!$C19,Data!$C$6:$C$65,Data!$C$9)+SUMIFS(Data!$E$6:$E$65,Data!$B$6:$B$65,Allowance!$C19,Data!$C$6:$C$65,Data!$C$10)+VLOOKUP($C19,Allowance!$C$13:$N$31,4,FALSE)</f>
        <v>4.6509999999999998</v>
      </c>
      <c r="E19" s="53">
        <v>0</v>
      </c>
      <c r="F19" s="53">
        <f t="shared" si="5"/>
        <v>0</v>
      </c>
      <c r="G19" s="53">
        <v>0</v>
      </c>
      <c r="H19" s="53">
        <f t="shared" si="6"/>
        <v>4.6509999999999998</v>
      </c>
      <c r="I19" s="53">
        <f>INDEX(Analysis!$H$6:$H$16,MATCH($C19,Analysis!$B$6:$B$16,0))</f>
        <v>5.3077543821445579</v>
      </c>
      <c r="J19" s="54">
        <f t="shared" si="7"/>
        <v>4.6509999999999998</v>
      </c>
      <c r="K19" s="53">
        <v>0</v>
      </c>
      <c r="L19" s="53">
        <f t="shared" si="3"/>
        <v>0</v>
      </c>
      <c r="M19" s="53">
        <f t="shared" si="4"/>
        <v>4.6509999999999998</v>
      </c>
    </row>
    <row r="20" spans="2:13" x14ac:dyDescent="0.3">
      <c r="B20" s="51">
        <v>8</v>
      </c>
      <c r="C20" s="52" t="s">
        <v>6</v>
      </c>
      <c r="D20" s="69">
        <f>SUMIFS(Data!$E$6:$E$65,Data!$B$6:$B$65,Allowance!$C20,Data!$C$6:$C$65,Data!$C$6)+SUMIFS(Data!$E$6:$E$65,Data!$B$6:$B$65,Allowance!$C20,Data!$C$6:$C$65,Data!$C$7) +SUMIFS(Data!$E$6:$E$65,Data!$B$6:$B$65,Allowance!$C20,Data!$C$6:$C$65,Data!$C$8)+SUMIFS(Data!$E$6:$E$65,Data!$B$6:$B$65,Allowance!$C20,Data!$C$6:$C$65,Data!$C$9)+SUMIFS(Data!$E$6:$E$65,Data!$B$6:$B$65,Allowance!$C20,Data!$C$6:$C$65,Data!$C$10)+VLOOKUP($C20,Allowance!$C$13:$N$31,4,FALSE)</f>
        <v>2.5334264622</v>
      </c>
      <c r="E20" s="53">
        <v>0</v>
      </c>
      <c r="F20" s="53">
        <f t="shared" si="5"/>
        <v>0</v>
      </c>
      <c r="G20" s="53">
        <v>0</v>
      </c>
      <c r="H20" s="53">
        <f t="shared" si="6"/>
        <v>2.5334264622</v>
      </c>
      <c r="I20" s="53">
        <f>INDEX(Analysis!$H$6:$H$16,MATCH($C20,Analysis!$B$6:$B$16,0))</f>
        <v>2.6977947805226483</v>
      </c>
      <c r="J20" s="54">
        <f t="shared" si="7"/>
        <v>2.5334264622</v>
      </c>
      <c r="K20" s="53">
        <v>0</v>
      </c>
      <c r="L20" s="53">
        <f t="shared" si="3"/>
        <v>0</v>
      </c>
      <c r="M20" s="53">
        <f t="shared" si="4"/>
        <v>2.5334264622</v>
      </c>
    </row>
    <row r="21" spans="2:13" x14ac:dyDescent="0.3">
      <c r="B21" s="51">
        <v>9</v>
      </c>
      <c r="C21" s="52" t="s">
        <v>7</v>
      </c>
      <c r="D21" s="69">
        <f>SUMIFS(Data!$E$6:$E$65,Data!$B$6:$B$65,Allowance!$C21,Data!$C$6:$C$65,Data!$C$6)+SUMIFS(Data!$E$6:$E$65,Data!$B$6:$B$65,Allowance!$C21,Data!$C$6:$C$65,Data!$C$7) +SUMIFS(Data!$E$6:$E$65,Data!$B$6:$B$65,Allowance!$C21,Data!$C$6:$C$65,Data!$C$8)+SUMIFS(Data!$E$6:$E$65,Data!$B$6:$B$65,Allowance!$C21,Data!$C$6:$C$65,Data!$C$9)+SUMIFS(Data!$E$6:$E$65,Data!$B$6:$B$65,Allowance!$C21,Data!$C$6:$C$65,Data!$C$10)+VLOOKUP($C21,Allowance!$C$13:$N$31,4,FALSE)</f>
        <v>1.716</v>
      </c>
      <c r="E21" s="53">
        <v>0</v>
      </c>
      <c r="F21" s="53">
        <f t="shared" si="5"/>
        <v>0</v>
      </c>
      <c r="G21" s="53">
        <v>0</v>
      </c>
      <c r="H21" s="53">
        <f t="shared" si="6"/>
        <v>1.716</v>
      </c>
      <c r="I21" s="53">
        <f>INDEX(Analysis!$H$6:$H$16,MATCH($C21,Analysis!$B$6:$B$16,0))</f>
        <v>4.868578487640872</v>
      </c>
      <c r="J21" s="54">
        <f t="shared" si="7"/>
        <v>1.716</v>
      </c>
      <c r="K21" s="53">
        <v>0</v>
      </c>
      <c r="L21" s="53">
        <f t="shared" si="3"/>
        <v>0</v>
      </c>
      <c r="M21" s="53">
        <f t="shared" si="4"/>
        <v>1.716</v>
      </c>
    </row>
    <row r="22" spans="2:13" x14ac:dyDescent="0.3">
      <c r="B22" s="51">
        <v>10</v>
      </c>
      <c r="C22" s="52" t="s">
        <v>8</v>
      </c>
      <c r="D22" s="69">
        <f>SUMIFS(Data!$E$6:$E$65,Data!$B$6:$B$65,Allowance!$C22,Data!$C$6:$C$65,Data!$C$6)+SUMIFS(Data!$E$6:$E$65,Data!$B$6:$B$65,Allowance!$C22,Data!$C$6:$C$65,Data!$C$7) +SUMIFS(Data!$E$6:$E$65,Data!$B$6:$B$65,Allowance!$C22,Data!$C$6:$C$65,Data!$C$8)+SUMIFS(Data!$E$6:$E$65,Data!$B$6:$B$65,Allowance!$C22,Data!$C$6:$C$65,Data!$C$9)+SUMIFS(Data!$E$6:$E$65,Data!$B$6:$B$65,Allowance!$C22,Data!$C$6:$C$65,Data!$C$10)+VLOOKUP($C22,Allowance!$C$13:$N$31,4,FALSE)</f>
        <v>12.4020715326923</v>
      </c>
      <c r="E22" s="53">
        <v>0</v>
      </c>
      <c r="F22" s="53">
        <f t="shared" si="5"/>
        <v>0</v>
      </c>
      <c r="G22" s="53">
        <v>0</v>
      </c>
      <c r="H22" s="53">
        <f t="shared" si="6"/>
        <v>12.4020715326923</v>
      </c>
      <c r="I22" s="53">
        <f>INDEX(Analysis!$H$6:$H$16,MATCH($C22,Analysis!$B$6:$B$16,0))</f>
        <v>6.7131172445563569</v>
      </c>
      <c r="J22" s="54">
        <f t="shared" si="7"/>
        <v>6.7131172445563569</v>
      </c>
      <c r="K22" s="53">
        <v>0</v>
      </c>
      <c r="L22" s="53">
        <f t="shared" si="3"/>
        <v>0</v>
      </c>
      <c r="M22" s="53">
        <f t="shared" si="4"/>
        <v>6.7131172445563569</v>
      </c>
    </row>
    <row r="23" spans="2:13" x14ac:dyDescent="0.3">
      <c r="B23" s="51">
        <v>11</v>
      </c>
      <c r="C23" s="52" t="s">
        <v>9</v>
      </c>
      <c r="D23" s="69">
        <f>SUMIFS(Data!$E$6:$E$65,Data!$B$6:$B$65,Allowance!$C23,Data!$C$6:$C$65,Data!$C$6)+SUMIFS(Data!$E$6:$E$65,Data!$B$6:$B$65,Allowance!$C23,Data!$C$6:$C$65,Data!$C$7) +SUMIFS(Data!$E$6:$E$65,Data!$B$6:$B$65,Allowance!$C23,Data!$C$6:$C$65,Data!$C$8)+SUMIFS(Data!$E$6:$E$65,Data!$B$6:$B$65,Allowance!$C23,Data!$C$6:$C$65,Data!$C$9)+SUMIFS(Data!$E$6:$E$65,Data!$B$6:$B$65,Allowance!$C23,Data!$C$6:$C$65,Data!$C$10)+VLOOKUP($C23,Allowance!$C$13:$N$31,4,FALSE)</f>
        <v>3.867</v>
      </c>
      <c r="E23" s="53">
        <v>0</v>
      </c>
      <c r="F23" s="53">
        <f t="shared" si="5"/>
        <v>0</v>
      </c>
      <c r="G23" s="53">
        <v>0</v>
      </c>
      <c r="H23" s="53">
        <f t="shared" si="6"/>
        <v>3.867</v>
      </c>
      <c r="I23" s="53">
        <f>INDEX(Analysis!$H$6:$H$16,MATCH($C23,Analysis!$B$6:$B$16,0))</f>
        <v>3.0114918480252815</v>
      </c>
      <c r="J23" s="54">
        <f t="shared" si="7"/>
        <v>3.0114918480252815</v>
      </c>
      <c r="K23" s="53">
        <v>0</v>
      </c>
      <c r="L23" s="53">
        <f t="shared" si="3"/>
        <v>0</v>
      </c>
      <c r="M23" s="53">
        <f t="shared" si="4"/>
        <v>3.0114918480252815</v>
      </c>
    </row>
    <row r="24" spans="2:13" x14ac:dyDescent="0.3">
      <c r="C24" s="55" t="s">
        <v>87</v>
      </c>
      <c r="D24" s="70">
        <f t="shared" ref="D24:M24" si="11">SUM(D13:D23)</f>
        <v>51.214500557760893</v>
      </c>
      <c r="E24" s="56">
        <f t="shared" si="11"/>
        <v>0</v>
      </c>
      <c r="F24" s="56">
        <f t="shared" si="11"/>
        <v>-6.0000000000000001E-3</v>
      </c>
      <c r="G24" s="56">
        <f t="shared" si="11"/>
        <v>-6.0000000000000001E-3</v>
      </c>
      <c r="H24" s="57">
        <f t="shared" si="11"/>
        <v>51.208500557760892</v>
      </c>
      <c r="I24" s="57">
        <f t="shared" si="11"/>
        <v>41.847188804851314</v>
      </c>
      <c r="J24" s="57">
        <f t="shared" si="11"/>
        <v>33.019678741791935</v>
      </c>
      <c r="K24" s="57">
        <f t="shared" si="11"/>
        <v>0</v>
      </c>
      <c r="L24" s="57">
        <f t="shared" si="11"/>
        <v>0</v>
      </c>
      <c r="M24" s="65">
        <f t="shared" si="11"/>
        <v>33.019678741791935</v>
      </c>
    </row>
    <row r="25" spans="2:13" x14ac:dyDescent="0.3">
      <c r="F25" s="49"/>
    </row>
  </sheetData>
  <dataValidations count="1">
    <dataValidation type="list" allowBlank="1" showInputMessage="1" showErrorMessage="1" sqref="D7:I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2019-01-25T15:42:51Z</dcterms:created>
  <dcterms:modified xsi:type="dcterms:W3CDTF">2019-01-25T15:43:05Z</dcterms:modified>
  <cp:category/>
  <cp:contentStatus/>
</cp:coreProperties>
</file>